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T:\rvo\Kluis_Beleidsadvisering_SDE_MEP\2025\Rekentool ISDE2026\"/>
    </mc:Choice>
  </mc:AlternateContent>
  <xr:revisionPtr revIDLastSave="0" documentId="13_ncr:1_{FA30F09B-DD93-405E-A1F2-47FD7951E379}" xr6:coauthVersionLast="47" xr6:coauthVersionMax="47" xr10:uidLastSave="{00000000-0000-0000-0000-000000000000}"/>
  <workbookProtection workbookAlgorithmName="SHA-512" workbookHashValue="nyPafYufuDgZlcQUh+nvbPYs+4NSwhvSP+6t0x1RuQnnDTh0mnZf7gz7Gjud/oh6kLp04QjEgWHAFZaczbHMpA==" workbookSaltValue="0GWdoDf8uJ+3yfMEWoEeSA==" workbookSpinCount="100000" lockStructure="1"/>
  <bookViews>
    <workbookView xWindow="-120" yWindow="-120" windowWidth="51840" windowHeight="21240" xr2:uid="{06C84F82-475F-47D1-A093-DF452E609559}"/>
  </bookViews>
  <sheets>
    <sheet name="Keuzeblad maatregelen" sheetId="1" r:id="rId1"/>
    <sheet name="Afdrukoverzicht subsidiebedrag" sheetId="3" r:id="rId2"/>
    <sheet name="Hulpblad" sheetId="2" state="hidden" r:id="rId3"/>
    <sheet name="Glastarieven per jaar" sheetId="4" state="hidden" r:id="rId4"/>
    <sheet name="Isolatietarieven per jaar" sheetId="5" state="hidden" r:id="rId5"/>
  </sheets>
  <definedNames>
    <definedName name="_xlnm.Print_Area" localSheetId="1">'Afdrukoverzicht subsidiebedrag'!$A$1:$D$40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3" l="1"/>
  <c r="O256" i="1"/>
  <c r="O187" i="1"/>
  <c r="E144" i="1"/>
  <c r="A144" i="1"/>
  <c r="C281" i="2"/>
  <c r="A152" i="1"/>
  <c r="D247" i="2"/>
  <c r="G79" i="1"/>
  <c r="A156" i="1" l="1"/>
  <c r="E176" i="1"/>
  <c r="A171" i="1"/>
  <c r="B231" i="2"/>
  <c r="B229" i="2"/>
  <c r="B235" i="2"/>
  <c r="B234" i="2"/>
  <c r="B233" i="2"/>
  <c r="B232" i="2"/>
  <c r="B230" i="2"/>
  <c r="D141" i="2"/>
  <c r="C139" i="2"/>
  <c r="C144" i="2" l="1"/>
  <c r="B31" i="3"/>
  <c r="C354" i="2"/>
  <c r="E194" i="1" l="1"/>
  <c r="E163" i="1" l="1"/>
  <c r="C312" i="2"/>
  <c r="C311" i="2"/>
  <c r="C323" i="2" s="1"/>
  <c r="I753" i="2"/>
  <c r="D753" i="2"/>
  <c r="F753" i="2" s="1"/>
  <c r="I752" i="2"/>
  <c r="D752" i="2"/>
  <c r="F752" i="2" s="1"/>
  <c r="I751" i="2"/>
  <c r="D751" i="2"/>
  <c r="F751" i="2" s="1"/>
  <c r="I750" i="2"/>
  <c r="D750" i="2"/>
  <c r="F750" i="2" s="1"/>
  <c r="D749" i="2"/>
  <c r="F749" i="2" s="1"/>
  <c r="I748" i="2"/>
  <c r="F747" i="2"/>
  <c r="F746" i="2"/>
  <c r="I745" i="2"/>
  <c r="F745" i="2"/>
  <c r="I744" i="2"/>
  <c r="F744" i="2"/>
  <c r="I743" i="2"/>
  <c r="F742" i="2"/>
  <c r="F741" i="2"/>
  <c r="I740" i="2"/>
  <c r="F740" i="2"/>
  <c r="I739" i="2"/>
  <c r="F739" i="2"/>
  <c r="I738" i="2"/>
  <c r="I737" i="2"/>
  <c r="F737" i="2"/>
  <c r="I736" i="2"/>
  <c r="F736" i="2"/>
  <c r="I735" i="2"/>
  <c r="F735" i="2"/>
  <c r="I734" i="2"/>
  <c r="F734" i="2"/>
  <c r="I733" i="2"/>
  <c r="I732" i="2"/>
  <c r="D732" i="2"/>
  <c r="F732" i="2" s="1"/>
  <c r="I731" i="2"/>
  <c r="D731" i="2"/>
  <c r="F731" i="2" s="1"/>
  <c r="I730" i="2"/>
  <c r="D730" i="2"/>
  <c r="F730" i="2" s="1"/>
  <c r="I729" i="2"/>
  <c r="D729" i="2"/>
  <c r="F729" i="2" s="1"/>
  <c r="D728" i="2"/>
  <c r="F728" i="2" s="1"/>
  <c r="I727" i="2"/>
  <c r="F726" i="2"/>
  <c r="F725" i="2"/>
  <c r="I724" i="2"/>
  <c r="F724" i="2"/>
  <c r="I723" i="2"/>
  <c r="F723" i="2"/>
  <c r="I722" i="2"/>
  <c r="F721" i="2"/>
  <c r="F720" i="2"/>
  <c r="I719" i="2"/>
  <c r="F719" i="2"/>
  <c r="I718" i="2"/>
  <c r="F718" i="2"/>
  <c r="I717" i="2"/>
  <c r="I716" i="2"/>
  <c r="F716" i="2"/>
  <c r="I715" i="2"/>
  <c r="F715" i="2"/>
  <c r="I714" i="2"/>
  <c r="F714" i="2"/>
  <c r="I713" i="2"/>
  <c r="F713" i="2"/>
  <c r="I712" i="2"/>
  <c r="I711" i="2"/>
  <c r="F711" i="2"/>
  <c r="I710" i="2"/>
  <c r="F710" i="2"/>
  <c r="I709" i="2"/>
  <c r="F709" i="2"/>
  <c r="I708" i="2"/>
  <c r="F708" i="2"/>
  <c r="F707" i="2"/>
  <c r="I705" i="2"/>
  <c r="D705" i="2"/>
  <c r="F705" i="2" s="1"/>
  <c r="I704" i="2"/>
  <c r="D704" i="2"/>
  <c r="F704" i="2" s="1"/>
  <c r="I703" i="2"/>
  <c r="D703" i="2"/>
  <c r="F703" i="2" s="1"/>
  <c r="I702" i="2"/>
  <c r="D702" i="2"/>
  <c r="F702" i="2" s="1"/>
  <c r="D701" i="2"/>
  <c r="F701" i="2" s="1"/>
  <c r="I700" i="2"/>
  <c r="F699" i="2"/>
  <c r="F698" i="2"/>
  <c r="I697" i="2"/>
  <c r="F697" i="2"/>
  <c r="I696" i="2"/>
  <c r="F696" i="2"/>
  <c r="I695" i="2"/>
  <c r="F694" i="2"/>
  <c r="F693" i="2"/>
  <c r="I692" i="2"/>
  <c r="F692" i="2"/>
  <c r="I691" i="2"/>
  <c r="F691" i="2"/>
  <c r="I689" i="2"/>
  <c r="F689" i="2"/>
  <c r="I688" i="2"/>
  <c r="F688" i="2"/>
  <c r="I687" i="2"/>
  <c r="F687" i="2"/>
  <c r="I686" i="2"/>
  <c r="F686" i="2"/>
  <c r="I685" i="2"/>
  <c r="I684" i="2"/>
  <c r="I683" i="2"/>
  <c r="F680" i="2"/>
  <c r="F679" i="2"/>
  <c r="I678" i="2"/>
  <c r="F678" i="2"/>
  <c r="I677" i="2"/>
  <c r="F677" i="2"/>
  <c r="I676" i="2"/>
  <c r="F674" i="2"/>
  <c r="F673" i="2"/>
  <c r="I672" i="2"/>
  <c r="F672" i="2"/>
  <c r="I671" i="2"/>
  <c r="F671" i="2"/>
  <c r="I670" i="2"/>
  <c r="I669" i="2"/>
  <c r="I668" i="2"/>
  <c r="I665" i="2"/>
  <c r="D665" i="2"/>
  <c r="F665" i="2" s="1"/>
  <c r="I664" i="2"/>
  <c r="D664" i="2"/>
  <c r="F664" i="2" s="1"/>
  <c r="I663" i="2"/>
  <c r="D663" i="2"/>
  <c r="F663" i="2" s="1"/>
  <c r="I662" i="2"/>
  <c r="D662" i="2"/>
  <c r="F662" i="2" s="1"/>
  <c r="D661" i="2"/>
  <c r="F661" i="2" s="1"/>
  <c r="I660" i="2"/>
  <c r="F659" i="2"/>
  <c r="F658" i="2"/>
  <c r="I657" i="2"/>
  <c r="F657" i="2"/>
  <c r="I656" i="2"/>
  <c r="F656" i="2"/>
  <c r="I655" i="2"/>
  <c r="F654" i="2"/>
  <c r="F653" i="2"/>
  <c r="I652" i="2"/>
  <c r="F652" i="2"/>
  <c r="I651" i="2"/>
  <c r="F651" i="2"/>
  <c r="I650" i="2"/>
  <c r="I649" i="2"/>
  <c r="F649" i="2"/>
  <c r="I648" i="2"/>
  <c r="F648" i="2"/>
  <c r="I647" i="2"/>
  <c r="F647" i="2"/>
  <c r="I646" i="2"/>
  <c r="F646" i="2"/>
  <c r="I645" i="2"/>
  <c r="I644" i="2"/>
  <c r="D644" i="2"/>
  <c r="F644" i="2" s="1"/>
  <c r="I643" i="2"/>
  <c r="D643" i="2"/>
  <c r="F643" i="2" s="1"/>
  <c r="I642" i="2"/>
  <c r="D642" i="2"/>
  <c r="F642" i="2" s="1"/>
  <c r="I641" i="2"/>
  <c r="D641" i="2"/>
  <c r="F641" i="2" s="1"/>
  <c r="D640" i="2"/>
  <c r="F640" i="2" s="1"/>
  <c r="I639" i="2"/>
  <c r="F638" i="2"/>
  <c r="F637" i="2"/>
  <c r="I636" i="2"/>
  <c r="F636" i="2"/>
  <c r="I635" i="2"/>
  <c r="F635" i="2"/>
  <c r="I634" i="2"/>
  <c r="F633" i="2"/>
  <c r="F632" i="2"/>
  <c r="I631" i="2"/>
  <c r="F631" i="2"/>
  <c r="I630" i="2"/>
  <c r="F630" i="2"/>
  <c r="I629" i="2"/>
  <c r="I628" i="2"/>
  <c r="F628" i="2"/>
  <c r="I627" i="2"/>
  <c r="F627" i="2"/>
  <c r="I626" i="2"/>
  <c r="F626" i="2"/>
  <c r="I625" i="2"/>
  <c r="F625" i="2"/>
  <c r="I624" i="2"/>
  <c r="I623" i="2"/>
  <c r="D623" i="2"/>
  <c r="F623" i="2" s="1"/>
  <c r="I622" i="2"/>
  <c r="D622" i="2"/>
  <c r="F622" i="2" s="1"/>
  <c r="I621" i="2"/>
  <c r="D621" i="2"/>
  <c r="F621" i="2" s="1"/>
  <c r="I620" i="2"/>
  <c r="D620" i="2"/>
  <c r="F620" i="2" s="1"/>
  <c r="D619" i="2"/>
  <c r="F619" i="2" s="1"/>
  <c r="I618" i="2"/>
  <c r="F617" i="2"/>
  <c r="F616" i="2"/>
  <c r="I615" i="2"/>
  <c r="F615" i="2"/>
  <c r="I614" i="2"/>
  <c r="F614" i="2"/>
  <c r="I613" i="2"/>
  <c r="I612" i="2"/>
  <c r="F612" i="2"/>
  <c r="I611" i="2"/>
  <c r="F611" i="2"/>
  <c r="I610" i="2"/>
  <c r="F610" i="2"/>
  <c r="I609" i="2"/>
  <c r="F609" i="2"/>
  <c r="I608" i="2"/>
  <c r="I607" i="2"/>
  <c r="I606" i="2"/>
  <c r="I604" i="2"/>
  <c r="F603" i="2"/>
  <c r="F602" i="2"/>
  <c r="I601" i="2"/>
  <c r="F601" i="2"/>
  <c r="I600" i="2"/>
  <c r="F600" i="2"/>
  <c r="I599" i="2"/>
  <c r="I598" i="2"/>
  <c r="I597" i="2"/>
  <c r="I594" i="2"/>
  <c r="D594" i="2"/>
  <c r="F594" i="2" s="1"/>
  <c r="I593" i="2"/>
  <c r="D593" i="2"/>
  <c r="F593" i="2" s="1"/>
  <c r="I592" i="2"/>
  <c r="D592" i="2"/>
  <c r="F592" i="2" s="1"/>
  <c r="I591" i="2"/>
  <c r="D591" i="2"/>
  <c r="F591" i="2" s="1"/>
  <c r="D590" i="2"/>
  <c r="F590" i="2" s="1"/>
  <c r="I589" i="2"/>
  <c r="F588" i="2"/>
  <c r="F587" i="2"/>
  <c r="I586" i="2"/>
  <c r="F586" i="2"/>
  <c r="I585" i="2"/>
  <c r="F585" i="2"/>
  <c r="I584" i="2"/>
  <c r="F583" i="2"/>
  <c r="F582" i="2"/>
  <c r="I581" i="2"/>
  <c r="F581" i="2"/>
  <c r="I580" i="2"/>
  <c r="F580" i="2"/>
  <c r="I579" i="2"/>
  <c r="I578" i="2"/>
  <c r="F578" i="2"/>
  <c r="I577" i="2"/>
  <c r="F577" i="2"/>
  <c r="I576" i="2"/>
  <c r="F576" i="2"/>
  <c r="I575" i="2"/>
  <c r="F575" i="2"/>
  <c r="I574" i="2"/>
  <c r="I573" i="2"/>
  <c r="D573" i="2"/>
  <c r="F573" i="2" s="1"/>
  <c r="I572" i="2"/>
  <c r="D572" i="2"/>
  <c r="F572" i="2" s="1"/>
  <c r="I571" i="2"/>
  <c r="D571" i="2"/>
  <c r="F571" i="2" s="1"/>
  <c r="I570" i="2"/>
  <c r="D570" i="2"/>
  <c r="F570" i="2" s="1"/>
  <c r="D569" i="2"/>
  <c r="F569" i="2" s="1"/>
  <c r="I568" i="2"/>
  <c r="F567" i="2"/>
  <c r="F566" i="2"/>
  <c r="I565" i="2"/>
  <c r="F565" i="2"/>
  <c r="I564" i="2"/>
  <c r="F564" i="2"/>
  <c r="I563" i="2"/>
  <c r="F562" i="2"/>
  <c r="F561" i="2"/>
  <c r="I560" i="2"/>
  <c r="F560" i="2"/>
  <c r="I559" i="2"/>
  <c r="F559" i="2"/>
  <c r="I558" i="2"/>
  <c r="I557" i="2"/>
  <c r="F557" i="2"/>
  <c r="I556" i="2"/>
  <c r="F556" i="2"/>
  <c r="I555" i="2"/>
  <c r="F555" i="2"/>
  <c r="I554" i="2"/>
  <c r="F554" i="2"/>
  <c r="I553" i="2"/>
  <c r="I552" i="2"/>
  <c r="D552" i="2"/>
  <c r="F552" i="2" s="1"/>
  <c r="I551" i="2"/>
  <c r="D551" i="2"/>
  <c r="F551" i="2" s="1"/>
  <c r="I550" i="2"/>
  <c r="D550" i="2"/>
  <c r="F550" i="2" s="1"/>
  <c r="I549" i="2"/>
  <c r="D549" i="2"/>
  <c r="F549" i="2" s="1"/>
  <c r="D548" i="2"/>
  <c r="F548" i="2" s="1"/>
  <c r="I547" i="2"/>
  <c r="F546" i="2"/>
  <c r="F545" i="2"/>
  <c r="I544" i="2"/>
  <c r="F544" i="2"/>
  <c r="I543" i="2"/>
  <c r="F543" i="2"/>
  <c r="I542" i="2"/>
  <c r="I541" i="2"/>
  <c r="F541" i="2"/>
  <c r="I540" i="2"/>
  <c r="F540" i="2"/>
  <c r="I539" i="2"/>
  <c r="F539" i="2"/>
  <c r="I538" i="2"/>
  <c r="F538" i="2"/>
  <c r="I537" i="2"/>
  <c r="I536" i="2"/>
  <c r="I535" i="2"/>
  <c r="C353" i="2"/>
  <c r="C346" i="2"/>
  <c r="C338" i="2"/>
  <c r="E207" i="1"/>
  <c r="A202" i="1"/>
  <c r="G195" i="1"/>
  <c r="A209" i="1" l="1"/>
  <c r="C365" i="2"/>
  <c r="C361" i="2"/>
  <c r="C360" i="2"/>
  <c r="E209" i="1" s="1"/>
  <c r="C357" i="2"/>
  <c r="C273" i="2" l="1"/>
  <c r="C267" i="2"/>
  <c r="C263" i="2"/>
  <c r="C268" i="2" s="1"/>
  <c r="O136" i="1" s="1"/>
  <c r="C27" i="3" s="1"/>
  <c r="C9" i="2" l="1"/>
  <c r="B15" i="5" l="1"/>
  <c r="E21" i="1" l="1"/>
  <c r="D255" i="2"/>
  <c r="D253" i="2"/>
  <c r="D240" i="2"/>
  <c r="D257" i="2" l="1"/>
  <c r="D256" i="2"/>
  <c r="D254" i="2"/>
  <c r="D252" i="2"/>
  <c r="D251" i="2"/>
  <c r="D250" i="2"/>
  <c r="D249" i="2"/>
  <c r="D248" i="2"/>
  <c r="D246" i="2"/>
  <c r="D245" i="2"/>
  <c r="D244" i="2"/>
  <c r="D243" i="2"/>
  <c r="D242" i="2"/>
  <c r="D241" i="2"/>
  <c r="D239" i="2"/>
  <c r="D258" i="2" s="1"/>
  <c r="B244" i="2" s="1"/>
  <c r="K127" i="1"/>
  <c r="D216" i="2"/>
  <c r="D215" i="2"/>
  <c r="C213" i="2"/>
  <c r="D181" i="2"/>
  <c r="C179" i="2"/>
  <c r="D171" i="2"/>
  <c r="C169" i="2"/>
  <c r="A123" i="1"/>
  <c r="A115" i="1"/>
  <c r="A107" i="1"/>
  <c r="Q108" i="1" s="1"/>
  <c r="D130" i="2"/>
  <c r="D129" i="2"/>
  <c r="C127" i="2"/>
  <c r="D118" i="2"/>
  <c r="D117" i="2"/>
  <c r="C115" i="2"/>
  <c r="Q125" i="1" l="1"/>
  <c r="Q124" i="1"/>
  <c r="A111" i="1"/>
  <c r="Q112" i="1" s="1"/>
  <c r="C220" i="2"/>
  <c r="C219" i="2"/>
  <c r="C184" i="2"/>
  <c r="C174" i="2"/>
  <c r="C134" i="2"/>
  <c r="C133" i="2"/>
  <c r="C122" i="2"/>
  <c r="C121" i="2"/>
  <c r="D106" i="2" l="1"/>
  <c r="E20" i="1"/>
  <c r="B242" i="2" l="1"/>
  <c r="B241" i="2"/>
  <c r="D192" i="2"/>
  <c r="Q117" i="1" s="1"/>
  <c r="D191" i="2"/>
  <c r="Q116" i="1" s="1"/>
  <c r="C189" i="2"/>
  <c r="D204" i="2"/>
  <c r="D203" i="2"/>
  <c r="C201" i="2"/>
  <c r="C149" i="2"/>
  <c r="D151" i="2"/>
  <c r="D161" i="2"/>
  <c r="C159" i="2"/>
  <c r="D94" i="2"/>
  <c r="D93" i="2"/>
  <c r="D105" i="2"/>
  <c r="C91" i="2"/>
  <c r="I510" i="2"/>
  <c r="I501" i="2"/>
  <c r="C103" i="2"/>
  <c r="C110" i="2" s="1"/>
  <c r="C196" i="2" l="1"/>
  <c r="C195" i="2"/>
  <c r="C208" i="2"/>
  <c r="C207" i="2"/>
  <c r="C154" i="2"/>
  <c r="C164" i="2"/>
  <c r="C98" i="2"/>
  <c r="C97" i="2"/>
  <c r="C109" i="2"/>
  <c r="B240" i="2" l="1"/>
  <c r="B243" i="2"/>
  <c r="C48" i="2"/>
  <c r="C73" i="2"/>
  <c r="C69" i="2"/>
  <c r="C63" i="2"/>
  <c r="C59" i="2"/>
  <c r="C53" i="2"/>
  <c r="C42" i="2"/>
  <c r="C27" i="2"/>
  <c r="C31" i="2"/>
  <c r="C32" i="2" s="1"/>
  <c r="I63" i="1" s="1"/>
  <c r="I511" i="2"/>
  <c r="I512" i="2"/>
  <c r="I521" i="2"/>
  <c r="I522" i="2"/>
  <c r="I520" i="2"/>
  <c r="I502" i="2"/>
  <c r="I503" i="2"/>
  <c r="C64" i="2" l="1"/>
  <c r="I69" i="1" s="1"/>
  <c r="C74" i="2"/>
  <c r="I71" i="1" s="1"/>
  <c r="G49" i="1"/>
  <c r="G53" i="1"/>
  <c r="G35" i="1"/>
  <c r="C21" i="2"/>
  <c r="G164" i="1"/>
  <c r="B30" i="3"/>
  <c r="C379" i="2"/>
  <c r="C390" i="2"/>
  <c r="B239" i="2"/>
  <c r="C398" i="2" l="1"/>
  <c r="E396" i="2" l="1"/>
  <c r="E397" i="2"/>
  <c r="C87" i="2"/>
  <c r="C374" i="2"/>
  <c r="D385" i="2"/>
  <c r="D384" i="2"/>
  <c r="C386" i="2"/>
  <c r="C392" i="2" s="1"/>
  <c r="C37" i="2"/>
  <c r="Q39" i="1" s="1"/>
  <c r="C16" i="2"/>
  <c r="B228" i="2" l="1"/>
  <c r="A95" i="1" s="1"/>
  <c r="Q96" i="1"/>
  <c r="Q88" i="1"/>
  <c r="Q89" i="1"/>
  <c r="Q92" i="1"/>
  <c r="Q93" i="1"/>
  <c r="Q85" i="1"/>
  <c r="Q84" i="1"/>
  <c r="Q80" i="1"/>
  <c r="Q81" i="1"/>
  <c r="A34" i="3"/>
  <c r="B227" i="2"/>
  <c r="A91" i="1" s="1"/>
  <c r="B226" i="2"/>
  <c r="A87" i="1" s="1"/>
  <c r="B225" i="2"/>
  <c r="B224" i="2"/>
  <c r="A79" i="1"/>
  <c r="C43" i="2"/>
  <c r="C22" i="2"/>
  <c r="G30" i="1"/>
  <c r="C381" i="2"/>
  <c r="A83" i="1"/>
  <c r="Q44" i="1"/>
  <c r="F398" i="2"/>
  <c r="C296" i="2"/>
  <c r="A178" i="1" s="1"/>
  <c r="B345" i="2" l="1"/>
  <c r="I61" i="1"/>
  <c r="G39" i="1"/>
  <c r="I65" i="1"/>
  <c r="C54" i="2"/>
  <c r="I67" i="1" s="1"/>
  <c r="O220" i="1"/>
  <c r="C34" i="3" s="1"/>
  <c r="O233" i="1"/>
  <c r="C37" i="3" s="1"/>
  <c r="H396" i="2"/>
  <c r="H397" i="2"/>
  <c r="G44" i="1" l="1"/>
  <c r="A30" i="3"/>
  <c r="A240" i="1"/>
  <c r="A242" i="1" s="1"/>
  <c r="E242" i="1"/>
  <c r="A246" i="1"/>
  <c r="Q220" i="1"/>
  <c r="B246" i="2"/>
  <c r="B247" i="2"/>
  <c r="Q233" i="1"/>
  <c r="I398" i="2"/>
  <c r="A250" i="1" s="1"/>
  <c r="C319" i="2"/>
  <c r="C318" i="2"/>
  <c r="E178" i="1" s="1"/>
  <c r="B303" i="2"/>
  <c r="E246" i="1" l="1"/>
  <c r="C304" i="2"/>
  <c r="K397" i="2"/>
  <c r="K396" i="2"/>
  <c r="L398" i="2" l="1"/>
  <c r="O252" i="1" l="1"/>
  <c r="C38" i="3" s="1"/>
  <c r="E250" i="1"/>
  <c r="A99" i="1"/>
  <c r="Q100" i="1" s="1"/>
  <c r="A103" i="1"/>
  <c r="Q104" i="1" s="1"/>
  <c r="A119" i="1"/>
  <c r="Q121" i="1" l="1"/>
  <c r="Q120" i="1"/>
  <c r="C315" i="2"/>
  <c r="O156" i="1" s="1"/>
  <c r="Q156" i="1" l="1"/>
  <c r="C30" i="3"/>
  <c r="C31" i="3" l="1"/>
  <c r="Q187" i="1"/>
  <c r="B245" i="2"/>
  <c r="C248" i="2" s="1"/>
  <c r="H483" i="2" s="1"/>
  <c r="I483" i="2" s="1"/>
  <c r="I96" i="1" s="1"/>
  <c r="H514" i="2" l="1"/>
  <c r="I514" i="2" s="1"/>
  <c r="H458" i="2"/>
  <c r="I458" i="2" s="1"/>
  <c r="H448" i="2"/>
  <c r="I448" i="2" s="1"/>
  <c r="H478" i="2"/>
  <c r="I478" i="2" s="1"/>
  <c r="I125" i="1" s="1"/>
  <c r="H461" i="2"/>
  <c r="I461" i="2" s="1"/>
  <c r="H460" i="2"/>
  <c r="I460" i="2" s="1"/>
  <c r="H475" i="2"/>
  <c r="I475" i="2" s="1"/>
  <c r="I93" i="1" s="1"/>
  <c r="H474" i="2"/>
  <c r="I474" i="2" s="1"/>
  <c r="I89" i="1" s="1"/>
  <c r="H449" i="2"/>
  <c r="I449" i="2" s="1"/>
  <c r="H459" i="2"/>
  <c r="I459" i="2" s="1"/>
  <c r="H450" i="2"/>
  <c r="I450" i="2" s="1"/>
  <c r="I124" i="1" s="1"/>
  <c r="I112" i="1"/>
  <c r="I108" i="1"/>
  <c r="H447" i="2"/>
  <c r="I447" i="2" s="1"/>
  <c r="I92" i="1" s="1"/>
  <c r="H446" i="2"/>
  <c r="I446" i="2" s="1"/>
  <c r="I88" i="1" s="1"/>
  <c r="H445" i="2"/>
  <c r="I445" i="2" s="1"/>
  <c r="I120" i="1"/>
  <c r="I104" i="1"/>
  <c r="I84" i="1"/>
  <c r="H506" i="2"/>
  <c r="I506" i="2" s="1"/>
  <c r="H505" i="2"/>
  <c r="I505" i="2" s="1"/>
  <c r="H444" i="2"/>
  <c r="I444" i="2" s="1"/>
  <c r="I100" i="1"/>
  <c r="H507" i="2"/>
  <c r="I507" i="2" s="1"/>
  <c r="H476" i="2"/>
  <c r="I476" i="2" s="1"/>
  <c r="H477" i="2"/>
  <c r="I477" i="2" s="1"/>
  <c r="H473" i="2"/>
  <c r="I473" i="2" s="1"/>
  <c r="H472" i="2"/>
  <c r="I472" i="2" s="1"/>
  <c r="I81" i="1" s="1"/>
  <c r="I116" i="1"/>
  <c r="H526" i="2"/>
  <c r="I526" i="2" s="1"/>
  <c r="I53" i="1" s="1"/>
  <c r="H516" i="2"/>
  <c r="I516" i="2" s="1"/>
  <c r="I44" i="1" s="1"/>
  <c r="H515" i="2"/>
  <c r="I515" i="2" s="1"/>
  <c r="I39" i="1" s="1"/>
  <c r="H525" i="2"/>
  <c r="I525" i="2" s="1"/>
  <c r="I49" i="1" s="1"/>
  <c r="H524" i="2"/>
  <c r="I524" i="2" s="1"/>
  <c r="I35" i="1" s="1"/>
  <c r="Q30" i="1" s="1"/>
  <c r="I30" i="1" l="1"/>
  <c r="I121" i="1"/>
  <c r="I117" i="1"/>
  <c r="I85" i="1"/>
  <c r="M81" i="1"/>
  <c r="I80" i="1"/>
  <c r="O81" i="1"/>
  <c r="M49" i="1"/>
  <c r="O49" i="1"/>
  <c r="M39" i="1"/>
  <c r="O39" i="1"/>
  <c r="M44" i="1"/>
  <c r="O44" i="1"/>
  <c r="Q49" i="1"/>
  <c r="M30" i="1"/>
  <c r="M117" i="1" l="1"/>
  <c r="M80" i="1" s="1"/>
  <c r="M116" i="1"/>
  <c r="M85" i="1" s="1"/>
  <c r="M89" i="1" s="1"/>
  <c r="O80" i="1"/>
  <c r="M35" i="1"/>
  <c r="O61" i="1"/>
  <c r="B5" i="3"/>
  <c r="O30" i="1"/>
  <c r="B8" i="3"/>
  <c r="O67" i="1"/>
  <c r="C8" i="3" s="1"/>
  <c r="B7" i="3"/>
  <c r="O65" i="1"/>
  <c r="C7" i="3" s="1"/>
  <c r="M53" i="1"/>
  <c r="O69" i="1"/>
  <c r="C9" i="3" s="1"/>
  <c r="B9" i="3"/>
  <c r="M121" i="1" l="1"/>
  <c r="O117" i="1"/>
  <c r="Q53" i="1"/>
  <c r="B10" i="3"/>
  <c r="O71" i="1"/>
  <c r="O53" i="1"/>
  <c r="C5" i="3"/>
  <c r="Q35" i="1"/>
  <c r="O63" i="1"/>
  <c r="B6" i="3"/>
  <c r="O35" i="1"/>
  <c r="O116" i="1" l="1"/>
  <c r="C6" i="3"/>
  <c r="C10" i="3"/>
  <c r="O89" i="1" l="1"/>
  <c r="O85" i="1" l="1"/>
  <c r="M100" i="1"/>
  <c r="O121" i="1"/>
  <c r="O100" i="1" l="1"/>
  <c r="M84" i="1"/>
  <c r="M88" i="1" l="1"/>
  <c r="M120" i="1"/>
  <c r="O120" i="1" s="1"/>
  <c r="M93" i="1"/>
  <c r="O93" i="1" s="1"/>
  <c r="O84" i="1"/>
  <c r="O88" i="1" l="1"/>
  <c r="M125" i="1"/>
  <c r="O125" i="1" s="1"/>
  <c r="M96" i="1"/>
  <c r="O96" i="1" l="1"/>
  <c r="M92" i="1"/>
  <c r="O92" i="1" l="1"/>
  <c r="M124" i="1"/>
  <c r="O124" i="1" s="1"/>
  <c r="M104" i="1"/>
  <c r="O104" i="1" s="1"/>
  <c r="M108" i="1"/>
  <c r="O108" i="1" l="1"/>
  <c r="M112" i="1"/>
  <c r="O112" i="1" s="1"/>
  <c r="M127" i="1"/>
  <c r="O129" i="1"/>
  <c r="Q127" i="1" l="1"/>
  <c r="C23" i="3"/>
  <c r="B23" i="3"/>
  <c r="C22" i="3"/>
  <c r="B22" i="3"/>
  <c r="B21" i="3"/>
  <c r="C20" i="3"/>
  <c r="B20" i="3"/>
  <c r="C19" i="3"/>
  <c r="B19" i="3"/>
  <c r="C18" i="3"/>
  <c r="B18" i="3"/>
  <c r="C17" i="3"/>
  <c r="B17" i="3"/>
  <c r="C14" i="3"/>
  <c r="B14" i="3"/>
  <c r="B13" i="3"/>
  <c r="C21" i="3"/>
  <c r="C24" i="3"/>
  <c r="C16" i="3"/>
  <c r="C15" i="3"/>
  <c r="B24" i="3"/>
  <c r="B16" i="3"/>
  <c r="B15" i="3"/>
  <c r="C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RVO</author>
  </authors>
  <commentList>
    <comment ref="M127" authorId="0" shapeId="0" xr:uid="{107DA202-5AD8-496D-AFF7-164D7EE92795}">
      <text>
        <r>
          <rPr>
            <b/>
            <sz val="9"/>
            <color indexed="81"/>
            <rFont val="Tahoma"/>
            <family val="2"/>
          </rPr>
          <t>Toelichting:</t>
        </r>
        <r>
          <rPr>
            <sz val="9"/>
            <color indexed="81"/>
            <rFont val="Tahoma"/>
            <family val="2"/>
          </rPr>
          <t xml:space="preserve">
Het minimum subsidiabele oppervlak bedraagt 3 m². Tenzij de glasmaatregelen alleen in 2023 zijn uitgevoerd. In dat geval komen het isolerend glas, panelen en deuren pas in aanmerking vanaf een minimum oppervlak vanaf 8 m².  
Bij overschrijding van het maximum van 45 m² aan glas, paneel en deuroppervlak wordt per maatregel het aantal m² afgetopt. Aan de techniek met het hoogste bedrag per m² worden eerst de subsidiable m² toegekend. Daarna aan de techniek met het op één na hoogste bedrag per m², etc. Tot het maximum van 45 m² is bereikt. 
</t>
        </r>
      </text>
    </comment>
    <comment ref="A136" authorId="0" shapeId="0" xr:uid="{B2907B99-2BDA-45AE-A029-4A4B21022DC5}">
      <text>
        <r>
          <rPr>
            <sz val="9"/>
            <color indexed="81"/>
            <rFont val="Tahoma"/>
            <family val="2"/>
          </rPr>
          <t xml:space="preserve">Er komen 3 categorieën energiezuinige ventilatiesystemen in aanmerking voor subsidie:
1. Een centrale CO2 gestuurde mechanische luchtafvoer-unit, met een minimale capaciteit van meer dan 125 m3/h,  aangestuurd met minimaal twee CO2 sensoren;
2. Een centrale balansventilatie-unit met warmteterugwinning en een minimaal rendement van 85% en een minimale capaciteit van 125 m3/h;
3. Een decentrale balansventilatie-unit met warmteterugwinning door middel van een warmtewisselaar, een minimaal rendement van 80% en een minimale capaciteit van 80 m3/h, met gelijktijdige luchttoevoer en afvoer in de unit.
</t>
        </r>
      </text>
    </comment>
  </commentList>
</comments>
</file>

<file path=xl/sharedStrings.xml><?xml version="1.0" encoding="utf-8"?>
<sst xmlns="http://schemas.openxmlformats.org/spreadsheetml/2006/main" count="1248" uniqueCount="651">
  <si>
    <t xml:space="preserve">Warmtepomp </t>
  </si>
  <si>
    <t>Aansluiting op het warmtenet</t>
  </si>
  <si>
    <t>Isolatiemaatregelen en/of glas-, kozijnpanelen- of deurisolatie</t>
  </si>
  <si>
    <t>Keuzelijst isolatiemaatregelen</t>
  </si>
  <si>
    <t>Dakisolatie</t>
  </si>
  <si>
    <t>Gevelisolatie</t>
  </si>
  <si>
    <t>Spouwmuurisolatie</t>
  </si>
  <si>
    <t>Glasisolatie</t>
  </si>
  <si>
    <t>Vloerisolatie</t>
  </si>
  <si>
    <t>Zonneboiler</t>
  </si>
  <si>
    <t>Categorieën</t>
  </si>
  <si>
    <t>Bedrag</t>
  </si>
  <si>
    <t>Lucht-water &lt; 1 kW</t>
  </si>
  <si>
    <t>Grond-water &lt; 1 kW</t>
  </si>
  <si>
    <t>Grond-water ≥ 1 kW en &lt; 10 kW</t>
  </si>
  <si>
    <t>Water-water &lt; 1 kW</t>
  </si>
  <si>
    <t>Water-water ≥ 1 kW en &lt; 10 kW</t>
  </si>
  <si>
    <t>Zonneboilercombi</t>
  </si>
  <si>
    <r>
      <t xml:space="preserve">Zonneboiler </t>
    </r>
    <r>
      <rPr>
        <sz val="11"/>
        <color theme="1"/>
        <rFont val="Calibri"/>
        <family val="2"/>
      </rPr>
      <t>≤ 5 m</t>
    </r>
    <r>
      <rPr>
        <vertAlign val="superscript"/>
        <sz val="11"/>
        <color theme="1"/>
        <rFont val="Calibri"/>
        <family val="2"/>
      </rPr>
      <t>2</t>
    </r>
  </si>
  <si>
    <r>
      <t xml:space="preserve">Zonneboiler &gt; 5 en </t>
    </r>
    <r>
      <rPr>
        <sz val="11"/>
        <color theme="1"/>
        <rFont val="Calibri"/>
        <family val="2"/>
      </rPr>
      <t>≤ 10 m</t>
    </r>
    <r>
      <rPr>
        <vertAlign val="superscript"/>
        <sz val="11"/>
        <color theme="1"/>
        <rFont val="Calibri"/>
        <family val="2"/>
      </rPr>
      <t>2</t>
    </r>
  </si>
  <si>
    <r>
      <t xml:space="preserve">Zonneboilercombi </t>
    </r>
    <r>
      <rPr>
        <sz val="11"/>
        <color theme="1"/>
        <rFont val="Calibri"/>
        <family val="2"/>
      </rPr>
      <t>≤ 5 m</t>
    </r>
    <r>
      <rPr>
        <vertAlign val="superscript"/>
        <sz val="11"/>
        <color theme="1"/>
        <rFont val="Calibri"/>
        <family val="2"/>
      </rPr>
      <t>2</t>
    </r>
  </si>
  <si>
    <r>
      <t xml:space="preserve">Zonneboilercombi &gt; 5 en </t>
    </r>
    <r>
      <rPr>
        <sz val="11"/>
        <color theme="1"/>
        <rFont val="Calibri"/>
        <family val="2"/>
      </rPr>
      <t>≤ 10 m</t>
    </r>
    <r>
      <rPr>
        <vertAlign val="superscript"/>
        <sz val="11"/>
        <color theme="1"/>
        <rFont val="Calibri"/>
        <family val="2"/>
      </rPr>
      <t>2</t>
    </r>
  </si>
  <si>
    <t>Aansluiting op warmtenet</t>
  </si>
  <si>
    <t>boven 10 kW</t>
  </si>
  <si>
    <t>boven 1 kW</t>
  </si>
  <si>
    <r>
      <t>Minimum m</t>
    </r>
    <r>
      <rPr>
        <b/>
        <vertAlign val="superscript"/>
        <sz val="11"/>
        <color theme="1"/>
        <rFont val="Calibri"/>
        <family val="2"/>
        <scheme val="minor"/>
      </rPr>
      <t>2</t>
    </r>
    <r>
      <rPr>
        <b/>
        <sz val="11"/>
        <color theme="1"/>
        <rFont val="Calibri"/>
        <family val="2"/>
        <scheme val="minor"/>
      </rPr>
      <t xml:space="preserve">  (bij glas, deur, panelen per combi)</t>
    </r>
  </si>
  <si>
    <r>
      <t>Maximum m</t>
    </r>
    <r>
      <rPr>
        <b/>
        <vertAlign val="superscript"/>
        <sz val="11"/>
        <color theme="1"/>
        <rFont val="Calibri"/>
        <family val="2"/>
        <scheme val="minor"/>
      </rPr>
      <t>2</t>
    </r>
    <r>
      <rPr>
        <b/>
        <sz val="11"/>
        <color theme="1"/>
        <rFont val="Calibri"/>
        <family val="2"/>
        <scheme val="minor"/>
      </rPr>
      <t xml:space="preserve">  (bij glas, deur, panelen per combi)</t>
    </r>
  </si>
  <si>
    <t>Indicatief, werkelijk bijdrage volgens apparatenlijst</t>
  </si>
  <si>
    <t xml:space="preserve">Glas-, kozijnpanelen- of isolerende deur	</t>
  </si>
  <si>
    <t>Geen warmtepomp</t>
  </si>
  <si>
    <t>Kies soort warmtepomp:</t>
  </si>
  <si>
    <t>Kies soort zonneboiler:</t>
  </si>
  <si>
    <t>Keuzelijst zonneboiler</t>
  </si>
  <si>
    <t>Geen zonneboiler</t>
  </si>
  <si>
    <t>Keuzelijst aansluiting op een warmtenet</t>
  </si>
  <si>
    <t>Hulpcel voor invoerbegrenzing invulveld warmtepompvermogen en berekening subsidiebedrag warmtepomp</t>
  </si>
  <si>
    <t>Kies dakisolatie:</t>
  </si>
  <si>
    <t>Kies gevelisolatie:</t>
  </si>
  <si>
    <t>Kies spouwmuurisolatie:</t>
  </si>
  <si>
    <t>Kies vloerisolatie:</t>
  </si>
  <si>
    <t>Geen dakisolatie</t>
  </si>
  <si>
    <t>Geen gevelisolatie</t>
  </si>
  <si>
    <t>Geen spouwmuurisolatie</t>
  </si>
  <si>
    <t>Geen vloerisolatie</t>
  </si>
  <si>
    <t>Geen glasisolatie</t>
  </si>
  <si>
    <t>Geen elektrische kookvoorziening</t>
  </si>
  <si>
    <t>Elektrische kookvoorziening</t>
  </si>
  <si>
    <t>Elektrische kookvoorziening alleen in combinatie met aansluiting op warmtenet</t>
  </si>
  <si>
    <t>Niet van toepassing</t>
  </si>
  <si>
    <r>
      <t>Subsidiebedrag elektrische kookvoorziening (</t>
    </r>
    <r>
      <rPr>
        <sz val="11"/>
        <rFont val="Calibri"/>
        <family val="2"/>
      </rPr>
      <t>€)</t>
    </r>
    <r>
      <rPr>
        <sz val="11"/>
        <rFont val="Calibri"/>
        <family val="2"/>
        <scheme val="minor"/>
      </rPr>
      <t>:</t>
    </r>
  </si>
  <si>
    <t>Keuzelijst energie-efficiency klasse</t>
  </si>
  <si>
    <t>Ondergrens</t>
  </si>
  <si>
    <t>Bovengrens</t>
  </si>
  <si>
    <t>Overzicht categorieën en kentallen</t>
  </si>
  <si>
    <t>Keuzelijsten en vervolglijsten</t>
  </si>
  <si>
    <t>Keuzelijst dakisolatie</t>
  </si>
  <si>
    <t>keuzelijst gevelisolatie</t>
  </si>
  <si>
    <t>keuzelijst spouwmuurisolatie</t>
  </si>
  <si>
    <t>Keuzelijst vloerisolatie</t>
  </si>
  <si>
    <t>Datum uitvoering isolatiemaatregel</t>
  </si>
  <si>
    <t>Tellertje aantal geselecteerde technieken t.b.v. verdubbeling tarief isolatiemaatregelen</t>
  </si>
  <si>
    <t>1. Heeft u al eerder ISDE-subsidie ontvangen?</t>
  </si>
  <si>
    <t>Heeft u al eerder ISDE-subsidie ontvangen?</t>
  </si>
  <si>
    <t>Keuzelijst vraag eerder ISDE-subsidie ontvangen</t>
  </si>
  <si>
    <t>Ja</t>
  </si>
  <si>
    <t>Nee</t>
  </si>
  <si>
    <t xml:space="preserve">Meer informatie over de onderstaande technieken vindt u op de ISDE-website: </t>
  </si>
  <si>
    <t>2. Wilt u isolatiemaatregelen laten uitvoeren?</t>
  </si>
  <si>
    <t xml:space="preserve">Let op: </t>
  </si>
  <si>
    <t>5. Wilt u een bestaande koopwoning laten aansluiten op een warmtenet?</t>
  </si>
  <si>
    <t>4. Wilt u een zonneboiler laten installeren?</t>
  </si>
  <si>
    <t>Wilt u glasisolatie laten plaatsen?</t>
  </si>
  <si>
    <t>Heeft u voor de aansluiting warmtenet al  eerder  subsidie ontvangen van de Rijksoverheid?</t>
  </si>
  <si>
    <t xml:space="preserve"> </t>
  </si>
  <si>
    <t>Keuzelijsten elektrische kookvoorziening</t>
  </si>
  <si>
    <t xml:space="preserve"> Is uw woning aangesloten op een warmtenet?</t>
  </si>
  <si>
    <t>Is uw woning afgesloten van het aardgasnet en de elektrische kookvoorziening aangeschaft op of ná 1 april 2022?</t>
  </si>
  <si>
    <t>Heeft u uw woning op een warmtenet aangesloten?</t>
  </si>
  <si>
    <t xml:space="preserve">6. Wilt u een elektrische kookvoorziening aanschaffen? </t>
  </si>
  <si>
    <t>Wilt u een elektrische kookvoorziening aanschaffen?</t>
  </si>
  <si>
    <t>Antwoord biobased vragen</t>
  </si>
  <si>
    <t>WAAR = biobased dakisolatie</t>
  </si>
  <si>
    <t>WAAR = biobased gevelisolatie</t>
  </si>
  <si>
    <t>WAAR = biobased spouwisolatie</t>
  </si>
  <si>
    <t>WAAR = biobased vloerisolatie</t>
  </si>
  <si>
    <t>Vink aan welke maatregelen biobased zijn (indien van toepassing).</t>
  </si>
  <si>
    <t>Type isolatie</t>
  </si>
  <si>
    <t>Op of ná 1 januari 2024</t>
  </si>
  <si>
    <t>Warmtepomp 2024</t>
  </si>
  <si>
    <t>Vast bedrag 2024</t>
  </si>
  <si>
    <t>Verhoging door energieklasse 2024</t>
  </si>
  <si>
    <t>Totaal vast bedrag 2024</t>
  </si>
  <si>
    <t>Extra bedrag/kW 2024</t>
  </si>
  <si>
    <r>
      <t xml:space="preserve">Lucht-water </t>
    </r>
    <r>
      <rPr>
        <sz val="11"/>
        <color theme="1"/>
        <rFont val="Calibri"/>
        <family val="2"/>
      </rPr>
      <t>≥ 1 kW en ≤ 70 kW</t>
    </r>
  </si>
  <si>
    <r>
      <t xml:space="preserve">Lucht-water </t>
    </r>
    <r>
      <rPr>
        <sz val="11"/>
        <rFont val="Calibri"/>
        <family val="2"/>
      </rPr>
      <t>≥ 71 kW en ≤ 400 kW</t>
    </r>
  </si>
  <si>
    <r>
      <t xml:space="preserve">Water-water ≥ 71 kW en </t>
    </r>
    <r>
      <rPr>
        <sz val="11"/>
        <rFont val="Calibri"/>
        <family val="2"/>
      </rPr>
      <t>≤</t>
    </r>
    <r>
      <rPr>
        <sz val="11"/>
        <rFont val="Calibri"/>
        <family val="2"/>
        <scheme val="minor"/>
      </rPr>
      <t xml:space="preserve"> 400 kW</t>
    </r>
  </si>
  <si>
    <r>
      <t xml:space="preserve">Water-water ≥ 10 kW en </t>
    </r>
    <r>
      <rPr>
        <sz val="11"/>
        <color theme="1"/>
        <rFont val="Calibri"/>
        <family val="2"/>
      </rPr>
      <t>≤</t>
    </r>
    <r>
      <rPr>
        <sz val="11"/>
        <color theme="1"/>
        <rFont val="Calibri"/>
        <family val="2"/>
        <scheme val="minor"/>
      </rPr>
      <t xml:space="preserve"> 70 kW</t>
    </r>
  </si>
  <si>
    <r>
      <t xml:space="preserve">Grond-water ≥ 10 kW en </t>
    </r>
    <r>
      <rPr>
        <sz val="11"/>
        <color theme="1"/>
        <rFont val="Calibri"/>
        <family val="2"/>
      </rPr>
      <t>≤</t>
    </r>
    <r>
      <rPr>
        <sz val="11"/>
        <color theme="1"/>
        <rFont val="Calibri"/>
        <family val="2"/>
        <scheme val="minor"/>
      </rPr>
      <t xml:space="preserve"> 70 kW</t>
    </r>
  </si>
  <si>
    <r>
      <t xml:space="preserve">Grond-water ≥ 71 kW en </t>
    </r>
    <r>
      <rPr>
        <sz val="11"/>
        <rFont val="Calibri"/>
        <family val="2"/>
      </rPr>
      <t>≤</t>
    </r>
    <r>
      <rPr>
        <sz val="11"/>
        <rFont val="Calibri"/>
        <family val="2"/>
        <scheme val="minor"/>
      </rPr>
      <t xml:space="preserve"> 400 kW</t>
    </r>
  </si>
  <si>
    <t>boven 71 kW</t>
  </si>
  <si>
    <t>Energieklasse A+++ of hoger</t>
  </si>
  <si>
    <t>Energieklasse A++</t>
  </si>
  <si>
    <t>Energieklasse A+</t>
  </si>
  <si>
    <t>Keuzelijst datum installatie warmtepomp</t>
  </si>
  <si>
    <t>Samengestelde categorie-omschrijving t.b.v. zoeken in tabellen warmtepomp</t>
  </si>
  <si>
    <t>Geen aansluiting warmtenet</t>
  </si>
  <si>
    <t>Aansluiting op een warmtenet</t>
  </si>
  <si>
    <t>Geen aansluiting op een warmtenet</t>
  </si>
  <si>
    <t xml:space="preserve">Aansluiting op een warmtenet </t>
  </si>
  <si>
    <t>Keuzelijst datum aansluiting op een warmtenet</t>
  </si>
  <si>
    <t>Keuzelijst datum installatie zonneboiler</t>
  </si>
  <si>
    <t>Samengestelde categorie-omschrijving t.b.v. zoeken in tabellen zonneboiler</t>
  </si>
  <si>
    <t xml:space="preserve">Energie-efficiency klasse voor dit type warmtepomp moet minimaal A++ zijn bij installatie vanaf 1 januari 2024.  </t>
  </si>
  <si>
    <r>
      <t>Subsidiabel oppervlak min. (m</t>
    </r>
    <r>
      <rPr>
        <vertAlign val="superscript"/>
        <sz val="10"/>
        <color theme="1"/>
        <rFont val="Calibri"/>
        <family val="2"/>
        <scheme val="minor"/>
      </rPr>
      <t>2</t>
    </r>
    <r>
      <rPr>
        <sz val="10"/>
        <color theme="1"/>
        <rFont val="Calibri"/>
        <family val="2"/>
        <scheme val="minor"/>
      </rPr>
      <t>) - max. (m</t>
    </r>
    <r>
      <rPr>
        <vertAlign val="superscript"/>
        <sz val="10"/>
        <color theme="1"/>
        <rFont val="Calibri"/>
        <family val="2"/>
        <scheme val="minor"/>
      </rPr>
      <t>2</t>
    </r>
    <r>
      <rPr>
        <sz val="10"/>
        <color theme="1"/>
        <rFont val="Calibri"/>
        <family val="2"/>
        <scheme val="minor"/>
      </rPr>
      <t>)</t>
    </r>
  </si>
  <si>
    <r>
      <t>Subsidiebedrag per m</t>
    </r>
    <r>
      <rPr>
        <vertAlign val="superscript"/>
        <sz val="10"/>
        <color theme="1"/>
        <rFont val="Calibri"/>
        <family val="2"/>
        <scheme val="minor"/>
      </rPr>
      <t>2</t>
    </r>
    <r>
      <rPr>
        <sz val="10"/>
        <color theme="1"/>
        <rFont val="Calibri"/>
        <family val="2"/>
        <scheme val="minor"/>
      </rPr>
      <t xml:space="preserve"> (€)</t>
    </r>
  </si>
  <si>
    <r>
      <t>Te isoleren oppervlak (m</t>
    </r>
    <r>
      <rPr>
        <vertAlign val="superscript"/>
        <sz val="10"/>
        <color theme="1"/>
        <rFont val="Calibri"/>
        <family val="2"/>
        <scheme val="minor"/>
      </rPr>
      <t>2</t>
    </r>
    <r>
      <rPr>
        <sz val="10"/>
        <color theme="1"/>
        <rFont val="Calibri"/>
        <family val="2"/>
        <scheme val="minor"/>
      </rPr>
      <t>)</t>
    </r>
  </si>
  <si>
    <r>
      <t>Subsidiabele m</t>
    </r>
    <r>
      <rPr>
        <vertAlign val="superscript"/>
        <sz val="10"/>
        <color theme="1"/>
        <rFont val="Calibri"/>
        <family val="2"/>
        <scheme val="minor"/>
      </rPr>
      <t>2</t>
    </r>
    <r>
      <rPr>
        <sz val="10"/>
        <color theme="1"/>
        <rFont val="Calibri"/>
        <family val="2"/>
        <scheme val="minor"/>
      </rPr>
      <t xml:space="preserve"> </t>
    </r>
  </si>
  <si>
    <r>
      <t>Subsidiebedrag maatregel (</t>
    </r>
    <r>
      <rPr>
        <sz val="10"/>
        <color theme="1"/>
        <rFont val="Calibri"/>
        <family val="2"/>
      </rPr>
      <t>€)</t>
    </r>
  </si>
  <si>
    <r>
      <t>MKI-bonus (</t>
    </r>
    <r>
      <rPr>
        <sz val="10"/>
        <color theme="1"/>
        <rFont val="Calibri"/>
        <family val="2"/>
      </rPr>
      <t>€)</t>
    </r>
  </si>
  <si>
    <r>
      <t>Gezamenlijk subsidiabel oppervlak glas+panelen+deuren 
min. (m</t>
    </r>
    <r>
      <rPr>
        <vertAlign val="superscript"/>
        <sz val="10"/>
        <color theme="1"/>
        <rFont val="Calibri"/>
        <family val="2"/>
        <scheme val="minor"/>
      </rPr>
      <t>2</t>
    </r>
    <r>
      <rPr>
        <sz val="10"/>
        <color theme="1"/>
        <rFont val="Calibri"/>
        <family val="2"/>
        <scheme val="minor"/>
      </rPr>
      <t>) - max. (m</t>
    </r>
    <r>
      <rPr>
        <vertAlign val="superscript"/>
        <sz val="10"/>
        <color theme="1"/>
        <rFont val="Calibri"/>
        <family val="2"/>
        <scheme val="minor"/>
      </rPr>
      <t>2</t>
    </r>
    <r>
      <rPr>
        <sz val="10"/>
        <color theme="1"/>
        <rFont val="Calibri"/>
        <family val="2"/>
        <scheme val="minor"/>
      </rPr>
      <t>)</t>
    </r>
  </si>
  <si>
    <r>
      <t>Subsidiabele m</t>
    </r>
    <r>
      <rPr>
        <vertAlign val="superscript"/>
        <sz val="10"/>
        <color theme="1"/>
        <rFont val="Calibri"/>
        <family val="2"/>
        <scheme val="minor"/>
      </rPr>
      <t>2</t>
    </r>
    <r>
      <rPr>
        <sz val="10"/>
        <color theme="1"/>
        <rFont val="Calibri"/>
        <family val="2"/>
        <scheme val="minor"/>
      </rPr>
      <t xml:space="preserve"> (rekening houdend met 45 m</t>
    </r>
    <r>
      <rPr>
        <vertAlign val="superscript"/>
        <sz val="10"/>
        <color theme="1"/>
        <rFont val="Calibri"/>
        <family val="2"/>
        <scheme val="minor"/>
      </rPr>
      <t xml:space="preserve">2 </t>
    </r>
    <r>
      <rPr>
        <sz val="10"/>
        <color theme="1"/>
        <rFont val="Calibri"/>
        <family val="2"/>
        <scheme val="minor"/>
      </rPr>
      <t>maximum)</t>
    </r>
  </si>
  <si>
    <r>
      <t>Totaal glas, deuren, panelen m</t>
    </r>
    <r>
      <rPr>
        <b/>
        <vertAlign val="superscript"/>
        <sz val="10"/>
        <color theme="1"/>
        <rFont val="Calibri"/>
        <family val="2"/>
        <scheme val="minor"/>
      </rPr>
      <t>2</t>
    </r>
    <r>
      <rPr>
        <b/>
        <sz val="10"/>
        <color theme="1"/>
        <rFont val="Calibri"/>
        <family val="2"/>
        <scheme val="minor"/>
      </rPr>
      <t>:</t>
    </r>
  </si>
  <si>
    <r>
      <t>Subsidiebedrag warmtepomp (</t>
    </r>
    <r>
      <rPr>
        <sz val="10"/>
        <rFont val="Calibri"/>
        <family val="2"/>
      </rPr>
      <t>€)</t>
    </r>
  </si>
  <si>
    <r>
      <t>Totale indicatieve subsidiebedrag (</t>
    </r>
    <r>
      <rPr>
        <b/>
        <sz val="13"/>
        <color theme="1"/>
        <rFont val="Calibri"/>
        <family val="2"/>
      </rPr>
      <t>€):</t>
    </r>
  </si>
  <si>
    <r>
      <t>Subsidiebedrag aansluiting op warmtenet (</t>
    </r>
    <r>
      <rPr>
        <sz val="10"/>
        <rFont val="Calibri"/>
        <family val="2"/>
      </rPr>
      <t>€)</t>
    </r>
    <r>
      <rPr>
        <sz val="10"/>
        <rFont val="Calibri"/>
        <family val="2"/>
        <scheme val="minor"/>
      </rPr>
      <t>:</t>
    </r>
  </si>
  <si>
    <r>
      <t>Subsidiebedrag zonneboiler (</t>
    </r>
    <r>
      <rPr>
        <sz val="10"/>
        <rFont val="Calibri"/>
        <family val="2"/>
      </rPr>
      <t>€)</t>
    </r>
    <r>
      <rPr>
        <sz val="10"/>
        <rFont val="Calibri"/>
        <family val="2"/>
        <scheme val="minor"/>
      </rPr>
      <t>:</t>
    </r>
  </si>
  <si>
    <r>
      <t xml:space="preserve">Bereken in zes stappen uw mogelijke subsidie (Let op! U kunt naast de keuzerondjes alleen de </t>
    </r>
    <r>
      <rPr>
        <b/>
        <sz val="11"/>
        <color rgb="FF0070C0"/>
        <rFont val="Sans"/>
      </rPr>
      <t>blauwe velden</t>
    </r>
    <r>
      <rPr>
        <b/>
        <sz val="11"/>
        <color rgb="FF000000"/>
        <rFont val="Sans"/>
      </rPr>
      <t xml:space="preserve"> invullen of aanpassen):</t>
    </r>
  </si>
  <si>
    <t>Af te drukken overzicht gekozen maatregelen en subsidiebedragen</t>
  </si>
  <si>
    <t>Subsidiabel oppervlak (m2)</t>
  </si>
  <si>
    <t>Binnen-of buitengevelisolatie (incl. MKI-bonus)</t>
  </si>
  <si>
    <t>Spouwmuurisolatie (incl. MKI-bonus)</t>
  </si>
  <si>
    <t>Isolatiemaatregelen</t>
  </si>
  <si>
    <t>HR++ glas</t>
  </si>
  <si>
    <t>Triple glas</t>
  </si>
  <si>
    <r>
      <t xml:space="preserve">Isolerende panelen in kozijnen, U </t>
    </r>
    <r>
      <rPr>
        <sz val="11"/>
        <color theme="1"/>
        <rFont val="Calibri"/>
        <family val="2"/>
      </rPr>
      <t>≤</t>
    </r>
    <r>
      <rPr>
        <sz val="11"/>
        <color theme="1"/>
        <rFont val="Calibri"/>
        <family val="2"/>
        <scheme val="minor"/>
      </rPr>
      <t xml:space="preserve"> 0,7 W/m2K</t>
    </r>
  </si>
  <si>
    <t>Warmtepomp</t>
  </si>
  <si>
    <t>Aansluiting op een warmtenet (inclusief kookvoorziening)</t>
  </si>
  <si>
    <t>Isolerende beglazing, panelen en deuren</t>
  </si>
  <si>
    <t>Totaal subsidiebedrag</t>
  </si>
  <si>
    <t>(indicatief)</t>
  </si>
  <si>
    <r>
      <t>Subsidiebedrag (</t>
    </r>
    <r>
      <rPr>
        <b/>
        <sz val="12"/>
        <color theme="1"/>
        <rFont val="Calibri"/>
        <family val="2"/>
      </rPr>
      <t>€)</t>
    </r>
  </si>
  <si>
    <t>Aansluiting op een warmtenet/kookvoorziening</t>
  </si>
  <si>
    <r>
      <t xml:space="preserve">Isolerende panelen in kozijnen, U </t>
    </r>
    <r>
      <rPr>
        <sz val="11"/>
        <color theme="1"/>
        <rFont val="Calibri"/>
        <family val="2"/>
      </rPr>
      <t>≤</t>
    </r>
    <r>
      <rPr>
        <sz val="11"/>
        <color theme="1"/>
        <rFont val="Calibri"/>
        <family val="2"/>
        <scheme val="minor"/>
      </rPr>
      <t xml:space="preserve"> 1,2 W/m2K</t>
    </r>
  </si>
  <si>
    <r>
      <t xml:space="preserve">Isolerende deur, U </t>
    </r>
    <r>
      <rPr>
        <sz val="11"/>
        <color theme="1"/>
        <rFont val="Calibri"/>
        <family val="2"/>
      </rPr>
      <t>≤</t>
    </r>
    <r>
      <rPr>
        <sz val="11"/>
        <color theme="1"/>
        <rFont val="Calibri"/>
        <family val="2"/>
        <scheme val="minor"/>
      </rPr>
      <t xml:space="preserve"> 1,5 W/m2K</t>
    </r>
  </si>
  <si>
    <r>
      <t xml:space="preserve">Isolerende deur, U </t>
    </r>
    <r>
      <rPr>
        <sz val="11"/>
        <color theme="1"/>
        <rFont val="Calibri"/>
        <family val="2"/>
      </rPr>
      <t>≤</t>
    </r>
    <r>
      <rPr>
        <sz val="11"/>
        <color theme="1"/>
        <rFont val="Calibri"/>
        <family val="2"/>
        <scheme val="minor"/>
      </rPr>
      <t xml:space="preserve"> 1,0 W/m2K</t>
    </r>
  </si>
  <si>
    <r>
      <t>Totaal glas, deuren en panelen (</t>
    </r>
    <r>
      <rPr>
        <b/>
        <sz val="10"/>
        <color theme="1"/>
        <rFont val="Calibri"/>
        <family val="2"/>
      </rPr>
      <t>€)</t>
    </r>
    <r>
      <rPr>
        <b/>
        <sz val="10"/>
        <color theme="1"/>
        <rFont val="Calibri"/>
        <family val="2"/>
        <scheme val="minor"/>
      </rPr>
      <t>:</t>
    </r>
  </si>
  <si>
    <r>
      <t>MKI-bonus 
per m</t>
    </r>
    <r>
      <rPr>
        <vertAlign val="superscript"/>
        <sz val="10"/>
        <color theme="1"/>
        <rFont val="Calibri"/>
        <family val="2"/>
        <scheme val="minor"/>
      </rPr>
      <t>2</t>
    </r>
    <r>
      <rPr>
        <sz val="10"/>
        <color theme="1"/>
        <rFont val="Calibri"/>
        <family val="2"/>
        <scheme val="minor"/>
      </rPr>
      <t xml:space="preserve"> (€)</t>
    </r>
  </si>
  <si>
    <r>
      <t xml:space="preserve">Eerder ontvangen ISDE-subsidie voor maatregel </t>
    </r>
    <r>
      <rPr>
        <sz val="11"/>
        <rFont val="Calibri"/>
        <family val="2"/>
      </rPr>
      <t xml:space="preserve">≤ </t>
    </r>
    <r>
      <rPr>
        <sz val="11"/>
        <rFont val="Calibri"/>
        <family val="2"/>
        <scheme val="minor"/>
      </rPr>
      <t>24 maanden geleden uitgevoerd</t>
    </r>
  </si>
  <si>
    <t>Totaal aantal geselecteerde cateogorieën (&gt;1 = verdubbeling tarief)</t>
  </si>
  <si>
    <t>Warmtepomp 2025</t>
  </si>
  <si>
    <t>Vast bedrag 2025</t>
  </si>
  <si>
    <t>Verhoging door energieklasse 2025</t>
  </si>
  <si>
    <t>Totaal vast bedrag 2025</t>
  </si>
  <si>
    <t>Extra bedrag/kW 2025</t>
  </si>
  <si>
    <t>Samengestelde categorie-omschrijving  2024</t>
  </si>
  <si>
    <t>Lucht-water &lt; 1 kW Energieklasse A+++ of hoger 2025</t>
  </si>
  <si>
    <t>Lucht-water &lt; 1 kW Energieklasse A++ 2025</t>
  </si>
  <si>
    <t>Lucht-water &lt; 1 kW Energieklasse A+ 2025</t>
  </si>
  <si>
    <t>Lucht-water &lt; 1 kW Energieklasse A t/m G 2025</t>
  </si>
  <si>
    <t>Lucht-water ≥ 71 kW en ≤ 400 kW Niet van toepassing 2025</t>
  </si>
  <si>
    <t>Lucht-water ≥ 71 kW en ≤ 400 kW Energieklasse A+++ of hoger 2025</t>
  </si>
  <si>
    <t>Lucht-water ≥ 71 kW en ≤ 400 kW Energieklasse A++ 2025</t>
  </si>
  <si>
    <t>Lucht-water ≥ 71 kW en ≤ 400 kW Energieklasse A+ 2025</t>
  </si>
  <si>
    <t>Lucht-water ≥ 71 kW en ≤ 400 kW Energieklasse A t/m G 2025</t>
  </si>
  <si>
    <t>Grond-water &lt; 1 kW Energieklasse A+++ of hoger 2025</t>
  </si>
  <si>
    <t>Grond-water &lt; 1 kW Energieklasse A++ 2025</t>
  </si>
  <si>
    <t>Grond-water &lt; 1 kW Energieklasse A+ 2025</t>
  </si>
  <si>
    <t>Grond-water &lt; 1 kW Energieklasse A t/m G 2025</t>
  </si>
  <si>
    <t>Grond-water ≥ 1 kW en &lt; 10 kW Energieklasse A+++ of hoger 2025</t>
  </si>
  <si>
    <t>Grond-water ≥ 1 kW en &lt; 10 kW Energieklasse A++ 2025</t>
  </si>
  <si>
    <t>Grond-water ≥ 1 kW en &lt; 10 kW Energieklasse A+ 2025</t>
  </si>
  <si>
    <t>Grond-water ≥ 1 kW en &lt; 10 kW Energieklasse A t/m G 2025</t>
  </si>
  <si>
    <t>Grond-water ≥ 10 kW en ≤ 70 kW Energieklasse A+++ of hoger 2025</t>
  </si>
  <si>
    <t>Grond-water ≥ 10 kW en ≤ 70 kW Energieklasse A++ 2025</t>
  </si>
  <si>
    <t>Grond-water ≥ 10 kW en ≤ 70 kW Energieklasse A+ 2025</t>
  </si>
  <si>
    <t>Grond-water ≥ 10 kW en ≤ 70 kW Energieklasse A t/m G 2025</t>
  </si>
  <si>
    <t>Grond-water ≥ 71 kW en ≤ 400 kW Niet van toepassing 2025</t>
  </si>
  <si>
    <t>Grond-water ≥ 71 kW en ≤ 400 kW Energieklasse A+++ of hoger 2025</t>
  </si>
  <si>
    <t>Grond-water ≥ 71 kW en ≤ 400 kW Energieklasse A++ 2025</t>
  </si>
  <si>
    <t>Grond-water ≥ 71 kW en ≤ 400 kW Energieklasse A+ 2025</t>
  </si>
  <si>
    <t>Grond-water ≥ 71 kW en ≤ 400 kW Energieklasse A t/m G 2025</t>
  </si>
  <si>
    <t>Water-water &lt; 1 kW Energieklasse A+++ of hoger 2025</t>
  </si>
  <si>
    <t>Water-water &lt; 1 kW Energieklasse A++ 2025</t>
  </si>
  <si>
    <t>Water-water &lt; 1 kW Energieklasse A+ 2025</t>
  </si>
  <si>
    <t>Water-water &lt; 1 kW Energieklasse A t/m G 2025</t>
  </si>
  <si>
    <t>Water-water ≥ 1 kW en &lt; 10 kW Energieklasse A+++ of hoger 2025</t>
  </si>
  <si>
    <t>Water-water ≥ 1 kW en &lt; 10 kW Energieklasse A++2025</t>
  </si>
  <si>
    <t>Water-water ≥ 1 kW en &lt; 10 kW Energieklasse A+2025</t>
  </si>
  <si>
    <t>Water-water ≥ 1 kW en &lt; 10 kW Energieklasse A t/m G 2025</t>
  </si>
  <si>
    <t>Water-water ≥ 10 kW en ≤ 70 kW Energieklasse A+++ of hoger 2025</t>
  </si>
  <si>
    <t>Water-water ≥ 10 kW en ≤ 70 kW Energieklasse A++ 2025</t>
  </si>
  <si>
    <t>Water-water ≥ 10 kW en ≤ 70 kW Energieklasse A+ 2025</t>
  </si>
  <si>
    <t>Water-water ≥ 10 kW en ≤ 70 kW Energieklasse A t/m G 2025</t>
  </si>
  <si>
    <t>Water-water ≥ 71 kW en ≤ 400 kW Niet van toepassing 2025</t>
  </si>
  <si>
    <t>Water-water ≥ 71 kW en ≤ 400 kW Energieklasse A+++ of hoger 2025</t>
  </si>
  <si>
    <t>Water-water ≥ 71 kW en ≤ 400 kW Energieklasse A++ 2025</t>
  </si>
  <si>
    <t>Water-water ≥ 71 kW en ≤ 400 kW Energieklasse A+ 2025</t>
  </si>
  <si>
    <t>Water-water ≥ 71 kW en ≤ 400 kW Energieklasse A t/m G 2025</t>
  </si>
  <si>
    <t>Lucht-water ≥ 1 kW en ≤ 70 kW Energieklasse A+++ of hoger 20252024</t>
  </si>
  <si>
    <t>Lucht-water ≥ 1 kW en ≤ 70 kW Energieklasse A++ 20252024</t>
  </si>
  <si>
    <t>Lucht-water ≥ 1 kW en ≤ 70 kW Energieklasse A+ 20252024</t>
  </si>
  <si>
    <t>Lucht-water ≥ 1 kW en ≤ 70 kW Energieklasse A t/m G 20252024</t>
  </si>
  <si>
    <t>Lucht-water ≥ 1 kW en ≤ 70 kW Energieklasse A+++ of hoger 20252025</t>
  </si>
  <si>
    <t>Lucht-water ≥ 1 kW en ≤ 70 kW Energieklasse A++ 20252025</t>
  </si>
  <si>
    <t>Lucht-water ≥ 1 kW en ≤ 70 kW Energieklasse A+ 20252025</t>
  </si>
  <si>
    <t>Lucht-water ≥ 1 kW en ≤ 70 kW Energieklasse A t/m G 20252025</t>
  </si>
  <si>
    <r>
      <t>Minimum m</t>
    </r>
    <r>
      <rPr>
        <vertAlign val="superscript"/>
        <sz val="11"/>
        <rFont val="Calibri"/>
        <family val="2"/>
        <scheme val="minor"/>
      </rPr>
      <t>2</t>
    </r>
  </si>
  <si>
    <t xml:space="preserve">MKI-bonus isolatiemateriaal </t>
  </si>
  <si>
    <r>
      <t>Maximum m</t>
    </r>
    <r>
      <rPr>
        <vertAlign val="superscript"/>
        <sz val="11"/>
        <color theme="1"/>
        <rFont val="Calibri"/>
        <family val="2"/>
        <scheme val="minor"/>
      </rPr>
      <t>2</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</si>
  <si>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2024</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</si>
  <si>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2025</t>
    </r>
  </si>
  <si>
    <t>Geen zolder- of vlieringisolatie</t>
  </si>
  <si>
    <t>Kies zolder- of vlieringisolatie:</t>
  </si>
  <si>
    <t>Keuzelijst datum uitvoering dakisolatie</t>
  </si>
  <si>
    <r>
      <t xml:space="preserve">Vraag aanschafdatum (alleen bij lucht-waterwarmtepomp  </t>
    </r>
    <r>
      <rPr>
        <b/>
        <sz val="11"/>
        <rFont val="Aptos Narrow"/>
        <family val="2"/>
      </rPr>
      <t>≥</t>
    </r>
    <r>
      <rPr>
        <b/>
        <sz val="11"/>
        <rFont val="Calibri"/>
        <family val="2"/>
      </rPr>
      <t xml:space="preserve"> 1kW en </t>
    </r>
    <r>
      <rPr>
        <b/>
        <sz val="11"/>
        <rFont val="Aptos Narrow"/>
        <family val="2"/>
      </rPr>
      <t>≤</t>
    </r>
    <r>
      <rPr>
        <b/>
        <sz val="11"/>
        <rFont val="Calibri"/>
        <family val="2"/>
      </rPr>
      <t xml:space="preserve"> 70 kW)</t>
    </r>
  </si>
  <si>
    <t>Keuzelijst zolder- of vlieringisolatie</t>
  </si>
  <si>
    <t>Keuzelijst datum uitvoering zolder- of vlieringisolatie</t>
  </si>
  <si>
    <t>Warmtepomp 2025 met tarief 2024</t>
  </si>
  <si>
    <t>Samengestelde categorie-omschrijving  2025 (aanschaf 2024 WP lucht-water 1-70 kW, vermogen &lt; 13 kW)</t>
  </si>
  <si>
    <r>
      <t xml:space="preserve">Samengestelde categorie-omschr.  2025 (lucht-water 1-70 kW, aanschaf 2024 verm. </t>
    </r>
    <r>
      <rPr>
        <b/>
        <sz val="11"/>
        <color theme="1"/>
        <rFont val="Aptos Narrow"/>
        <family val="2"/>
      </rPr>
      <t>≥</t>
    </r>
    <r>
      <rPr>
        <b/>
        <sz val="8.25"/>
        <color theme="1"/>
        <rFont val="Calibri"/>
        <family val="2"/>
      </rPr>
      <t xml:space="preserve"> 13 kW of aanschaf 2025</t>
    </r>
    <r>
      <rPr>
        <b/>
        <sz val="11"/>
        <color theme="1"/>
        <rFont val="Calibri"/>
        <family val="2"/>
        <scheme val="minor"/>
      </rPr>
      <t>)</t>
    </r>
  </si>
  <si>
    <t>Samengestelde categorie-omschrijving t.b.v. zoeken in tabellen dakisolatie</t>
  </si>
  <si>
    <t>Samengestelde categorie-omschrijving t.b.v. zoeken in tabellen zolder-of vlieringisolatie</t>
  </si>
  <si>
    <t>Keuzelijst datum uitvoering gevelisolatie</t>
  </si>
  <si>
    <t>Samengestelde categorie-omschrijving t.b.v. zoeken in tabellen gevelisolatie</t>
  </si>
  <si>
    <t>Keuzelijst datum uitvoering spouwmuurisolatie</t>
  </si>
  <si>
    <t>Samengestelde categorie-omschrijving t.b.v. zoeken in tabellen spouwmuurisolatie</t>
  </si>
  <si>
    <t>Keuzelijst bodemisolatie</t>
  </si>
  <si>
    <t>Geen bodemisolatie</t>
  </si>
  <si>
    <t xml:space="preserve">Dakisolatie en zolder/vlieringisolatie vormen samen één maatregel en kunnen alleen gecombineerd worden als ze niet boven elkaar in dezelfde ruimte worden aangebracht. </t>
  </si>
  <si>
    <t xml:space="preserve">Vloerisolatie en bodemisolatie vormen samen één maatregel en kunnen alleen gecombineerd worden als ze niet boven elkaar in dezelfde ruimte worden aangebracht. </t>
  </si>
  <si>
    <t>Multiplier (2= verdubbeling)</t>
  </si>
  <si>
    <t>Bedrag €/m2 isolatie maatregel</t>
  </si>
  <si>
    <t>Samengestelde categorie-omschrijving</t>
  </si>
  <si>
    <r>
      <t>Spouwmuurisolatie, Rd ≥ 1,1 m</t>
    </r>
    <r>
      <rPr>
        <vertAlign val="superscript"/>
        <sz val="11"/>
        <color theme="1"/>
        <rFont val="Calibri"/>
        <family val="2"/>
        <scheme val="minor"/>
      </rPr>
      <t>2</t>
    </r>
    <r>
      <rPr>
        <sz val="11"/>
        <color theme="1"/>
        <rFont val="Calibri"/>
        <family val="2"/>
        <scheme val="minor"/>
      </rPr>
      <t xml:space="preserve"> K/W Niet van toepassing</t>
    </r>
  </si>
  <si>
    <r>
      <t>Vloerisolatie, Rd ≥ 3,5m</t>
    </r>
    <r>
      <rPr>
        <vertAlign val="superscript"/>
        <sz val="11"/>
        <color theme="1"/>
        <rFont val="Calibri"/>
        <family val="2"/>
        <scheme val="minor"/>
      </rPr>
      <t>2</t>
    </r>
    <r>
      <rPr>
        <sz val="11"/>
        <color theme="1"/>
        <rFont val="Calibri"/>
        <family val="2"/>
        <scheme val="minor"/>
      </rPr>
      <t xml:space="preserve"> K/W Niet van toepassing</t>
    </r>
  </si>
  <si>
    <r>
      <t>Bodemisolatie, Rd ≥ 3,5m</t>
    </r>
    <r>
      <rPr>
        <vertAlign val="superscript"/>
        <sz val="11"/>
        <color theme="1"/>
        <rFont val="Calibri"/>
        <family val="2"/>
        <scheme val="minor"/>
      </rPr>
      <t>2</t>
    </r>
    <r>
      <rPr>
        <sz val="11"/>
        <color theme="1"/>
        <rFont val="Calibri"/>
        <family val="2"/>
        <scheme val="minor"/>
      </rPr>
      <t xml:space="preserve"> K/W Niet van toepassing</t>
    </r>
  </si>
  <si>
    <t>Geen bodemisolatie Niet van toepassing</t>
  </si>
  <si>
    <t>Geen dakisolatie Niet van toepassing</t>
  </si>
  <si>
    <t>Geen zolder- of vlieringisolatie Niet van toepassing</t>
  </si>
  <si>
    <t>Geen gevelisolatie Niet van toepassing</t>
  </si>
  <si>
    <t>Geen spouwmuurisolatie Niet van toepassing</t>
  </si>
  <si>
    <t>Geen vloerisolatie Niet van toepassing</t>
  </si>
  <si>
    <t>Spouwmuurisolatie, Rd ≥ 1,1 m2 K/W</t>
  </si>
  <si>
    <t>Vloerisolatie, Rd ≥ 3,5m2 K/W</t>
  </si>
  <si>
    <t>Bodemisolatie, Rd ≥ 3,5m2 K/W</t>
  </si>
  <si>
    <t>Isolerende maatregel beginschermen uitvoeringsjaar niet van toepassing</t>
  </si>
  <si>
    <t>Samengestelde categorie-omschrijving t.b.v. zoeken in tabellen bodemisolatie</t>
  </si>
  <si>
    <t>Zolder-of vlieringisolatie (incl. MKI-bonus)</t>
  </si>
  <si>
    <t>Dakisolatie (incl. MKI-bonus)</t>
  </si>
  <si>
    <t>Vloerisolatie (inc. MKI-bonus)</t>
  </si>
  <si>
    <t>Bodemisolatie (inc. MKI-bonus)</t>
  </si>
  <si>
    <t>Keuzelijst datum uitvoering vloerisolatie</t>
  </si>
  <si>
    <t>Samengestelde categorie-omschrijving t.b.v. zoeken in tabellen vloerisolatie</t>
  </si>
  <si>
    <t>Keuzelijst datum uitvoering bodemisolatie</t>
  </si>
  <si>
    <t>WAAR = biobased zolder-of vlieringisolatie</t>
  </si>
  <si>
    <t>WAAR = biobased bodemisolatie</t>
  </si>
  <si>
    <t>Dakisolatie en/of zolder-of vlieringisolatie</t>
  </si>
  <si>
    <t>Vloerisolatie en/of bodemisolatie</t>
  </si>
  <si>
    <t>In de meldcodelijst vindt u alle meldcodes en subsidiebedragen voor zonneboilers. De meldcodelijst is een overzicht van merk- en productnamen die zijn goedgekeurd en in aanmerking komen voor subsidie.</t>
  </si>
  <si>
    <t>Meldcodelijst zonneboilers</t>
  </si>
  <si>
    <t>In de meldcodelijst vindt u alle meldcodes en subsidiebedragen voor warmtepompen. De meldcodelijst is een overzicht van merk- en productnamen die zijn goedgekeurd en in aanmerking komen voor subsidie.</t>
  </si>
  <si>
    <t>Meldcodelijst warmtepompen</t>
  </si>
  <si>
    <t>Ondergrens vermogen voor toeslag euro/kW</t>
  </si>
  <si>
    <t>Bovengrens vermogen voor toeslag euro/kW</t>
  </si>
  <si>
    <t>Toeslag euro/kW vermogen (0=nee, 1=ja)</t>
  </si>
  <si>
    <t>Datum uitvoering isolatiemaatregel
 (2 perioden binnen 24 maanden mogelijk)</t>
  </si>
  <si>
    <t>Keuzelijst HR++ glas</t>
  </si>
  <si>
    <t>Keuzelijst datum uitvoering HR++ glas</t>
  </si>
  <si>
    <t>Geen HR++ glas</t>
  </si>
  <si>
    <t>Samengestelde categorie-omschrijvingen t.b.v. zoeken in tabellen HR++ glas</t>
  </si>
  <si>
    <t>Glasmaatregel beginschermen uitvoeringsjaar niet van toepassing</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</si>
  <si>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</si>
  <si>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</si>
  <si>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2025</t>
    </r>
  </si>
  <si>
    <t>Geen Triple glas</t>
  </si>
  <si>
    <t>Isolerende glasmaatregel</t>
  </si>
  <si>
    <t>Keuzelijst Triple glas</t>
  </si>
  <si>
    <t>Keuzelijst datum uitvoering Triple glas</t>
  </si>
  <si>
    <t>Samengestelde categorie-omschrijvingen t.b.v. zoeken in tabellen Triple glas</t>
  </si>
  <si>
    <t>Geen HR++ glas ONWAAR</t>
  </si>
  <si>
    <t>Geen Triple glas ONWAAR</t>
  </si>
  <si>
    <t>HR++ glas ONWAAR</t>
  </si>
  <si>
    <t>Triple glas ONWAAR</t>
  </si>
  <si>
    <t>Voorloop vragen glasopties</t>
  </si>
  <si>
    <t>Geen Isolerende panelen, U ≤ 1,2 W/m2K</t>
  </si>
  <si>
    <t>Isolerende panelen, U ≤ 1,2 W/m2K</t>
  </si>
  <si>
    <t>Keuzelijst Isolerende panelen, U ≤ 1,2 W/m2K</t>
  </si>
  <si>
    <t>Keuzelijst datum uitvoering Isolerende panelen, U ≤ 1,2 W/m2K</t>
  </si>
  <si>
    <r>
      <t>Geen Isolerende panelen, U ≤ 1,2 W/m</t>
    </r>
    <r>
      <rPr>
        <vertAlign val="superscript"/>
        <sz val="11"/>
        <color theme="1"/>
        <rFont val="Calibri"/>
        <family val="2"/>
        <scheme val="minor"/>
      </rPr>
      <t>2</t>
    </r>
    <r>
      <rPr>
        <sz val="11"/>
        <color theme="1"/>
        <rFont val="Calibri"/>
        <family val="2"/>
        <scheme val="minor"/>
      </rPr>
      <t>K ONWAAR</t>
    </r>
  </si>
  <si>
    <r>
      <t>Geen Isolerende panelen, U ≤ 0,7 W/m</t>
    </r>
    <r>
      <rPr>
        <vertAlign val="superscript"/>
        <sz val="11"/>
        <color theme="1"/>
        <rFont val="Calibri"/>
        <family val="2"/>
        <scheme val="minor"/>
      </rPr>
      <t>2</t>
    </r>
    <r>
      <rPr>
        <sz val="11"/>
        <color theme="1"/>
        <rFont val="Calibri"/>
        <family val="2"/>
        <scheme val="minor"/>
      </rPr>
      <t>K ONWAAR</t>
    </r>
  </si>
  <si>
    <r>
      <t>Isolerende panelen, U ≤ 1,2 W/m</t>
    </r>
    <r>
      <rPr>
        <vertAlign val="superscript"/>
        <sz val="11"/>
        <color theme="1"/>
        <rFont val="Calibri"/>
        <family val="2"/>
        <scheme val="minor"/>
      </rPr>
      <t>2</t>
    </r>
    <r>
      <rPr>
        <sz val="11"/>
        <color theme="1"/>
        <rFont val="Calibri"/>
        <family val="2"/>
        <scheme val="minor"/>
      </rPr>
      <t>K ONWAAR</t>
    </r>
  </si>
  <si>
    <r>
      <t>Isolerende panelen, U ≤ 0,7 W/m</t>
    </r>
    <r>
      <rPr>
        <vertAlign val="superscript"/>
        <sz val="11"/>
        <color theme="1"/>
        <rFont val="Calibri"/>
        <family val="2"/>
        <scheme val="minor"/>
      </rPr>
      <t>2</t>
    </r>
    <r>
      <rPr>
        <sz val="11"/>
        <color theme="1"/>
        <rFont val="Calibri"/>
        <family val="2"/>
        <scheme val="minor"/>
      </rPr>
      <t>K ONWAAR</t>
    </r>
  </si>
  <si>
    <t>Keuzelijst Isolerende panelen, U ≤ 0,7 W/m2K</t>
  </si>
  <si>
    <t>Geen Isolerende panelen, U ≤ 0,7 W/m2K</t>
  </si>
  <si>
    <t>Isolerende panelen, U ≤ 0,7 W/m2K</t>
  </si>
  <si>
    <t>Keuzelijst datum uitvoering Isolerende panelen, U ≤ 0,7 W/m2K</t>
  </si>
  <si>
    <t>Samengestelde categorie-omschrijvingen t.b.v. zoeken in tabellen Isolerende panelen, U ≤ 0,7 W/m2K</t>
  </si>
  <si>
    <t>Samengestelde categorie-omschrijvingen t.b.v. zoeken in tabellen Isolerende panelen, U ≤ 1,2 W/m2K</t>
  </si>
  <si>
    <t>Geen Isolerende deuren, U ≤ 1,0 W/m2K</t>
  </si>
  <si>
    <t>Isolerende deuren, U ≤ 1,5 W/m2K</t>
  </si>
  <si>
    <t>Geen Isolerende deuren, U ≤ 1,5 W/m2K</t>
  </si>
  <si>
    <t>Isolerende deuren, U ≤ 1,0 W/m2K</t>
  </si>
  <si>
    <t>Keuzelijst Isolerende deuren, U ≤ 1,0 W/m2K</t>
  </si>
  <si>
    <t>Samengestelde categorie-omschrijvingen t.b.v. zoeken in tabellen Isolerende deuren, U ≤ 1,5 W/m2K</t>
  </si>
  <si>
    <t>Samengestelde categorie-omschrijvingen t.b.v. zoeken in tabellen Isolerende deuren, U ≤ 1,0 W/m2K</t>
  </si>
  <si>
    <t>Keuzelijst datum uitvoering Isolerende deuren, U ≤ 1,0 W/m2K</t>
  </si>
  <si>
    <t>Keuzelijst datum uitvoering Isolerende deuren, U ≤ 1,5 W/m2K</t>
  </si>
  <si>
    <t>Geen Isolerende deuren, U ≤ 1,5 W/m2K ONWAAR</t>
  </si>
  <si>
    <t>Geen Isolerende deuren, U ≤ 1,0 W/m2K ONWAAR</t>
  </si>
  <si>
    <t>Isolerende deuren, U ≤ 1,5 W/m2K ONWAAR</t>
  </si>
  <si>
    <t>Isolerende deuren, U ≤ 1,0 W/m2K ONWAAR</t>
  </si>
  <si>
    <t>Rekentool ISDE voor woningeigenaren van monumenten*</t>
  </si>
  <si>
    <r>
      <t xml:space="preserve">Deze rekentool is voor woningeigenaren (eigenaar-bewoners). Vul deze rekentool volledig in en krijg een goede indicatie van het te verwachten subsidiebedrag. Deze tool houdt rekening met het aantal maatregelen en wanneer die zijn uitgevoerd. 
Aan de berekening kunnen geen rechten worden ontleend.  
</t>
    </r>
    <r>
      <rPr>
        <i/>
        <sz val="11"/>
        <rFont val="Calibri"/>
        <family val="2"/>
        <scheme val="minor"/>
      </rPr>
      <t>* Voor woningen die geen monumenten zijn, is de "Rekentool ISDE voor woningeigenaren (met uitzondering van monumenten)" beschikbaar.</t>
    </r>
  </si>
  <si>
    <t>HR, HR++, Triple glas of voor-of achterzetbeglazing</t>
  </si>
  <si>
    <t>Soort glas, paneel, deur</t>
  </si>
  <si>
    <r>
      <t xml:space="preserve">Triple glas U </t>
    </r>
    <r>
      <rPr>
        <sz val="10"/>
        <color theme="1"/>
        <rFont val="Calibri"/>
        <family val="2"/>
      </rPr>
      <t>≤ 0,7 W/m2K</t>
    </r>
  </si>
  <si>
    <r>
      <t xml:space="preserve">HR-glas of voor-of achterzetbeglazing U </t>
    </r>
    <r>
      <rPr>
        <sz val="10"/>
        <color theme="1"/>
        <rFont val="Calibri"/>
        <family val="2"/>
      </rPr>
      <t xml:space="preserve">≤ </t>
    </r>
    <r>
      <rPr>
        <sz val="10"/>
        <color theme="1"/>
        <rFont val="Calibri"/>
        <family val="2"/>
        <scheme val="minor"/>
      </rPr>
      <t>2,0 W/m2K</t>
    </r>
  </si>
  <si>
    <r>
      <t xml:space="preserve">HR-glas of voor-of achterzetbeglazing U </t>
    </r>
    <r>
      <rPr>
        <sz val="10"/>
        <color theme="1"/>
        <rFont val="Calibri"/>
        <family val="2"/>
      </rPr>
      <t>≤ 3,0</t>
    </r>
    <r>
      <rPr>
        <sz val="10"/>
        <color theme="1"/>
        <rFont val="Calibri"/>
        <family val="2"/>
        <scheme val="minor"/>
      </rPr>
      <t xml:space="preserve"> W/m2K</t>
    </r>
  </si>
  <si>
    <r>
      <t xml:space="preserve">Isolerende panelen in kozijn U </t>
    </r>
    <r>
      <rPr>
        <sz val="10"/>
        <color theme="1"/>
        <rFont val="Calibri"/>
        <family val="2"/>
      </rPr>
      <t>≤ 0,7 W/m2K</t>
    </r>
  </si>
  <si>
    <r>
      <t xml:space="preserve">Isolerende panelen in kozijn U </t>
    </r>
    <r>
      <rPr>
        <sz val="10"/>
        <color theme="1"/>
        <rFont val="Calibri"/>
        <family val="2"/>
      </rPr>
      <t>≤ 1,2 W/m2K</t>
    </r>
  </si>
  <si>
    <r>
      <t xml:space="preserve">Isolerende panelen in kozijn U </t>
    </r>
    <r>
      <rPr>
        <sz val="10"/>
        <color theme="1"/>
        <rFont val="Calibri"/>
        <family val="2"/>
      </rPr>
      <t>≤ 2,0 W/m2K</t>
    </r>
  </si>
  <si>
    <r>
      <t xml:space="preserve">Isolerende panelen in kozijn U </t>
    </r>
    <r>
      <rPr>
        <sz val="10"/>
        <color theme="1"/>
        <rFont val="Calibri"/>
        <family val="2"/>
      </rPr>
      <t>≤ 3,0 W/m2K</t>
    </r>
  </si>
  <si>
    <r>
      <t xml:space="preserve">Isolerende deur U </t>
    </r>
    <r>
      <rPr>
        <sz val="10"/>
        <color theme="1"/>
        <rFont val="Calibri"/>
        <family val="2"/>
      </rPr>
      <t xml:space="preserve">≤ 1,0 </t>
    </r>
    <r>
      <rPr>
        <sz val="10"/>
        <color theme="1"/>
        <rFont val="Calibri"/>
        <family val="2"/>
        <scheme val="minor"/>
      </rPr>
      <t>W/m2K</t>
    </r>
  </si>
  <si>
    <r>
      <t xml:space="preserve">Isolerende deur U </t>
    </r>
    <r>
      <rPr>
        <sz val="10"/>
        <color theme="1"/>
        <rFont val="Calibri"/>
        <family val="2"/>
      </rPr>
      <t xml:space="preserve">≤ 1,5 </t>
    </r>
    <r>
      <rPr>
        <sz val="10"/>
        <color theme="1"/>
        <rFont val="Calibri"/>
        <family val="2"/>
        <scheme val="minor"/>
      </rPr>
      <t>W/m2K</t>
    </r>
  </si>
  <si>
    <r>
      <t xml:space="preserve">Isolerende deur U </t>
    </r>
    <r>
      <rPr>
        <sz val="10"/>
        <color theme="1"/>
        <rFont val="Calibri"/>
        <family val="2"/>
      </rPr>
      <t xml:space="preserve">≤ 2,0 </t>
    </r>
    <r>
      <rPr>
        <sz val="10"/>
        <color theme="1"/>
        <rFont val="Calibri"/>
        <family val="2"/>
        <scheme val="minor"/>
      </rPr>
      <t>W/m2K</t>
    </r>
  </si>
  <si>
    <t>HR++ glas U ≤ 1,2 W/m2K</t>
  </si>
  <si>
    <t>Indeling uitvoeringsdatum</t>
  </si>
  <si>
    <t>Keuzelijst HR-glas of voor-of achterzetbeglazing U ≤ 2,0 W/m2K</t>
  </si>
  <si>
    <t>Keuzelijst datum uitvoering HR-glas of voor-of achterzetbeglazing U ≤ 2,0 W/m2K</t>
  </si>
  <si>
    <t>Samengestelde categorie-omschrijvingen t.b.v. zoeken in tabellen HR-glas of voor-of achterzetbeglazing U ≤ 2,0 W/m2K</t>
  </si>
  <si>
    <t>Keuzelijst HR-glas of voor-of achterzetbeglazing U ≤ 3,0 W/m2K</t>
  </si>
  <si>
    <t>Keuzelijst datum uitvoering HR-glas of voor-of achterzetbeglazing U ≤ 3,0 W/m2K</t>
  </si>
  <si>
    <t>Samengestelde categorie-omschrijvingen t.b.v. zoeken in tabellen HR-glas of voor-of achterzetbeglazing U ≤ 3,0 W/m2K</t>
  </si>
  <si>
    <t>Geen HR-glas of voor-of achterzetbeglazing U ≤ 2,0 W/m2K</t>
  </si>
  <si>
    <t>HR-glas of voor-of achterzetbeglazing U ≤ 2,0 W/m2K</t>
  </si>
  <si>
    <t>Geen HR-glas of voor-of achterzetbeglazing U ≤ 3,0 W/m2K</t>
  </si>
  <si>
    <t>HR-glas of voor-of achterzetbeglazing U ≤ 3,0 W/m2K</t>
  </si>
  <si>
    <t>Keuzelijst Isolerende panelen, U ≤ 2,0 W/m2K</t>
  </si>
  <si>
    <t>Geen Isolerende panelen, U ≤ 2,0 W/m2K</t>
  </si>
  <si>
    <t>Isolerende panelen, U ≤ 2,0 W/m2K</t>
  </si>
  <si>
    <t>Keuzelijst datum uitvoering Isolerende panelen, U ≤ 2,0 W/m2K</t>
  </si>
  <si>
    <t>Samengestelde categorie-omschrijvingen t.b.v. zoeken in tabellen Isolerende panelen, U ≤ 2,0 W/m2K</t>
  </si>
  <si>
    <t>Keuzelijst Isolerende panelen, U ≤ 3,0 W/m2K</t>
  </si>
  <si>
    <t>Keuzelijst datum uitvoering Isolerende panelen, U ≤ 3,0 W/m2K</t>
  </si>
  <si>
    <t>Samengestelde categorie-omschrijvingen t.b.v. zoeken in tabellen Isolerende panelen, U ≤ 3,0 W/m2K</t>
  </si>
  <si>
    <t>Geen Isolerende panelen, U ≤ 3,0 W/m2K</t>
  </si>
  <si>
    <t>Isolerende panelen, U ≤ 3,0 W/m2K</t>
  </si>
  <si>
    <t>Keuzelijst Isolerende deuren, U ≤ 1,5 W/m2K</t>
  </si>
  <si>
    <t>Keuzelijst Isolerende deuren, U ≤ 2,0 W/m2K</t>
  </si>
  <si>
    <t>Keuzelijst datum uitvoering Isolerende deuren, U ≤ 2,0 W/m2K</t>
  </si>
  <si>
    <t>Geen Isolerende deuren, U ≤ 2,0 W/m2K</t>
  </si>
  <si>
    <t>Isolerende deuren, U ≤ 2,0 W/m2K</t>
  </si>
  <si>
    <t>Samengestelde categorie-omschrijvingen t.b.v. zoeken in tabellen Isolerende deuren, U ≤ 2,0 W/m2K</t>
  </si>
  <si>
    <r>
      <t>Geen Isolerende panelen, U ≤ 2,0 W/m</t>
    </r>
    <r>
      <rPr>
        <vertAlign val="superscript"/>
        <sz val="11"/>
        <color theme="1"/>
        <rFont val="Calibri"/>
        <family val="2"/>
        <scheme val="minor"/>
      </rPr>
      <t>2</t>
    </r>
    <r>
      <rPr>
        <sz val="11"/>
        <color theme="1"/>
        <rFont val="Calibri"/>
        <family val="2"/>
        <scheme val="minor"/>
      </rPr>
      <t>K ONWAAR</t>
    </r>
  </si>
  <si>
    <r>
      <t>Geen Isolerende panelen, U ≤ 3,0 W/m</t>
    </r>
    <r>
      <rPr>
        <vertAlign val="superscript"/>
        <sz val="11"/>
        <color theme="1"/>
        <rFont val="Calibri"/>
        <family val="2"/>
        <scheme val="minor"/>
      </rPr>
      <t>2</t>
    </r>
    <r>
      <rPr>
        <sz val="11"/>
        <color theme="1"/>
        <rFont val="Calibri"/>
        <family val="2"/>
        <scheme val="minor"/>
      </rPr>
      <t>K ONWAAR</t>
    </r>
  </si>
  <si>
    <t>Geen Isolerende deuren, U ≤ 2,0 W/m2K ONWAAR</t>
  </si>
  <si>
    <r>
      <t>Isolerende panelen, U ≤ 2,0 W/m</t>
    </r>
    <r>
      <rPr>
        <vertAlign val="superscript"/>
        <sz val="11"/>
        <color theme="1"/>
        <rFont val="Calibri"/>
        <family val="2"/>
        <scheme val="minor"/>
      </rPr>
      <t>2</t>
    </r>
    <r>
      <rPr>
        <sz val="11"/>
        <color theme="1"/>
        <rFont val="Calibri"/>
        <family val="2"/>
        <scheme val="minor"/>
      </rPr>
      <t>K ONWAAR</t>
    </r>
  </si>
  <si>
    <r>
      <t>Isolerende panelen, U ≤ 3,0 W/m</t>
    </r>
    <r>
      <rPr>
        <vertAlign val="superscript"/>
        <sz val="11"/>
        <color theme="1"/>
        <rFont val="Calibri"/>
        <family val="2"/>
        <scheme val="minor"/>
      </rPr>
      <t>2</t>
    </r>
    <r>
      <rPr>
        <sz val="11"/>
        <color theme="1"/>
        <rFont val="Calibri"/>
        <family val="2"/>
        <scheme val="minor"/>
      </rPr>
      <t>K ONWAAR</t>
    </r>
  </si>
  <si>
    <t>Isolerende deuren, U ≤ 2,0 W/m2K ONWAAR</t>
  </si>
  <si>
    <t>Geen HR-glas of voor-of achterzetbeglazing U ≤ 2,0 W/m2K ONWAAR</t>
  </si>
  <si>
    <t>Geen HR-glas of voor-of achterzetbeglazing U ≤ 3,0 W/m2K ONWAAR</t>
  </si>
  <si>
    <t>HR-glas of voor-of achterzetbeglazing U ≤ 3,0 W/m2K ONWAAR</t>
  </si>
  <si>
    <t>3 of 8</t>
  </si>
  <si>
    <t>HR-glas of voor-of achterzetbeglazing U ≤ 2,0 W/m2K ONWAAR</t>
  </si>
  <si>
    <r>
      <t xml:space="preserve">Isolerende panelen in kozijnen, U </t>
    </r>
    <r>
      <rPr>
        <sz val="11"/>
        <color theme="1"/>
        <rFont val="Calibri"/>
        <family val="2"/>
      </rPr>
      <t>≤</t>
    </r>
    <r>
      <rPr>
        <sz val="11"/>
        <color theme="1"/>
        <rFont val="Calibri"/>
        <family val="2"/>
        <scheme val="minor"/>
      </rPr>
      <t xml:space="preserve"> 2,0 W/m2K</t>
    </r>
  </si>
  <si>
    <r>
      <t xml:space="preserve">Isolerende panelen in kozijnen, U </t>
    </r>
    <r>
      <rPr>
        <sz val="11"/>
        <color theme="1"/>
        <rFont val="Calibri"/>
        <family val="2"/>
      </rPr>
      <t>≤</t>
    </r>
    <r>
      <rPr>
        <sz val="11"/>
        <color theme="1"/>
        <rFont val="Calibri"/>
        <family val="2"/>
        <scheme val="minor"/>
      </rPr>
      <t xml:space="preserve"> 3,0 W/m2K</t>
    </r>
  </si>
  <si>
    <r>
      <t xml:space="preserve">Isolerende deur, U </t>
    </r>
    <r>
      <rPr>
        <sz val="11"/>
        <color theme="1"/>
        <rFont val="Calibri"/>
        <family val="2"/>
      </rPr>
      <t>≤</t>
    </r>
    <r>
      <rPr>
        <sz val="11"/>
        <color theme="1"/>
        <rFont val="Calibri"/>
        <family val="2"/>
        <scheme val="minor"/>
      </rPr>
      <t xml:space="preserve"> 2,0 W/m2K</t>
    </r>
  </si>
  <si>
    <t>Volgnummer</t>
  </si>
  <si>
    <t>Tarief</t>
  </si>
  <si>
    <t>Isolerende panelen in kozijn U ≤ 0,7 W/m2K</t>
  </si>
  <si>
    <t>Periode uitvoering</t>
  </si>
  <si>
    <t>Isolerende panelen en deuren komen alleen in aanmerking in combinatie met plaatsing van isolerend glas.</t>
  </si>
  <si>
    <t>Opmerking</t>
  </si>
  <si>
    <t>Soort isolatie</t>
  </si>
  <si>
    <r>
      <t xml:space="preserve">Dakisolatie, Rd </t>
    </r>
    <r>
      <rPr>
        <sz val="10"/>
        <color theme="1"/>
        <rFont val="Calibri"/>
        <family val="2"/>
      </rPr>
      <t xml:space="preserve">≥ 2,5 </t>
    </r>
    <r>
      <rPr>
        <sz val="10"/>
        <color theme="1"/>
        <rFont val="Calibri"/>
        <family val="2"/>
        <scheme val="minor"/>
      </rPr>
      <t>m</t>
    </r>
    <r>
      <rPr>
        <vertAlign val="superscript"/>
        <sz val="10"/>
        <color theme="1"/>
        <rFont val="Calibri"/>
        <family val="2"/>
        <scheme val="minor"/>
      </rPr>
      <t>2</t>
    </r>
    <r>
      <rPr>
        <sz val="10"/>
        <color theme="1"/>
        <rFont val="Calibri"/>
        <family val="2"/>
        <scheme val="minor"/>
      </rPr>
      <t xml:space="preserve"> K/W</t>
    </r>
  </si>
  <si>
    <r>
      <t>Zolder-of vlieringisolatie, Rd ≥ 2,5 m</t>
    </r>
    <r>
      <rPr>
        <vertAlign val="superscript"/>
        <sz val="10"/>
        <color theme="1"/>
        <rFont val="Calibri"/>
        <family val="2"/>
        <scheme val="minor"/>
      </rPr>
      <t>2</t>
    </r>
    <r>
      <rPr>
        <sz val="10"/>
        <color theme="1"/>
        <rFont val="Calibri"/>
        <family val="2"/>
        <scheme val="minor"/>
      </rPr>
      <t xml:space="preserve"> K/W</t>
    </r>
  </si>
  <si>
    <r>
      <t>Binnen-of buitengevelisolatie, Rd ≥ 2,5m</t>
    </r>
    <r>
      <rPr>
        <vertAlign val="superscript"/>
        <sz val="10"/>
        <color theme="1"/>
        <rFont val="Calibri"/>
        <family val="2"/>
        <scheme val="minor"/>
      </rPr>
      <t>2</t>
    </r>
    <r>
      <rPr>
        <sz val="10"/>
        <color theme="1"/>
        <rFont val="Calibri"/>
        <family val="2"/>
        <scheme val="minor"/>
      </rPr>
      <t xml:space="preserve"> K/W</t>
    </r>
  </si>
  <si>
    <r>
      <t>Spouwmuurisolatie, Rd ≥ 1,1 m</t>
    </r>
    <r>
      <rPr>
        <vertAlign val="superscript"/>
        <sz val="10"/>
        <color theme="1"/>
        <rFont val="Calibri"/>
        <family val="2"/>
        <scheme val="minor"/>
      </rPr>
      <t>2</t>
    </r>
    <r>
      <rPr>
        <sz val="10"/>
        <color theme="1"/>
        <rFont val="Calibri"/>
        <family val="2"/>
        <scheme val="minor"/>
      </rPr>
      <t xml:space="preserve"> K/W</t>
    </r>
  </si>
  <si>
    <r>
      <t>Vloerisolatie, Rd ≥ 3,5m</t>
    </r>
    <r>
      <rPr>
        <vertAlign val="superscript"/>
        <sz val="10"/>
        <color theme="1"/>
        <rFont val="Calibri"/>
        <family val="2"/>
        <scheme val="minor"/>
      </rPr>
      <t>2</t>
    </r>
    <r>
      <rPr>
        <sz val="10"/>
        <color theme="1"/>
        <rFont val="Calibri"/>
        <family val="2"/>
        <scheme val="minor"/>
      </rPr>
      <t xml:space="preserve"> K/W</t>
    </r>
  </si>
  <si>
    <r>
      <t>Bodemisolatie, Rd ≥ 3,5m</t>
    </r>
    <r>
      <rPr>
        <vertAlign val="superscript"/>
        <sz val="10"/>
        <color theme="1"/>
        <rFont val="Calibri"/>
        <family val="2"/>
        <scheme val="minor"/>
      </rPr>
      <t>2</t>
    </r>
    <r>
      <rPr>
        <sz val="10"/>
        <color theme="1"/>
        <rFont val="Calibri"/>
        <family val="2"/>
        <scheme val="minor"/>
      </rPr>
      <t xml:space="preserve"> K/W</t>
    </r>
  </si>
  <si>
    <t xml:space="preserve">Kiest u voor HR-glas , HR++ glas , Triple glas en/of  voor-of achterzetbeglazing? Dan komen ook onderstaande types panelen en deuren in aanmerking. </t>
  </si>
  <si>
    <t>Voor-of achterzetbeglazing U ≤ 5,8 W/m2K</t>
  </si>
  <si>
    <t>2024 en ≤ 24 maanden geleden</t>
  </si>
  <si>
    <t>Nee, ik heb niet eerder ISDE-subsidie ontvangen</t>
  </si>
  <si>
    <t>Ja, voor ISDE-maatregel(en) &gt; 24 maanden geleden uitgevoerd</t>
  </si>
  <si>
    <t>Ja, voor ISDE-maatregel(en) ≤ 24 maanden geleden uitgevoerd</t>
  </si>
  <si>
    <t>Voorloopvraag eerder ISDE-subsidieontvangen?</t>
  </si>
  <si>
    <t>Dakisolatie, Rd ≥ 2,5 m2 K/W</t>
  </si>
  <si>
    <t>2025-2026</t>
  </si>
  <si>
    <t>2024 én ≤ 24 maanden geleden</t>
  </si>
  <si>
    <t>Zolder-of vlieringisolatie, Rd ≥ 2,5 m2 K/W</t>
  </si>
  <si>
    <t>Binnen-of buitengevelisolatie, Rd ≥ 2,5 m2 K/W</t>
  </si>
  <si>
    <t>Op of ná 1 januari 2024 én ≤ 24 maanden geleden</t>
  </si>
  <si>
    <t>Dakisolatie, Rd ≥ 2,5 m2 K/W Niet van toepassing</t>
  </si>
  <si>
    <t>Zolder-of vlieringisolatie, Rd ≥ 2,5 m2 K/W Niet van toepassing</t>
  </si>
  <si>
    <t>Binnen-of buitengevelisolatie, Rd ≥ 2,5 m2 K/W Niet van toepassing</t>
  </si>
  <si>
    <t>Geen dakisolatie 2024 én ≤ 24 maanden geleden</t>
  </si>
  <si>
    <t>Samengestelde categorie-omschrijving 2024 én ≤ 24 maanden geleden</t>
  </si>
  <si>
    <t>Geen gevelisolatie 2024 én ≤ 24 maanden geleden</t>
  </si>
  <si>
    <t>Geen spouwmuurisolatie 2024 én ≤ 24 maanden geleden</t>
  </si>
  <si>
    <r>
      <t>Spouwmuurisolatie, Rd ≥ 1,1 m</t>
    </r>
    <r>
      <rPr>
        <vertAlign val="superscript"/>
        <sz val="11"/>
        <color theme="1"/>
        <rFont val="Calibri"/>
        <family val="2"/>
        <scheme val="minor"/>
      </rPr>
      <t>2</t>
    </r>
    <r>
      <rPr>
        <sz val="11"/>
        <color theme="1"/>
        <rFont val="Calibri"/>
        <family val="2"/>
        <scheme val="minor"/>
      </rPr>
      <t xml:space="preserve"> K/W 2024 én ≤ 24 maanden geleden</t>
    </r>
  </si>
  <si>
    <t>Isolerende maatregel 2024 én ≤ 24 maanden geleden</t>
  </si>
  <si>
    <t>Dakisolatie, Rd ≥ 2,5 m2 K/W 2024 én ≤ 24 maanden geleden</t>
  </si>
  <si>
    <t>Binnen-of buitengevelisolatie, Rd ≥ 2,5 m2 K/W 2024 én ≤ 24 maanden geleden</t>
  </si>
  <si>
    <t>Isolerende maatregel 2025-2026</t>
  </si>
  <si>
    <t>Samengestelde categorie-omschrijving 2025-2026</t>
  </si>
  <si>
    <t>Geen dakisolatie 2025-2026</t>
  </si>
  <si>
    <t>Geen gevelisolatie 2025-2026</t>
  </si>
  <si>
    <t>Geen spouwmuurisolatie 2025-2026</t>
  </si>
  <si>
    <t>Dakisolatie, Rd ≥ 2,5 m2 K/W 2025-2026</t>
  </si>
  <si>
    <t>Binnen-of buitengevelisolatie, Rd ≥ 2,5 m2 K/W 2025-2026</t>
  </si>
  <si>
    <r>
      <t>Spouwmuurisolatie, Rd ≥ 1,1 m</t>
    </r>
    <r>
      <rPr>
        <vertAlign val="superscript"/>
        <sz val="11"/>
        <color theme="1"/>
        <rFont val="Calibri"/>
        <family val="2"/>
        <scheme val="minor"/>
      </rPr>
      <t>2</t>
    </r>
    <r>
      <rPr>
        <sz val="11"/>
        <color theme="1"/>
        <rFont val="Calibri"/>
        <family val="2"/>
        <scheme val="minor"/>
      </rPr>
      <t xml:space="preserve"> K/W 2025-2026</t>
    </r>
  </si>
  <si>
    <t xml:space="preserve">Isolerende maatregel Op of ná 1 januari 2024 én ≤ 24 maanden geleden </t>
  </si>
  <si>
    <t>Samengestelde categorie-omschrijving Op of ná 1 januari 2024 én ≤ 24 maanden geleden</t>
  </si>
  <si>
    <t>Geen vloerisolatie Op of ná 1 januari 2024 én ≤ 24 maanden geleden</t>
  </si>
  <si>
    <t>Geen bodemisolatie Op of ná 1 januari 2024 én ≤ 24 maanden geleden</t>
  </si>
  <si>
    <r>
      <t>Vloerisolatie, Rd ≥ 3,5m</t>
    </r>
    <r>
      <rPr>
        <vertAlign val="superscript"/>
        <sz val="11"/>
        <color theme="1"/>
        <rFont val="Calibri"/>
        <family val="2"/>
        <scheme val="minor"/>
      </rPr>
      <t>2</t>
    </r>
    <r>
      <rPr>
        <sz val="11"/>
        <color theme="1"/>
        <rFont val="Calibri"/>
        <family val="2"/>
        <scheme val="minor"/>
      </rPr>
      <t xml:space="preserve"> K/W Op of ná 1 januari 2024 én ≤ 24 maanden geleden</t>
    </r>
  </si>
  <si>
    <r>
      <t>Bodemisolatie, Rd ≥ 3,5m</t>
    </r>
    <r>
      <rPr>
        <vertAlign val="superscript"/>
        <sz val="11"/>
        <color theme="1"/>
        <rFont val="Calibri"/>
        <family val="2"/>
        <scheme val="minor"/>
      </rPr>
      <t>2</t>
    </r>
    <r>
      <rPr>
        <sz val="11"/>
        <color theme="1"/>
        <rFont val="Calibri"/>
        <family val="2"/>
        <scheme val="minor"/>
      </rPr>
      <t xml:space="preserve"> K/W Op of ná 1 januari 2024 én ≤ 24 maanden geleden</t>
    </r>
  </si>
  <si>
    <r>
      <t>Biobased isolatiemaatregelen</t>
    </r>
    <r>
      <rPr>
        <sz val="10"/>
        <color theme="1"/>
        <rFont val="Calibri"/>
        <family val="2"/>
        <scheme val="minor"/>
      </rPr>
      <t xml:space="preserve"> komen in aanmerking voor een MKI-bonus.</t>
    </r>
  </si>
  <si>
    <t>Geen zolder- of vlieringisolatie Op of ná 1 januari 2024 én ≤ 24 maanden geleden</t>
  </si>
  <si>
    <t>Zolder-of vlieringisolatie, Rd ≥ 2,5 m2 K/W Op of ná 1 januari 2024 én ≤ 24 maanden geleden</t>
  </si>
  <si>
    <t>Ventilatie</t>
  </si>
  <si>
    <r>
      <t xml:space="preserve">Zonneboiler </t>
    </r>
    <r>
      <rPr>
        <sz val="11"/>
        <color theme="1"/>
        <rFont val="Calibri"/>
        <family val="2"/>
      </rPr>
      <t>≤ 5 m</t>
    </r>
    <r>
      <rPr>
        <vertAlign val="superscript"/>
        <sz val="11"/>
        <color theme="1"/>
        <rFont val="Calibri"/>
        <family val="2"/>
      </rPr>
      <t>2</t>
    </r>
    <r>
      <rPr>
        <sz val="11"/>
        <color theme="1"/>
        <rFont val="Calibri"/>
        <family val="2"/>
        <scheme val="minor"/>
      </rPr>
      <t xml:space="preserve"> Op of ná 1 januari 2024 én ≤  24 maanden geleden</t>
    </r>
  </si>
  <si>
    <r>
      <t xml:space="preserve">Zonneboiler &gt; 5 en </t>
    </r>
    <r>
      <rPr>
        <sz val="11"/>
        <color theme="1"/>
        <rFont val="Calibri"/>
        <family val="2"/>
      </rPr>
      <t>≤ 10 m</t>
    </r>
    <r>
      <rPr>
        <vertAlign val="superscript"/>
        <sz val="11"/>
        <color theme="1"/>
        <rFont val="Calibri"/>
        <family val="2"/>
      </rPr>
      <t>2</t>
    </r>
    <r>
      <rPr>
        <sz val="11"/>
        <color theme="1"/>
        <rFont val="Calibri"/>
        <family val="2"/>
        <scheme val="minor"/>
      </rPr>
      <t xml:space="preserve"> Op of ná 1 januari 2024 én ≤  24 maanden geleden</t>
    </r>
  </si>
  <si>
    <r>
      <t xml:space="preserve">Zonneboilercombi </t>
    </r>
    <r>
      <rPr>
        <sz val="11"/>
        <color theme="1"/>
        <rFont val="Calibri"/>
        <family val="2"/>
      </rPr>
      <t>≤ 5 m</t>
    </r>
    <r>
      <rPr>
        <vertAlign val="superscript"/>
        <sz val="11"/>
        <color theme="1"/>
        <rFont val="Calibri"/>
        <family val="2"/>
      </rPr>
      <t>2</t>
    </r>
    <r>
      <rPr>
        <sz val="11"/>
        <color theme="1"/>
        <rFont val="Calibri"/>
        <family val="2"/>
        <scheme val="minor"/>
      </rPr>
      <t xml:space="preserve"> Op of ná 1 januari 2024 én ≤  24 maanden geleden</t>
    </r>
  </si>
  <si>
    <r>
      <t xml:space="preserve">Zonneboilercombi &gt; 5 en </t>
    </r>
    <r>
      <rPr>
        <sz val="11"/>
        <color theme="1"/>
        <rFont val="Calibri"/>
        <family val="2"/>
      </rPr>
      <t>≤ 10 m</t>
    </r>
    <r>
      <rPr>
        <vertAlign val="superscript"/>
        <sz val="11"/>
        <color theme="1"/>
        <rFont val="Calibri"/>
        <family val="2"/>
      </rPr>
      <t>2</t>
    </r>
    <r>
      <rPr>
        <sz val="11"/>
        <color theme="1"/>
        <rFont val="Calibri"/>
        <family val="2"/>
        <scheme val="minor"/>
      </rPr>
      <t xml:space="preserve"> Op of ná 1 januari 2024 én ≤  24 maanden geleden</t>
    </r>
  </si>
  <si>
    <t>Op of ná 1 januari 2024 én ≤  24 maanden geleden</t>
  </si>
  <si>
    <t>Aansluiting op een warmtenet Op of ná 1 januari 2024 én ≤  24 maanden geleden</t>
  </si>
  <si>
    <r>
      <t>3. Wilt u een energiezuinige afvoerventilatie-unit met CO</t>
    </r>
    <r>
      <rPr>
        <vertAlign val="subscript"/>
        <sz val="16"/>
        <rFont val="Sans"/>
      </rPr>
      <t>2</t>
    </r>
    <r>
      <rPr>
        <sz val="16"/>
        <rFont val="Sans"/>
      </rPr>
      <t>-sturing of een balansventilatiesysteem met warmteterugwinning laten installeren?</t>
    </r>
  </si>
  <si>
    <t xml:space="preserve">Energiezuinige ventilatiesystemen komen alleen in aanmerking in combinatie met isolatiemaatregelen die gelijktijdig of niet langer dan 24 maanden geleden zijn aangebracht. </t>
  </si>
  <si>
    <t>Kiest u voor een energiezuinig ventilatiesysteem?</t>
  </si>
  <si>
    <r>
      <t>Subsidiebedrag energiezuinig ventilatiesysteem (</t>
    </r>
    <r>
      <rPr>
        <sz val="10"/>
        <rFont val="Calibri"/>
        <family val="2"/>
      </rPr>
      <t>€)</t>
    </r>
  </si>
  <si>
    <t>Keuzelijst energiezuinige ventilatie</t>
  </si>
  <si>
    <t>Geen energiezuinige ventilatie</t>
  </si>
  <si>
    <t>Energiezuinige ventilatie</t>
  </si>
  <si>
    <t>Keuzelijst datum uitvoering  energiezuinige ventilatie</t>
  </si>
  <si>
    <t>Samengestelde categorie-omschrijving energiezuinige ventilatie</t>
  </si>
  <si>
    <t>Keuzelijst t.b.v. combivoorwaarde met isolatiemaatregel</t>
  </si>
  <si>
    <t>Niet van toepassing of &gt; 24 maanden geleden</t>
  </si>
  <si>
    <t>Plaatsing ventilatiesysteem binnen 24 maanden na uitvoering ISDE-isolatiemaatregel</t>
  </si>
  <si>
    <t>Energiezuinige ventilatie 2026</t>
  </si>
  <si>
    <t>Samengestelde categorie-omschrijving 2026</t>
  </si>
  <si>
    <t>Vast bedrag 2026</t>
  </si>
  <si>
    <t>Geen energiezuinige ventilatie Niet van toepassing</t>
  </si>
  <si>
    <t>Geen energiezuinige ventilatie 2026</t>
  </si>
  <si>
    <t>Energiezuinige ventilatie Niet van toepassing</t>
  </si>
  <si>
    <t>4.2 Wilt u een extra warmtepomp(boiler) laten installeren?</t>
  </si>
  <si>
    <t xml:space="preserve">Bij een tweede en volgende lucht-waterwarmtepomp is in het subsidiebedrag geen starttarief opgenomen. </t>
  </si>
  <si>
    <t xml:space="preserve">Bij de categorie luchtwater-warmtepomp 1-70 kW wordt alleen een bonus toegekend voor een A+++ label of hoger als u voor de eerste luchtwater-warmtepomp 1-70 kW geen labelbonus heeft ontvangen.    </t>
  </si>
  <si>
    <t>Keuzelijst warmtepomp2</t>
  </si>
  <si>
    <t>Keuzelijst warmtepomp 1</t>
  </si>
  <si>
    <t>2024 en ≤  24 maanden geleden</t>
  </si>
  <si>
    <t>Lucht-water &lt; 1 kW Energieklasse A+++ of hoger 2024 en ≤  24 maanden geleden</t>
  </si>
  <si>
    <t>Lucht-water &lt; 1 kW Energieklasse A++ 2024 en ≤  24 maanden geleden</t>
  </si>
  <si>
    <t>Lucht-water &lt; 1 kW Energieklasse A+ 2024 en ≤  24 maanden geleden</t>
  </si>
  <si>
    <t>Lucht-water &lt; 1 kW Energieklasse A t/m G 2024 en ≤  24 maanden geleden</t>
  </si>
  <si>
    <t>Lucht-water ≥ 1 kW en ≤ 70 kW Energieklasse A+++ of hoger 2024 en ≤  24 maanden geleden</t>
  </si>
  <si>
    <t>Lucht-water ≥ 1 kW en ≤ 70 kW Energieklasse A++ 2024 en ≤  24 maanden geleden</t>
  </si>
  <si>
    <t>Lucht-water ≥ 1 kW en ≤ 70 kW Energieklasse A+ 2024 en ≤  24 maanden geleden</t>
  </si>
  <si>
    <t>Lucht-water ≥ 1 kW en ≤ 70 kW Energieklasse A t/m G 2024 en ≤  24 maanden geleden</t>
  </si>
  <si>
    <t>Lucht-water ≥ 71 kW en ≤ 400 kW Niet van toepassing 2024 en ≤  24 maanden geleden</t>
  </si>
  <si>
    <t>Lucht-water ≥ 71 kW en ≤ 400 kW Energieklasse A+++ of hoger 2024 en ≤  24 maanden geleden</t>
  </si>
  <si>
    <t>Lucht-water ≥ 71 kW en ≤ 400 kW Energieklasse A++ 2024 en ≤  24 maanden geleden</t>
  </si>
  <si>
    <t>Lucht-water ≥ 71 kW en ≤ 400 kW Energieklasse A+ 2024 en ≤  24 maanden geleden</t>
  </si>
  <si>
    <t>Lucht-water ≥ 71 kW en ≤ 400 kW Energieklasse A t/m G 2024 en ≤  24 maanden geleden</t>
  </si>
  <si>
    <t>Grond-water &lt; 1 kW Energieklasse A+++ of hoger 2024 en ≤  24 maanden geleden</t>
  </si>
  <si>
    <t>Grond-water &lt; 1 kW Energieklasse A++ 2024 en ≤  24 maanden geleden</t>
  </si>
  <si>
    <t>Grond-water &lt; 1 kW Energieklasse A+ 2024 en ≤  24 maanden geleden</t>
  </si>
  <si>
    <t>Grond-water &lt; 1 kW Energieklasse A t/m G 2024 en ≤  24 maanden geleden</t>
  </si>
  <si>
    <t>Grond-water ≥ 1 kW en &lt; 10 kW Energieklasse A+++ of hoger 2024 en ≤  24 maanden geleden</t>
  </si>
  <si>
    <t>Grond-water ≥ 1 kW en &lt; 10 kW Energieklasse A++ 2024 en ≤  24 maanden geleden</t>
  </si>
  <si>
    <t>Grond-water ≥ 1 kW en &lt; 10 kW Energieklasse A+ 2024 en ≤  24 maanden geleden</t>
  </si>
  <si>
    <t>Grond-water ≥ 1 kW en &lt; 10 kW Energieklasse A t/m G 2024 en ≤  24 maanden geleden</t>
  </si>
  <si>
    <t>Grond-water ≥ 10 kW en ≤ 70 kW Energieklasse A+++ of hoger 2024 en ≤  24 maanden geleden</t>
  </si>
  <si>
    <t>Grond-water ≥ 10 kW en ≤ 70 kW Energieklasse A++ 2024 en ≤  24 maanden geleden</t>
  </si>
  <si>
    <t>Grond-water ≥ 10 kW en ≤ 70 kW Energieklasse A+ 2024 en ≤  24 maanden geleden</t>
  </si>
  <si>
    <t>Grond-water ≥ 10 kW en ≤ 70 kW Energieklasse A t/m G 2024 en ≤  24 maanden geleden</t>
  </si>
  <si>
    <t>Grond-water ≥ 71 kW en ≤ 400 kW Niet van toepassing 2024 en ≤  24 maanden geleden</t>
  </si>
  <si>
    <t>Grond-water ≥ 71 kW en ≤ 400 kW Energieklasse A+++ of hoger 2024 en ≤  24 maanden geleden</t>
  </si>
  <si>
    <t>Grond-water ≥ 71 kW en ≤ 400 kW Energieklasse A++ 2024 en ≤  24 maanden geleden</t>
  </si>
  <si>
    <t>Grond-water ≥ 71 kW en ≤ 400 kW Energieklasse A+ 2024 en ≤  24 maanden geleden</t>
  </si>
  <si>
    <t>Grond-water ≥ 71 kW en ≤ 400 kW Energieklasse A t/m G 2024 en ≤  24 maanden geleden</t>
  </si>
  <si>
    <t>Water-water &lt; 1 kW Energieklasse A+++ of hoger 2024 en ≤  24 maanden geleden</t>
  </si>
  <si>
    <t>Water-water &lt; 1 kW Energieklasse A++ 2024 en ≤  24 maanden geleden</t>
  </si>
  <si>
    <t>Water-water &lt; 1 kW Energieklasse A+ 2024 en ≤  24 maanden geleden</t>
  </si>
  <si>
    <t>Water-water &lt; 1 kW Energieklasse A t/m G 2024 en ≤  24 maanden geleden</t>
  </si>
  <si>
    <t>Water-water ≥ 1 kW en &lt; 10 kW Energieklasse A+++ of hoger 2024 en ≤  24 maanden geleden</t>
  </si>
  <si>
    <t>Water-water ≥ 1 kW en &lt; 10 kW Energieklasse A++ 2024 en ≤  24 maanden geleden</t>
  </si>
  <si>
    <t>Water-water ≥ 1 kW en &lt; 10 kW Energieklasse A+ 2024 en ≤  24 maanden geleden</t>
  </si>
  <si>
    <t>Water-water ≥ 1 kW en &lt; 10 kW Energieklasse A t/m G 2024 en ≤  24 maanden geleden</t>
  </si>
  <si>
    <t>Water-water ≥ 10 kW en ≤ 70 kW Energieklasse A+++ of hoger 2024 en ≤  24 maanden geleden</t>
  </si>
  <si>
    <t>Water-water ≥ 10 kW en ≤ 70 kW Energieklasse A++ 2024 en ≤  24 maanden geleden</t>
  </si>
  <si>
    <t>Water-water ≥ 10 kW en ≤ 70 kW Energieklasse A+ 2024 en ≤  24 maanden geleden</t>
  </si>
  <si>
    <t>Water-water ≥ 10 kW en ≤ 70 kW Energieklasse A t/m G 2024 en ≤  24 maanden geleden</t>
  </si>
  <si>
    <t>Water-water ≥ 71 kW en ≤ 400 kW Niet van toepassing 2024 en ≤  24 maanden geleden</t>
  </si>
  <si>
    <t>Water-water ≥ 71 kW en ≤ 400 kW Energieklasse A+++ of hoger 2024 en ≤  24 maanden geleden</t>
  </si>
  <si>
    <t>Water-water ≥ 71 kW en ≤ 400 kW Energieklasse A++ 2024 en ≤  24 maanden geleden</t>
  </si>
  <si>
    <t>Water-water ≥ 71 kW en ≤ 400 kW Energieklasse A+ 2024 en ≤  24 maanden geleden</t>
  </si>
  <si>
    <t>Water-water ≥ 71 kW en ≤ 400 kW Energieklasse A t/m G 2024 en ≤  24 maanden geleden</t>
  </si>
  <si>
    <t>Warmtepomp 2026 met tarief 2024</t>
  </si>
  <si>
    <t>Samengestelde categorie-omschrijving  2026 (aanschaf 2024 WP lucht-water 1-70 kW, vermogen &lt; 13 kW)</t>
  </si>
  <si>
    <t>Lucht-water ≥ 1 kW en ≤ 70 kW Energieklasse A+++ of hoger 20262024</t>
  </si>
  <si>
    <t>Lucht-water ≥ 1 kW en ≤ 70 kW Energieklasse A++ 20262024</t>
  </si>
  <si>
    <t>Lucht-water ≥ 1 kW en ≤ 70 kW Energieklasse A+ 20262024</t>
  </si>
  <si>
    <t>Lucht-water ≥ 1 kW en ≤ 70 kW Energieklasse A t/m G 20262024</t>
  </si>
  <si>
    <t>Warmtepomp 2026 met tarief 2025</t>
  </si>
  <si>
    <t>Samengestelde categorie-omschrijving  2026 (aanschaf 2025 WP lucht-water 1-70 kW, vermogen &lt; 13 kW)</t>
  </si>
  <si>
    <t>Lucht-water ≥ 1 kW en ≤ 70 kW Energieklasse A+++ of hoger 20262025</t>
  </si>
  <si>
    <t>Lucht-water ≥ 1 kW en ≤ 70 kW Energieklasse A++ 20262025</t>
  </si>
  <si>
    <t>Lucht-water ≥ 1 kW en ≤ 70 kW Energieklasse A+ 20262025</t>
  </si>
  <si>
    <t>Lucht-water ≥ 1 kW en ≤ 70 kW Energieklasse A t/m G 20262025</t>
  </si>
  <si>
    <t>Warmtepomp 2026</t>
  </si>
  <si>
    <r>
      <t xml:space="preserve">Samengestelde categorie-omschr.  2026 (lucht-water 1-70 kW, aanschaf 2024 verm. </t>
    </r>
    <r>
      <rPr>
        <b/>
        <sz val="11"/>
        <color theme="1"/>
        <rFont val="Aptos Narrow"/>
        <family val="2"/>
      </rPr>
      <t>≥</t>
    </r>
    <r>
      <rPr>
        <b/>
        <sz val="8.25"/>
        <color theme="1"/>
        <rFont val="Calibri"/>
        <family val="2"/>
      </rPr>
      <t xml:space="preserve"> 13 kW of aanschaf 2025</t>
    </r>
    <r>
      <rPr>
        <b/>
        <sz val="11"/>
        <color theme="1"/>
        <rFont val="Calibri"/>
        <family val="2"/>
        <scheme val="minor"/>
      </rPr>
      <t>)</t>
    </r>
  </si>
  <si>
    <t>Verhoging door energieklasse 2026</t>
  </si>
  <si>
    <t>Totaal vast bedrag 2026</t>
  </si>
  <si>
    <t>Extra bedrag/kW 2026</t>
  </si>
  <si>
    <t>Lucht-water &lt; 1 kW Energieklasse A+++ of hoger 2026</t>
  </si>
  <si>
    <t>Lucht-water &lt; 1 kW Energieklasse A++ 2026</t>
  </si>
  <si>
    <t>Lucht-water &lt; 1 kW Energieklasse A+ 2026</t>
  </si>
  <si>
    <t>Lucht-water &lt; 1 kW Energieklasse A t/m G 2026</t>
  </si>
  <si>
    <r>
      <t xml:space="preserve">Lucht-water </t>
    </r>
    <r>
      <rPr>
        <sz val="11"/>
        <color theme="1"/>
        <rFont val="Calibri"/>
        <family val="2"/>
      </rPr>
      <t>≥ 1 kW en ≤ 70 kW</t>
    </r>
    <r>
      <rPr>
        <sz val="11"/>
        <color theme="1"/>
        <rFont val="Calibri"/>
        <family val="2"/>
        <scheme val="minor"/>
      </rPr>
      <t xml:space="preserve"> (eerste warmtepomp)</t>
    </r>
  </si>
  <si>
    <t>Lucht-water ≥ 1 kW en ≤ 70 kW Energieklasse A+++ of hoger 20262026</t>
  </si>
  <si>
    <t>Lucht-water ≥ 1 kW en ≤ 70 kW Energieklasse A++ 20262026</t>
  </si>
  <si>
    <t>Lucht-water ≥ 1 kW en ≤ 70 kW Energieklasse A+ 20262026</t>
  </si>
  <si>
    <t>Lucht-water ≥ 1 kW en ≤ 70 kW Energieklasse A t/m G 20262026</t>
  </si>
  <si>
    <r>
      <t xml:space="preserve">Lucht-water </t>
    </r>
    <r>
      <rPr>
        <sz val="11"/>
        <color theme="1"/>
        <rFont val="Calibri"/>
        <family val="2"/>
      </rPr>
      <t>≥ 1 kW en ≤ 70 kW</t>
    </r>
    <r>
      <rPr>
        <sz val="11"/>
        <color theme="1"/>
        <rFont val="Calibri"/>
        <family val="2"/>
        <scheme val="minor"/>
      </rPr>
      <t xml:space="preserve"> (extra warmtepomp)</t>
    </r>
  </si>
  <si>
    <t>Lucht-water ≥ 1 kW en ≤ 70 kW Energieklasse A+++ of hoger 2026</t>
  </si>
  <si>
    <t>Lucht-water ≥ 1 kW en ≤ 70 kW Energieklasse A++ 2026</t>
  </si>
  <si>
    <t>Lucht-water ≥ 1 kW en ≤ 70 kW Energieklasse A+ 2026</t>
  </si>
  <si>
    <t>Lucht-water ≥ 1 kW en ≤ 70 kW Energieklasse A t/m G 2026</t>
  </si>
  <si>
    <r>
      <t xml:space="preserve">Lucht-water </t>
    </r>
    <r>
      <rPr>
        <sz val="11"/>
        <rFont val="Calibri"/>
        <family val="2"/>
      </rPr>
      <t>≥ 71 kW en ≤ 400 kW</t>
    </r>
    <r>
      <rPr>
        <sz val="11"/>
        <rFont val="Calibri"/>
        <family val="2"/>
        <scheme val="minor"/>
      </rPr>
      <t xml:space="preserve"> (eerste warmtepomp)</t>
    </r>
  </si>
  <si>
    <t>Lucht-water ≥ 71 kW en ≤ 400 kW Niet van toepassing 2026Eerste warmtepomp</t>
  </si>
  <si>
    <t>Lucht-water ≥ 71 kW en ≤ 400 kW Energieklasse A+++ of hoger 2026Eerste warmtepomp</t>
  </si>
  <si>
    <t>Lucht-water ≥ 71 kW en ≤ 400 kW Energieklasse A++ 2026Eerste warmtepomp</t>
  </si>
  <si>
    <t>Lucht-water ≥ 71 kW en ≤ 400 kW Energieklasse A+ 2026Eerste warmtepomp</t>
  </si>
  <si>
    <t>Lucht-water ≥ 71 kW en ≤ 400 kW Energieklasse A t/m G 2026Eerste warmtepomp</t>
  </si>
  <si>
    <r>
      <t xml:space="preserve">Lucht-water </t>
    </r>
    <r>
      <rPr>
        <sz val="11"/>
        <rFont val="Calibri"/>
        <family val="2"/>
      </rPr>
      <t>≥ 71 kW en ≤ 400 kW</t>
    </r>
    <r>
      <rPr>
        <sz val="11"/>
        <rFont val="Calibri"/>
        <family val="2"/>
        <scheme val="minor"/>
      </rPr>
      <t xml:space="preserve"> (extra warmtepomp)</t>
    </r>
  </si>
  <si>
    <t>Lucht-water ≥ 71 kW en ≤ 400 kW Niet van toepassing 2026</t>
  </si>
  <si>
    <t>Lucht-water ≥ 71 kW en ≤ 400 kW Energieklasse A+++ of hoger 2026</t>
  </si>
  <si>
    <t>Lucht-water ≥ 71 kW en ≤ 400 kW Energieklasse A++ 2026</t>
  </si>
  <si>
    <t>Lucht-water ≥ 71 kW en ≤ 400 kW Energieklasse A+ 2026</t>
  </si>
  <si>
    <t>Lucht-water ≥ 71 kW en ≤ 400 kW Energieklasse A t/m G 2026</t>
  </si>
  <si>
    <t>Grond-water &lt; 1 kW Energieklasse A+++ of hoger 2026</t>
  </si>
  <si>
    <t>Grond-water &lt; 1 kW Energieklasse A++ 2026</t>
  </si>
  <si>
    <t>Grond-water &lt; 1 kW Energieklasse A+ 2026</t>
  </si>
  <si>
    <t>Grond-water &lt; 1 kW Energieklasse A t/m G 2026</t>
  </si>
  <si>
    <t>Grond-water ≥ 1 kW en &lt; 10 kW Energieklasse A+++ of hoger 2026</t>
  </si>
  <si>
    <t>Grond-water ≥ 1 kW en &lt; 10 kW Energieklasse A++ 2026</t>
  </si>
  <si>
    <t>Grond-water ≥ 1 kW en &lt; 10 kW Energieklasse A+ 2026</t>
  </si>
  <si>
    <t>Grond-water ≥ 1 kW en &lt; 10 kW Energieklasse A t/m G 2026</t>
  </si>
  <si>
    <t>Grond-water ≥ 10 kW en ≤ 70 kW Energieklasse A+++ of hoger 2026</t>
  </si>
  <si>
    <t>Grond-water ≥ 10 kW en ≤ 70 kW Energieklasse A++ 2026</t>
  </si>
  <si>
    <t>Grond-water ≥ 10 kW en ≤ 70 kW Energieklasse A+ 2026</t>
  </si>
  <si>
    <t>Grond-water ≥ 10 kW en ≤ 70 kW Energieklasse A t/m G 2026</t>
  </si>
  <si>
    <t>Grond-water ≥ 71 kW en ≤ 400 kW Niet van toepassing 2026</t>
  </si>
  <si>
    <t>Grond-water ≥ 71 kW en ≤ 400 kW Energieklasse A+++ of hoger 2026</t>
  </si>
  <si>
    <t>Grond-water ≥ 71 kW en ≤ 400 kW Energieklasse A++ 2026</t>
  </si>
  <si>
    <t>Grond-water ≥ 71 kW en ≤ 400 kW Energieklasse A+ 2026</t>
  </si>
  <si>
    <t>Grond-water ≥ 71 kW en ≤ 400 kW Energieklasse A t/m G 2026</t>
  </si>
  <si>
    <t>Water-water &lt; 1 kW Energieklasse A+++ of hoger 2026</t>
  </si>
  <si>
    <t>Water-water &lt; 1 kW Energieklasse A++ 2026</t>
  </si>
  <si>
    <t>Water-water &lt; 1 kW Energieklasse A+ 2026</t>
  </si>
  <si>
    <t>Water-water &lt; 1 kW Energieklasse A t/m G 2026</t>
  </si>
  <si>
    <t>Water-water ≥ 1 kW en &lt; 10 kW Energieklasse A+++ of hoger 2026</t>
  </si>
  <si>
    <t>Water-water ≥ 1 kW en &lt; 10 kW Energieklasse A++2026</t>
  </si>
  <si>
    <t>Water-water ≥ 1 kW en &lt; 10 kW Energieklasse A+2026</t>
  </si>
  <si>
    <t>Water-water ≥ 1 kW en &lt; 10 kW Energieklasse A t/m G 2026</t>
  </si>
  <si>
    <t>Water-water ≥ 10 kW en ≤ 70 kW Energieklasse A+++ of hoger 2026</t>
  </si>
  <si>
    <t>Water-water ≥ 10 kW en ≤ 70 kW Energieklasse A++ 2026</t>
  </si>
  <si>
    <t>Water-water ≥ 10 kW en ≤ 70 kW Energieklasse A+ 2026</t>
  </si>
  <si>
    <t>Water-water ≥ 10 kW en ≤ 70 kW Energieklasse A t/m G 2026</t>
  </si>
  <si>
    <t>Water-water ≥ 71 kW en ≤ 400 kW Niet van toepassing 2026</t>
  </si>
  <si>
    <t>Water-water ≥ 71 kW en ≤ 400 kW Energieklasse A+++ of hoger 2026</t>
  </si>
  <si>
    <t>Water-water ≥ 71 kW en ≤ 400 kW Energieklasse A++ 2026</t>
  </si>
  <si>
    <t>Water-water ≥ 71 kW en ≤ 400 kW Energieklasse A+ 2026</t>
  </si>
  <si>
    <t>Water-water ≥ 71 kW en ≤ 400 kW Energieklasse A t/m G 2026</t>
  </si>
  <si>
    <t>Lucht-water ≥ 1 kW en ≤ 70 kW</t>
  </si>
  <si>
    <t>Lucht-water ≥ 71 kW en ≤ 400 kW</t>
  </si>
  <si>
    <t>Grond-water ≥ 10 kW en ≤ 70 kW</t>
  </si>
  <si>
    <t>Grond-water ≥ 71 kW en ≤ 400 kW</t>
  </si>
  <si>
    <t>Water-water ≥ 10 kW en ≤ 70 kW</t>
  </si>
  <si>
    <t>Water-water ≥ 71 kW en ≤ 400 kW</t>
  </si>
  <si>
    <t>Hulpcellen voor invulveld opdrachtdatum warmtepomp</t>
  </si>
  <si>
    <r>
      <t>Vermogen (indien ingevuld, in kW</t>
    </r>
    <r>
      <rPr>
        <b/>
        <sz val="12"/>
        <color theme="1"/>
        <rFont val="Calibri"/>
        <family val="2"/>
      </rPr>
      <t>)</t>
    </r>
  </si>
  <si>
    <t xml:space="preserve">Energiezuinig ventilatiesysteem </t>
  </si>
  <si>
    <t>Afvoerventilatie-unit met CO2-sturing of balansventilatiesysteem met warmteterugwinning</t>
  </si>
  <si>
    <t/>
  </si>
  <si>
    <t xml:space="preserve">Extra warmtepomp </t>
  </si>
  <si>
    <t xml:space="preserve">Als u al ISDE-subsidie hebt ontvangen voor een eerdere installatie van een warmtepomp, gaat u naar de optie 4.2 Extra warmtepomp.    </t>
  </si>
  <si>
    <t>Keuzelijst voor-of achterzetbeglazing U ≤ 5,8 W/m2K</t>
  </si>
  <si>
    <t>Geen voor-of achterzetbeglazing U ≤ 5,8 W/m2K</t>
  </si>
  <si>
    <t>Keuzelijst datum uitvoering voor-of achterzetbeglazing U ≤ 5,8 W/m2K</t>
  </si>
  <si>
    <t>Samengestelde categorie-omschrijvingen t.b.v. zoeken in tabellen voor-of achterzetbeglazing U ≤ 5,8 W/m2K</t>
  </si>
  <si>
    <t>Subtellertje glasopties m2 (12  glasopties x 1 of 2 periodes = 19 opties )</t>
  </si>
  <si>
    <t>Volgorde toekenning  glas bij &gt; 45 m2 (Nieuw)</t>
  </si>
  <si>
    <t>Geen voor-of achterzetbeglazing U ≤ 5,8 W/m2K ONWAAR</t>
  </si>
  <si>
    <t>Voor-of achterzetbeglazing U ≤ 5,8 W/m2K ONWAAR</t>
  </si>
  <si>
    <t>Triple glas 2024 én ≤ 24 maanden geleden</t>
  </si>
  <si>
    <t>Isolerende glasmaatregel 2024 én ≤ 24 maanden geleden</t>
  </si>
  <si>
    <t xml:space="preserve">Samengestelde categorie-omschrijving 2024 én ≤ 24 maanden geleden </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</si>
  <si>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2024 én ≤ 24 maanden geleden</t>
    </r>
  </si>
  <si>
    <t>Geen Triple glas 2024 én ≤ 24 maanden geleden</t>
  </si>
  <si>
    <t>Geen HR++ glas 2024 én ≤ 24 maanden geleden</t>
  </si>
  <si>
    <t>Geen HR-glas of voor-of achterzetbeglazing U ≤ 2,0 W/m2K 2024 én ≤ 24 maanden geleden</t>
  </si>
  <si>
    <t>Geen HR-glas of voor-of achterzetbeglazing U ≤ 3,0 W/m2K 2024 én ≤ 24 maanden geleden</t>
  </si>
  <si>
    <t>Geen Isolerende deuren, U ≤ 1,0 W/m2K 2024 én ≤ 24 maanden geleden</t>
  </si>
  <si>
    <t>Geen Isolerende deuren, U ≤ 1,5 W/m2K 2024 én ≤ 24 maanden geleden</t>
  </si>
  <si>
    <t>Geen Isolerende deuren, U ≤ 2,0 W/m2K 2024 én ≤ 24 maanden geleden</t>
  </si>
  <si>
    <t>HR++ glas 2024 én ≤ 24 maanden geleden</t>
  </si>
  <si>
    <t>HR-glas of voor-of achterzetbeglazing U ≤ 2,0 W/m2K 2024 én ≤ 24 maanden geleden</t>
  </si>
  <si>
    <t>HR-glas of voor-of achterzetbeglazing U ≤ 3,0 W/m2K 2024 én ≤ 24 maanden geleden</t>
  </si>
  <si>
    <t>Isolerende deuren, U ≤ 1,0 W/m2K 2024 én ≤ 24 maanden geleden</t>
  </si>
  <si>
    <t>Isolerende deuren, U ≤ 1,5 W/m2K 2024 én ≤ 24 maanden geleden</t>
  </si>
  <si>
    <t>Isolerende deuren, U ≤ 2,0 W/m2K 2024 én ≤ 24 maanden geleden</t>
  </si>
  <si>
    <t>Isolerende glasmaatregel Op of ná 1 januari 2024 én ≤ 24 maanden geleden</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</si>
  <si>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Op of ná 1 januari 2024</t>
    </r>
    <r>
      <rPr>
        <b/>
        <sz val="11"/>
        <rFont val="Calibri"/>
        <family val="2"/>
        <scheme val="minor"/>
      </rPr>
      <t xml:space="preserve"> én ≤ 24 maanden geleden</t>
    </r>
  </si>
  <si>
    <t>Geen Isolerende panelen, U ≤ 0,7 W/m2K Op of ná 1 januari 2024 én ≤ 24 maanden geleden</t>
  </si>
  <si>
    <t>Geen Isolerende panelen, U ≤ 1,2 W/m2K Op of ná 1 januari 2024 én ≤ 24 maanden geleden</t>
  </si>
  <si>
    <t>Isolerende panelen, U ≤ 0,7 W/m2K Op of ná 1 januari 2024 én ≤ 24 maanden geleden</t>
  </si>
  <si>
    <r>
      <t>Isolerende panelen, U ≤ 2,0 W/m</t>
    </r>
    <r>
      <rPr>
        <vertAlign val="superscript"/>
        <sz val="11"/>
        <color theme="1"/>
        <rFont val="Calibri"/>
        <family val="2"/>
        <scheme val="minor"/>
      </rPr>
      <t>2</t>
    </r>
    <r>
      <rPr>
        <sz val="11"/>
        <color theme="1"/>
        <rFont val="Calibri"/>
        <family val="2"/>
        <scheme val="minor"/>
      </rPr>
      <t>K Op of ná 1 januari 2024 én ≤ 24 maanden geleden</t>
    </r>
  </si>
  <si>
    <r>
      <t>Isolerende panelen, U ≤ 3,0 W/m</t>
    </r>
    <r>
      <rPr>
        <vertAlign val="superscript"/>
        <sz val="11"/>
        <color theme="1"/>
        <rFont val="Calibri"/>
        <family val="2"/>
        <scheme val="minor"/>
      </rPr>
      <t>2</t>
    </r>
    <r>
      <rPr>
        <sz val="11"/>
        <color theme="1"/>
        <rFont val="Calibri"/>
        <family val="2"/>
        <scheme val="minor"/>
      </rPr>
      <t>K Op of ná 1 januari 2024 én ≤ 24 maanden geleden</t>
    </r>
  </si>
  <si>
    <r>
      <t>Geen Isolerende panelen, U ≤ 2,0 W/m</t>
    </r>
    <r>
      <rPr>
        <vertAlign val="superscript"/>
        <sz val="11"/>
        <color theme="1"/>
        <rFont val="Calibri"/>
        <family val="2"/>
        <scheme val="minor"/>
      </rPr>
      <t>2</t>
    </r>
    <r>
      <rPr>
        <sz val="11"/>
        <color theme="1"/>
        <rFont val="Calibri"/>
        <family val="2"/>
        <scheme val="minor"/>
      </rPr>
      <t>K Op of ná 1 januari 2024 én ≤ 24 maanden geleden</t>
    </r>
  </si>
  <si>
    <r>
      <t>Geen Isolerende panelen, U ≤ 3,0 W/m</t>
    </r>
    <r>
      <rPr>
        <vertAlign val="superscript"/>
        <sz val="11"/>
        <color theme="1"/>
        <rFont val="Calibri"/>
        <family val="2"/>
        <scheme val="minor"/>
      </rPr>
      <t>2</t>
    </r>
    <r>
      <rPr>
        <sz val="11"/>
        <color theme="1"/>
        <rFont val="Calibri"/>
        <family val="2"/>
        <scheme val="minor"/>
      </rPr>
      <t>K Op of ná 1 januari 2024 én ≤ 24 maanden geleden</t>
    </r>
  </si>
  <si>
    <t>Isolerende panelen, U ≤ 1,2 W/m2K Op of ná 1 januari 2024 én ≤ 24 maanden geleden</t>
  </si>
  <si>
    <t>Isolerende glasmaatregel 2025-2026</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</si>
  <si>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2025-</t>
    </r>
    <r>
      <rPr>
        <sz val="11"/>
        <rFont val="Calibri"/>
        <family val="2"/>
        <scheme val="minor"/>
      </rPr>
      <t>2026</t>
    </r>
  </si>
  <si>
    <t>Geen Triple glas 2025-2026</t>
  </si>
  <si>
    <t>Geen HR++ glas 2025-2026</t>
  </si>
  <si>
    <t>Geen HR-glas of voor-of achterzetbeglazing U ≤ 2,0 W/m2K 2025-2026</t>
  </si>
  <si>
    <t>Geen HR-glas of voor-of achterzetbeglazing U ≤ 3,0 W/m2K 2025-2026</t>
  </si>
  <si>
    <t>Triple glas 2025-2026</t>
  </si>
  <si>
    <t>HR++ glas 2025-2026</t>
  </si>
  <si>
    <t>HR-glas of voor-of achterzetbeglazing U ≤ 2,0 W/m2K 2025-2026</t>
  </si>
  <si>
    <t>HR-glas of voor-of achterzetbeglazing U ≤ 3,0 W/m2K 2025-2026</t>
  </si>
  <si>
    <t>Isolerende glasmaatregel 2026</t>
  </si>
  <si>
    <t>Geen voor-of achterzetbeglazing U ≤ 5,8 W/m2K 2026</t>
  </si>
  <si>
    <t>Voor-of achterzetbeglazing U ≤ 5,8 W/m2K 2026</t>
  </si>
  <si>
    <t>Geen Isolerende deuren, U ≤ 1,0 W/m2K 2025-2026</t>
  </si>
  <si>
    <t>Geen Isolerende deuren, U ≤ 1,5 W/m2K 2025-2026</t>
  </si>
  <si>
    <t>Geen Isolerende deuren, U ≤ 2,0 W/m2K 2025-2026</t>
  </si>
  <si>
    <t>Isolerende deuren, U ≤ 1,0 W/m2K 2025-2026</t>
  </si>
  <si>
    <t>Isolerende deuren, U ≤ 1,5 W/m2K 2025-2026</t>
  </si>
  <si>
    <t>Isolerende deuren, U ≤ 2,0 W/m2K 2025-2026</t>
  </si>
  <si>
    <t xml:space="preserve">Tarieventabel monumenten glasisolatie  (50%) </t>
  </si>
  <si>
    <t>Tarieventabel monumenten isolatie  (50%)</t>
  </si>
  <si>
    <t xml:space="preserve">4. Heeft u reeds eerder ISDE-subsidie ontvangen voor een warmtepomp? </t>
  </si>
  <si>
    <t>Voorloopvraag warmtepompen</t>
  </si>
  <si>
    <t>Ja, lucht-water ≥ 1 kW en ≤ 70 kW met labelbonus</t>
  </si>
  <si>
    <t>Ja, lucht-water ≥ 1 kW en ≤ 70 kW zonder labelbonus</t>
  </si>
  <si>
    <t>Ja, lucht-water ≥ 71 kW en ≤ 400 kW</t>
  </si>
  <si>
    <t xml:space="preserve"> (versie februari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</si>
</sst>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5">
    <font>
      <sz val="11"/>
      <color theme="1"/>
      <name val="Calibri"/>
      <family val="2"/>
      <scheme val="minor"/>
    </font>
    <font>
      <sz val="11"/>
      <color theme="1"/>
      <name val="Calibri"/>
      <family val="2"/>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u/>
      <sz val="11"/>
      <color theme="10"/>
      <name val="Calibri"/>
      <family val="2"/>
      <scheme val="minor"/>
    </font>
    <font>
      <b/>
      <sz val="24"/>
      <name val="Sans"/>
    </font>
    <font>
      <sz val="12"/>
      <name val="Sans"/>
    </font>
    <font>
      <sz val="18"/>
      <name val="Sans"/>
    </font>
    <font>
      <u/>
      <sz val="11"/>
      <name val="Calibri"/>
      <family val="2"/>
      <scheme val="minor"/>
    </font>
    <font>
      <b/>
      <sz val="11"/>
      <color theme="1"/>
      <name val="Calibri"/>
      <family val="2"/>
      <scheme val="minor"/>
    </font>
    <font>
      <sz val="11"/>
      <color rgb="FFFF0000"/>
      <name val="Calibri"/>
      <family val="2"/>
      <scheme val="minor"/>
    </font>
    <font>
      <sz val="11"/>
      <color theme="1"/>
      <name val="Calibri"/>
      <family val="2"/>
    </font>
    <font>
      <sz val="8"/>
      <name val="Calibri"/>
      <family val="2"/>
      <scheme val="minor"/>
    </font>
    <font>
      <b/>
      <sz val="11"/>
      <color theme="1"/>
      <name val="Calibri"/>
      <family val="2"/>
    </font>
    <font>
      <vertAlign val="superscript"/>
      <sz val="11"/>
      <color theme="1"/>
      <name val="Calibri"/>
      <family val="2"/>
    </font>
    <font>
      <b/>
      <vertAlign val="superscript"/>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vertAlign val="superscript"/>
      <sz val="11"/>
      <color theme="1"/>
      <name val="Calibri"/>
      <family val="2"/>
    </font>
    <font>
      <vertAlign val="superscript"/>
      <sz val="11"/>
      <color theme="1"/>
      <name val="Calibri"/>
      <family val="2"/>
      <scheme val="minor"/>
    </font>
    <font>
      <sz val="11"/>
      <name val="Calibri"/>
      <family val="2"/>
    </font>
    <font>
      <b/>
      <sz val="14"/>
      <color theme="1"/>
      <name val="Calibri"/>
      <family val="2"/>
      <scheme val="minor"/>
    </font>
    <font>
      <b/>
      <sz val="12"/>
      <color rgb="FF000000"/>
      <name val="Sans"/>
    </font>
    <font>
      <b/>
      <sz val="14"/>
      <name val="Calibri"/>
      <family val="2"/>
      <scheme val="minor"/>
    </font>
    <font>
      <sz val="9"/>
      <color indexed="81"/>
      <name val="Tahoma"/>
      <family val="2"/>
    </font>
    <font>
      <b/>
      <sz val="9"/>
      <color indexed="81"/>
      <name val="Tahoma"/>
      <family val="2"/>
    </font>
    <font>
      <sz val="18"/>
      <color rgb="FF000000"/>
      <name val="Sans"/>
    </font>
    <font>
      <sz val="11"/>
      <color rgb="FF000000"/>
      <name val="Calibri"/>
      <family val="2"/>
    </font>
    <font>
      <sz val="11"/>
      <color rgb="FFC00000"/>
      <name val="Calibri"/>
      <family val="2"/>
      <scheme val="minor"/>
    </font>
    <font>
      <b/>
      <sz val="11"/>
      <color rgb="FFC00000"/>
      <name val="Calibri"/>
      <family val="2"/>
      <scheme val="minor"/>
    </font>
    <font>
      <b/>
      <sz val="11"/>
      <color rgb="FFD4351C"/>
      <name val="Calibri"/>
      <family val="2"/>
      <scheme val="minor"/>
    </font>
    <font>
      <sz val="11"/>
      <color theme="0"/>
      <name val="Calibri"/>
      <family val="2"/>
      <scheme val="minor"/>
    </font>
    <font>
      <sz val="8"/>
      <color rgb="FF000000"/>
      <name val="Segoe UI"/>
      <family val="2"/>
    </font>
    <font>
      <b/>
      <sz val="12"/>
      <color rgb="FFFF0000"/>
      <name val="Calibri"/>
      <family val="2"/>
      <scheme val="minor"/>
    </font>
    <font>
      <b/>
      <sz val="10"/>
      <color theme="1"/>
      <name val="Calibri"/>
      <family val="2"/>
      <scheme val="minor"/>
    </font>
    <font>
      <sz val="10"/>
      <color theme="0"/>
      <name val="Calibri"/>
      <family val="2"/>
      <scheme val="minor"/>
    </font>
    <font>
      <b/>
      <sz val="10"/>
      <color rgb="FFD4351C"/>
      <name val="Calibri"/>
      <family val="2"/>
      <scheme val="minor"/>
    </font>
    <font>
      <sz val="10"/>
      <color rgb="FF000000"/>
      <name val="Calibri"/>
      <family val="2"/>
    </font>
    <font>
      <sz val="16"/>
      <name val="Sans"/>
    </font>
    <font>
      <sz val="16"/>
      <color rgb="FF000000"/>
      <name val="Sans"/>
    </font>
    <font>
      <b/>
      <sz val="11"/>
      <color rgb="FF000000"/>
      <name val="Sans"/>
    </font>
    <font>
      <b/>
      <sz val="11"/>
      <name val="Sans"/>
    </font>
    <font>
      <vertAlign val="superscript"/>
      <sz val="10"/>
      <color theme="1"/>
      <name val="Calibri"/>
      <family val="2"/>
      <scheme val="minor"/>
    </font>
    <font>
      <sz val="10"/>
      <color theme="1"/>
      <name val="Calibri"/>
      <family val="2"/>
    </font>
    <font>
      <b/>
      <sz val="10"/>
      <color rgb="FFFF0000"/>
      <name val="Calibri"/>
      <family val="2"/>
      <scheme val="minor"/>
    </font>
    <font>
      <b/>
      <vertAlign val="superscript"/>
      <sz val="10"/>
      <color theme="1"/>
      <name val="Calibri"/>
      <family val="2"/>
      <scheme val="minor"/>
    </font>
    <font>
      <b/>
      <sz val="10"/>
      <color theme="1"/>
      <name val="Calibri"/>
      <family val="2"/>
    </font>
    <font>
      <sz val="10"/>
      <name val="Calibri"/>
      <family val="2"/>
      <scheme val="minor"/>
    </font>
    <font>
      <sz val="10"/>
      <name val="Calibri"/>
      <family val="2"/>
    </font>
    <font>
      <sz val="10"/>
      <name val="Sans"/>
    </font>
    <font>
      <sz val="10"/>
      <color rgb="FFC00000"/>
      <name val="Calibri"/>
      <family val="2"/>
      <scheme val="minor"/>
    </font>
    <font>
      <b/>
      <sz val="13"/>
      <color theme="1"/>
      <name val="Calibri"/>
      <family val="2"/>
      <scheme val="minor"/>
    </font>
    <font>
      <b/>
      <sz val="13"/>
      <color theme="1"/>
      <name val="Calibri"/>
      <family val="2"/>
    </font>
    <font>
      <b/>
      <sz val="22"/>
      <name val="Sans"/>
    </font>
    <font>
      <b/>
      <sz val="11"/>
      <color rgb="FF0070C0"/>
      <name val="Sans"/>
    </font>
    <font>
      <b/>
      <sz val="20"/>
      <color theme="1"/>
      <name val="Calibri"/>
      <family val="2"/>
      <scheme val="minor"/>
    </font>
    <font>
      <b/>
      <sz val="18"/>
      <color theme="1"/>
      <name val="Calibri"/>
      <family val="2"/>
      <scheme val="minor"/>
    </font>
    <font>
      <b/>
      <sz val="12"/>
      <color theme="1"/>
      <name val="Calibri"/>
      <family val="2"/>
      <scheme val="minor"/>
    </font>
    <font>
      <b/>
      <sz val="12"/>
      <color theme="1"/>
      <name val="Calibri"/>
      <family val="2"/>
    </font>
    <font>
      <i/>
      <sz val="11"/>
      <name val="Calibri"/>
      <family val="2"/>
      <scheme val="minor"/>
    </font>
    <font>
      <sz val="11"/>
      <color theme="1"/>
      <name val="Aptos Narrow"/>
      <family val="2"/>
    </font>
    <font>
      <vertAlign val="superscript"/>
      <sz val="11"/>
      <name val="Calibri"/>
      <family val="2"/>
      <scheme val="minor"/>
    </font>
    <font>
      <b/>
      <sz val="11"/>
      <name val="Aptos Narrow"/>
      <family val="2"/>
    </font>
    <font>
      <b/>
      <sz val="11"/>
      <name val="Calibri"/>
      <family val="2"/>
    </font>
    <font>
      <b/>
      <sz val="11"/>
      <color theme="1"/>
      <name val="Aptos Narrow"/>
      <family val="2"/>
    </font>
    <font>
      <b/>
      <sz val="8.25"/>
      <color theme="1"/>
      <name val="Calibri"/>
      <family val="2"/>
    </font>
    <font>
      <b/>
      <u/>
      <sz val="11"/>
      <color theme="10"/>
      <name val="Calibri"/>
      <family val="2"/>
      <scheme val="minor"/>
    </font>
    <font>
      <b/>
      <sz val="11"/>
      <color rgb="FFD4351C"/>
      <name val="__ROsans_ca772e"/>
    </font>
    <font>
      <sz val="10"/>
      <color theme="1"/>
      <name val="Aptos Narrow"/>
      <family val="2"/>
    </font>
    <font>
      <b/>
      <sz val="16"/>
      <color rgb="FFFF0000"/>
      <name val="Calibri"/>
      <family val="2"/>
      <scheme val="minor"/>
    </font>
    <font>
      <strike/>
      <sz val="11"/>
      <color theme="1"/>
      <name val="Calibri"/>
      <family val="2"/>
      <scheme val="minor"/>
    </font>
    <font>
      <b/>
      <strike/>
      <sz val="11"/>
      <color theme="1"/>
      <name val="Calibri"/>
      <family val="2"/>
      <scheme val="minor"/>
    </font>
    <font>
      <u/>
      <sz val="11"/>
      <color rgb="FF000000"/>
      <name val="Calibri"/>
      <family val="2"/>
      <scheme val="minor"/>
    </font>
    <font>
      <vertAlign val="subscript"/>
      <sz val="16"/>
      <name val="Sans"/>
    </font>
    <font>
      <sz val="12"/>
      <color theme="1"/>
      <name val="Calibri"/>
      <family val="2"/>
      <scheme val="minor"/>
    </font>
    <font>
      <b/>
      <sz val="14"/>
      <color rgb="FFD4351C"/>
      <name val="Calibri"/>
      <family val="2"/>
      <scheme val="minor"/>
    </font>
    <font>
      <sz val="11"/>
      <color rgb="FFD4351C"/>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8F8F8"/>
        <bgColor indexed="64"/>
      </patternFill>
    </fill>
    <fill>
      <patternFill patternType="solid">
        <fgColor rgb="FF007BC7"/>
        <bgColor indexed="64"/>
      </patternFill>
    </fill>
    <fill>
      <patternFill patternType="solid">
        <fgColor rgb="FF92D050"/>
        <bgColor indexed="64"/>
      </patternFill>
    </fill>
    <fill>
      <patternFill patternType="solid">
        <fgColor rgb="FF00B0F0"/>
        <bgColor indexed="64"/>
      </patternFill>
    </fill>
    <fill>
      <patternFill patternType="solid">
        <fgColor theme="6" tint="0.39997558519241921"/>
        <bgColor indexed="64"/>
      </patternFill>
    </fill>
    <fill>
      <patternFill patternType="solid">
        <fgColor rgb="FF8FCAE7"/>
        <bgColor indexed="64"/>
      </patternFill>
    </fill>
    <fill>
      <patternFill patternType="solid">
        <fgColor theme="9" tint="0.39997558519241921"/>
        <bgColor indexed="64"/>
      </patternFill>
    </fill>
    <fill>
      <patternFill patternType="solid">
        <fgColor rgb="FFA9D08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s>
  <cellStyleXfs count="2">
    <xf numFmtId="0" fontId="0" fillId="0" borderId="0"/>
    <xf numFmtId="0" fontId="11" fillId="0" borderId="0" applyNumberFormat="0" applyFill="0" applyBorder="0" applyAlignment="0" applyProtection="0"/>
  </cellStyleXfs>
  <cellXfs count="227">
    <xf numFmtId="0" fontId="0" fillId="0" borderId="0" xfId="0"/>
    <xf numFmtId="0" fontId="16" fillId="0" borderId="0" xfId="0" applyFont="1"/>
    <xf numFmtId="0" fontId="17" fillId="0" borderId="0" xfId="0" applyFont="1"/>
    <xf numFmtId="0" fontId="0" fillId="2" borderId="0" xfId="0" applyFill="1"/>
    <xf numFmtId="0" fontId="0" fillId="3" borderId="0" xfId="0" applyFill="1"/>
    <xf numFmtId="0" fontId="12" fillId="3" borderId="0" xfId="0" applyFont="1" applyFill="1"/>
    <xf numFmtId="0" fontId="15" fillId="3" borderId="0" xfId="1" applyFont="1" applyFill="1" applyAlignment="1" applyProtection="1">
      <alignment horizontal="left" vertical="center"/>
    </xf>
    <xf numFmtId="0" fontId="11" fillId="3" borderId="0" xfId="1" applyFill="1" applyAlignment="1" applyProtection="1">
      <alignment horizontal="left" vertical="center"/>
    </xf>
    <xf numFmtId="0" fontId="34" fillId="3" borderId="0" xfId="0" applyFont="1" applyFill="1" applyAlignment="1">
      <alignment vertical="center"/>
    </xf>
    <xf numFmtId="0" fontId="35" fillId="3" borderId="0" xfId="0" applyFont="1" applyFill="1" applyAlignment="1">
      <alignment vertical="center"/>
    </xf>
    <xf numFmtId="0" fontId="38" fillId="3" borderId="0" xfId="0" applyFont="1" applyFill="1"/>
    <xf numFmtId="0" fontId="24" fillId="3" borderId="0" xfId="0" applyFont="1" applyFill="1"/>
    <xf numFmtId="4" fontId="0" fillId="3" borderId="1" xfId="0" applyNumberFormat="1" applyFill="1" applyBorder="1"/>
    <xf numFmtId="0" fontId="0" fillId="3" borderId="0" xfId="0" applyFill="1" applyAlignment="1">
      <alignment horizontal="center"/>
    </xf>
    <xf numFmtId="3" fontId="0" fillId="3" borderId="0" xfId="0" applyNumberFormat="1" applyFill="1"/>
    <xf numFmtId="0" fontId="16" fillId="3" borderId="0" xfId="0" applyFont="1" applyFill="1" applyAlignment="1">
      <alignment vertical="center"/>
    </xf>
    <xf numFmtId="0" fontId="23" fillId="3" borderId="0" xfId="0" applyFont="1" applyFill="1"/>
    <xf numFmtId="0" fontId="0" fillId="3" borderId="0" xfId="0" applyFill="1" applyAlignment="1">
      <alignment horizontal="left"/>
    </xf>
    <xf numFmtId="0" fontId="14" fillId="3" borderId="0" xfId="0" applyFont="1" applyFill="1"/>
    <xf numFmtId="0" fontId="17" fillId="3" borderId="0" xfId="0" applyFont="1" applyFill="1"/>
    <xf numFmtId="0" fontId="36" fillId="3" borderId="0" xfId="0" applyFont="1" applyFill="1"/>
    <xf numFmtId="0" fontId="37" fillId="3" borderId="0" xfId="0" applyFont="1" applyFill="1" applyAlignment="1">
      <alignment wrapText="1"/>
    </xf>
    <xf numFmtId="0" fontId="36" fillId="3" borderId="0" xfId="0" applyFont="1" applyFill="1" applyAlignment="1">
      <alignment vertical="top"/>
    </xf>
    <xf numFmtId="0" fontId="0" fillId="3" borderId="0" xfId="0" applyFill="1" applyAlignment="1">
      <alignment vertical="top"/>
    </xf>
    <xf numFmtId="0" fontId="29" fillId="3" borderId="0" xfId="0" applyFont="1" applyFill="1"/>
    <xf numFmtId="0" fontId="18" fillId="0" borderId="0" xfId="0" applyFont="1"/>
    <xf numFmtId="0" fontId="25" fillId="5" borderId="0" xfId="0" applyFont="1" applyFill="1"/>
    <xf numFmtId="0" fontId="16" fillId="5" borderId="0" xfId="0" applyFont="1" applyFill="1"/>
    <xf numFmtId="0" fontId="25" fillId="5" borderId="0" xfId="0" applyFont="1" applyFill="1" applyAlignment="1">
      <alignment horizontal="right"/>
    </xf>
    <xf numFmtId="0" fontId="16" fillId="5" borderId="0" xfId="0" applyFont="1" applyFill="1" applyAlignment="1">
      <alignment horizontal="right"/>
    </xf>
    <xf numFmtId="0" fontId="0" fillId="5" borderId="0" xfId="0" applyFill="1"/>
    <xf numFmtId="0" fontId="0" fillId="5" borderId="0" xfId="0" applyFill="1" applyAlignment="1">
      <alignment horizontal="right"/>
    </xf>
    <xf numFmtId="0" fontId="24" fillId="5" borderId="0" xfId="0" applyFont="1" applyFill="1"/>
    <xf numFmtId="4" fontId="0" fillId="3" borderId="0" xfId="0" applyNumberFormat="1" applyFill="1"/>
    <xf numFmtId="0" fontId="24" fillId="5" borderId="0" xfId="0" applyFont="1" applyFill="1" applyAlignment="1">
      <alignment horizontal="right"/>
    </xf>
    <xf numFmtId="1" fontId="39" fillId="4" borderId="1" xfId="0" applyNumberFormat="1" applyFont="1" applyFill="1" applyBorder="1" applyProtection="1">
      <protection locked="0"/>
    </xf>
    <xf numFmtId="0" fontId="13" fillId="3" borderId="0" xfId="0" applyFont="1" applyFill="1" applyAlignment="1">
      <alignment vertical="center" wrapText="1"/>
    </xf>
    <xf numFmtId="0" fontId="0" fillId="3" borderId="0" xfId="0" applyFill="1" applyAlignment="1">
      <alignment vertical="top" wrapText="1"/>
    </xf>
    <xf numFmtId="0" fontId="24" fillId="3" borderId="0" xfId="0" applyFont="1" applyFill="1" applyAlignment="1">
      <alignment vertical="top" wrapText="1"/>
    </xf>
    <xf numFmtId="0" fontId="0" fillId="3" borderId="0" xfId="0" applyFill="1" applyAlignment="1">
      <alignment wrapText="1"/>
    </xf>
    <xf numFmtId="0" fontId="15" fillId="3" borderId="0" xfId="1" applyFont="1" applyFill="1" applyAlignment="1" applyProtection="1">
      <alignment horizontal="left" vertical="center" wrapText="1"/>
    </xf>
    <xf numFmtId="0" fontId="0" fillId="3" borderId="0" xfId="0" applyFill="1" applyAlignment="1">
      <alignment vertical="center"/>
    </xf>
    <xf numFmtId="0" fontId="30" fillId="3" borderId="0" xfId="0" applyFont="1" applyFill="1" applyAlignment="1">
      <alignment vertical="center" wrapText="1"/>
    </xf>
    <xf numFmtId="0" fontId="16" fillId="3" borderId="0" xfId="0" applyFont="1" applyFill="1" applyAlignment="1">
      <alignment wrapText="1"/>
    </xf>
    <xf numFmtId="0" fontId="10" fillId="3" borderId="0" xfId="0" applyFont="1" applyFill="1"/>
    <xf numFmtId="0" fontId="42" fillId="3" borderId="0" xfId="0" applyFont="1" applyFill="1"/>
    <xf numFmtId="0" fontId="42" fillId="3" borderId="0" xfId="0" applyFont="1" applyFill="1" applyAlignment="1">
      <alignment horizontal="left" vertical="center"/>
    </xf>
    <xf numFmtId="0" fontId="45" fillId="3" borderId="0" xfId="0" applyFont="1" applyFill="1" applyAlignment="1">
      <alignment vertical="center"/>
    </xf>
    <xf numFmtId="0" fontId="46" fillId="3" borderId="0" xfId="0" applyFont="1" applyFill="1" applyAlignment="1">
      <alignment vertical="center"/>
    </xf>
    <xf numFmtId="0" fontId="47" fillId="3" borderId="0" xfId="0" applyFont="1" applyFill="1" applyAlignment="1">
      <alignment vertical="center"/>
    </xf>
    <xf numFmtId="0" fontId="49"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vertical="top" wrapText="1"/>
    </xf>
    <xf numFmtId="0" fontId="10" fillId="3" borderId="0" xfId="0" applyFont="1" applyFill="1" applyAlignment="1">
      <alignment horizontal="left" vertical="top" wrapText="1"/>
    </xf>
    <xf numFmtId="0" fontId="10" fillId="3" borderId="1" xfId="0" applyFont="1" applyFill="1" applyBorder="1" applyAlignment="1">
      <alignment horizontal="center"/>
    </xf>
    <xf numFmtId="43" fontId="10" fillId="3" borderId="1" xfId="0" applyNumberFormat="1" applyFont="1" applyFill="1" applyBorder="1"/>
    <xf numFmtId="0" fontId="43" fillId="4" borderId="1" xfId="0" applyFont="1" applyFill="1" applyBorder="1" applyAlignment="1" applyProtection="1">
      <alignment horizontal="right"/>
      <protection locked="0"/>
    </xf>
    <xf numFmtId="0" fontId="10" fillId="3" borderId="1" xfId="0" applyFont="1" applyFill="1" applyBorder="1"/>
    <xf numFmtId="4" fontId="10" fillId="3" borderId="1" xfId="0" applyNumberFormat="1" applyFont="1" applyFill="1" applyBorder="1"/>
    <xf numFmtId="0" fontId="10" fillId="3" borderId="0" xfId="0" applyFont="1" applyFill="1" applyAlignment="1">
      <alignment horizontal="center"/>
    </xf>
    <xf numFmtId="43" fontId="10" fillId="3" borderId="0" xfId="0" applyNumberFormat="1" applyFont="1" applyFill="1"/>
    <xf numFmtId="4" fontId="10" fillId="3" borderId="0" xfId="0" applyNumberFormat="1" applyFont="1" applyFill="1"/>
    <xf numFmtId="0" fontId="10" fillId="3" borderId="0" xfId="0" applyFont="1" applyFill="1" applyAlignment="1">
      <alignment wrapText="1"/>
    </xf>
    <xf numFmtId="0" fontId="52" fillId="3" borderId="0" xfId="0" applyFont="1" applyFill="1"/>
    <xf numFmtId="0" fontId="10" fillId="3" borderId="0" xfId="0" applyFont="1" applyFill="1" applyAlignment="1">
      <alignment horizontal="left" wrapText="1"/>
    </xf>
    <xf numFmtId="0" fontId="43" fillId="4" borderId="1" xfId="0" applyFont="1" applyFill="1" applyBorder="1" applyProtection="1">
      <protection locked="0"/>
    </xf>
    <xf numFmtId="0" fontId="42" fillId="3" borderId="0" xfId="0" applyFont="1" applyFill="1" applyAlignment="1">
      <alignment horizontal="right"/>
    </xf>
    <xf numFmtId="0" fontId="10" fillId="3" borderId="0" xfId="0" applyFont="1" applyFill="1" applyAlignment="1">
      <alignment horizontal="left"/>
    </xf>
    <xf numFmtId="0" fontId="10" fillId="3" borderId="0" xfId="0" applyFont="1" applyFill="1" applyAlignment="1">
      <alignment horizontal="right"/>
    </xf>
    <xf numFmtId="0" fontId="42" fillId="3" borderId="0" xfId="0" applyFont="1" applyFill="1" applyAlignment="1">
      <alignment horizontal="left"/>
    </xf>
    <xf numFmtId="0" fontId="55" fillId="3" borderId="0" xfId="0" applyFont="1" applyFill="1"/>
    <xf numFmtId="0" fontId="46" fillId="3" borderId="0" xfId="0" applyFont="1" applyFill="1"/>
    <xf numFmtId="0" fontId="55" fillId="3" borderId="0" xfId="0" applyFont="1" applyFill="1" applyAlignment="1">
      <alignment vertical="top" wrapText="1"/>
    </xf>
    <xf numFmtId="0" fontId="57" fillId="3" borderId="0" xfId="0" applyFont="1" applyFill="1"/>
    <xf numFmtId="0" fontId="58" fillId="3" borderId="0" xfId="0" applyFont="1" applyFill="1" applyAlignment="1">
      <alignment wrapText="1"/>
    </xf>
    <xf numFmtId="0" fontId="59" fillId="3" borderId="0" xfId="0" applyFont="1" applyFill="1"/>
    <xf numFmtId="0" fontId="44" fillId="3" borderId="0" xfId="0" applyFont="1" applyFill="1"/>
    <xf numFmtId="0" fontId="44" fillId="3" borderId="0" xfId="0" applyFont="1" applyFill="1" applyAlignment="1">
      <alignment vertical="top" wrapText="1"/>
    </xf>
    <xf numFmtId="0" fontId="54" fillId="3" borderId="0" xfId="0" applyFont="1" applyFill="1"/>
    <xf numFmtId="0" fontId="10" fillId="3" borderId="0" xfId="0" applyFont="1" applyFill="1" applyAlignment="1">
      <alignment vertical="top"/>
    </xf>
    <xf numFmtId="0" fontId="55" fillId="3" borderId="0" xfId="0" applyFont="1" applyFill="1" applyAlignment="1">
      <alignment vertical="top"/>
    </xf>
    <xf numFmtId="0" fontId="61" fillId="3" borderId="0" xfId="0" applyFont="1" applyFill="1"/>
    <xf numFmtId="0" fontId="43" fillId="3" borderId="0" xfId="0" applyFont="1" applyFill="1" applyAlignment="1">
      <alignment horizontal="right"/>
    </xf>
    <xf numFmtId="0" fontId="63" fillId="3" borderId="0" xfId="0" applyFont="1" applyFill="1"/>
    <xf numFmtId="0" fontId="0" fillId="3" borderId="5" xfId="0" applyFill="1" applyBorder="1"/>
    <xf numFmtId="0" fontId="0" fillId="3" borderId="6" xfId="0" applyFill="1" applyBorder="1"/>
    <xf numFmtId="4" fontId="0" fillId="3" borderId="6" xfId="0" applyNumberFormat="1" applyFill="1" applyBorder="1"/>
    <xf numFmtId="0" fontId="0" fillId="3" borderId="7" xfId="0" applyFill="1" applyBorder="1"/>
    <xf numFmtId="4" fontId="0" fillId="3" borderId="7" xfId="0" applyNumberFormat="1" applyFill="1" applyBorder="1"/>
    <xf numFmtId="0" fontId="0" fillId="3" borderId="7" xfId="0" applyFill="1" applyBorder="1" applyAlignment="1">
      <alignment vertical="center"/>
    </xf>
    <xf numFmtId="0" fontId="0" fillId="3" borderId="6" xfId="0" applyFill="1" applyBorder="1" applyAlignment="1">
      <alignment vertical="center"/>
    </xf>
    <xf numFmtId="0" fontId="0" fillId="3" borderId="5" xfId="0" applyFill="1" applyBorder="1" applyAlignment="1">
      <alignment vertical="center"/>
    </xf>
    <xf numFmtId="4" fontId="0" fillId="3" borderId="7" xfId="0" applyNumberFormat="1" applyFill="1" applyBorder="1" applyAlignment="1">
      <alignment vertical="center"/>
    </xf>
    <xf numFmtId="4" fontId="0" fillId="3" borderId="6" xfId="0" applyNumberFormat="1" applyFill="1" applyBorder="1" applyAlignment="1">
      <alignment vertical="center"/>
    </xf>
    <xf numFmtId="4" fontId="0" fillId="3" borderId="5" xfId="0" applyNumberFormat="1" applyFill="1" applyBorder="1" applyAlignment="1">
      <alignment vertical="center"/>
    </xf>
    <xf numFmtId="1" fontId="0" fillId="3" borderId="6" xfId="0" applyNumberFormat="1" applyFill="1" applyBorder="1" applyAlignment="1">
      <alignment horizontal="right"/>
    </xf>
    <xf numFmtId="4" fontId="0" fillId="3" borderId="0" xfId="0" applyNumberFormat="1" applyFill="1" applyAlignment="1">
      <alignment vertical="center"/>
    </xf>
    <xf numFmtId="0" fontId="64" fillId="3" borderId="0" xfId="0" applyFont="1" applyFill="1"/>
    <xf numFmtId="4" fontId="64" fillId="3" borderId="0" xfId="0" applyNumberFormat="1" applyFont="1" applyFill="1"/>
    <xf numFmtId="0" fontId="65" fillId="3" borderId="0" xfId="0" applyFont="1" applyFill="1"/>
    <xf numFmtId="0" fontId="65" fillId="3" borderId="0" xfId="0" applyFont="1" applyFill="1" applyAlignment="1">
      <alignment vertical="center"/>
    </xf>
    <xf numFmtId="0" fontId="65" fillId="3" borderId="0" xfId="0" applyFont="1" applyFill="1" applyAlignment="1">
      <alignment horizontal="right"/>
    </xf>
    <xf numFmtId="1" fontId="0" fillId="3" borderId="7" xfId="0" applyNumberFormat="1" applyFill="1" applyBorder="1" applyAlignment="1">
      <alignment horizontal="right"/>
    </xf>
    <xf numFmtId="1" fontId="0" fillId="3" borderId="5" xfId="0" applyNumberFormat="1" applyFill="1" applyBorder="1" applyAlignment="1">
      <alignment horizontal="right"/>
    </xf>
    <xf numFmtId="0" fontId="65" fillId="3" borderId="5" xfId="0" applyFont="1" applyFill="1" applyBorder="1"/>
    <xf numFmtId="0" fontId="55" fillId="3" borderId="0" xfId="0" applyFont="1" applyFill="1" applyAlignment="1">
      <alignment horizontal="center" vertical="center" wrapText="1"/>
    </xf>
    <xf numFmtId="2" fontId="10" fillId="3" borderId="1" xfId="0" applyNumberFormat="1" applyFont="1" applyFill="1" applyBorder="1"/>
    <xf numFmtId="0" fontId="9" fillId="3" borderId="0" xfId="0" applyFont="1" applyFill="1"/>
    <xf numFmtId="0" fontId="68" fillId="3" borderId="0" xfId="0" applyFont="1" applyFill="1"/>
    <xf numFmtId="0" fontId="39" fillId="3" borderId="0" xfId="0" applyFont="1" applyFill="1"/>
    <xf numFmtId="0" fontId="39" fillId="4" borderId="0" xfId="0" applyFont="1" applyFill="1" applyProtection="1">
      <protection locked="0"/>
    </xf>
    <xf numFmtId="0" fontId="8" fillId="3" borderId="0" xfId="0" applyFont="1" applyFill="1" applyAlignment="1">
      <alignment vertical="center" wrapText="1"/>
    </xf>
    <xf numFmtId="0" fontId="8" fillId="3" borderId="0" xfId="0" applyFont="1" applyFill="1" applyAlignment="1">
      <alignment vertical="center"/>
    </xf>
    <xf numFmtId="0" fontId="16" fillId="5" borderId="0" xfId="0" applyFont="1" applyFill="1" applyAlignment="1">
      <alignment horizontal="right" vertical="top"/>
    </xf>
    <xf numFmtId="0" fontId="24" fillId="5" borderId="0" xfId="0" applyFont="1" applyFill="1" applyAlignment="1">
      <alignment horizontal="left"/>
    </xf>
    <xf numFmtId="0" fontId="23" fillId="5" borderId="0" xfId="0" applyFont="1" applyFill="1"/>
    <xf numFmtId="0" fontId="0" fillId="5" borderId="0" xfId="0" applyFill="1" applyAlignment="1">
      <alignment horizontal="left"/>
    </xf>
    <xf numFmtId="0" fontId="0" fillId="5" borderId="0" xfId="0" applyFill="1" applyAlignment="1">
      <alignment horizontal="right" vertical="center" wrapText="1"/>
    </xf>
    <xf numFmtId="0" fontId="17" fillId="5" borderId="0" xfId="0" applyFont="1" applyFill="1"/>
    <xf numFmtId="0" fontId="23" fillId="5" borderId="0" xfId="0" applyFont="1" applyFill="1" applyAlignment="1">
      <alignment horizontal="left"/>
    </xf>
    <xf numFmtId="0" fontId="23" fillId="5" borderId="0" xfId="0" applyFont="1" applyFill="1" applyAlignment="1">
      <alignment horizontal="right"/>
    </xf>
    <xf numFmtId="0" fontId="31" fillId="5" borderId="0" xfId="0" applyFont="1" applyFill="1"/>
    <xf numFmtId="0" fontId="29" fillId="5" borderId="0" xfId="0" applyFont="1" applyFill="1"/>
    <xf numFmtId="2" fontId="10" fillId="3" borderId="0" xfId="0" applyNumberFormat="1" applyFont="1" applyFill="1"/>
    <xf numFmtId="2" fontId="0" fillId="3" borderId="1" xfId="0" applyNumberFormat="1" applyFill="1" applyBorder="1"/>
    <xf numFmtId="0" fontId="8" fillId="3" borderId="0" xfId="0" applyFont="1" applyFill="1"/>
    <xf numFmtId="0" fontId="0" fillId="5" borderId="0" xfId="0" applyFill="1" applyAlignment="1">
      <alignment wrapText="1"/>
    </xf>
    <xf numFmtId="2" fontId="0" fillId="3" borderId="0" xfId="0" applyNumberFormat="1" applyFill="1"/>
    <xf numFmtId="4" fontId="59" fillId="3" borderId="1" xfId="0" applyNumberFormat="1" applyFont="1" applyFill="1" applyBorder="1"/>
    <xf numFmtId="0" fontId="10" fillId="0" borderId="1" xfId="0" applyFont="1" applyBorder="1"/>
    <xf numFmtId="0" fontId="0" fillId="3" borderId="7" xfId="0" applyFill="1" applyBorder="1" applyAlignment="1">
      <alignment horizontal="right" vertical="center"/>
    </xf>
    <xf numFmtId="0" fontId="74" fillId="3" borderId="0" xfId="1" applyFont="1" applyFill="1"/>
    <xf numFmtId="0" fontId="75" fillId="3" borderId="0" xfId="0" applyFont="1" applyFill="1"/>
    <xf numFmtId="1" fontId="39" fillId="3" borderId="0" xfId="0" applyNumberFormat="1" applyFont="1" applyFill="1" applyProtection="1">
      <protection locked="0"/>
    </xf>
    <xf numFmtId="0" fontId="7" fillId="3" borderId="0" xfId="0" applyFont="1" applyFill="1"/>
    <xf numFmtId="0" fontId="16" fillId="5" borderId="0" xfId="0" applyFont="1" applyFill="1" applyAlignment="1">
      <alignment vertical="top"/>
    </xf>
    <xf numFmtId="0" fontId="76" fillId="3" borderId="0" xfId="0" applyFont="1" applyFill="1"/>
    <xf numFmtId="0" fontId="6" fillId="3" borderId="0" xfId="0" applyFont="1" applyFill="1" applyAlignment="1">
      <alignment wrapText="1"/>
    </xf>
    <xf numFmtId="0" fontId="16" fillId="5" borderId="0" xfId="0" applyFont="1" applyFill="1" applyAlignment="1">
      <alignment horizontal="right" wrapText="1"/>
    </xf>
    <xf numFmtId="0" fontId="44" fillId="3" borderId="0" xfId="0" applyFont="1" applyFill="1" applyAlignment="1">
      <alignment vertical="top"/>
    </xf>
    <xf numFmtId="0" fontId="43" fillId="3" borderId="0" xfId="0" applyFont="1" applyFill="1" applyProtection="1">
      <protection locked="0"/>
    </xf>
    <xf numFmtId="0" fontId="64" fillId="0" borderId="0" xfId="0" applyFont="1"/>
    <xf numFmtId="0" fontId="5" fillId="0" borderId="0" xfId="0" applyFont="1"/>
    <xf numFmtId="0" fontId="0" fillId="0" borderId="0" xfId="0" applyAlignment="1">
      <alignment horizontal="right"/>
    </xf>
    <xf numFmtId="0" fontId="16" fillId="0" borderId="0" xfId="0" applyFont="1" applyAlignment="1">
      <alignment horizontal="right"/>
    </xf>
    <xf numFmtId="0" fontId="0" fillId="6" borderId="0" xfId="0" applyFill="1"/>
    <xf numFmtId="0" fontId="0" fillId="7" borderId="0" xfId="0" applyFill="1" applyAlignment="1">
      <alignment horizontal="right"/>
    </xf>
    <xf numFmtId="0" fontId="0" fillId="8" borderId="0" xfId="0" applyFill="1" applyAlignment="1">
      <alignment horizontal="right"/>
    </xf>
    <xf numFmtId="0" fontId="0" fillId="3" borderId="0" xfId="0" applyFill="1" applyAlignment="1">
      <alignment horizontal="center" vertical="center" wrapText="1"/>
    </xf>
    <xf numFmtId="0" fontId="16" fillId="0" borderId="0" xfId="0" applyFont="1" applyAlignment="1">
      <alignment horizontal="left"/>
    </xf>
    <xf numFmtId="0" fontId="4" fillId="0" borderId="0" xfId="0" applyFont="1"/>
    <xf numFmtId="0" fontId="3" fillId="0" borderId="0" xfId="0" applyFont="1"/>
    <xf numFmtId="0" fontId="3" fillId="5" borderId="0" xfId="0" applyFont="1" applyFill="1"/>
    <xf numFmtId="0" fontId="5" fillId="5" borderId="0" xfId="0" applyFont="1" applyFill="1"/>
    <xf numFmtId="0" fontId="0" fillId="5" borderId="0" xfId="0" applyFill="1" applyAlignment="1">
      <alignment horizontal="right" vertical="center"/>
    </xf>
    <xf numFmtId="0" fontId="0" fillId="9" borderId="0" xfId="0" applyFill="1"/>
    <xf numFmtId="0" fontId="77" fillId="5" borderId="0" xfId="0" applyFont="1" applyFill="1"/>
    <xf numFmtId="0" fontId="23" fillId="3" borderId="0" xfId="0" applyFont="1" applyFill="1" applyAlignment="1">
      <alignment horizontal="center" vertical="center"/>
    </xf>
    <xf numFmtId="0" fontId="16" fillId="3" borderId="0" xfId="0" applyFont="1" applyFill="1"/>
    <xf numFmtId="0" fontId="16" fillId="3" borderId="0" xfId="0" applyFont="1" applyFill="1" applyAlignment="1">
      <alignment horizontal="left"/>
    </xf>
    <xf numFmtId="0" fontId="16" fillId="3" borderId="0" xfId="0" applyFont="1" applyFill="1" applyAlignment="1">
      <alignment horizontal="right"/>
    </xf>
    <xf numFmtId="0" fontId="5" fillId="3" borderId="0" xfId="0" applyFont="1" applyFill="1"/>
    <xf numFmtId="0" fontId="0" fillId="3" borderId="0" xfId="0" applyFill="1" applyAlignment="1">
      <alignment horizontal="right"/>
    </xf>
    <xf numFmtId="0" fontId="23" fillId="3" borderId="0" xfId="0" applyFont="1" applyFill="1" applyAlignment="1">
      <alignment horizontal="right" vertical="center"/>
    </xf>
    <xf numFmtId="0" fontId="0" fillId="3" borderId="0" xfId="0" applyFill="1" applyAlignment="1">
      <alignment horizontal="right" vertical="center" wrapText="1"/>
    </xf>
    <xf numFmtId="0" fontId="23" fillId="3" borderId="0" xfId="0" applyFont="1" applyFill="1" applyAlignment="1">
      <alignment horizontal="right"/>
    </xf>
    <xf numFmtId="0" fontId="0" fillId="3" borderId="0" xfId="0" applyFill="1" applyAlignment="1">
      <alignment horizontal="right" wrapText="1"/>
    </xf>
    <xf numFmtId="0" fontId="78" fillId="0" borderId="0" xfId="0" applyFont="1"/>
    <xf numFmtId="0" fontId="2" fillId="0" borderId="0" xfId="0" applyFont="1"/>
    <xf numFmtId="0" fontId="79" fillId="0" borderId="0" xfId="0" applyFont="1"/>
    <xf numFmtId="0" fontId="78" fillId="5" borderId="0" xfId="0" applyFont="1" applyFill="1"/>
    <xf numFmtId="0" fontId="2" fillId="5" borderId="0" xfId="0" applyFont="1" applyFill="1"/>
    <xf numFmtId="0" fontId="0" fillId="10" borderId="0" xfId="0" applyFill="1"/>
    <xf numFmtId="0" fontId="2" fillId="3" borderId="0" xfId="0" applyFont="1" applyFill="1"/>
    <xf numFmtId="0" fontId="16" fillId="5" borderId="0" xfId="0" applyFont="1" applyFill="1" applyAlignment="1">
      <alignment horizontal="right" vertical="center" wrapText="1"/>
    </xf>
    <xf numFmtId="0" fontId="0" fillId="5" borderId="0" xfId="0" applyFill="1" applyAlignment="1">
      <alignment horizontal="right" vertical="top"/>
    </xf>
    <xf numFmtId="0" fontId="18" fillId="5" borderId="0" xfId="0" applyFont="1" applyFill="1"/>
    <xf numFmtId="0" fontId="25" fillId="5" borderId="0" xfId="0" applyFont="1" applyFill="1" applyAlignment="1">
      <alignment wrapText="1"/>
    </xf>
    <xf numFmtId="0" fontId="16" fillId="5" borderId="0" xfId="0" applyFont="1" applyFill="1" applyAlignment="1">
      <alignment horizontal="left" wrapText="1"/>
    </xf>
    <xf numFmtId="1" fontId="24" fillId="5" borderId="0" xfId="0" applyNumberFormat="1" applyFont="1" applyFill="1"/>
    <xf numFmtId="0" fontId="80" fillId="3" borderId="0" xfId="1" applyFont="1" applyFill="1" applyAlignment="1" applyProtection="1">
      <alignment horizontal="left" vertical="center" wrapText="1"/>
    </xf>
    <xf numFmtId="0" fontId="80" fillId="3" borderId="0" xfId="1" applyFont="1" applyFill="1" applyAlignment="1" applyProtection="1">
      <alignment horizontal="left" vertical="center"/>
    </xf>
    <xf numFmtId="0" fontId="2" fillId="3" borderId="0" xfId="0" applyFont="1" applyFill="1" applyAlignment="1">
      <alignment horizontal="right"/>
    </xf>
    <xf numFmtId="0" fontId="2" fillId="3" borderId="0" xfId="0" applyFont="1" applyFill="1" applyAlignment="1">
      <alignment horizontal="left"/>
    </xf>
    <xf numFmtId="4" fontId="2" fillId="3" borderId="0" xfId="0" applyNumberFormat="1" applyFont="1" applyFill="1"/>
    <xf numFmtId="43" fontId="2" fillId="3" borderId="0" xfId="0" applyNumberFormat="1" applyFont="1" applyFill="1"/>
    <xf numFmtId="4" fontId="2" fillId="3" borderId="1" xfId="0" applyNumberFormat="1" applyFont="1" applyFill="1" applyBorder="1"/>
    <xf numFmtId="0" fontId="16" fillId="5" borderId="0" xfId="0" applyFont="1" applyFill="1" applyAlignment="1">
      <alignment horizontal="left"/>
    </xf>
    <xf numFmtId="0" fontId="41" fillId="5" borderId="0" xfId="0" applyFont="1" applyFill="1"/>
    <xf numFmtId="0" fontId="24" fillId="3" borderId="7" xfId="0" applyFont="1" applyFill="1" applyBorder="1"/>
    <xf numFmtId="0" fontId="82" fillId="3" borderId="6" xfId="0" applyFont="1" applyFill="1" applyBorder="1" applyAlignment="1">
      <alignment vertical="center"/>
    </xf>
    <xf numFmtId="0" fontId="0" fillId="5" borderId="0" xfId="0" applyFill="1" applyAlignment="1">
      <alignment horizontal="left" vertical="top"/>
    </xf>
    <xf numFmtId="0" fontId="0" fillId="4" borderId="0" xfId="0" applyFill="1"/>
    <xf numFmtId="0" fontId="23" fillId="4" borderId="0" xfId="0" applyFont="1" applyFill="1"/>
    <xf numFmtId="0" fontId="83" fillId="3" borderId="0" xfId="0" applyFont="1" applyFill="1"/>
    <xf numFmtId="0" fontId="31" fillId="5" borderId="0" xfId="0" applyFont="1" applyFill="1" applyAlignment="1">
      <alignment horizontal="left"/>
    </xf>
    <xf numFmtId="0" fontId="44" fillId="3" borderId="0" xfId="0" applyFont="1" applyFill="1" applyAlignment="1">
      <alignment vertical="top" wrapText="1"/>
    </xf>
    <xf numFmtId="0" fontId="0" fillId="3" borderId="0" xfId="0" applyFill="1" applyAlignment="1">
      <alignment vertical="top" wrapText="1"/>
    </xf>
    <xf numFmtId="0" fontId="0" fillId="0" borderId="0" xfId="0" applyAlignment="1">
      <alignment vertical="top" wrapText="1"/>
    </xf>
    <xf numFmtId="0" fontId="0" fillId="3" borderId="2" xfId="0" applyFill="1" applyBorder="1" applyAlignment="1">
      <alignment horizontal="center" vertical="center" wrapText="1"/>
    </xf>
    <xf numFmtId="0" fontId="0" fillId="0" borderId="4" xfId="0" applyBorder="1" applyAlignment="1">
      <alignment wrapText="1"/>
    </xf>
    <xf numFmtId="0" fontId="0" fillId="0" borderId="3" xfId="0" applyBorder="1" applyAlignment="1">
      <alignment wrapText="1"/>
    </xf>
    <xf numFmtId="0" fontId="10" fillId="3" borderId="0" xfId="0" applyFont="1" applyFill="1" applyAlignment="1">
      <alignment wrapText="1"/>
    </xf>
    <xf numFmtId="0" fontId="0" fillId="3" borderId="0" xfId="0" applyFill="1" applyAlignment="1">
      <alignment wrapText="1"/>
    </xf>
    <xf numFmtId="0" fontId="13" fillId="3" borderId="0" xfId="0" applyFont="1" applyFill="1" applyAlignment="1">
      <alignment vertical="center" wrapText="1"/>
    </xf>
    <xf numFmtId="0" fontId="10" fillId="3" borderId="0" xfId="0" applyFont="1" applyFill="1" applyAlignment="1">
      <alignment vertical="top" wrapText="1"/>
    </xf>
    <xf numFmtId="0" fontId="55" fillId="3" borderId="0" xfId="0" applyFont="1" applyFill="1" applyAlignment="1">
      <alignment vertical="top" wrapText="1"/>
    </xf>
    <xf numFmtId="0" fontId="10" fillId="0" borderId="0" xfId="0" applyFont="1" applyAlignment="1">
      <alignment wrapText="1"/>
    </xf>
    <xf numFmtId="0" fontId="84" fillId="0" borderId="0" xfId="0" applyFont="1" applyAlignment="1">
      <alignment vertical="top" wrapText="1"/>
    </xf>
    <xf numFmtId="0" fontId="44" fillId="3" borderId="0" xfId="0" applyFont="1" applyFill="1" applyAlignment="1">
      <alignment vertical="center"/>
    </xf>
    <xf numFmtId="0" fontId="24" fillId="3" borderId="0" xfId="0" applyFont="1" applyFill="1" applyAlignment="1">
      <alignment vertical="top" wrapText="1"/>
    </xf>
    <xf numFmtId="0" fontId="10" fillId="3" borderId="0" xfId="0" applyFont="1" applyFill="1" applyAlignment="1">
      <alignment vertical="center" wrapText="1"/>
    </xf>
    <xf numFmtId="0" fontId="24" fillId="3" borderId="0" xfId="0" applyFont="1" applyFill="1" applyAlignment="1">
      <alignment vertical="center" wrapText="1"/>
    </xf>
    <xf numFmtId="0" fontId="24" fillId="3" borderId="0" xfId="0" applyFont="1" applyFill="1" applyAlignment="1">
      <alignment wrapText="1"/>
    </xf>
    <xf numFmtId="0" fontId="48" fillId="3" borderId="0" xfId="0" applyFont="1" applyFill="1" applyAlignment="1">
      <alignment vertical="center" wrapText="1"/>
    </xf>
    <xf numFmtId="0" fontId="16" fillId="3" borderId="0" xfId="0" applyFont="1" applyFill="1" applyAlignment="1">
      <alignment wrapText="1"/>
    </xf>
    <xf numFmtId="0" fontId="0" fillId="0" borderId="0" xfId="0" applyAlignment="1">
      <alignment wrapText="1"/>
    </xf>
    <xf numFmtId="0" fontId="0" fillId="0" borderId="0" xfId="0"/>
    <xf numFmtId="0" fontId="0" fillId="3" borderId="0" xfId="0" applyFill="1"/>
    <xf numFmtId="0" fontId="55" fillId="3" borderId="0" xfId="0" applyFont="1" applyFill="1" applyAlignment="1">
      <alignment wrapText="1"/>
    </xf>
    <xf numFmtId="0" fontId="15" fillId="3" borderId="0" xfId="1" applyFont="1" applyFill="1" applyAlignment="1" applyProtection="1">
      <alignment horizontal="left" vertical="center" wrapText="1"/>
    </xf>
    <xf numFmtId="0" fontId="0" fillId="3" borderId="0" xfId="0" applyFill="1" applyAlignment="1">
      <alignment vertical="center"/>
    </xf>
    <xf numFmtId="0" fontId="8" fillId="3" borderId="0" xfId="0" applyFont="1" applyFill="1" applyAlignment="1">
      <alignment wrapText="1"/>
    </xf>
    <xf numFmtId="0" fontId="8" fillId="0" borderId="0" xfId="0" applyFont="1" applyAlignment="1">
      <alignment wrapText="1"/>
    </xf>
    <xf numFmtId="0" fontId="16" fillId="5" borderId="0" xfId="0" applyFont="1" applyFill="1" applyAlignment="1">
      <alignment wrapText="1"/>
    </xf>
    <xf numFmtId="0" fontId="16" fillId="5" borderId="0" xfId="0" applyFont="1" applyFill="1"/>
    <xf numFmtId="0" fontId="16" fillId="0" borderId="8" xfId="0" applyFont="1" applyBorder="1" applyAlignment="1">
      <alignment horizontal="center"/>
    </xf>
  </cellXfs>
  <cellStyles count="2">
    <cellStyle name="Hyperlink" xfId="1" builtinId="8"/>
    <cellStyle name="Standaard" xfId="0" builtinId="0"/>
  </cellStyles>
  <dxfs count="7">
    <dxf>
      <font>
        <color rgb="FFF8F8F8"/>
      </font>
      <fill>
        <patternFill>
          <bgColor rgb="FFF8F8F8"/>
        </patternFill>
      </fill>
    </dxf>
    <dxf>
      <font>
        <color rgb="FFF8F8F8"/>
      </font>
      <fill>
        <patternFill>
          <bgColor rgb="FFF8F8F8"/>
        </patternFill>
      </fill>
    </dxf>
    <dxf>
      <fill>
        <patternFill>
          <bgColor rgb="FFF8F8F8"/>
        </patternFill>
      </fill>
      <border>
        <left/>
        <right/>
        <top/>
        <bottom/>
        <vertical/>
        <horizontal/>
      </border>
    </dxf>
    <dxf>
      <fill>
        <patternFill>
          <bgColor rgb="FFF8F8F8"/>
        </patternFill>
      </fill>
    </dxf>
    <dxf>
      <fill>
        <patternFill patternType="solid">
          <bgColor rgb="FFF8F8F8"/>
        </patternFill>
      </fill>
    </dxf>
    <dxf>
      <border>
        <left/>
        <right/>
        <top/>
        <bottom/>
        <vertical/>
        <horizontal/>
      </border>
    </dxf>
    <dxf>
      <font>
        <color rgb="FFD4351C"/>
      </font>
    </dxf>
  </dxfs>
  <tableStyles count="0" defaultTableStyle="TableStyleMedium2" defaultPivotStyle="PivotStyleLight16"/>
  <colors>
    <mruColors>
      <color rgb="FFF8F8F8"/>
      <color rgb="FF007BC7"/>
      <color rgb="FF92D050"/>
      <color rgb="FF8FCAE7"/>
      <color rgb="FFA9D08E"/>
      <color rgb="FFD4351C"/>
      <color rgb="FF000000"/>
      <color rgb="FFFFB612"/>
      <color rgb="FFEEF7FB"/>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Hulpblad!$B$16"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checked="Checked" firstButton="1" fmlaLink="Hulpblad!$B$213"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fmlaLink="Hulpblad!$B$48"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CheckBox" fmlaLink="Hulpblad!$B$78"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checked="Checked" firstButton="1" fmlaLink="Hulpblad!$B$27"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checked="Checked" firstButton="1" fmlaLink="Hulpblad!$B$31"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checked="Checked" firstButton="1" fmlaLink="Hulpblad!$B$69"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checked="Checked" firstButton="1" fmlaLink="Hulpblad!$B$73"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fmlaLink="Hulpblad!$B$79" lockText="1" noThreeD="1"/>
</file>

<file path=xl/ctrlProps/ctrlProp126.xml><?xml version="1.0" encoding="utf-8"?>
<formControlPr xmlns="http://schemas.microsoft.com/office/spreadsheetml/2009/9/main" objectType="CheckBox" fmlaLink="Hulpblad!$B$83" lockText="1" noThreeD="1"/>
</file>

<file path=xl/ctrlProps/ctrlProp127.xml><?xml version="1.0" encoding="utf-8"?>
<formControlPr xmlns="http://schemas.microsoft.com/office/spreadsheetml/2009/9/main" objectType="CheckBox" fmlaLink="Hulpblad!$C$105" lockText="1" noThreeD="1"/>
</file>

<file path=xl/ctrlProps/ctrlProp128.xml><?xml version="1.0" encoding="utf-8"?>
<formControlPr xmlns="http://schemas.microsoft.com/office/spreadsheetml/2009/9/main" objectType="CheckBox" fmlaLink="Hulpblad!$C$93" lockText="1" noThreeD="1"/>
</file>

<file path=xl/ctrlProps/ctrlProp129.xml><?xml version="1.0" encoding="utf-8"?>
<formControlPr xmlns="http://schemas.microsoft.com/office/spreadsheetml/2009/9/main" objectType="CheckBox" fmlaLink="Hulpblad!$C$94" lockText="1" noThreeD="1"/>
</file>

<file path=xl/ctrlProps/ctrlProp13.xml><?xml version="1.0" encoding="utf-8"?>
<formControlPr xmlns="http://schemas.microsoft.com/office/spreadsheetml/2009/9/main" objectType="Radio" checked="Checked" firstButton="1" fmlaLink="Hulpblad!$B$53" lockText="1" noThreeD="1"/>
</file>

<file path=xl/ctrlProps/ctrlProp130.xml><?xml version="1.0" encoding="utf-8"?>
<formControlPr xmlns="http://schemas.microsoft.com/office/spreadsheetml/2009/9/main" objectType="CheckBox" fmlaLink="Hulpblad!$C$161" lockText="1" noThreeD="1"/>
</file>

<file path=xl/ctrlProps/ctrlProp131.xml><?xml version="1.0" encoding="utf-8"?>
<formControlPr xmlns="http://schemas.microsoft.com/office/spreadsheetml/2009/9/main" objectType="CheckBox" fmlaLink="Hulpblad!$C$151" lockText="1" noThreeD="1"/>
</file>

<file path=xl/ctrlProps/ctrlProp132.xml><?xml version="1.0" encoding="utf-8"?>
<formControlPr xmlns="http://schemas.microsoft.com/office/spreadsheetml/2009/9/main" objectType="CheckBox" fmlaLink="Hulpblad!$C$203" lockText="1" noThreeD="1"/>
</file>

<file path=xl/ctrlProps/ctrlProp133.xml><?xml version="1.0" encoding="utf-8"?>
<formControlPr xmlns="http://schemas.microsoft.com/office/spreadsheetml/2009/9/main" objectType="CheckBox" fmlaLink="Hulpblad!$C$204" lockText="1" noThreeD="1"/>
</file>

<file path=xl/ctrlProps/ctrlProp134.xml><?xml version="1.0" encoding="utf-8"?>
<formControlPr xmlns="http://schemas.microsoft.com/office/spreadsheetml/2009/9/main" objectType="CheckBox" fmlaLink="Hulpblad!$C$215" lockText="1" noThreeD="1"/>
</file>

<file path=xl/ctrlProps/ctrlProp135.xml><?xml version="1.0" encoding="utf-8"?>
<formControlPr xmlns="http://schemas.microsoft.com/office/spreadsheetml/2009/9/main" objectType="CheckBox" fmlaLink="Hulpblad!$C$216" lockText="1" noThreeD="1"/>
</file>

<file path=xl/ctrlProps/ctrlProp136.xml><?xml version="1.0" encoding="utf-8"?>
<formControlPr xmlns="http://schemas.microsoft.com/office/spreadsheetml/2009/9/main" objectType="CheckBox" fmlaLink="Hulpblad!$C$106"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firstButton="1" fmlaLink="Hulpblad!$B115"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fmlaLink="Hulpblad!$C$117" lockText="1" noThreeD="1"/>
</file>

<file path=xl/ctrlProps/ctrlProp142.xml><?xml version="1.0" encoding="utf-8"?>
<formControlPr xmlns="http://schemas.microsoft.com/office/spreadsheetml/2009/9/main" objectType="CheckBox" fmlaLink="Hulpblad!$C$118"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firstButton="1" fmlaLink="Hulpblad!$B127"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CheckBox" fmlaLink="Hulpblad!$C$129" lockText="1" noThreeD="1"/>
</file>

<file path=xl/ctrlProps/ctrlProp148.xml><?xml version="1.0" encoding="utf-8"?>
<formControlPr xmlns="http://schemas.microsoft.com/office/spreadsheetml/2009/9/main" objectType="CheckBox" fmlaLink="Hulpblad!$C$130"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Hulpblad!$B$59" lockText="1" noThreeD="1"/>
</file>

<file path=xl/ctrlProps/ctrlProp150.xml><?xml version="1.0" encoding="utf-8"?>
<formControlPr xmlns="http://schemas.microsoft.com/office/spreadsheetml/2009/9/main" objectType="Radio" checked="Checked" firstButton="1" fmlaLink="Hulpblad!$B$169"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CheckBox" fmlaLink="Hulpblad!$C$171" lockText="1" noThreeD="1"/>
</file>

<file path=xl/ctrlProps/ctrlProp155.xml><?xml version="1.0" encoding="utf-8"?>
<formControlPr xmlns="http://schemas.microsoft.com/office/spreadsheetml/2009/9/main" objectType="Radio" checked="Checked" firstButton="1" fmlaLink="Hulpblad!$B$179"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CheckBox" fmlaLink="Hulpblad!$C$181"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checked="Checked" firstButton="1" fmlaLink="Hulpblad!$B$189"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CheckBox" fmlaLink="Hulpblad!$C$191" lockText="1" noThreeD="1"/>
</file>

<file path=xl/ctrlProps/ctrlProp165.xml><?xml version="1.0" encoding="utf-8"?>
<formControlPr xmlns="http://schemas.microsoft.com/office/spreadsheetml/2009/9/main" objectType="CheckBox" fmlaLink="Hulpblad!$C$192" lockText="1" noThreeD="1"/>
</file>

<file path=xl/ctrlProps/ctrlProp166.xml><?xml version="1.0" encoding="utf-8"?>
<formControlPr xmlns="http://schemas.microsoft.com/office/spreadsheetml/2009/9/main" objectType="Radio" checked="Checked" firstButton="1" fmlaLink="Hulpblad!$B$263"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fmlaLink="Hulpblad!$B$63" lockText="1" noThreeD="1"/>
</file>

<file path=xl/ctrlProps/ctrlProp170.xml><?xml version="1.0" encoding="utf-8"?>
<formControlPr xmlns="http://schemas.microsoft.com/office/spreadsheetml/2009/9/main" objectType="Radio" checked="Checked" firstButton="1" fmlaLink="Hulpblad!$B$267"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Hulpblad!$B$273"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checked="Checked" firstButton="1" fmlaLink="Hulpblad!$B$338"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checked="Checked" firstButton="1" fmlaLink="Hulpblad!$B$346"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firstButton="1" fmlaLink="Hulpblad!$B$296"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checked="Checked" firstButton="1" fmlaLink="Hulpblad!$B$353"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checked="Checked" firstButton="1" fmlaLink="Hulpblad!$B$139"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CheckBox" fmlaLink="Hulpblad!$C$14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checked="Checked" firstButton="1" fmlaLink="Hulpblad!$B$281"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firstButton="1" fmlaLink="Hulpblad!$B$304"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Hulpblad!$B$9"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Hulpblad!$B$2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fmlaLink="Hulpblad!$B$80" lockText="1" noThreeD="1"/>
</file>

<file path=xl/ctrlProps/ctrlProp52.xml><?xml version="1.0" encoding="utf-8"?>
<formControlPr xmlns="http://schemas.microsoft.com/office/spreadsheetml/2009/9/main" objectType="CheckBox" fmlaLink="Hulpblad!$B$81" lockText="1" noThreeD="1"/>
</file>

<file path=xl/ctrlProps/ctrlProp53.xml><?xml version="1.0" encoding="utf-8"?>
<formControlPr xmlns="http://schemas.microsoft.com/office/spreadsheetml/2009/9/main" objectType="CheckBox" fmlaLink="Hulpblad!$B$82" lockText="1" noThreeD="1"/>
</file>

<file path=xl/ctrlProps/ctrlProp54.xml><?xml version="1.0" encoding="utf-8"?>
<formControlPr xmlns="http://schemas.microsoft.com/office/spreadsheetml/2009/9/main" objectType="Radio" checked="Checked" firstButton="1" fmlaLink="Hulpblad!$B$31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firstButton="1" fmlaLink="Hulpblad!$B$374"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firstButton="1" fmlaLink="Hulpblad!B37"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fmlaLink="Hulpblad!$B$386"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checked="Checked" firstButton="1" fmlaLink="Hulpblad!$B$390"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checked="Checked" firstButton="1" fmlaLink="Hulpblad!$B$379"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fmlaLink="Hulpblad!$B$39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firstButton="1" fmlaLink="Hulpblad!$E$398"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Hulpblad!$H$398" lockText="1" noThreeD="1"/>
</file>

<file path=xl/ctrlProps/ctrlProp8.xml><?xml version="1.0" encoding="utf-8"?>
<formControlPr xmlns="http://schemas.microsoft.com/office/spreadsheetml/2009/9/main" objectType="Radio" checked="Checked" firstButton="1" fmlaLink="Hulpblad!$B$42"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Hulpblad!$K$398"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fmlaLink="Hulpblad!$B$87"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checked="Checked" firstButton="1" fmlaLink="Hulpblad!$B103"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firstButton="1" fmlaLink="Hulpblad!$B$9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checked="Checked" firstButton="1" fmlaLink="Hulpblad!$B$15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checked="Checked" firstButton="1" fmlaLink="Hulpblad!$B$149"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checked="Checked" firstButton="1" fmlaLink="Hulpblad!$B$20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1693832</xdr:colOff>
      <xdr:row>0</xdr:row>
      <xdr:rowOff>0</xdr:rowOff>
    </xdr:from>
    <xdr:to>
      <xdr:col>12</xdr:col>
      <xdr:colOff>542940</xdr:colOff>
      <xdr:row>1</xdr:row>
      <xdr:rowOff>9484</xdr:rowOff>
    </xdr:to>
    <xdr:pic>
      <xdr:nvPicPr>
        <xdr:cNvPr id="3" name="Afbeelding 2" descr="Logo Rijksdienst voor Ondernemend Nederland">
          <a:extLst>
            <a:ext uri="{FF2B5EF4-FFF2-40B4-BE49-F238E27FC236}">
              <a16:creationId xmlns:a16="http://schemas.microsoft.com/office/drawing/2014/main" id="{00000000-0008-0000-0000-00000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4620605" y="0"/>
          <a:ext cx="8137426" cy="17326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2</xdr:col>
          <xdr:colOff>2266950</xdr:colOff>
          <xdr:row>30</xdr:row>
          <xdr:rowOff>180975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2809875</xdr:colOff>
          <xdr:row>32</xdr:row>
          <xdr:rowOff>104775</xdr:rowOff>
        </xdr:to>
        <xdr:sp macro="" textlink="">
          <xdr:nvSpPr>
            <xdr:cNvPr id="1136" name="Group Box 112" descr="Dakisolatie"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285750</xdr:rowOff>
        </xdr:from>
        <xdr:to>
          <xdr:col>2</xdr:col>
          <xdr:colOff>2809875</xdr:colOff>
          <xdr:row>23</xdr:row>
          <xdr:rowOff>47625</xdr:rowOff>
        </xdr:to>
        <xdr:sp macro="" textlink="">
          <xdr:nvSpPr>
            <xdr:cNvPr id="1141" name="Group Box 117" descr="Dakisolatie"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Opgave eerder ontvangen ISDE-subsidie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9525</xdr:rowOff>
        </xdr:from>
        <xdr:to>
          <xdr:col>2</xdr:col>
          <xdr:colOff>2352675</xdr:colOff>
          <xdr:row>20</xdr:row>
          <xdr:rowOff>190500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 ik heb niet eerder ISDE-subsidie ontvangen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171450</xdr:rowOff>
        </xdr:from>
        <xdr:to>
          <xdr:col>4</xdr:col>
          <xdr:colOff>2495550</xdr:colOff>
          <xdr:row>31</xdr:row>
          <xdr:rowOff>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9525</xdr:rowOff>
        </xdr:from>
        <xdr:to>
          <xdr:col>2</xdr:col>
          <xdr:colOff>2324100</xdr:colOff>
          <xdr:row>40</xdr:row>
          <xdr:rowOff>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2809875</xdr:colOff>
          <xdr:row>41</xdr:row>
          <xdr:rowOff>104775</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171450</xdr:rowOff>
        </xdr:from>
        <xdr:to>
          <xdr:col>4</xdr:col>
          <xdr:colOff>2390775</xdr:colOff>
          <xdr:row>40</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4</xdr:col>
          <xdr:colOff>2705100</xdr:colOff>
          <xdr:row>33</xdr:row>
          <xdr:rowOff>28575</xdr:rowOff>
        </xdr:to>
        <xdr:sp macro="" textlink="">
          <xdr:nvSpPr>
            <xdr:cNvPr id="1186" name="Group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2695575</xdr:colOff>
          <xdr:row>42</xdr:row>
          <xdr:rowOff>28575</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180975</xdr:rowOff>
        </xdr:from>
        <xdr:to>
          <xdr:col>2</xdr:col>
          <xdr:colOff>2428875</xdr:colOff>
          <xdr:row>45</xdr:row>
          <xdr:rowOff>19050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2809875</xdr:colOff>
          <xdr:row>46</xdr:row>
          <xdr:rowOff>104775</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180975</xdr:rowOff>
        </xdr:from>
        <xdr:to>
          <xdr:col>4</xdr:col>
          <xdr:colOff>2505075</xdr:colOff>
          <xdr:row>45</xdr:row>
          <xdr:rowOff>9525</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2695575</xdr:colOff>
          <xdr:row>47</xdr:row>
          <xdr:rowOff>28575</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180975</xdr:rowOff>
        </xdr:from>
        <xdr:to>
          <xdr:col>2</xdr:col>
          <xdr:colOff>2295525</xdr:colOff>
          <xdr:row>50</xdr:row>
          <xdr:rowOff>9525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2</xdr:col>
          <xdr:colOff>2809875</xdr:colOff>
          <xdr:row>51</xdr:row>
          <xdr:rowOff>104775</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171450</xdr:rowOff>
        </xdr:from>
        <xdr:to>
          <xdr:col>4</xdr:col>
          <xdr:colOff>2409825</xdr:colOff>
          <xdr:row>50</xdr:row>
          <xdr:rowOff>9525</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0</xdr:rowOff>
        </xdr:from>
        <xdr:to>
          <xdr:col>4</xdr:col>
          <xdr:colOff>2695575</xdr:colOff>
          <xdr:row>51</xdr:row>
          <xdr:rowOff>104775</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155</xdr:row>
          <xdr:rowOff>171450</xdr:rowOff>
        </xdr:from>
        <xdr:to>
          <xdr:col>2</xdr:col>
          <xdr:colOff>2447925</xdr:colOff>
          <xdr:row>157</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155</xdr:row>
          <xdr:rowOff>0</xdr:rowOff>
        </xdr:from>
        <xdr:to>
          <xdr:col>2</xdr:col>
          <xdr:colOff>2809875</xdr:colOff>
          <xdr:row>168</xdr:row>
          <xdr:rowOff>66675</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156</xdr:row>
          <xdr:rowOff>171450</xdr:rowOff>
        </xdr:from>
        <xdr:to>
          <xdr:col>2</xdr:col>
          <xdr:colOff>2371725</xdr:colOff>
          <xdr:row>158</xdr:row>
          <xdr:rowOff>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157</xdr:row>
          <xdr:rowOff>171450</xdr:rowOff>
        </xdr:from>
        <xdr:to>
          <xdr:col>2</xdr:col>
          <xdr:colOff>2457450</xdr:colOff>
          <xdr:row>159</xdr:row>
          <xdr:rowOff>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1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158</xdr:row>
          <xdr:rowOff>171450</xdr:rowOff>
        </xdr:from>
        <xdr:to>
          <xdr:col>2</xdr:col>
          <xdr:colOff>2466975</xdr:colOff>
          <xdr:row>160</xdr:row>
          <xdr:rowOff>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159</xdr:row>
          <xdr:rowOff>171450</xdr:rowOff>
        </xdr:from>
        <xdr:to>
          <xdr:col>2</xdr:col>
          <xdr:colOff>2390775</xdr:colOff>
          <xdr:row>161</xdr:row>
          <xdr:rowOff>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160</xdr:row>
          <xdr:rowOff>171450</xdr:rowOff>
        </xdr:from>
        <xdr:to>
          <xdr:col>2</xdr:col>
          <xdr:colOff>2362200</xdr:colOff>
          <xdr:row>162</xdr:row>
          <xdr:rowOff>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161</xdr:row>
          <xdr:rowOff>171450</xdr:rowOff>
        </xdr:from>
        <xdr:to>
          <xdr:col>2</xdr:col>
          <xdr:colOff>2438400</xdr:colOff>
          <xdr:row>163</xdr:row>
          <xdr:rowOff>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162</xdr:row>
          <xdr:rowOff>171450</xdr:rowOff>
        </xdr:from>
        <xdr:to>
          <xdr:col>2</xdr:col>
          <xdr:colOff>2400300</xdr:colOff>
          <xdr:row>164</xdr:row>
          <xdr:rowOff>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163</xdr:row>
          <xdr:rowOff>171450</xdr:rowOff>
        </xdr:from>
        <xdr:to>
          <xdr:col>2</xdr:col>
          <xdr:colOff>2409825</xdr:colOff>
          <xdr:row>165</xdr:row>
          <xdr:rowOff>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164</xdr:row>
          <xdr:rowOff>171450</xdr:rowOff>
        </xdr:from>
        <xdr:to>
          <xdr:col>2</xdr:col>
          <xdr:colOff>2362200</xdr:colOff>
          <xdr:row>166</xdr:row>
          <xdr:rowOff>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165</xdr:row>
          <xdr:rowOff>171450</xdr:rowOff>
        </xdr:from>
        <xdr:to>
          <xdr:col>2</xdr:col>
          <xdr:colOff>2419350</xdr:colOff>
          <xdr:row>167</xdr:row>
          <xdr:rowOff>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166</xdr:row>
          <xdr:rowOff>171450</xdr:rowOff>
        </xdr:from>
        <xdr:to>
          <xdr:col>2</xdr:col>
          <xdr:colOff>2466975</xdr:colOff>
          <xdr:row>168</xdr:row>
          <xdr:rowOff>0</xdr:rowOff>
        </xdr:to>
        <xdr:sp macro="" textlink="">
          <xdr:nvSpPr>
            <xdr:cNvPr id="1259" name="Option 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170</xdr:row>
          <xdr:rowOff>180975</xdr:rowOff>
        </xdr:from>
        <xdr:to>
          <xdr:col>2</xdr:col>
          <xdr:colOff>2486025</xdr:colOff>
          <xdr:row>172</xdr:row>
          <xdr:rowOff>9525</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171</xdr:row>
          <xdr:rowOff>180975</xdr:rowOff>
        </xdr:from>
        <xdr:to>
          <xdr:col>2</xdr:col>
          <xdr:colOff>2457450</xdr:colOff>
          <xdr:row>173</xdr:row>
          <xdr:rowOff>9525</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of hoger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172</xdr:row>
          <xdr:rowOff>180975</xdr:rowOff>
        </xdr:from>
        <xdr:to>
          <xdr:col>2</xdr:col>
          <xdr:colOff>2295525</xdr:colOff>
          <xdr:row>174</xdr:row>
          <xdr:rowOff>9525</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173</xdr:row>
          <xdr:rowOff>180975</xdr:rowOff>
        </xdr:from>
        <xdr:to>
          <xdr:col>2</xdr:col>
          <xdr:colOff>2390775</xdr:colOff>
          <xdr:row>175</xdr:row>
          <xdr:rowOff>9525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174</xdr:row>
          <xdr:rowOff>180975</xdr:rowOff>
        </xdr:from>
        <xdr:to>
          <xdr:col>2</xdr:col>
          <xdr:colOff>2286000</xdr:colOff>
          <xdr:row>176</xdr:row>
          <xdr:rowOff>9525</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t/m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170</xdr:row>
          <xdr:rowOff>57150</xdr:rowOff>
        </xdr:from>
        <xdr:to>
          <xdr:col>2</xdr:col>
          <xdr:colOff>2819400</xdr:colOff>
          <xdr:row>176</xdr:row>
          <xdr:rowOff>66675</xdr:rowOff>
        </xdr:to>
        <xdr:sp macro="" textlink="">
          <xdr:nvSpPr>
            <xdr:cNvPr id="1277" name="Group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Energie-efficiency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2</xdr:col>
          <xdr:colOff>2600325</xdr:colOff>
          <xdr:row>21</xdr:row>
          <xdr:rowOff>190500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voor ISDE-maatregel(en) &gt; 24 maanden geleden uitgevoerd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2</xdr:col>
          <xdr:colOff>2628900</xdr:colOff>
          <xdr:row>22</xdr:row>
          <xdr:rowOff>190500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voor ISDE-maatregel(en) ≤ 24 maanden geleden uitgevoerd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0</xdr:rowOff>
        </xdr:from>
        <xdr:to>
          <xdr:col>2</xdr:col>
          <xdr:colOff>2362200</xdr:colOff>
          <xdr:row>31</xdr:row>
          <xdr:rowOff>180975</xdr:rowOff>
        </xdr:to>
        <xdr:sp macro="" textlink="">
          <xdr:nvSpPr>
            <xdr:cNvPr id="1280" name="Option 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Dakisolatie, RD ≥ 2,5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171450</xdr:rowOff>
        </xdr:from>
        <xdr:to>
          <xdr:col>4</xdr:col>
          <xdr:colOff>2476500</xdr:colOff>
          <xdr:row>32</xdr:row>
          <xdr:rowOff>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171450</xdr:rowOff>
        </xdr:from>
        <xdr:to>
          <xdr:col>4</xdr:col>
          <xdr:colOff>2371725</xdr:colOff>
          <xdr:row>33</xdr:row>
          <xdr:rowOff>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9525</xdr:rowOff>
        </xdr:from>
        <xdr:to>
          <xdr:col>2</xdr:col>
          <xdr:colOff>2790825</xdr:colOff>
          <xdr:row>41</xdr:row>
          <xdr:rowOff>0</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Binnen-of buitengevelisolatie, Rd ≥ 2,5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171450</xdr:rowOff>
        </xdr:from>
        <xdr:to>
          <xdr:col>4</xdr:col>
          <xdr:colOff>2533650</xdr:colOff>
          <xdr:row>41</xdr:row>
          <xdr:rowOff>9525</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171450</xdr:rowOff>
        </xdr:from>
        <xdr:to>
          <xdr:col>4</xdr:col>
          <xdr:colOff>2571750</xdr:colOff>
          <xdr:row>42</xdr:row>
          <xdr:rowOff>9525</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180975</xdr:rowOff>
        </xdr:from>
        <xdr:to>
          <xdr:col>2</xdr:col>
          <xdr:colOff>2486025</xdr:colOff>
          <xdr:row>46</xdr:row>
          <xdr:rowOff>19050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Spouwmuurisolatie, Rd ≥ 1,1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44</xdr:row>
          <xdr:rowOff>180975</xdr:rowOff>
        </xdr:from>
        <xdr:to>
          <xdr:col>4</xdr:col>
          <xdr:colOff>2600325</xdr:colOff>
          <xdr:row>46</xdr:row>
          <xdr:rowOff>9525</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180975</xdr:rowOff>
        </xdr:from>
        <xdr:to>
          <xdr:col>4</xdr:col>
          <xdr:colOff>2638425</xdr:colOff>
          <xdr:row>47</xdr:row>
          <xdr:rowOff>9525</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180975</xdr:rowOff>
        </xdr:from>
        <xdr:to>
          <xdr:col>2</xdr:col>
          <xdr:colOff>2162175</xdr:colOff>
          <xdr:row>51</xdr:row>
          <xdr:rowOff>9525</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Vloerisolatie, Rd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171450</xdr:rowOff>
        </xdr:from>
        <xdr:to>
          <xdr:col>4</xdr:col>
          <xdr:colOff>2581275</xdr:colOff>
          <xdr:row>51</xdr:row>
          <xdr:rowOff>9525</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171450</xdr:rowOff>
        </xdr:from>
        <xdr:to>
          <xdr:col>2</xdr:col>
          <xdr:colOff>1962150</xdr:colOff>
          <xdr:row>65</xdr:row>
          <xdr:rowOff>28575</xdr:rowOff>
        </xdr:to>
        <xdr:sp macro="" textlink="">
          <xdr:nvSpPr>
            <xdr:cNvPr id="1312" name="Check Box 288" descr="Biobased"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Gevelisolatie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171450</xdr:rowOff>
        </xdr:from>
        <xdr:to>
          <xdr:col>2</xdr:col>
          <xdr:colOff>1962150</xdr:colOff>
          <xdr:row>67</xdr:row>
          <xdr:rowOff>28575</xdr:rowOff>
        </xdr:to>
        <xdr:sp macro="" textlink="">
          <xdr:nvSpPr>
            <xdr:cNvPr id="1314" name="Check Box 290" descr="Biobased"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Spouwmuurisolatie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171450</xdr:rowOff>
        </xdr:from>
        <xdr:to>
          <xdr:col>2</xdr:col>
          <xdr:colOff>1962150</xdr:colOff>
          <xdr:row>69</xdr:row>
          <xdr:rowOff>28575</xdr:rowOff>
        </xdr:to>
        <xdr:sp macro="" textlink="">
          <xdr:nvSpPr>
            <xdr:cNvPr id="1316" name="Check Box 292" descr="Biobased"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Vloerisolatie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180975</xdr:rowOff>
        </xdr:from>
        <xdr:to>
          <xdr:col>4</xdr:col>
          <xdr:colOff>2552700</xdr:colOff>
          <xdr:row>157</xdr:row>
          <xdr:rowOff>19050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156</xdr:row>
          <xdr:rowOff>180975</xdr:rowOff>
        </xdr:from>
        <xdr:to>
          <xdr:col>4</xdr:col>
          <xdr:colOff>2524125</xdr:colOff>
          <xdr:row>158</xdr:row>
          <xdr:rowOff>19050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2695575</xdr:colOff>
          <xdr:row>160</xdr:row>
          <xdr:rowOff>114300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157</xdr:row>
          <xdr:rowOff>180975</xdr:rowOff>
        </xdr:from>
        <xdr:to>
          <xdr:col>4</xdr:col>
          <xdr:colOff>2552700</xdr:colOff>
          <xdr:row>159</xdr:row>
          <xdr:rowOff>19050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219</xdr:row>
          <xdr:rowOff>180975</xdr:rowOff>
        </xdr:from>
        <xdr:to>
          <xdr:col>2</xdr:col>
          <xdr:colOff>2228850</xdr:colOff>
          <xdr:row>221</xdr:row>
          <xdr:rowOff>9525</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220</xdr:row>
          <xdr:rowOff>180975</xdr:rowOff>
        </xdr:from>
        <xdr:to>
          <xdr:col>2</xdr:col>
          <xdr:colOff>2314575</xdr:colOff>
          <xdr:row>222</xdr:row>
          <xdr:rowOff>9525</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 ≤ 5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221</xdr:row>
          <xdr:rowOff>180975</xdr:rowOff>
        </xdr:from>
        <xdr:to>
          <xdr:col>2</xdr:col>
          <xdr:colOff>2181225</xdr:colOff>
          <xdr:row>223</xdr:row>
          <xdr:rowOff>9525</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 &gt; 5 en ≤ 10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222</xdr:row>
          <xdr:rowOff>180975</xdr:rowOff>
        </xdr:from>
        <xdr:to>
          <xdr:col>2</xdr:col>
          <xdr:colOff>2324100</xdr:colOff>
          <xdr:row>224</xdr:row>
          <xdr:rowOff>9525</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Zonneboilercombi ≤ 5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223</xdr:row>
          <xdr:rowOff>180975</xdr:rowOff>
        </xdr:from>
        <xdr:to>
          <xdr:col>2</xdr:col>
          <xdr:colOff>2333625</xdr:colOff>
          <xdr:row>225</xdr:row>
          <xdr:rowOff>9525</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Zonneboilercombi &gt; 5 en ≤ 10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219</xdr:row>
          <xdr:rowOff>0</xdr:rowOff>
        </xdr:from>
        <xdr:to>
          <xdr:col>2</xdr:col>
          <xdr:colOff>2819400</xdr:colOff>
          <xdr:row>225</xdr:row>
          <xdr:rowOff>76200</xdr:rowOff>
        </xdr:to>
        <xdr:sp macro="" textlink="">
          <xdr:nvSpPr>
            <xdr:cNvPr id="1327" name="Group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232</xdr:row>
          <xdr:rowOff>180975</xdr:rowOff>
        </xdr:from>
        <xdr:to>
          <xdr:col>2</xdr:col>
          <xdr:colOff>2409825</xdr:colOff>
          <xdr:row>234</xdr:row>
          <xdr:rowOff>9525</xdr:rowOff>
        </xdr:to>
        <xdr:sp macro="" textlink="">
          <xdr:nvSpPr>
            <xdr:cNvPr id="1328" name="Option 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aansluiting op een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233</xdr:row>
          <xdr:rowOff>180975</xdr:rowOff>
        </xdr:from>
        <xdr:to>
          <xdr:col>2</xdr:col>
          <xdr:colOff>2333625</xdr:colOff>
          <xdr:row>235</xdr:row>
          <xdr:rowOff>9525</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Aansluiting op een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232</xdr:row>
          <xdr:rowOff>9525</xdr:rowOff>
        </xdr:from>
        <xdr:to>
          <xdr:col>2</xdr:col>
          <xdr:colOff>2819400</xdr:colOff>
          <xdr:row>235</xdr:row>
          <xdr:rowOff>76200</xdr:rowOff>
        </xdr:to>
        <xdr:sp macro="" textlink="">
          <xdr:nvSpPr>
            <xdr:cNvPr id="1330" name="Group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232</xdr:row>
          <xdr:rowOff>180975</xdr:rowOff>
        </xdr:from>
        <xdr:to>
          <xdr:col>4</xdr:col>
          <xdr:colOff>2476500</xdr:colOff>
          <xdr:row>234</xdr:row>
          <xdr:rowOff>9525</xdr:rowOff>
        </xdr:to>
        <xdr:sp macro="" textlink="">
          <xdr:nvSpPr>
            <xdr:cNvPr id="1331" name="Option 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233</xdr:row>
          <xdr:rowOff>180975</xdr:rowOff>
        </xdr:from>
        <xdr:to>
          <xdr:col>4</xdr:col>
          <xdr:colOff>2514600</xdr:colOff>
          <xdr:row>235</xdr:row>
          <xdr:rowOff>38100</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232</xdr:row>
          <xdr:rowOff>0</xdr:rowOff>
        </xdr:from>
        <xdr:to>
          <xdr:col>4</xdr:col>
          <xdr:colOff>2695575</xdr:colOff>
          <xdr:row>235</xdr:row>
          <xdr:rowOff>104775</xdr:rowOff>
        </xdr:to>
        <xdr:sp macro="" textlink="">
          <xdr:nvSpPr>
            <xdr:cNvPr id="1334" name="Group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220</xdr:row>
          <xdr:rowOff>0</xdr:rowOff>
        </xdr:from>
        <xdr:to>
          <xdr:col>4</xdr:col>
          <xdr:colOff>2524125</xdr:colOff>
          <xdr:row>221</xdr:row>
          <xdr:rowOff>19050</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221</xdr:row>
          <xdr:rowOff>0</xdr:rowOff>
        </xdr:from>
        <xdr:to>
          <xdr:col>4</xdr:col>
          <xdr:colOff>2600325</xdr:colOff>
          <xdr:row>222</xdr:row>
          <xdr:rowOff>19050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219</xdr:row>
          <xdr:rowOff>0</xdr:rowOff>
        </xdr:from>
        <xdr:to>
          <xdr:col>4</xdr:col>
          <xdr:colOff>2695575</xdr:colOff>
          <xdr:row>222</xdr:row>
          <xdr:rowOff>104775</xdr:rowOff>
        </xdr:to>
        <xdr:sp macro="" textlink="">
          <xdr:nvSpPr>
            <xdr:cNvPr id="1339" name="Group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239</xdr:row>
          <xdr:rowOff>142875</xdr:rowOff>
        </xdr:from>
        <xdr:to>
          <xdr:col>2</xdr:col>
          <xdr:colOff>2219325</xdr:colOff>
          <xdr:row>239</xdr:row>
          <xdr:rowOff>390525</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239</xdr:row>
          <xdr:rowOff>352425</xdr:rowOff>
        </xdr:from>
        <xdr:to>
          <xdr:col>2</xdr:col>
          <xdr:colOff>2124075</xdr:colOff>
          <xdr:row>239</xdr:row>
          <xdr:rowOff>571500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239</xdr:row>
          <xdr:rowOff>9525</xdr:rowOff>
        </xdr:from>
        <xdr:to>
          <xdr:col>2</xdr:col>
          <xdr:colOff>2819400</xdr:colOff>
          <xdr:row>239</xdr:row>
          <xdr:rowOff>647700</xdr:rowOff>
        </xdr:to>
        <xdr:sp macro="" textlink="">
          <xdr:nvSpPr>
            <xdr:cNvPr id="1343" name="Group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Aanschaf elektrische kookvoorziening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241</xdr:row>
          <xdr:rowOff>180975</xdr:rowOff>
        </xdr:from>
        <xdr:to>
          <xdr:col>2</xdr:col>
          <xdr:colOff>2038350</xdr:colOff>
          <xdr:row>242</xdr:row>
          <xdr:rowOff>9525</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242</xdr:row>
          <xdr:rowOff>0</xdr:rowOff>
        </xdr:from>
        <xdr:to>
          <xdr:col>2</xdr:col>
          <xdr:colOff>2171700</xdr:colOff>
          <xdr:row>243</xdr:row>
          <xdr:rowOff>19050</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241</xdr:row>
          <xdr:rowOff>0</xdr:rowOff>
        </xdr:from>
        <xdr:to>
          <xdr:col>2</xdr:col>
          <xdr:colOff>2819400</xdr:colOff>
          <xdr:row>243</xdr:row>
          <xdr:rowOff>85725</xdr:rowOff>
        </xdr:to>
        <xdr:sp macro="" textlink="">
          <xdr:nvSpPr>
            <xdr:cNvPr id="1346" name="Group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Woning aangesloten op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245</xdr:row>
          <xdr:rowOff>171450</xdr:rowOff>
        </xdr:from>
        <xdr:to>
          <xdr:col>2</xdr:col>
          <xdr:colOff>2133600</xdr:colOff>
          <xdr:row>246</xdr:row>
          <xdr:rowOff>9525</xdr:rowOff>
        </xdr:to>
        <xdr:sp macro="" textlink="">
          <xdr:nvSpPr>
            <xdr:cNvPr id="1347" name="Option 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246</xdr:row>
          <xdr:rowOff>0</xdr:rowOff>
        </xdr:from>
        <xdr:to>
          <xdr:col>2</xdr:col>
          <xdr:colOff>2171700</xdr:colOff>
          <xdr:row>247</xdr:row>
          <xdr:rowOff>47625</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245</xdr:row>
          <xdr:rowOff>9525</xdr:rowOff>
        </xdr:from>
        <xdr:to>
          <xdr:col>2</xdr:col>
          <xdr:colOff>2819400</xdr:colOff>
          <xdr:row>247</xdr:row>
          <xdr:rowOff>85725</xdr:rowOff>
        </xdr:to>
        <xdr:sp macro="" textlink="">
          <xdr:nvSpPr>
            <xdr:cNvPr id="1349" name="Group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Eerdere subsidie 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249</xdr:row>
          <xdr:rowOff>180975</xdr:rowOff>
        </xdr:from>
        <xdr:to>
          <xdr:col>2</xdr:col>
          <xdr:colOff>1943100</xdr:colOff>
          <xdr:row>250</xdr:row>
          <xdr:rowOff>9525</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250</xdr:row>
          <xdr:rowOff>0</xdr:rowOff>
        </xdr:from>
        <xdr:to>
          <xdr:col>2</xdr:col>
          <xdr:colOff>2143125</xdr:colOff>
          <xdr:row>251</xdr:row>
          <xdr:rowOff>19050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249</xdr:row>
          <xdr:rowOff>0</xdr:rowOff>
        </xdr:from>
        <xdr:to>
          <xdr:col>2</xdr:col>
          <xdr:colOff>2809875</xdr:colOff>
          <xdr:row>251</xdr:row>
          <xdr:rowOff>57150</xdr:rowOff>
        </xdr:to>
        <xdr:sp macro="" textlink="">
          <xdr:nvSpPr>
            <xdr:cNvPr id="1353" name="Group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Afgesloten van het aardgasnet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75</xdr:row>
          <xdr:rowOff>390525</xdr:rowOff>
        </xdr:from>
        <xdr:to>
          <xdr:col>2</xdr:col>
          <xdr:colOff>2457450</xdr:colOff>
          <xdr:row>75</xdr:row>
          <xdr:rowOff>609600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glasisolatie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75</xdr:row>
          <xdr:rowOff>590550</xdr:rowOff>
        </xdr:from>
        <xdr:to>
          <xdr:col>2</xdr:col>
          <xdr:colOff>2790825</xdr:colOff>
          <xdr:row>75</xdr:row>
          <xdr:rowOff>809625</xdr:rowOff>
        </xdr:to>
        <xdr:sp macro="" textlink="">
          <xdr:nvSpPr>
            <xdr:cNvPr id="1357" name="Option 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HR, HR++, Triple glas of voor-of achterzetbeglazing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228600</xdr:rowOff>
        </xdr:from>
        <xdr:to>
          <xdr:col>2</xdr:col>
          <xdr:colOff>2809875</xdr:colOff>
          <xdr:row>76</xdr:row>
          <xdr:rowOff>9525</xdr:rowOff>
        </xdr:to>
        <xdr:sp macro="" textlink="">
          <xdr:nvSpPr>
            <xdr:cNvPr id="1359" name="Group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Glasisolatie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180975</xdr:rowOff>
        </xdr:from>
        <xdr:to>
          <xdr:col>2</xdr:col>
          <xdr:colOff>2171700</xdr:colOff>
          <xdr:row>84</xdr:row>
          <xdr:rowOff>19050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2809875</xdr:colOff>
          <xdr:row>85</xdr:row>
          <xdr:rowOff>19050</xdr:rowOff>
        </xdr:to>
        <xdr:sp macro="" textlink="">
          <xdr:nvSpPr>
            <xdr:cNvPr id="1363" name="Group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 glas,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78</xdr:row>
          <xdr:rowOff>180975</xdr:rowOff>
        </xdr:from>
        <xdr:to>
          <xdr:col>2</xdr:col>
          <xdr:colOff>2286000</xdr:colOff>
          <xdr:row>80</xdr:row>
          <xdr:rowOff>19050</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79</xdr:row>
          <xdr:rowOff>180975</xdr:rowOff>
        </xdr:from>
        <xdr:to>
          <xdr:col>2</xdr:col>
          <xdr:colOff>2266950</xdr:colOff>
          <xdr:row>81</xdr:row>
          <xdr:rowOff>19050</xdr:rowOff>
        </xdr:to>
        <xdr:sp macro="" textlink="">
          <xdr:nvSpPr>
            <xdr:cNvPr id="1365" name="Option Butto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2</xdr:col>
          <xdr:colOff>2809875</xdr:colOff>
          <xdr:row>81</xdr:row>
          <xdr:rowOff>19050</xdr:rowOff>
        </xdr:to>
        <xdr:sp macro="" textlink="">
          <xdr:nvSpPr>
            <xdr:cNvPr id="1366" name="Group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Triple glas,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xdr:row>
          <xdr:rowOff>180975</xdr:rowOff>
        </xdr:from>
        <xdr:to>
          <xdr:col>2</xdr:col>
          <xdr:colOff>2228850</xdr:colOff>
          <xdr:row>104</xdr:row>
          <xdr:rowOff>19050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103</xdr:row>
          <xdr:rowOff>180975</xdr:rowOff>
        </xdr:from>
        <xdr:to>
          <xdr:col>2</xdr:col>
          <xdr:colOff>2124075</xdr:colOff>
          <xdr:row>105</xdr:row>
          <xdr:rowOff>19050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2809875</xdr:colOff>
          <xdr:row>105</xdr:row>
          <xdr:rowOff>19050</xdr:rowOff>
        </xdr:to>
        <xdr:sp macro="" textlink="">
          <xdr:nvSpPr>
            <xdr:cNvPr id="1369" name="Group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98</xdr:row>
          <xdr:rowOff>171450</xdr:rowOff>
        </xdr:from>
        <xdr:to>
          <xdr:col>2</xdr:col>
          <xdr:colOff>2305050</xdr:colOff>
          <xdr:row>100</xdr:row>
          <xdr:rowOff>9525</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99</xdr:row>
          <xdr:rowOff>171450</xdr:rowOff>
        </xdr:from>
        <xdr:to>
          <xdr:col>2</xdr:col>
          <xdr:colOff>2238375</xdr:colOff>
          <xdr:row>101</xdr:row>
          <xdr:rowOff>9525</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2</xdr:col>
          <xdr:colOff>2809875</xdr:colOff>
          <xdr:row>101</xdr:row>
          <xdr:rowOff>19050</xdr:rowOff>
        </xdr:to>
        <xdr:sp macro="" textlink="">
          <xdr:nvSpPr>
            <xdr:cNvPr id="1372" name="Group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118</xdr:row>
          <xdr:rowOff>180975</xdr:rowOff>
        </xdr:from>
        <xdr:to>
          <xdr:col>2</xdr:col>
          <xdr:colOff>2200275</xdr:colOff>
          <xdr:row>120</xdr:row>
          <xdr:rowOff>19050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180975</xdr:rowOff>
        </xdr:from>
        <xdr:to>
          <xdr:col>2</xdr:col>
          <xdr:colOff>2352675</xdr:colOff>
          <xdr:row>121</xdr:row>
          <xdr:rowOff>19050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2809875</xdr:colOff>
          <xdr:row>121</xdr:row>
          <xdr:rowOff>19050</xdr:rowOff>
        </xdr:to>
        <xdr:sp macro="" textlink="">
          <xdr:nvSpPr>
            <xdr:cNvPr id="1375" name="Group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1,5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122</xdr:row>
          <xdr:rowOff>171450</xdr:rowOff>
        </xdr:from>
        <xdr:to>
          <xdr:col>2</xdr:col>
          <xdr:colOff>2047875</xdr:colOff>
          <xdr:row>124</xdr:row>
          <xdr:rowOff>9525</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123</xdr:row>
          <xdr:rowOff>171450</xdr:rowOff>
        </xdr:from>
        <xdr:to>
          <xdr:col>2</xdr:col>
          <xdr:colOff>2038350</xdr:colOff>
          <xdr:row>125</xdr:row>
          <xdr:rowOff>9525</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0</xdr:rowOff>
        </xdr:from>
        <xdr:to>
          <xdr:col>2</xdr:col>
          <xdr:colOff>2809875</xdr:colOff>
          <xdr:row>125</xdr:row>
          <xdr:rowOff>19050</xdr:rowOff>
        </xdr:to>
        <xdr:sp macro="" textlink="">
          <xdr:nvSpPr>
            <xdr:cNvPr id="1378" name="Group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82</xdr:row>
          <xdr:rowOff>0</xdr:rowOff>
        </xdr:from>
        <xdr:to>
          <xdr:col>4</xdr:col>
          <xdr:colOff>2705100</xdr:colOff>
          <xdr:row>85</xdr:row>
          <xdr:rowOff>19050</xdr:rowOff>
        </xdr:to>
        <xdr:sp macro="" textlink="">
          <xdr:nvSpPr>
            <xdr:cNvPr id="1385" name="Group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 glas,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2695575</xdr:colOff>
          <xdr:row>81</xdr:row>
          <xdr:rowOff>19050</xdr:rowOff>
        </xdr:to>
        <xdr:sp macro="" textlink="">
          <xdr:nvSpPr>
            <xdr:cNvPr id="1391" name="Group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Triple glas,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2695575</xdr:colOff>
          <xdr:row>105</xdr:row>
          <xdr:rowOff>19050</xdr:rowOff>
        </xdr:to>
        <xdr:sp macro="" textlink="">
          <xdr:nvSpPr>
            <xdr:cNvPr id="1396" name="Group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2695575</xdr:colOff>
          <xdr:row>101</xdr:row>
          <xdr:rowOff>19050</xdr:rowOff>
        </xdr:to>
        <xdr:sp macro="" textlink="">
          <xdr:nvSpPr>
            <xdr:cNvPr id="1401" name="Group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118</xdr:row>
          <xdr:rowOff>0</xdr:rowOff>
        </xdr:from>
        <xdr:to>
          <xdr:col>4</xdr:col>
          <xdr:colOff>2705100</xdr:colOff>
          <xdr:row>121</xdr:row>
          <xdr:rowOff>19050</xdr:rowOff>
        </xdr:to>
        <xdr:sp macro="" textlink="">
          <xdr:nvSpPr>
            <xdr:cNvPr id="1408" name="Group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1,5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0</xdr:rowOff>
        </xdr:from>
        <xdr:to>
          <xdr:col>4</xdr:col>
          <xdr:colOff>2695575</xdr:colOff>
          <xdr:row>125</xdr:row>
          <xdr:rowOff>19050</xdr:rowOff>
        </xdr:to>
        <xdr:sp macro="" textlink="">
          <xdr:nvSpPr>
            <xdr:cNvPr id="1413" name="Group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171450</xdr:rowOff>
        </xdr:from>
        <xdr:to>
          <xdr:col>4</xdr:col>
          <xdr:colOff>190500</xdr:colOff>
          <xdr:row>61</xdr:row>
          <xdr:rowOff>28575</xdr:rowOff>
        </xdr:to>
        <xdr:sp macro="" textlink="">
          <xdr:nvSpPr>
            <xdr:cNvPr id="1414" name="Check Box 390" descr="Biobased"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Dakisolatie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180975</xdr:rowOff>
        </xdr:from>
        <xdr:to>
          <xdr:col>4</xdr:col>
          <xdr:colOff>2552700</xdr:colOff>
          <xdr:row>160</xdr:row>
          <xdr:rowOff>19050</xdr:rowOff>
        </xdr:to>
        <xdr:sp macro="" textlink="">
          <xdr:nvSpPr>
            <xdr:cNvPr id="1420" name="Option 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0</xdr:rowOff>
        </xdr:from>
        <xdr:to>
          <xdr:col>2</xdr:col>
          <xdr:colOff>2266950</xdr:colOff>
          <xdr:row>35</xdr:row>
          <xdr:rowOff>180975</xdr:rowOff>
        </xdr:to>
        <xdr:sp macro="" textlink="">
          <xdr:nvSpPr>
            <xdr:cNvPr id="1421" name="Option Button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zolder-of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2809875</xdr:colOff>
          <xdr:row>37</xdr:row>
          <xdr:rowOff>104775</xdr:rowOff>
        </xdr:to>
        <xdr:sp macro="" textlink="">
          <xdr:nvSpPr>
            <xdr:cNvPr id="1422" name="Group Box 398" descr="Dakisolatie"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Zolder- 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171450</xdr:rowOff>
        </xdr:from>
        <xdr:to>
          <xdr:col>4</xdr:col>
          <xdr:colOff>2495550</xdr:colOff>
          <xdr:row>36</xdr:row>
          <xdr:rowOff>0</xdr:rowOff>
        </xdr:to>
        <xdr:sp macro="" textlink="">
          <xdr:nvSpPr>
            <xdr:cNvPr id="1423" name="Option Button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0</xdr:rowOff>
        </xdr:from>
        <xdr:to>
          <xdr:col>4</xdr:col>
          <xdr:colOff>2705100</xdr:colOff>
          <xdr:row>37</xdr:row>
          <xdr:rowOff>104775</xdr:rowOff>
        </xdr:to>
        <xdr:sp macro="" textlink="">
          <xdr:nvSpPr>
            <xdr:cNvPr id="1424" name="Group Box 400" descr="Zolder-of vlieringisolatie"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Zolder- 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2</xdr:col>
          <xdr:colOff>2457450</xdr:colOff>
          <xdr:row>36</xdr:row>
          <xdr:rowOff>180975</xdr:rowOff>
        </xdr:to>
        <xdr:sp macro="" textlink="">
          <xdr:nvSpPr>
            <xdr:cNvPr id="1426" name="Option Butto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Zolder-of vlieringisolatie, RD ≥ 2,5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171450</xdr:rowOff>
        </xdr:from>
        <xdr:to>
          <xdr:col>4</xdr:col>
          <xdr:colOff>2476500</xdr:colOff>
          <xdr:row>37</xdr:row>
          <xdr:rowOff>0</xdr:rowOff>
        </xdr:to>
        <xdr:sp macro="" textlink="">
          <xdr:nvSpPr>
            <xdr:cNvPr id="1427" name="Option Butto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52</xdr:row>
          <xdr:rowOff>180975</xdr:rowOff>
        </xdr:from>
        <xdr:to>
          <xdr:col>2</xdr:col>
          <xdr:colOff>2295525</xdr:colOff>
          <xdr:row>54</xdr:row>
          <xdr:rowOff>9525</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2809875</xdr:colOff>
          <xdr:row>55</xdr:row>
          <xdr:rowOff>104775</xdr:rowOff>
        </xdr:to>
        <xdr:sp macro="" textlink="">
          <xdr:nvSpPr>
            <xdr:cNvPr id="1435" name="Group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52</xdr:row>
          <xdr:rowOff>171450</xdr:rowOff>
        </xdr:from>
        <xdr:to>
          <xdr:col>4</xdr:col>
          <xdr:colOff>2409825</xdr:colOff>
          <xdr:row>54</xdr:row>
          <xdr:rowOff>9525</xdr:rowOff>
        </xdr:to>
        <xdr:sp macro="" textlink="">
          <xdr:nvSpPr>
            <xdr:cNvPr id="1436" name="Option Butto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2695575</xdr:colOff>
          <xdr:row>55</xdr:row>
          <xdr:rowOff>104775</xdr:rowOff>
        </xdr:to>
        <xdr:sp macro="" textlink="">
          <xdr:nvSpPr>
            <xdr:cNvPr id="1437" name="Group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180975</xdr:rowOff>
        </xdr:from>
        <xdr:to>
          <xdr:col>2</xdr:col>
          <xdr:colOff>2162175</xdr:colOff>
          <xdr:row>55</xdr:row>
          <xdr:rowOff>9525</xdr:rowOff>
        </xdr:to>
        <xdr:sp macro="" textlink="">
          <xdr:nvSpPr>
            <xdr:cNvPr id="1438" name="Option Butto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Bodemisolatie, Rd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171450</xdr:rowOff>
        </xdr:from>
        <xdr:to>
          <xdr:col>4</xdr:col>
          <xdr:colOff>2581275</xdr:colOff>
          <xdr:row>55</xdr:row>
          <xdr:rowOff>9525</xdr:rowOff>
        </xdr:to>
        <xdr:sp macro="" textlink="">
          <xdr:nvSpPr>
            <xdr:cNvPr id="1440" name="Option Butto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171450</xdr:rowOff>
        </xdr:from>
        <xdr:to>
          <xdr:col>4</xdr:col>
          <xdr:colOff>190500</xdr:colOff>
          <xdr:row>63</xdr:row>
          <xdr:rowOff>28575</xdr:rowOff>
        </xdr:to>
        <xdr:sp macro="" textlink="">
          <xdr:nvSpPr>
            <xdr:cNvPr id="1443" name="Check Box 419" descr="Biobased"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Zolder-of vlieringisolatie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1962150</xdr:colOff>
          <xdr:row>71</xdr:row>
          <xdr:rowOff>47625</xdr:rowOff>
        </xdr:to>
        <xdr:sp macro="" textlink="">
          <xdr:nvSpPr>
            <xdr:cNvPr id="1444" name="Check Box 420" descr="Biobased"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Bodemisolatie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82</xdr:row>
          <xdr:rowOff>152400</xdr:rowOff>
        </xdr:from>
        <xdr:to>
          <xdr:col>4</xdr:col>
          <xdr:colOff>2028825</xdr:colOff>
          <xdr:row>84</xdr:row>
          <xdr:rowOff>9525</xdr:rowOff>
        </xdr:to>
        <xdr:sp macro="" textlink="">
          <xdr:nvSpPr>
            <xdr:cNvPr id="1452" name="Check Box 428" descr="Biobased"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78</xdr:row>
          <xdr:rowOff>152400</xdr:rowOff>
        </xdr:from>
        <xdr:to>
          <xdr:col>4</xdr:col>
          <xdr:colOff>2028825</xdr:colOff>
          <xdr:row>80</xdr:row>
          <xdr:rowOff>9525</xdr:rowOff>
        </xdr:to>
        <xdr:sp macro="" textlink="">
          <xdr:nvSpPr>
            <xdr:cNvPr id="1456" name="Check Box 432" descr="Biobased"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79</xdr:row>
          <xdr:rowOff>152400</xdr:rowOff>
        </xdr:from>
        <xdr:to>
          <xdr:col>4</xdr:col>
          <xdr:colOff>2028825</xdr:colOff>
          <xdr:row>81</xdr:row>
          <xdr:rowOff>9525</xdr:rowOff>
        </xdr:to>
        <xdr:sp macro="" textlink="">
          <xdr:nvSpPr>
            <xdr:cNvPr id="1457" name="Check Box 433" descr="Biobased"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102</xdr:row>
          <xdr:rowOff>152400</xdr:rowOff>
        </xdr:from>
        <xdr:to>
          <xdr:col>4</xdr:col>
          <xdr:colOff>2609850</xdr:colOff>
          <xdr:row>104</xdr:row>
          <xdr:rowOff>9525</xdr:rowOff>
        </xdr:to>
        <xdr:sp macro="" textlink="">
          <xdr:nvSpPr>
            <xdr:cNvPr id="1458" name="Check Box 434" descr="Biobased"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98</xdr:row>
          <xdr:rowOff>152400</xdr:rowOff>
        </xdr:from>
        <xdr:to>
          <xdr:col>4</xdr:col>
          <xdr:colOff>2657475</xdr:colOff>
          <xdr:row>100</xdr:row>
          <xdr:rowOff>9525</xdr:rowOff>
        </xdr:to>
        <xdr:sp macro="" textlink="">
          <xdr:nvSpPr>
            <xdr:cNvPr id="1460" name="Check Box 436" descr="Biobased"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118</xdr:row>
          <xdr:rowOff>152400</xdr:rowOff>
        </xdr:from>
        <xdr:to>
          <xdr:col>4</xdr:col>
          <xdr:colOff>2028825</xdr:colOff>
          <xdr:row>120</xdr:row>
          <xdr:rowOff>9525</xdr:rowOff>
        </xdr:to>
        <xdr:sp macro="" textlink="">
          <xdr:nvSpPr>
            <xdr:cNvPr id="1462" name="Check Box 438" descr="Biobased"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119</xdr:row>
          <xdr:rowOff>152400</xdr:rowOff>
        </xdr:from>
        <xdr:to>
          <xdr:col>4</xdr:col>
          <xdr:colOff>2028825</xdr:colOff>
          <xdr:row>121</xdr:row>
          <xdr:rowOff>9525</xdr:rowOff>
        </xdr:to>
        <xdr:sp macro="" textlink="">
          <xdr:nvSpPr>
            <xdr:cNvPr id="1463" name="Check Box 439" descr="Biobased"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122</xdr:row>
          <xdr:rowOff>152400</xdr:rowOff>
        </xdr:from>
        <xdr:to>
          <xdr:col>4</xdr:col>
          <xdr:colOff>2028825</xdr:colOff>
          <xdr:row>124</xdr:row>
          <xdr:rowOff>9525</xdr:rowOff>
        </xdr:to>
        <xdr:sp macro="" textlink="">
          <xdr:nvSpPr>
            <xdr:cNvPr id="1464" name="Check Box 440" descr="Biobased"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123</xdr:row>
          <xdr:rowOff>152400</xdr:rowOff>
        </xdr:from>
        <xdr:to>
          <xdr:col>4</xdr:col>
          <xdr:colOff>2028825</xdr:colOff>
          <xdr:row>125</xdr:row>
          <xdr:rowOff>9525</xdr:rowOff>
        </xdr:to>
        <xdr:sp macro="" textlink="">
          <xdr:nvSpPr>
            <xdr:cNvPr id="1465" name="Check Box 441" descr="Biobased"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83</xdr:row>
          <xdr:rowOff>152400</xdr:rowOff>
        </xdr:from>
        <xdr:to>
          <xdr:col>4</xdr:col>
          <xdr:colOff>2028825</xdr:colOff>
          <xdr:row>85</xdr:row>
          <xdr:rowOff>9525</xdr:rowOff>
        </xdr:to>
        <xdr:sp macro="" textlink="">
          <xdr:nvSpPr>
            <xdr:cNvPr id="1469" name="Check Box 445" descr="Biobased"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83</xdr:row>
          <xdr:rowOff>180975</xdr:rowOff>
        </xdr:from>
        <xdr:to>
          <xdr:col>2</xdr:col>
          <xdr:colOff>2171700</xdr:colOff>
          <xdr:row>85</xdr:row>
          <xdr:rowOff>19050</xdr:rowOff>
        </xdr:to>
        <xdr:sp macro="" textlink="">
          <xdr:nvSpPr>
            <xdr:cNvPr id="1470" name="Option Button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180975</xdr:rowOff>
        </xdr:from>
        <xdr:to>
          <xdr:col>2</xdr:col>
          <xdr:colOff>2171700</xdr:colOff>
          <xdr:row>88</xdr:row>
          <xdr:rowOff>19050</xdr:rowOff>
        </xdr:to>
        <xdr:sp macro="" textlink="">
          <xdr:nvSpPr>
            <xdr:cNvPr id="1478" name="Option Butto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2809875</xdr:colOff>
          <xdr:row>89</xdr:row>
          <xdr:rowOff>19050</xdr:rowOff>
        </xdr:to>
        <xdr:sp macro="" textlink="">
          <xdr:nvSpPr>
            <xdr:cNvPr id="1479" name="Group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HR-glas of voor-of achterzetbeglazing U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86</xdr:row>
          <xdr:rowOff>0</xdr:rowOff>
        </xdr:from>
        <xdr:to>
          <xdr:col>4</xdr:col>
          <xdr:colOff>2705100</xdr:colOff>
          <xdr:row>89</xdr:row>
          <xdr:rowOff>19050</xdr:rowOff>
        </xdr:to>
        <xdr:sp macro="" textlink="">
          <xdr:nvSpPr>
            <xdr:cNvPr id="1480" name="Group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HR-glas of voor-of achterzetbeglazing U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86</xdr:row>
          <xdr:rowOff>152400</xdr:rowOff>
        </xdr:from>
        <xdr:to>
          <xdr:col>4</xdr:col>
          <xdr:colOff>2028825</xdr:colOff>
          <xdr:row>88</xdr:row>
          <xdr:rowOff>9525</xdr:rowOff>
        </xdr:to>
        <xdr:sp macro="" textlink="">
          <xdr:nvSpPr>
            <xdr:cNvPr id="1481" name="Check Box 457" descr="Biobased"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87</xdr:row>
          <xdr:rowOff>152400</xdr:rowOff>
        </xdr:from>
        <xdr:to>
          <xdr:col>4</xdr:col>
          <xdr:colOff>2028825</xdr:colOff>
          <xdr:row>89</xdr:row>
          <xdr:rowOff>9525</xdr:rowOff>
        </xdr:to>
        <xdr:sp macro="" textlink="">
          <xdr:nvSpPr>
            <xdr:cNvPr id="1483" name="Check Box 459" descr="Biobased"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180975</xdr:rowOff>
        </xdr:from>
        <xdr:to>
          <xdr:col>2</xdr:col>
          <xdr:colOff>2171700</xdr:colOff>
          <xdr:row>89</xdr:row>
          <xdr:rowOff>19050</xdr:rowOff>
        </xdr:to>
        <xdr:sp macro="" textlink="">
          <xdr:nvSpPr>
            <xdr:cNvPr id="1484" name="Option 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90</xdr:row>
          <xdr:rowOff>180975</xdr:rowOff>
        </xdr:from>
        <xdr:to>
          <xdr:col>2</xdr:col>
          <xdr:colOff>2171700</xdr:colOff>
          <xdr:row>92</xdr:row>
          <xdr:rowOff>19050</xdr:rowOff>
        </xdr:to>
        <xdr:sp macro="" textlink="">
          <xdr:nvSpPr>
            <xdr:cNvPr id="1487" name="Option 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2</xdr:col>
          <xdr:colOff>2809875</xdr:colOff>
          <xdr:row>93</xdr:row>
          <xdr:rowOff>19050</xdr:rowOff>
        </xdr:to>
        <xdr:sp macro="" textlink="">
          <xdr:nvSpPr>
            <xdr:cNvPr id="1488" name="Group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HR-glas of voor-of achterzetbeglazing U ≤ 3,0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90</xdr:row>
          <xdr:rowOff>0</xdr:rowOff>
        </xdr:from>
        <xdr:to>
          <xdr:col>4</xdr:col>
          <xdr:colOff>2705100</xdr:colOff>
          <xdr:row>93</xdr:row>
          <xdr:rowOff>19050</xdr:rowOff>
        </xdr:to>
        <xdr:sp macro="" textlink="">
          <xdr:nvSpPr>
            <xdr:cNvPr id="1489" name="Group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HR-glas of voor-of achterzetbeglazing U ≤ 3,0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90</xdr:row>
          <xdr:rowOff>152400</xdr:rowOff>
        </xdr:from>
        <xdr:to>
          <xdr:col>4</xdr:col>
          <xdr:colOff>2619375</xdr:colOff>
          <xdr:row>92</xdr:row>
          <xdr:rowOff>9525</xdr:rowOff>
        </xdr:to>
        <xdr:sp macro="" textlink="">
          <xdr:nvSpPr>
            <xdr:cNvPr id="1490" name="Check Box 466" descr="Biobased"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91</xdr:row>
          <xdr:rowOff>152400</xdr:rowOff>
        </xdr:from>
        <xdr:to>
          <xdr:col>4</xdr:col>
          <xdr:colOff>2028825</xdr:colOff>
          <xdr:row>93</xdr:row>
          <xdr:rowOff>9525</xdr:rowOff>
        </xdr:to>
        <xdr:sp macro="" textlink="">
          <xdr:nvSpPr>
            <xdr:cNvPr id="1491" name="Check Box 467" descr="Biobased"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91</xdr:row>
          <xdr:rowOff>180975</xdr:rowOff>
        </xdr:from>
        <xdr:to>
          <xdr:col>2</xdr:col>
          <xdr:colOff>2171700</xdr:colOff>
          <xdr:row>93</xdr:row>
          <xdr:rowOff>19050</xdr:rowOff>
        </xdr:to>
        <xdr:sp macro="" textlink="">
          <xdr:nvSpPr>
            <xdr:cNvPr id="1492" name="Option Butto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106</xdr:row>
          <xdr:rowOff>180975</xdr:rowOff>
        </xdr:from>
        <xdr:to>
          <xdr:col>2</xdr:col>
          <xdr:colOff>2228850</xdr:colOff>
          <xdr:row>108</xdr:row>
          <xdr:rowOff>19050</xdr:rowOff>
        </xdr:to>
        <xdr:sp macro="" textlink="">
          <xdr:nvSpPr>
            <xdr:cNvPr id="1493" name="Option Button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xdr:row>
          <xdr:rowOff>180975</xdr:rowOff>
        </xdr:from>
        <xdr:to>
          <xdr:col>2</xdr:col>
          <xdr:colOff>2124075</xdr:colOff>
          <xdr:row>109</xdr:row>
          <xdr:rowOff>19050</xdr:rowOff>
        </xdr:to>
        <xdr:sp macro="" textlink="">
          <xdr:nvSpPr>
            <xdr:cNvPr id="1494" name="Option Button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2809875</xdr:colOff>
          <xdr:row>109</xdr:row>
          <xdr:rowOff>19050</xdr:rowOff>
        </xdr:to>
        <xdr:sp macro="" textlink="">
          <xdr:nvSpPr>
            <xdr:cNvPr id="1495" name="Group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2695575</xdr:colOff>
          <xdr:row>109</xdr:row>
          <xdr:rowOff>19050</xdr:rowOff>
        </xdr:to>
        <xdr:sp macro="" textlink="">
          <xdr:nvSpPr>
            <xdr:cNvPr id="1496" name="Group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2,0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106</xdr:row>
          <xdr:rowOff>152400</xdr:rowOff>
        </xdr:from>
        <xdr:to>
          <xdr:col>4</xdr:col>
          <xdr:colOff>2638425</xdr:colOff>
          <xdr:row>108</xdr:row>
          <xdr:rowOff>9525</xdr:rowOff>
        </xdr:to>
        <xdr:sp macro="" textlink="">
          <xdr:nvSpPr>
            <xdr:cNvPr id="1497" name="Check Box 473" descr="Biobased"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110</xdr:row>
          <xdr:rowOff>180975</xdr:rowOff>
        </xdr:from>
        <xdr:to>
          <xdr:col>2</xdr:col>
          <xdr:colOff>2228850</xdr:colOff>
          <xdr:row>112</xdr:row>
          <xdr:rowOff>19050</xdr:rowOff>
        </xdr:to>
        <xdr:sp macro="" textlink="">
          <xdr:nvSpPr>
            <xdr:cNvPr id="1499" name="Option Button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111</xdr:row>
          <xdr:rowOff>180975</xdr:rowOff>
        </xdr:from>
        <xdr:to>
          <xdr:col>2</xdr:col>
          <xdr:colOff>2124075</xdr:colOff>
          <xdr:row>113</xdr:row>
          <xdr:rowOff>19050</xdr:rowOff>
        </xdr:to>
        <xdr:sp macro="" textlink="">
          <xdr:nvSpPr>
            <xdr:cNvPr id="1500" name="Option Button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2</xdr:col>
          <xdr:colOff>2809875</xdr:colOff>
          <xdr:row>113</xdr:row>
          <xdr:rowOff>19050</xdr:rowOff>
        </xdr:to>
        <xdr:sp macro="" textlink="">
          <xdr:nvSpPr>
            <xdr:cNvPr id="1501" name="Group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3,0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2695575</xdr:colOff>
          <xdr:row>113</xdr:row>
          <xdr:rowOff>19050</xdr:rowOff>
        </xdr:to>
        <xdr:sp macro="" textlink="">
          <xdr:nvSpPr>
            <xdr:cNvPr id="1502" name="Group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3,0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110</xdr:row>
          <xdr:rowOff>152400</xdr:rowOff>
        </xdr:from>
        <xdr:to>
          <xdr:col>4</xdr:col>
          <xdr:colOff>2628900</xdr:colOff>
          <xdr:row>112</xdr:row>
          <xdr:rowOff>9525</xdr:rowOff>
        </xdr:to>
        <xdr:sp macro="" textlink="">
          <xdr:nvSpPr>
            <xdr:cNvPr id="1503" name="Check Box 479" descr="Biobased"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janauri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114</xdr:row>
          <xdr:rowOff>171450</xdr:rowOff>
        </xdr:from>
        <xdr:to>
          <xdr:col>2</xdr:col>
          <xdr:colOff>2047875</xdr:colOff>
          <xdr:row>116</xdr:row>
          <xdr:rowOff>9525</xdr:rowOff>
        </xdr:to>
        <xdr:sp macro="" textlink="">
          <xdr:nvSpPr>
            <xdr:cNvPr id="1505" name="Option Button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115</xdr:row>
          <xdr:rowOff>171450</xdr:rowOff>
        </xdr:from>
        <xdr:to>
          <xdr:col>2</xdr:col>
          <xdr:colOff>2038350</xdr:colOff>
          <xdr:row>117</xdr:row>
          <xdr:rowOff>9525</xdr:rowOff>
        </xdr:to>
        <xdr:sp macro="" textlink="">
          <xdr:nvSpPr>
            <xdr:cNvPr id="1506" name="Option Butto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2</xdr:col>
          <xdr:colOff>2809875</xdr:colOff>
          <xdr:row>117</xdr:row>
          <xdr:rowOff>19050</xdr:rowOff>
        </xdr:to>
        <xdr:sp macro="" textlink="">
          <xdr:nvSpPr>
            <xdr:cNvPr id="1507" name="Group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4</xdr:col>
          <xdr:colOff>2695575</xdr:colOff>
          <xdr:row>117</xdr:row>
          <xdr:rowOff>19050</xdr:rowOff>
        </xdr:to>
        <xdr:sp macro="" textlink="">
          <xdr:nvSpPr>
            <xdr:cNvPr id="1508" name="Group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114</xdr:row>
          <xdr:rowOff>152400</xdr:rowOff>
        </xdr:from>
        <xdr:to>
          <xdr:col>4</xdr:col>
          <xdr:colOff>2028825</xdr:colOff>
          <xdr:row>116</xdr:row>
          <xdr:rowOff>9525</xdr:rowOff>
        </xdr:to>
        <xdr:sp macro="" textlink="">
          <xdr:nvSpPr>
            <xdr:cNvPr id="1509" name="Check Box 485" descr="Biobased"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115</xdr:row>
          <xdr:rowOff>152400</xdr:rowOff>
        </xdr:from>
        <xdr:to>
          <xdr:col>4</xdr:col>
          <xdr:colOff>2028825</xdr:colOff>
          <xdr:row>117</xdr:row>
          <xdr:rowOff>9525</xdr:rowOff>
        </xdr:to>
        <xdr:sp macro="" textlink="">
          <xdr:nvSpPr>
            <xdr:cNvPr id="1510" name="Check Box 486" descr="Biobased"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135</xdr:row>
          <xdr:rowOff>171450</xdr:rowOff>
        </xdr:from>
        <xdr:to>
          <xdr:col>2</xdr:col>
          <xdr:colOff>2047875</xdr:colOff>
          <xdr:row>137</xdr:row>
          <xdr:rowOff>9525</xdr:rowOff>
        </xdr:to>
        <xdr:sp macro="" textlink="">
          <xdr:nvSpPr>
            <xdr:cNvPr id="1515" name="Option Button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136</xdr:row>
          <xdr:rowOff>171450</xdr:rowOff>
        </xdr:from>
        <xdr:to>
          <xdr:col>2</xdr:col>
          <xdr:colOff>2038350</xdr:colOff>
          <xdr:row>138</xdr:row>
          <xdr:rowOff>9525</xdr:rowOff>
        </xdr:to>
        <xdr:sp macro="" textlink="">
          <xdr:nvSpPr>
            <xdr:cNvPr id="1516" name="Option Button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135</xdr:row>
          <xdr:rowOff>0</xdr:rowOff>
        </xdr:from>
        <xdr:to>
          <xdr:col>2</xdr:col>
          <xdr:colOff>2695575</xdr:colOff>
          <xdr:row>138</xdr:row>
          <xdr:rowOff>66675</xdr:rowOff>
        </xdr:to>
        <xdr:sp macro="" textlink="">
          <xdr:nvSpPr>
            <xdr:cNvPr id="1517" name="Group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Energiezuinig ventilatiesysteem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135</xdr:row>
          <xdr:rowOff>0</xdr:rowOff>
        </xdr:from>
        <xdr:to>
          <xdr:col>4</xdr:col>
          <xdr:colOff>2695575</xdr:colOff>
          <xdr:row>138</xdr:row>
          <xdr:rowOff>57150</xdr:rowOff>
        </xdr:to>
        <xdr:sp macro="" textlink="">
          <xdr:nvSpPr>
            <xdr:cNvPr id="1518" name="Group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energiezuinig ventilatiesysteem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152400</xdr:rowOff>
        </xdr:from>
        <xdr:to>
          <xdr:col>4</xdr:col>
          <xdr:colOff>2562225</xdr:colOff>
          <xdr:row>136</xdr:row>
          <xdr:rowOff>180975</xdr:rowOff>
        </xdr:to>
        <xdr:sp macro="" textlink="">
          <xdr:nvSpPr>
            <xdr:cNvPr id="1519" name="Option Button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136</xdr:row>
          <xdr:rowOff>152400</xdr:rowOff>
        </xdr:from>
        <xdr:to>
          <xdr:col>4</xdr:col>
          <xdr:colOff>2562225</xdr:colOff>
          <xdr:row>137</xdr:row>
          <xdr:rowOff>180975</xdr:rowOff>
        </xdr:to>
        <xdr:sp macro="" textlink="">
          <xdr:nvSpPr>
            <xdr:cNvPr id="1520" name="Option Button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9</xdr:col>
          <xdr:colOff>19050</xdr:colOff>
          <xdr:row>139</xdr:row>
          <xdr:rowOff>57150</xdr:rowOff>
        </xdr:to>
        <xdr:sp macro="" textlink="">
          <xdr:nvSpPr>
            <xdr:cNvPr id="1521" name="Group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uitvoering laatste ISDE-isolatiemaatregel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161925</xdr:rowOff>
        </xdr:from>
        <xdr:to>
          <xdr:col>8</xdr:col>
          <xdr:colOff>942975</xdr:colOff>
          <xdr:row>136</xdr:row>
          <xdr:rowOff>152400</xdr:rowOff>
        </xdr:to>
        <xdr:sp macro="" textlink="">
          <xdr:nvSpPr>
            <xdr:cNvPr id="1522" name="Option Button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 of &gt;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161925</xdr:rowOff>
        </xdr:from>
        <xdr:to>
          <xdr:col>8</xdr:col>
          <xdr:colOff>942975</xdr:colOff>
          <xdr:row>138</xdr:row>
          <xdr:rowOff>133350</xdr:rowOff>
        </xdr:to>
        <xdr:sp macro="" textlink="">
          <xdr:nvSpPr>
            <xdr:cNvPr id="1523" name="Option Button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Plaatsing ventilatiesysteem binnen 24 maanden na uitvoering ISDE-isolatiemaatregel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186</xdr:row>
          <xdr:rowOff>171450</xdr:rowOff>
        </xdr:from>
        <xdr:to>
          <xdr:col>2</xdr:col>
          <xdr:colOff>2447925</xdr:colOff>
          <xdr:row>188</xdr:row>
          <xdr:rowOff>0</xdr:rowOff>
        </xdr:to>
        <xdr:sp macro="" textlink="">
          <xdr:nvSpPr>
            <xdr:cNvPr id="1525" name="Option Button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186</xdr:row>
          <xdr:rowOff>0</xdr:rowOff>
        </xdr:from>
        <xdr:to>
          <xdr:col>2</xdr:col>
          <xdr:colOff>2809875</xdr:colOff>
          <xdr:row>199</xdr:row>
          <xdr:rowOff>66675</xdr:rowOff>
        </xdr:to>
        <xdr:sp macro="" textlink="">
          <xdr:nvSpPr>
            <xdr:cNvPr id="1526" name="Group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187</xdr:row>
          <xdr:rowOff>171450</xdr:rowOff>
        </xdr:from>
        <xdr:to>
          <xdr:col>2</xdr:col>
          <xdr:colOff>2371725</xdr:colOff>
          <xdr:row>189</xdr:row>
          <xdr:rowOff>0</xdr:rowOff>
        </xdr:to>
        <xdr:sp macro="" textlink="">
          <xdr:nvSpPr>
            <xdr:cNvPr id="1527" name="Option Button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188</xdr:row>
          <xdr:rowOff>171450</xdr:rowOff>
        </xdr:from>
        <xdr:to>
          <xdr:col>2</xdr:col>
          <xdr:colOff>2457450</xdr:colOff>
          <xdr:row>190</xdr:row>
          <xdr:rowOff>0</xdr:rowOff>
        </xdr:to>
        <xdr:sp macro="" textlink="">
          <xdr:nvSpPr>
            <xdr:cNvPr id="1528" name="Option Button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1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189</xdr:row>
          <xdr:rowOff>171450</xdr:rowOff>
        </xdr:from>
        <xdr:to>
          <xdr:col>2</xdr:col>
          <xdr:colOff>2466975</xdr:colOff>
          <xdr:row>191</xdr:row>
          <xdr:rowOff>0</xdr:rowOff>
        </xdr:to>
        <xdr:sp macro="" textlink="">
          <xdr:nvSpPr>
            <xdr:cNvPr id="1529" name="Option Button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190</xdr:row>
          <xdr:rowOff>171450</xdr:rowOff>
        </xdr:from>
        <xdr:to>
          <xdr:col>2</xdr:col>
          <xdr:colOff>2390775</xdr:colOff>
          <xdr:row>192</xdr:row>
          <xdr:rowOff>0</xdr:rowOff>
        </xdr:to>
        <xdr:sp macro="" textlink="">
          <xdr:nvSpPr>
            <xdr:cNvPr id="1530" name="Option Button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191</xdr:row>
          <xdr:rowOff>171450</xdr:rowOff>
        </xdr:from>
        <xdr:to>
          <xdr:col>2</xdr:col>
          <xdr:colOff>2362200</xdr:colOff>
          <xdr:row>193</xdr:row>
          <xdr:rowOff>0</xdr:rowOff>
        </xdr:to>
        <xdr:sp macro="" textlink="">
          <xdr:nvSpPr>
            <xdr:cNvPr id="1531" name="Option Button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192</xdr:row>
          <xdr:rowOff>171450</xdr:rowOff>
        </xdr:from>
        <xdr:to>
          <xdr:col>2</xdr:col>
          <xdr:colOff>2438400</xdr:colOff>
          <xdr:row>194</xdr:row>
          <xdr:rowOff>0</xdr:rowOff>
        </xdr:to>
        <xdr:sp macro="" textlink="">
          <xdr:nvSpPr>
            <xdr:cNvPr id="1532" name="Option Button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193</xdr:row>
          <xdr:rowOff>171450</xdr:rowOff>
        </xdr:from>
        <xdr:to>
          <xdr:col>2</xdr:col>
          <xdr:colOff>2400300</xdr:colOff>
          <xdr:row>195</xdr:row>
          <xdr:rowOff>0</xdr:rowOff>
        </xdr:to>
        <xdr:sp macro="" textlink="">
          <xdr:nvSpPr>
            <xdr:cNvPr id="1533" name="Option Button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194</xdr:row>
          <xdr:rowOff>171450</xdr:rowOff>
        </xdr:from>
        <xdr:to>
          <xdr:col>2</xdr:col>
          <xdr:colOff>2409825</xdr:colOff>
          <xdr:row>196</xdr:row>
          <xdr:rowOff>0</xdr:rowOff>
        </xdr:to>
        <xdr:sp macro="" textlink="">
          <xdr:nvSpPr>
            <xdr:cNvPr id="1534" name="Option Button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195</xdr:row>
          <xdr:rowOff>171450</xdr:rowOff>
        </xdr:from>
        <xdr:to>
          <xdr:col>2</xdr:col>
          <xdr:colOff>2362200</xdr:colOff>
          <xdr:row>197</xdr:row>
          <xdr:rowOff>0</xdr:rowOff>
        </xdr:to>
        <xdr:sp macro="" textlink="">
          <xdr:nvSpPr>
            <xdr:cNvPr id="1535" name="Option Button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196</xdr:row>
          <xdr:rowOff>171450</xdr:rowOff>
        </xdr:from>
        <xdr:to>
          <xdr:col>2</xdr:col>
          <xdr:colOff>2419350</xdr:colOff>
          <xdr:row>198</xdr:row>
          <xdr:rowOff>0</xdr:rowOff>
        </xdr:to>
        <xdr:sp macro="" textlink="">
          <xdr:nvSpPr>
            <xdr:cNvPr id="1536" name="Option Button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197</xdr:row>
          <xdr:rowOff>171450</xdr:rowOff>
        </xdr:from>
        <xdr:to>
          <xdr:col>2</xdr:col>
          <xdr:colOff>2466975</xdr:colOff>
          <xdr:row>199</xdr:row>
          <xdr:rowOff>0</xdr:rowOff>
        </xdr:to>
        <xdr:sp macro="" textlink="">
          <xdr:nvSpPr>
            <xdr:cNvPr id="1537" name="Option Button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201</xdr:row>
          <xdr:rowOff>180975</xdr:rowOff>
        </xdr:from>
        <xdr:to>
          <xdr:col>2</xdr:col>
          <xdr:colOff>2486025</xdr:colOff>
          <xdr:row>203</xdr:row>
          <xdr:rowOff>9525</xdr:rowOff>
        </xdr:to>
        <xdr:sp macro="" textlink="">
          <xdr:nvSpPr>
            <xdr:cNvPr id="1538" name="Option Butto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202</xdr:row>
          <xdr:rowOff>180975</xdr:rowOff>
        </xdr:from>
        <xdr:to>
          <xdr:col>2</xdr:col>
          <xdr:colOff>2457450</xdr:colOff>
          <xdr:row>204</xdr:row>
          <xdr:rowOff>9525</xdr:rowOff>
        </xdr:to>
        <xdr:sp macro="" textlink="">
          <xdr:nvSpPr>
            <xdr:cNvPr id="1539" name="Option Button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of hoger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203</xdr:row>
          <xdr:rowOff>180975</xdr:rowOff>
        </xdr:from>
        <xdr:to>
          <xdr:col>2</xdr:col>
          <xdr:colOff>2295525</xdr:colOff>
          <xdr:row>205</xdr:row>
          <xdr:rowOff>9525</xdr:rowOff>
        </xdr:to>
        <xdr:sp macro="" textlink="">
          <xdr:nvSpPr>
            <xdr:cNvPr id="1540" name="Option Button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204</xdr:row>
          <xdr:rowOff>180975</xdr:rowOff>
        </xdr:from>
        <xdr:to>
          <xdr:col>2</xdr:col>
          <xdr:colOff>2390775</xdr:colOff>
          <xdr:row>206</xdr:row>
          <xdr:rowOff>9525</xdr:rowOff>
        </xdr:to>
        <xdr:sp macro="" textlink="">
          <xdr:nvSpPr>
            <xdr:cNvPr id="1541" name="Option Button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205</xdr:row>
          <xdr:rowOff>180975</xdr:rowOff>
        </xdr:from>
        <xdr:to>
          <xdr:col>2</xdr:col>
          <xdr:colOff>2286000</xdr:colOff>
          <xdr:row>207</xdr:row>
          <xdr:rowOff>9525</xdr:rowOff>
        </xdr:to>
        <xdr:sp macro="" textlink="">
          <xdr:nvSpPr>
            <xdr:cNvPr id="1542" name="Option Button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t/m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201</xdr:row>
          <xdr:rowOff>57150</xdr:rowOff>
        </xdr:from>
        <xdr:to>
          <xdr:col>2</xdr:col>
          <xdr:colOff>2819400</xdr:colOff>
          <xdr:row>207</xdr:row>
          <xdr:rowOff>66675</xdr:rowOff>
        </xdr:to>
        <xdr:sp macro="" textlink="">
          <xdr:nvSpPr>
            <xdr:cNvPr id="1543" name="Group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Energie-efficiency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180975</xdr:rowOff>
        </xdr:from>
        <xdr:to>
          <xdr:col>4</xdr:col>
          <xdr:colOff>2552700</xdr:colOff>
          <xdr:row>188</xdr:row>
          <xdr:rowOff>19050</xdr:rowOff>
        </xdr:to>
        <xdr:sp macro="" textlink="">
          <xdr:nvSpPr>
            <xdr:cNvPr id="1544" name="Option Button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187</xdr:row>
          <xdr:rowOff>180975</xdr:rowOff>
        </xdr:from>
        <xdr:to>
          <xdr:col>4</xdr:col>
          <xdr:colOff>2524125</xdr:colOff>
          <xdr:row>189</xdr:row>
          <xdr:rowOff>19050</xdr:rowOff>
        </xdr:to>
        <xdr:sp macro="" textlink="">
          <xdr:nvSpPr>
            <xdr:cNvPr id="1545" name="Option Button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2695575</xdr:colOff>
          <xdr:row>191</xdr:row>
          <xdr:rowOff>114300</xdr:rowOff>
        </xdr:to>
        <xdr:sp macro="" textlink="">
          <xdr:nvSpPr>
            <xdr:cNvPr id="1546" name="Group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188</xdr:row>
          <xdr:rowOff>180975</xdr:rowOff>
        </xdr:from>
        <xdr:to>
          <xdr:col>4</xdr:col>
          <xdr:colOff>2552700</xdr:colOff>
          <xdr:row>190</xdr:row>
          <xdr:rowOff>19050</xdr:rowOff>
        </xdr:to>
        <xdr:sp macro="" textlink="">
          <xdr:nvSpPr>
            <xdr:cNvPr id="1547" name="Option Button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189</xdr:row>
          <xdr:rowOff>180975</xdr:rowOff>
        </xdr:from>
        <xdr:to>
          <xdr:col>4</xdr:col>
          <xdr:colOff>2552700</xdr:colOff>
          <xdr:row>191</xdr:row>
          <xdr:rowOff>19050</xdr:rowOff>
        </xdr:to>
        <xdr:sp macro="" textlink="">
          <xdr:nvSpPr>
            <xdr:cNvPr id="1548" name="Option 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94</xdr:row>
          <xdr:rowOff>180975</xdr:rowOff>
        </xdr:from>
        <xdr:to>
          <xdr:col>2</xdr:col>
          <xdr:colOff>2171700</xdr:colOff>
          <xdr:row>96</xdr:row>
          <xdr:rowOff>19050</xdr:rowOff>
        </xdr:to>
        <xdr:sp macro="" textlink="">
          <xdr:nvSpPr>
            <xdr:cNvPr id="1549" name="Option 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2</xdr:col>
          <xdr:colOff>2809875</xdr:colOff>
          <xdr:row>97</xdr:row>
          <xdr:rowOff>19050</xdr:rowOff>
        </xdr:to>
        <xdr:sp macro="" textlink="">
          <xdr:nvSpPr>
            <xdr:cNvPr id="1550" name="Group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Voor-of achterzetbeglazing  U ≤ 5,8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94</xdr:row>
          <xdr:rowOff>0</xdr:rowOff>
        </xdr:from>
        <xdr:to>
          <xdr:col>4</xdr:col>
          <xdr:colOff>2705100</xdr:colOff>
          <xdr:row>97</xdr:row>
          <xdr:rowOff>19050</xdr:rowOff>
        </xdr:to>
        <xdr:sp macro="" textlink="">
          <xdr:nvSpPr>
            <xdr:cNvPr id="1551" name="Group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Voor-of achterzetbeglazing U ≤ 5,8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94</xdr:row>
          <xdr:rowOff>152400</xdr:rowOff>
        </xdr:from>
        <xdr:to>
          <xdr:col>4</xdr:col>
          <xdr:colOff>2028825</xdr:colOff>
          <xdr:row>96</xdr:row>
          <xdr:rowOff>9525</xdr:rowOff>
        </xdr:to>
        <xdr:sp macro="" textlink="">
          <xdr:nvSpPr>
            <xdr:cNvPr id="1552" name="Check Box 528" descr="Biobased"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2026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95</xdr:row>
          <xdr:rowOff>180975</xdr:rowOff>
        </xdr:from>
        <xdr:to>
          <xdr:col>2</xdr:col>
          <xdr:colOff>2171700</xdr:colOff>
          <xdr:row>97</xdr:row>
          <xdr:rowOff>19050</xdr:rowOff>
        </xdr:to>
        <xdr:sp macro="" textlink="">
          <xdr:nvSpPr>
            <xdr:cNvPr id="1554" name="Option Button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143</xdr:row>
          <xdr:rowOff>180975</xdr:rowOff>
        </xdr:from>
        <xdr:to>
          <xdr:col>2</xdr:col>
          <xdr:colOff>2228850</xdr:colOff>
          <xdr:row>145</xdr:row>
          <xdr:rowOff>9525</xdr:rowOff>
        </xdr:to>
        <xdr:sp macro="" textlink="">
          <xdr:nvSpPr>
            <xdr:cNvPr id="1555" name="Option Button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144</xdr:row>
          <xdr:rowOff>180975</xdr:rowOff>
        </xdr:from>
        <xdr:to>
          <xdr:col>2</xdr:col>
          <xdr:colOff>2657475</xdr:colOff>
          <xdr:row>146</xdr:row>
          <xdr:rowOff>19050</xdr:rowOff>
        </xdr:to>
        <xdr:sp macro="" textlink="">
          <xdr:nvSpPr>
            <xdr:cNvPr id="1556" name="Option Button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1 kW en ≤ 70 kW met labelbonus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145</xdr:row>
          <xdr:rowOff>180975</xdr:rowOff>
        </xdr:from>
        <xdr:to>
          <xdr:col>2</xdr:col>
          <xdr:colOff>2676525</xdr:colOff>
          <xdr:row>147</xdr:row>
          <xdr:rowOff>38100</xdr:rowOff>
        </xdr:to>
        <xdr:sp macro="" textlink="">
          <xdr:nvSpPr>
            <xdr:cNvPr id="1557" name="Option Button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1 kW en ≤ 70 kW zonder labelbonus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146</xdr:row>
          <xdr:rowOff>180975</xdr:rowOff>
        </xdr:from>
        <xdr:to>
          <xdr:col>2</xdr:col>
          <xdr:colOff>2324100</xdr:colOff>
          <xdr:row>148</xdr:row>
          <xdr:rowOff>9525</xdr:rowOff>
        </xdr:to>
        <xdr:sp macro="" textlink="">
          <xdr:nvSpPr>
            <xdr:cNvPr id="1558" name="Option Button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147</xdr:row>
          <xdr:rowOff>180975</xdr:rowOff>
        </xdr:from>
        <xdr:to>
          <xdr:col>2</xdr:col>
          <xdr:colOff>2657475</xdr:colOff>
          <xdr:row>149</xdr:row>
          <xdr:rowOff>38100</xdr:rowOff>
        </xdr:to>
        <xdr:sp macro="" textlink="">
          <xdr:nvSpPr>
            <xdr:cNvPr id="1559" name="Option Button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anders dan bovengenoemde warmtepompen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143</xdr:row>
          <xdr:rowOff>0</xdr:rowOff>
        </xdr:from>
        <xdr:to>
          <xdr:col>2</xdr:col>
          <xdr:colOff>2705100</xdr:colOff>
          <xdr:row>149</xdr:row>
          <xdr:rowOff>76200</xdr:rowOff>
        </xdr:to>
        <xdr:sp macro="" textlink="">
          <xdr:nvSpPr>
            <xdr:cNvPr id="1560" name="Group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Vraag eerdere subsidie warmtepomp</a:t>
              </a:r>
            </a:p>
          </xdr:txBody>
        </xdr:sp>
        <xdr:clientData/>
      </xdr:twoCellAnchor>
    </mc:Choice>
    <mc:Fallback/>
  </mc:AlternateContent>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6.xml"/><Relationship Id="rId21" Type="http://schemas.openxmlformats.org/officeDocument/2006/relationships/ctrlProp" Target="../ctrlProps/ctrlProp10.xml"/><Relationship Id="rId42" Type="http://schemas.openxmlformats.org/officeDocument/2006/relationships/ctrlProp" Target="../ctrlProps/ctrlProp31.xml"/><Relationship Id="rId63" Type="http://schemas.openxmlformats.org/officeDocument/2006/relationships/ctrlProp" Target="../ctrlProps/ctrlProp52.xml"/><Relationship Id="rId84" Type="http://schemas.openxmlformats.org/officeDocument/2006/relationships/ctrlProp" Target="../ctrlProps/ctrlProp73.xml"/><Relationship Id="rId138" Type="http://schemas.openxmlformats.org/officeDocument/2006/relationships/ctrlProp" Target="../ctrlProps/ctrlProp127.xml"/><Relationship Id="rId159" Type="http://schemas.openxmlformats.org/officeDocument/2006/relationships/ctrlProp" Target="../ctrlProps/ctrlProp148.xml"/><Relationship Id="rId170" Type="http://schemas.openxmlformats.org/officeDocument/2006/relationships/ctrlProp" Target="../ctrlProps/ctrlProp159.xml"/><Relationship Id="rId191" Type="http://schemas.openxmlformats.org/officeDocument/2006/relationships/ctrlProp" Target="../ctrlProps/ctrlProp180.xml"/><Relationship Id="rId205" Type="http://schemas.openxmlformats.org/officeDocument/2006/relationships/ctrlProp" Target="../ctrlProps/ctrlProp194.xml"/><Relationship Id="rId107" Type="http://schemas.openxmlformats.org/officeDocument/2006/relationships/ctrlProp" Target="../ctrlProps/ctrlProp96.xml"/><Relationship Id="rId11" Type="http://schemas.openxmlformats.org/officeDocument/2006/relationships/vmlDrawing" Target="../drawings/vmlDrawing1.vml"/><Relationship Id="rId32" Type="http://schemas.openxmlformats.org/officeDocument/2006/relationships/ctrlProp" Target="../ctrlProps/ctrlProp21.xml"/><Relationship Id="rId53" Type="http://schemas.openxmlformats.org/officeDocument/2006/relationships/ctrlProp" Target="../ctrlProps/ctrlProp42.xml"/><Relationship Id="rId74" Type="http://schemas.openxmlformats.org/officeDocument/2006/relationships/ctrlProp" Target="../ctrlProps/ctrlProp63.xml"/><Relationship Id="rId128" Type="http://schemas.openxmlformats.org/officeDocument/2006/relationships/ctrlProp" Target="../ctrlProps/ctrlProp117.xml"/><Relationship Id="rId149" Type="http://schemas.openxmlformats.org/officeDocument/2006/relationships/ctrlProp" Target="../ctrlProps/ctrlProp138.xml"/><Relationship Id="rId5" Type="http://schemas.openxmlformats.org/officeDocument/2006/relationships/hyperlink" Target="https://eur01.safelinks.protection.outlook.com/?url=https%3A%2F%2Fwww.rvo.nl%2Fsubsidies-financiering%2Fisde%2Fmeldcodelijsten%2Fzonneboilers&amp;data=05%7C02%7Cjanhendrik.hoekstra%40rvo.nl%7C0e390bdd0382462c82b608dd16039871%7C1321633ef6b944e2a44f59b9d264ecb7%7C0%7C0%7C638690926895602071%7CUnknown%7CTWFpbGZsb3d8eyJFbXB0eU1hcGkiOnRydWUsIlYiOiIwLjAuMDAwMCIsIlAiOiJXaW4zMiIsIkFOIjoiTWFpbCIsIldUIjoyfQ%3D%3D%7C0%7C%7C%7C&amp;sdata=beHGluX4ZRXIxE0WLaJZvjuWCAd2r%2FpvnyY0Ch1DPlg%3D&amp;reserved=0" TargetMode="External"/><Relationship Id="rId90" Type="http://schemas.openxmlformats.org/officeDocument/2006/relationships/ctrlProp" Target="../ctrlProps/ctrlProp79.xml"/><Relationship Id="rId95" Type="http://schemas.openxmlformats.org/officeDocument/2006/relationships/ctrlProp" Target="../ctrlProps/ctrlProp84.xml"/><Relationship Id="rId160" Type="http://schemas.openxmlformats.org/officeDocument/2006/relationships/ctrlProp" Target="../ctrlProps/ctrlProp149.xml"/><Relationship Id="rId165" Type="http://schemas.openxmlformats.org/officeDocument/2006/relationships/ctrlProp" Target="../ctrlProps/ctrlProp154.xml"/><Relationship Id="rId181" Type="http://schemas.openxmlformats.org/officeDocument/2006/relationships/ctrlProp" Target="../ctrlProps/ctrlProp170.xml"/><Relationship Id="rId186" Type="http://schemas.openxmlformats.org/officeDocument/2006/relationships/ctrlProp" Target="../ctrlProps/ctrlProp175.xml"/><Relationship Id="rId216" Type="http://schemas.openxmlformats.org/officeDocument/2006/relationships/ctrlProp" Target="../ctrlProps/ctrlProp205.xml"/><Relationship Id="rId211" Type="http://schemas.openxmlformats.org/officeDocument/2006/relationships/ctrlProp" Target="../ctrlProps/ctrlProp200.xml"/><Relationship Id="rId22" Type="http://schemas.openxmlformats.org/officeDocument/2006/relationships/ctrlProp" Target="../ctrlProps/ctrlProp11.xml"/><Relationship Id="rId27" Type="http://schemas.openxmlformats.org/officeDocument/2006/relationships/ctrlProp" Target="../ctrlProps/ctrlProp16.xml"/><Relationship Id="rId43" Type="http://schemas.openxmlformats.org/officeDocument/2006/relationships/ctrlProp" Target="../ctrlProps/ctrlProp32.xml"/><Relationship Id="rId48" Type="http://schemas.openxmlformats.org/officeDocument/2006/relationships/ctrlProp" Target="../ctrlProps/ctrlProp37.xml"/><Relationship Id="rId64" Type="http://schemas.openxmlformats.org/officeDocument/2006/relationships/ctrlProp" Target="../ctrlProps/ctrlProp53.xml"/><Relationship Id="rId69" Type="http://schemas.openxmlformats.org/officeDocument/2006/relationships/ctrlProp" Target="../ctrlProps/ctrlProp58.xml"/><Relationship Id="rId113" Type="http://schemas.openxmlformats.org/officeDocument/2006/relationships/ctrlProp" Target="../ctrlProps/ctrlProp102.xml"/><Relationship Id="rId118" Type="http://schemas.openxmlformats.org/officeDocument/2006/relationships/ctrlProp" Target="../ctrlProps/ctrlProp107.xml"/><Relationship Id="rId134" Type="http://schemas.openxmlformats.org/officeDocument/2006/relationships/ctrlProp" Target="../ctrlProps/ctrlProp123.xml"/><Relationship Id="rId139" Type="http://schemas.openxmlformats.org/officeDocument/2006/relationships/ctrlProp" Target="../ctrlProps/ctrlProp128.xml"/><Relationship Id="rId80" Type="http://schemas.openxmlformats.org/officeDocument/2006/relationships/ctrlProp" Target="../ctrlProps/ctrlProp69.xml"/><Relationship Id="rId85" Type="http://schemas.openxmlformats.org/officeDocument/2006/relationships/ctrlProp" Target="../ctrlProps/ctrlProp74.xml"/><Relationship Id="rId150" Type="http://schemas.openxmlformats.org/officeDocument/2006/relationships/ctrlProp" Target="../ctrlProps/ctrlProp139.xml"/><Relationship Id="rId155" Type="http://schemas.openxmlformats.org/officeDocument/2006/relationships/ctrlProp" Target="../ctrlProps/ctrlProp144.xml"/><Relationship Id="rId171" Type="http://schemas.openxmlformats.org/officeDocument/2006/relationships/ctrlProp" Target="../ctrlProps/ctrlProp160.xml"/><Relationship Id="rId176" Type="http://schemas.openxmlformats.org/officeDocument/2006/relationships/ctrlProp" Target="../ctrlProps/ctrlProp165.xml"/><Relationship Id="rId192" Type="http://schemas.openxmlformats.org/officeDocument/2006/relationships/ctrlProp" Target="../ctrlProps/ctrlProp181.xml"/><Relationship Id="rId197" Type="http://schemas.openxmlformats.org/officeDocument/2006/relationships/ctrlProp" Target="../ctrlProps/ctrlProp186.xml"/><Relationship Id="rId206" Type="http://schemas.openxmlformats.org/officeDocument/2006/relationships/ctrlProp" Target="../ctrlProps/ctrlProp195.xml"/><Relationship Id="rId201" Type="http://schemas.openxmlformats.org/officeDocument/2006/relationships/ctrlProp" Target="../ctrlProps/ctrlProp190.xml"/><Relationship Id="rId12" Type="http://schemas.openxmlformats.org/officeDocument/2006/relationships/ctrlProp" Target="../ctrlProps/ctrlProp1.xml"/><Relationship Id="rId17" Type="http://schemas.openxmlformats.org/officeDocument/2006/relationships/ctrlProp" Target="../ctrlProps/ctrlProp6.xml"/><Relationship Id="rId33" Type="http://schemas.openxmlformats.org/officeDocument/2006/relationships/ctrlProp" Target="../ctrlProps/ctrlProp22.xml"/><Relationship Id="rId38" Type="http://schemas.openxmlformats.org/officeDocument/2006/relationships/ctrlProp" Target="../ctrlProps/ctrlProp27.xml"/><Relationship Id="rId59" Type="http://schemas.openxmlformats.org/officeDocument/2006/relationships/ctrlProp" Target="../ctrlProps/ctrlProp48.xml"/><Relationship Id="rId103" Type="http://schemas.openxmlformats.org/officeDocument/2006/relationships/ctrlProp" Target="../ctrlProps/ctrlProp92.xml"/><Relationship Id="rId108" Type="http://schemas.openxmlformats.org/officeDocument/2006/relationships/ctrlProp" Target="../ctrlProps/ctrlProp97.xml"/><Relationship Id="rId124" Type="http://schemas.openxmlformats.org/officeDocument/2006/relationships/ctrlProp" Target="../ctrlProps/ctrlProp113.xml"/><Relationship Id="rId129" Type="http://schemas.openxmlformats.org/officeDocument/2006/relationships/ctrlProp" Target="../ctrlProps/ctrlProp118.xml"/><Relationship Id="rId54" Type="http://schemas.openxmlformats.org/officeDocument/2006/relationships/ctrlProp" Target="../ctrlProps/ctrlProp43.xml"/><Relationship Id="rId70" Type="http://schemas.openxmlformats.org/officeDocument/2006/relationships/ctrlProp" Target="../ctrlProps/ctrlProp59.xml"/><Relationship Id="rId75" Type="http://schemas.openxmlformats.org/officeDocument/2006/relationships/ctrlProp" Target="../ctrlProps/ctrlProp64.xml"/><Relationship Id="rId91" Type="http://schemas.openxmlformats.org/officeDocument/2006/relationships/ctrlProp" Target="../ctrlProps/ctrlProp80.xml"/><Relationship Id="rId96" Type="http://schemas.openxmlformats.org/officeDocument/2006/relationships/ctrlProp" Target="../ctrlProps/ctrlProp85.xml"/><Relationship Id="rId140" Type="http://schemas.openxmlformats.org/officeDocument/2006/relationships/ctrlProp" Target="../ctrlProps/ctrlProp129.xml"/><Relationship Id="rId145" Type="http://schemas.openxmlformats.org/officeDocument/2006/relationships/ctrlProp" Target="../ctrlProps/ctrlProp134.xml"/><Relationship Id="rId161" Type="http://schemas.openxmlformats.org/officeDocument/2006/relationships/ctrlProp" Target="../ctrlProps/ctrlProp150.xml"/><Relationship Id="rId166" Type="http://schemas.openxmlformats.org/officeDocument/2006/relationships/ctrlProp" Target="../ctrlProps/ctrlProp155.xml"/><Relationship Id="rId182" Type="http://schemas.openxmlformats.org/officeDocument/2006/relationships/ctrlProp" Target="../ctrlProps/ctrlProp171.xml"/><Relationship Id="rId187" Type="http://schemas.openxmlformats.org/officeDocument/2006/relationships/ctrlProp" Target="../ctrlProps/ctrlProp176.xml"/><Relationship Id="rId217" Type="http://schemas.openxmlformats.org/officeDocument/2006/relationships/ctrlProp" Target="../ctrlProps/ctrlProp206.xml"/><Relationship Id="rId1" Type="http://schemas.openxmlformats.org/officeDocument/2006/relationships/hyperlink" Target="https://www.rvo.nl/subsidies-financiering/isde/woningeigenaren/warmtepomp" TargetMode="External"/><Relationship Id="rId6" Type="http://schemas.openxmlformats.org/officeDocument/2006/relationships/hyperlink" Target="https://eur01.safelinks.protection.outlook.com/?url=https%3A%2F%2Fwww.rvo.nl%2Fsubsidies-financiering%2Fisde%2Fmeldcodelijsten%2Fwarmtepompen&amp;data=05%7C02%7Cjanhendrik.hoekstra%40rvo.nl%7C0e390bdd0382462c82b608dd16039871%7C1321633ef6b944e2a44f59b9d264ecb7%7C0%7C0%7C638690926895631869%7CUnknown%7CTWFpbGZsb3d8eyJFbXB0eU1hcGkiOnRydWUsIlYiOiIwLjAuMDAwMCIsIlAiOiJXaW4zMiIsIkFOIjoiTWFpbCIsIldUIjoyfQ%3D%3D%7C0%7C%7C%7C&amp;sdata=GoQd9eUY7CyVBWCRFRj5TcS6APQpAPcy%2FHVE%2F3EDW4I%3D&amp;reserved=0" TargetMode="External"/><Relationship Id="rId212" Type="http://schemas.openxmlformats.org/officeDocument/2006/relationships/ctrlProp" Target="../ctrlProps/ctrlProp201.xml"/><Relationship Id="rId23" Type="http://schemas.openxmlformats.org/officeDocument/2006/relationships/ctrlProp" Target="../ctrlProps/ctrlProp12.xml"/><Relationship Id="rId28" Type="http://schemas.openxmlformats.org/officeDocument/2006/relationships/ctrlProp" Target="../ctrlProps/ctrlProp17.xml"/><Relationship Id="rId49" Type="http://schemas.openxmlformats.org/officeDocument/2006/relationships/ctrlProp" Target="../ctrlProps/ctrlProp38.xml"/><Relationship Id="rId114" Type="http://schemas.openxmlformats.org/officeDocument/2006/relationships/ctrlProp" Target="../ctrlProps/ctrlProp103.xml"/><Relationship Id="rId119" Type="http://schemas.openxmlformats.org/officeDocument/2006/relationships/ctrlProp" Target="../ctrlProps/ctrlProp108.xml"/><Relationship Id="rId44" Type="http://schemas.openxmlformats.org/officeDocument/2006/relationships/ctrlProp" Target="../ctrlProps/ctrlProp33.xml"/><Relationship Id="rId60" Type="http://schemas.openxmlformats.org/officeDocument/2006/relationships/ctrlProp" Target="../ctrlProps/ctrlProp49.xml"/><Relationship Id="rId65" Type="http://schemas.openxmlformats.org/officeDocument/2006/relationships/ctrlProp" Target="../ctrlProps/ctrlProp54.xml"/><Relationship Id="rId81" Type="http://schemas.openxmlformats.org/officeDocument/2006/relationships/ctrlProp" Target="../ctrlProps/ctrlProp70.xml"/><Relationship Id="rId86" Type="http://schemas.openxmlformats.org/officeDocument/2006/relationships/ctrlProp" Target="../ctrlProps/ctrlProp75.xml"/><Relationship Id="rId130" Type="http://schemas.openxmlformats.org/officeDocument/2006/relationships/ctrlProp" Target="../ctrlProps/ctrlProp119.xml"/><Relationship Id="rId135" Type="http://schemas.openxmlformats.org/officeDocument/2006/relationships/ctrlProp" Target="../ctrlProps/ctrlProp124.xml"/><Relationship Id="rId151" Type="http://schemas.openxmlformats.org/officeDocument/2006/relationships/ctrlProp" Target="../ctrlProps/ctrlProp140.xml"/><Relationship Id="rId156" Type="http://schemas.openxmlformats.org/officeDocument/2006/relationships/ctrlProp" Target="../ctrlProps/ctrlProp145.xml"/><Relationship Id="rId177" Type="http://schemas.openxmlformats.org/officeDocument/2006/relationships/ctrlProp" Target="../ctrlProps/ctrlProp166.xml"/><Relationship Id="rId198" Type="http://schemas.openxmlformats.org/officeDocument/2006/relationships/ctrlProp" Target="../ctrlProps/ctrlProp187.xml"/><Relationship Id="rId172" Type="http://schemas.openxmlformats.org/officeDocument/2006/relationships/ctrlProp" Target="../ctrlProps/ctrlProp161.xml"/><Relationship Id="rId193" Type="http://schemas.openxmlformats.org/officeDocument/2006/relationships/ctrlProp" Target="../ctrlProps/ctrlProp182.xml"/><Relationship Id="rId202" Type="http://schemas.openxmlformats.org/officeDocument/2006/relationships/ctrlProp" Target="../ctrlProps/ctrlProp191.xml"/><Relationship Id="rId207" Type="http://schemas.openxmlformats.org/officeDocument/2006/relationships/ctrlProp" Target="../ctrlProps/ctrlProp196.xml"/><Relationship Id="rId13" Type="http://schemas.openxmlformats.org/officeDocument/2006/relationships/ctrlProp" Target="../ctrlProps/ctrlProp2.xml"/><Relationship Id="rId18" Type="http://schemas.openxmlformats.org/officeDocument/2006/relationships/ctrlProp" Target="../ctrlProps/ctrlProp7.xml"/><Relationship Id="rId39" Type="http://schemas.openxmlformats.org/officeDocument/2006/relationships/ctrlProp" Target="../ctrlProps/ctrlProp28.xml"/><Relationship Id="rId109" Type="http://schemas.openxmlformats.org/officeDocument/2006/relationships/ctrlProp" Target="../ctrlProps/ctrlProp98.xml"/><Relationship Id="rId34" Type="http://schemas.openxmlformats.org/officeDocument/2006/relationships/ctrlProp" Target="../ctrlProps/ctrlProp23.xml"/><Relationship Id="rId50" Type="http://schemas.openxmlformats.org/officeDocument/2006/relationships/ctrlProp" Target="../ctrlProps/ctrlProp39.xml"/><Relationship Id="rId55" Type="http://schemas.openxmlformats.org/officeDocument/2006/relationships/ctrlProp" Target="../ctrlProps/ctrlProp44.xml"/><Relationship Id="rId76" Type="http://schemas.openxmlformats.org/officeDocument/2006/relationships/ctrlProp" Target="../ctrlProps/ctrlProp65.xml"/><Relationship Id="rId97" Type="http://schemas.openxmlformats.org/officeDocument/2006/relationships/ctrlProp" Target="../ctrlProps/ctrlProp86.xml"/><Relationship Id="rId104" Type="http://schemas.openxmlformats.org/officeDocument/2006/relationships/ctrlProp" Target="../ctrlProps/ctrlProp93.xml"/><Relationship Id="rId120" Type="http://schemas.openxmlformats.org/officeDocument/2006/relationships/ctrlProp" Target="../ctrlProps/ctrlProp109.xml"/><Relationship Id="rId125" Type="http://schemas.openxmlformats.org/officeDocument/2006/relationships/ctrlProp" Target="../ctrlProps/ctrlProp114.xml"/><Relationship Id="rId141" Type="http://schemas.openxmlformats.org/officeDocument/2006/relationships/ctrlProp" Target="../ctrlProps/ctrlProp130.xml"/><Relationship Id="rId146" Type="http://schemas.openxmlformats.org/officeDocument/2006/relationships/ctrlProp" Target="../ctrlProps/ctrlProp135.xml"/><Relationship Id="rId167" Type="http://schemas.openxmlformats.org/officeDocument/2006/relationships/ctrlProp" Target="../ctrlProps/ctrlProp156.xml"/><Relationship Id="rId188" Type="http://schemas.openxmlformats.org/officeDocument/2006/relationships/ctrlProp" Target="../ctrlProps/ctrlProp177.xml"/><Relationship Id="rId7" Type="http://schemas.openxmlformats.org/officeDocument/2006/relationships/hyperlink" Target="https://www.rvo.nl/subsidies-financiering/isde/woningeigenaren/elektrische-kookvoorziening" TargetMode="External"/><Relationship Id="rId71" Type="http://schemas.openxmlformats.org/officeDocument/2006/relationships/ctrlProp" Target="../ctrlProps/ctrlProp60.xml"/><Relationship Id="rId92" Type="http://schemas.openxmlformats.org/officeDocument/2006/relationships/ctrlProp" Target="../ctrlProps/ctrlProp81.xml"/><Relationship Id="rId162" Type="http://schemas.openxmlformats.org/officeDocument/2006/relationships/ctrlProp" Target="../ctrlProps/ctrlProp151.xml"/><Relationship Id="rId183" Type="http://schemas.openxmlformats.org/officeDocument/2006/relationships/ctrlProp" Target="../ctrlProps/ctrlProp172.xml"/><Relationship Id="rId213" Type="http://schemas.openxmlformats.org/officeDocument/2006/relationships/ctrlProp" Target="../ctrlProps/ctrlProp202.xml"/><Relationship Id="rId218" Type="http://schemas.openxmlformats.org/officeDocument/2006/relationships/ctrlProp" Target="../ctrlProps/ctrlProp207.xml"/><Relationship Id="rId2" Type="http://schemas.openxmlformats.org/officeDocument/2006/relationships/hyperlink" Target="https://www.rvo.nl/subsidies-financiering/isde/woningeigenaren/zonneboiler" TargetMode="External"/><Relationship Id="rId29" Type="http://schemas.openxmlformats.org/officeDocument/2006/relationships/ctrlProp" Target="../ctrlProps/ctrlProp18.xml"/><Relationship Id="rId24" Type="http://schemas.openxmlformats.org/officeDocument/2006/relationships/ctrlProp" Target="../ctrlProps/ctrlProp13.xml"/><Relationship Id="rId40" Type="http://schemas.openxmlformats.org/officeDocument/2006/relationships/ctrlProp" Target="../ctrlProps/ctrlProp29.xml"/><Relationship Id="rId45" Type="http://schemas.openxmlformats.org/officeDocument/2006/relationships/ctrlProp" Target="../ctrlProps/ctrlProp34.xml"/><Relationship Id="rId66" Type="http://schemas.openxmlformats.org/officeDocument/2006/relationships/ctrlProp" Target="../ctrlProps/ctrlProp55.xml"/><Relationship Id="rId87" Type="http://schemas.openxmlformats.org/officeDocument/2006/relationships/ctrlProp" Target="../ctrlProps/ctrlProp76.xml"/><Relationship Id="rId110" Type="http://schemas.openxmlformats.org/officeDocument/2006/relationships/ctrlProp" Target="../ctrlProps/ctrlProp99.xml"/><Relationship Id="rId115" Type="http://schemas.openxmlformats.org/officeDocument/2006/relationships/ctrlProp" Target="../ctrlProps/ctrlProp104.xml"/><Relationship Id="rId131" Type="http://schemas.openxmlformats.org/officeDocument/2006/relationships/ctrlProp" Target="../ctrlProps/ctrlProp120.xml"/><Relationship Id="rId136" Type="http://schemas.openxmlformats.org/officeDocument/2006/relationships/ctrlProp" Target="../ctrlProps/ctrlProp125.xml"/><Relationship Id="rId157" Type="http://schemas.openxmlformats.org/officeDocument/2006/relationships/ctrlProp" Target="../ctrlProps/ctrlProp146.xml"/><Relationship Id="rId178" Type="http://schemas.openxmlformats.org/officeDocument/2006/relationships/ctrlProp" Target="../ctrlProps/ctrlProp167.xml"/><Relationship Id="rId61" Type="http://schemas.openxmlformats.org/officeDocument/2006/relationships/ctrlProp" Target="../ctrlProps/ctrlProp50.xml"/><Relationship Id="rId82" Type="http://schemas.openxmlformats.org/officeDocument/2006/relationships/ctrlProp" Target="../ctrlProps/ctrlProp71.xml"/><Relationship Id="rId152" Type="http://schemas.openxmlformats.org/officeDocument/2006/relationships/ctrlProp" Target="../ctrlProps/ctrlProp141.xml"/><Relationship Id="rId173" Type="http://schemas.openxmlformats.org/officeDocument/2006/relationships/ctrlProp" Target="../ctrlProps/ctrlProp162.xml"/><Relationship Id="rId194" Type="http://schemas.openxmlformats.org/officeDocument/2006/relationships/ctrlProp" Target="../ctrlProps/ctrlProp183.xml"/><Relationship Id="rId199" Type="http://schemas.openxmlformats.org/officeDocument/2006/relationships/ctrlProp" Target="../ctrlProps/ctrlProp188.xml"/><Relationship Id="rId203" Type="http://schemas.openxmlformats.org/officeDocument/2006/relationships/ctrlProp" Target="../ctrlProps/ctrlProp192.xml"/><Relationship Id="rId208" Type="http://schemas.openxmlformats.org/officeDocument/2006/relationships/ctrlProp" Target="../ctrlProps/ctrlProp197.xml"/><Relationship Id="rId19" Type="http://schemas.openxmlformats.org/officeDocument/2006/relationships/ctrlProp" Target="../ctrlProps/ctrlProp8.xml"/><Relationship Id="rId14" Type="http://schemas.openxmlformats.org/officeDocument/2006/relationships/ctrlProp" Target="../ctrlProps/ctrlProp3.xml"/><Relationship Id="rId30" Type="http://schemas.openxmlformats.org/officeDocument/2006/relationships/ctrlProp" Target="../ctrlProps/ctrlProp19.xml"/><Relationship Id="rId35" Type="http://schemas.openxmlformats.org/officeDocument/2006/relationships/ctrlProp" Target="../ctrlProps/ctrlProp24.xml"/><Relationship Id="rId56" Type="http://schemas.openxmlformats.org/officeDocument/2006/relationships/ctrlProp" Target="../ctrlProps/ctrlProp45.xml"/><Relationship Id="rId77" Type="http://schemas.openxmlformats.org/officeDocument/2006/relationships/ctrlProp" Target="../ctrlProps/ctrlProp66.xml"/><Relationship Id="rId100" Type="http://schemas.openxmlformats.org/officeDocument/2006/relationships/ctrlProp" Target="../ctrlProps/ctrlProp89.xml"/><Relationship Id="rId105" Type="http://schemas.openxmlformats.org/officeDocument/2006/relationships/ctrlProp" Target="../ctrlProps/ctrlProp94.xml"/><Relationship Id="rId126" Type="http://schemas.openxmlformats.org/officeDocument/2006/relationships/ctrlProp" Target="../ctrlProps/ctrlProp115.xml"/><Relationship Id="rId147" Type="http://schemas.openxmlformats.org/officeDocument/2006/relationships/ctrlProp" Target="../ctrlProps/ctrlProp136.xml"/><Relationship Id="rId168" Type="http://schemas.openxmlformats.org/officeDocument/2006/relationships/ctrlProp" Target="../ctrlProps/ctrlProp157.xml"/><Relationship Id="rId8" Type="http://schemas.openxmlformats.org/officeDocument/2006/relationships/hyperlink" Target="https://www.rvo.nl/subsidies-financiering/isde/isde-wat-wijzigt-er-2026" TargetMode="External"/><Relationship Id="rId51" Type="http://schemas.openxmlformats.org/officeDocument/2006/relationships/ctrlProp" Target="../ctrlProps/ctrlProp40.xml"/><Relationship Id="rId72" Type="http://schemas.openxmlformats.org/officeDocument/2006/relationships/ctrlProp" Target="../ctrlProps/ctrlProp61.xml"/><Relationship Id="rId93" Type="http://schemas.openxmlformats.org/officeDocument/2006/relationships/ctrlProp" Target="../ctrlProps/ctrlProp82.xml"/><Relationship Id="rId98" Type="http://schemas.openxmlformats.org/officeDocument/2006/relationships/ctrlProp" Target="../ctrlProps/ctrlProp87.xml"/><Relationship Id="rId121" Type="http://schemas.openxmlformats.org/officeDocument/2006/relationships/ctrlProp" Target="../ctrlProps/ctrlProp110.xml"/><Relationship Id="rId142" Type="http://schemas.openxmlformats.org/officeDocument/2006/relationships/ctrlProp" Target="../ctrlProps/ctrlProp131.xml"/><Relationship Id="rId163" Type="http://schemas.openxmlformats.org/officeDocument/2006/relationships/ctrlProp" Target="../ctrlProps/ctrlProp152.xml"/><Relationship Id="rId184" Type="http://schemas.openxmlformats.org/officeDocument/2006/relationships/ctrlProp" Target="../ctrlProps/ctrlProp173.xml"/><Relationship Id="rId189" Type="http://schemas.openxmlformats.org/officeDocument/2006/relationships/ctrlProp" Target="../ctrlProps/ctrlProp178.xml"/><Relationship Id="rId219" Type="http://schemas.openxmlformats.org/officeDocument/2006/relationships/ctrlProp" Target="../ctrlProps/ctrlProp208.xml"/><Relationship Id="rId3" Type="http://schemas.openxmlformats.org/officeDocument/2006/relationships/hyperlink" Target="http://www.rvo.nl/isde-isolatie" TargetMode="External"/><Relationship Id="rId214" Type="http://schemas.openxmlformats.org/officeDocument/2006/relationships/ctrlProp" Target="../ctrlProps/ctrlProp203.xml"/><Relationship Id="rId25" Type="http://schemas.openxmlformats.org/officeDocument/2006/relationships/ctrlProp" Target="../ctrlProps/ctrlProp14.xml"/><Relationship Id="rId46" Type="http://schemas.openxmlformats.org/officeDocument/2006/relationships/ctrlProp" Target="../ctrlProps/ctrlProp35.xml"/><Relationship Id="rId67" Type="http://schemas.openxmlformats.org/officeDocument/2006/relationships/ctrlProp" Target="../ctrlProps/ctrlProp56.xml"/><Relationship Id="rId116" Type="http://schemas.openxmlformats.org/officeDocument/2006/relationships/ctrlProp" Target="../ctrlProps/ctrlProp105.xml"/><Relationship Id="rId137" Type="http://schemas.openxmlformats.org/officeDocument/2006/relationships/ctrlProp" Target="../ctrlProps/ctrlProp126.xml"/><Relationship Id="rId158" Type="http://schemas.openxmlformats.org/officeDocument/2006/relationships/ctrlProp" Target="../ctrlProps/ctrlProp147.xml"/><Relationship Id="rId20" Type="http://schemas.openxmlformats.org/officeDocument/2006/relationships/ctrlProp" Target="../ctrlProps/ctrlProp9.xml"/><Relationship Id="rId41" Type="http://schemas.openxmlformats.org/officeDocument/2006/relationships/ctrlProp" Target="../ctrlProps/ctrlProp30.xml"/><Relationship Id="rId62" Type="http://schemas.openxmlformats.org/officeDocument/2006/relationships/ctrlProp" Target="../ctrlProps/ctrlProp51.xml"/><Relationship Id="rId83" Type="http://schemas.openxmlformats.org/officeDocument/2006/relationships/ctrlProp" Target="../ctrlProps/ctrlProp72.xml"/><Relationship Id="rId88" Type="http://schemas.openxmlformats.org/officeDocument/2006/relationships/ctrlProp" Target="../ctrlProps/ctrlProp77.xml"/><Relationship Id="rId111" Type="http://schemas.openxmlformats.org/officeDocument/2006/relationships/ctrlProp" Target="../ctrlProps/ctrlProp100.xml"/><Relationship Id="rId132" Type="http://schemas.openxmlformats.org/officeDocument/2006/relationships/ctrlProp" Target="../ctrlProps/ctrlProp121.xml"/><Relationship Id="rId153" Type="http://schemas.openxmlformats.org/officeDocument/2006/relationships/ctrlProp" Target="../ctrlProps/ctrlProp142.xml"/><Relationship Id="rId174" Type="http://schemas.openxmlformats.org/officeDocument/2006/relationships/ctrlProp" Target="../ctrlProps/ctrlProp163.xml"/><Relationship Id="rId179" Type="http://schemas.openxmlformats.org/officeDocument/2006/relationships/ctrlProp" Target="../ctrlProps/ctrlProp168.xml"/><Relationship Id="rId195" Type="http://schemas.openxmlformats.org/officeDocument/2006/relationships/ctrlProp" Target="../ctrlProps/ctrlProp184.xml"/><Relationship Id="rId209" Type="http://schemas.openxmlformats.org/officeDocument/2006/relationships/ctrlProp" Target="../ctrlProps/ctrlProp198.xml"/><Relationship Id="rId190" Type="http://schemas.openxmlformats.org/officeDocument/2006/relationships/ctrlProp" Target="../ctrlProps/ctrlProp179.xml"/><Relationship Id="rId204" Type="http://schemas.openxmlformats.org/officeDocument/2006/relationships/ctrlProp" Target="../ctrlProps/ctrlProp193.xml"/><Relationship Id="rId220" Type="http://schemas.openxmlformats.org/officeDocument/2006/relationships/ctrlProp" Target="../ctrlProps/ctrlProp209.xml"/><Relationship Id="rId15" Type="http://schemas.openxmlformats.org/officeDocument/2006/relationships/ctrlProp" Target="../ctrlProps/ctrlProp4.xml"/><Relationship Id="rId36" Type="http://schemas.openxmlformats.org/officeDocument/2006/relationships/ctrlProp" Target="../ctrlProps/ctrlProp25.xml"/><Relationship Id="rId57" Type="http://schemas.openxmlformats.org/officeDocument/2006/relationships/ctrlProp" Target="../ctrlProps/ctrlProp46.xml"/><Relationship Id="rId106" Type="http://schemas.openxmlformats.org/officeDocument/2006/relationships/ctrlProp" Target="../ctrlProps/ctrlProp95.xml"/><Relationship Id="rId127" Type="http://schemas.openxmlformats.org/officeDocument/2006/relationships/ctrlProp" Target="../ctrlProps/ctrlProp116.xml"/><Relationship Id="rId10" Type="http://schemas.openxmlformats.org/officeDocument/2006/relationships/drawing" Target="../drawings/drawing1.xml"/><Relationship Id="rId31" Type="http://schemas.openxmlformats.org/officeDocument/2006/relationships/ctrlProp" Target="../ctrlProps/ctrlProp20.xml"/><Relationship Id="rId52" Type="http://schemas.openxmlformats.org/officeDocument/2006/relationships/ctrlProp" Target="../ctrlProps/ctrlProp41.xml"/><Relationship Id="rId73" Type="http://schemas.openxmlformats.org/officeDocument/2006/relationships/ctrlProp" Target="../ctrlProps/ctrlProp62.xml"/><Relationship Id="rId78" Type="http://schemas.openxmlformats.org/officeDocument/2006/relationships/ctrlProp" Target="../ctrlProps/ctrlProp67.xml"/><Relationship Id="rId94" Type="http://schemas.openxmlformats.org/officeDocument/2006/relationships/ctrlProp" Target="../ctrlProps/ctrlProp83.xml"/><Relationship Id="rId99" Type="http://schemas.openxmlformats.org/officeDocument/2006/relationships/ctrlProp" Target="../ctrlProps/ctrlProp88.xml"/><Relationship Id="rId101" Type="http://schemas.openxmlformats.org/officeDocument/2006/relationships/ctrlProp" Target="../ctrlProps/ctrlProp90.xml"/><Relationship Id="rId122" Type="http://schemas.openxmlformats.org/officeDocument/2006/relationships/ctrlProp" Target="../ctrlProps/ctrlProp111.xml"/><Relationship Id="rId143" Type="http://schemas.openxmlformats.org/officeDocument/2006/relationships/ctrlProp" Target="../ctrlProps/ctrlProp132.xml"/><Relationship Id="rId148" Type="http://schemas.openxmlformats.org/officeDocument/2006/relationships/ctrlProp" Target="../ctrlProps/ctrlProp137.xml"/><Relationship Id="rId164" Type="http://schemas.openxmlformats.org/officeDocument/2006/relationships/ctrlProp" Target="../ctrlProps/ctrlProp153.xml"/><Relationship Id="rId169" Type="http://schemas.openxmlformats.org/officeDocument/2006/relationships/ctrlProp" Target="../ctrlProps/ctrlProp158.xml"/><Relationship Id="rId185" Type="http://schemas.openxmlformats.org/officeDocument/2006/relationships/ctrlProp" Target="../ctrlProps/ctrlProp174.xml"/><Relationship Id="rId4" Type="http://schemas.openxmlformats.org/officeDocument/2006/relationships/hyperlink" Target="http://www.rvo.nl/isde-warmtenet" TargetMode="External"/><Relationship Id="rId9" Type="http://schemas.openxmlformats.org/officeDocument/2006/relationships/printerSettings" Target="../printerSettings/printerSettings1.bin"/><Relationship Id="rId180" Type="http://schemas.openxmlformats.org/officeDocument/2006/relationships/ctrlProp" Target="../ctrlProps/ctrlProp169.xml"/><Relationship Id="rId210" Type="http://schemas.openxmlformats.org/officeDocument/2006/relationships/ctrlProp" Target="../ctrlProps/ctrlProp199.xml"/><Relationship Id="rId215" Type="http://schemas.openxmlformats.org/officeDocument/2006/relationships/ctrlProp" Target="../ctrlProps/ctrlProp204.xml"/><Relationship Id="rId26" Type="http://schemas.openxmlformats.org/officeDocument/2006/relationships/ctrlProp" Target="../ctrlProps/ctrlProp15.xml"/><Relationship Id="rId47" Type="http://schemas.openxmlformats.org/officeDocument/2006/relationships/ctrlProp" Target="../ctrlProps/ctrlProp36.xml"/><Relationship Id="rId68" Type="http://schemas.openxmlformats.org/officeDocument/2006/relationships/ctrlProp" Target="../ctrlProps/ctrlProp57.xml"/><Relationship Id="rId89" Type="http://schemas.openxmlformats.org/officeDocument/2006/relationships/ctrlProp" Target="../ctrlProps/ctrlProp78.xml"/><Relationship Id="rId112" Type="http://schemas.openxmlformats.org/officeDocument/2006/relationships/ctrlProp" Target="../ctrlProps/ctrlProp101.xml"/><Relationship Id="rId133" Type="http://schemas.openxmlformats.org/officeDocument/2006/relationships/ctrlProp" Target="../ctrlProps/ctrlProp122.xml"/><Relationship Id="rId154" Type="http://schemas.openxmlformats.org/officeDocument/2006/relationships/ctrlProp" Target="../ctrlProps/ctrlProp143.xml"/><Relationship Id="rId175" Type="http://schemas.openxmlformats.org/officeDocument/2006/relationships/ctrlProp" Target="../ctrlProps/ctrlProp164.xml"/><Relationship Id="rId196" Type="http://schemas.openxmlformats.org/officeDocument/2006/relationships/ctrlProp" Target="../ctrlProps/ctrlProp185.xml"/><Relationship Id="rId200" Type="http://schemas.openxmlformats.org/officeDocument/2006/relationships/ctrlProp" Target="../ctrlProps/ctrlProp189.xml"/><Relationship Id="rId16" Type="http://schemas.openxmlformats.org/officeDocument/2006/relationships/ctrlProp" Target="../ctrlProps/ctrlProp5.xml"/><Relationship Id="rId221" Type="http://schemas.openxmlformats.org/officeDocument/2006/relationships/comments" Target="../comments1.xml"/><Relationship Id="rId37" Type="http://schemas.openxmlformats.org/officeDocument/2006/relationships/ctrlProp" Target="../ctrlProps/ctrlProp26.xml"/><Relationship Id="rId58" Type="http://schemas.openxmlformats.org/officeDocument/2006/relationships/ctrlProp" Target="../ctrlProps/ctrlProp47.xml"/><Relationship Id="rId79" Type="http://schemas.openxmlformats.org/officeDocument/2006/relationships/ctrlProp" Target="../ctrlProps/ctrlProp68.xml"/><Relationship Id="rId102" Type="http://schemas.openxmlformats.org/officeDocument/2006/relationships/ctrlProp" Target="../ctrlProps/ctrlProp91.xml"/><Relationship Id="rId123" Type="http://schemas.openxmlformats.org/officeDocument/2006/relationships/ctrlProp" Target="../ctrlProps/ctrlProp112.xml"/><Relationship Id="rId144" Type="http://schemas.openxmlformats.org/officeDocument/2006/relationships/ctrlProp" Target="../ctrlProps/ctrlProp1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8070-2492-4A7C-A539-0AEACF9B4667}">
  <sheetPr codeName="Blad1">
    <pageSetUpPr fitToPage="1"/>
  </sheetPr>
  <dimension ref="A1:V258"/>
  <sheetViews>
    <sheetView tabSelected="1" zoomScaleNormal="100" workbookViewId="0">
      <selection activeCell="O53" sqref="O53"/>
    </sheetView>
  </sheetViews>
  <sheetFormatPr defaultColWidth="9.140625" defaultRowHeight="15"/>
  <cols>
    <col min="1" max="1" width="40.140625" style="4" customWidth="1"/>
    <col min="2" max="2" width="1.7109375" style="4" customWidth="1"/>
    <col min="3" max="3" width="42.7109375" style="4" customWidth="1"/>
    <col min="4" max="4" width="1.7109375" style="4" customWidth="1"/>
    <col min="5" max="5" width="40.7109375" style="4" customWidth="1"/>
    <col min="6" max="6" width="1.7109375" style="4" customWidth="1"/>
    <col min="7" max="7" width="18.7109375" style="4" customWidth="1"/>
    <col min="8" max="8" width="1.7109375" style="4" customWidth="1"/>
    <col min="9" max="9" width="15.7109375" style="4" customWidth="1"/>
    <col min="10" max="10" width="1.7109375" style="4" customWidth="1"/>
    <col min="11" max="11" width="12.7109375" style="4" customWidth="1"/>
    <col min="12" max="12" width="1.7109375" style="4" customWidth="1"/>
    <col min="13" max="13" width="13.7109375" style="4" customWidth="1"/>
    <col min="14" max="14" width="1.7109375" style="4" customWidth="1"/>
    <col min="15" max="15" width="13.7109375" style="4" customWidth="1"/>
    <col min="16" max="16" width="3.28515625" style="4" customWidth="1"/>
    <col min="17" max="17" width="91.140625" style="4" customWidth="1"/>
    <col min="18" max="18" width="51.140625" style="4" customWidth="1"/>
    <col min="19" max="19" width="33.42578125" style="4" bestFit="1" customWidth="1"/>
    <col min="20" max="20" width="9.140625" style="4"/>
    <col min="21" max="21" width="12.5703125" style="4" bestFit="1" customWidth="1"/>
    <col min="22" max="22" width="12.42578125" style="4" customWidth="1"/>
    <col min="23" max="16384" width="9.140625" style="4"/>
  </cols>
  <sheetData>
    <row r="1" spans="1:16" ht="135.75" customHeight="1">
      <c r="A1" s="3"/>
      <c r="B1" s="3"/>
      <c r="C1" s="3"/>
      <c r="D1" s="3"/>
      <c r="E1" s="3"/>
      <c r="F1" s="3"/>
      <c r="G1" s="3"/>
      <c r="H1" s="3"/>
      <c r="I1" s="3"/>
      <c r="J1" s="3"/>
      <c r="K1" s="3"/>
      <c r="L1" s="3"/>
      <c r="M1" s="3"/>
      <c r="N1" s="3"/>
      <c r="O1" s="3"/>
      <c r="P1" s="3"/>
    </row>
    <row r="2" spans="1:16" ht="36.75" customHeight="1">
      <c r="A2" s="81" t="s">
        <v>311</v>
      </c>
      <c r="B2" s="5"/>
      <c r="C2" s="5"/>
    </row>
    <row r="3" spans="1:16">
      <c r="A3" s="4" t="s">
        <v>650</v>
      </c>
    </row>
    <row r="5" spans="1:16" ht="68.25" customHeight="1">
      <c r="A5" s="212" t="s">
        <v>312</v>
      </c>
      <c r="B5" s="212"/>
      <c r="C5" s="213"/>
      <c r="D5" s="213"/>
      <c r="E5" s="213"/>
      <c r="F5" s="213"/>
      <c r="G5" s="213"/>
      <c r="H5" s="213"/>
      <c r="I5" s="213"/>
      <c r="J5" s="213"/>
      <c r="K5" s="213"/>
      <c r="L5" s="213"/>
      <c r="M5" s="213"/>
      <c r="N5" s="213"/>
      <c r="O5" s="213"/>
    </row>
    <row r="6" spans="1:16" ht="33.75" customHeight="1">
      <c r="A6" s="36"/>
      <c r="B6" s="36"/>
      <c r="C6" s="39"/>
      <c r="D6" s="39"/>
      <c r="E6" s="39"/>
      <c r="F6" s="39"/>
      <c r="G6" s="39"/>
      <c r="H6" s="39"/>
      <c r="I6" s="39"/>
      <c r="J6" s="39"/>
    </row>
    <row r="7" spans="1:16" ht="33.75" customHeight="1">
      <c r="A7" s="50" t="s">
        <v>66</v>
      </c>
      <c r="B7" s="36"/>
      <c r="C7" s="39"/>
      <c r="D7" s="39"/>
      <c r="E7" s="39"/>
      <c r="F7" s="39"/>
      <c r="G7" s="39"/>
      <c r="H7" s="39"/>
      <c r="I7" s="39"/>
      <c r="J7" s="39"/>
    </row>
    <row r="8" spans="1:16" ht="20.100000000000001" customHeight="1">
      <c r="A8" s="220" t="s">
        <v>2</v>
      </c>
      <c r="B8" s="220"/>
      <c r="C8" s="221"/>
    </row>
    <row r="9" spans="1:16" ht="20.100000000000001" customHeight="1">
      <c r="A9" s="6" t="s">
        <v>0</v>
      </c>
      <c r="B9" s="6"/>
      <c r="C9" s="41"/>
    </row>
    <row r="10" spans="1:16" ht="20.100000000000001" customHeight="1">
      <c r="A10" s="181" t="s">
        <v>421</v>
      </c>
      <c r="B10" s="6"/>
      <c r="C10" s="41"/>
    </row>
    <row r="11" spans="1:16" ht="20.100000000000001" customHeight="1">
      <c r="A11" s="6" t="s">
        <v>9</v>
      </c>
      <c r="B11" s="7"/>
      <c r="C11" s="41"/>
    </row>
    <row r="12" spans="1:16" ht="20.100000000000001" customHeight="1">
      <c r="A12" s="40" t="s">
        <v>1</v>
      </c>
      <c r="B12" s="40"/>
      <c r="C12" s="41"/>
    </row>
    <row r="13" spans="1:16" ht="20.100000000000001" customHeight="1">
      <c r="A13" s="180" t="s">
        <v>46</v>
      </c>
      <c r="B13" s="40"/>
      <c r="C13" s="41"/>
    </row>
    <row r="16" spans="1:16">
      <c r="A16" s="214" t="s">
        <v>126</v>
      </c>
      <c r="B16" s="214"/>
      <c r="C16" s="215"/>
      <c r="D16" s="216"/>
      <c r="E16" s="216"/>
      <c r="F16" s="217"/>
      <c r="G16" s="217"/>
    </row>
    <row r="17" spans="1:17" ht="20.100000000000001" customHeight="1">
      <c r="A17" s="42"/>
      <c r="B17" s="42"/>
      <c r="C17" s="43"/>
    </row>
    <row r="18" spans="1:17" ht="20.25">
      <c r="A18" s="49" t="s">
        <v>61</v>
      </c>
      <c r="B18" s="42"/>
      <c r="C18" s="43"/>
    </row>
    <row r="19" spans="1:17" ht="23.25">
      <c r="A19" s="8"/>
      <c r="B19" s="42"/>
      <c r="C19" s="43"/>
    </row>
    <row r="20" spans="1:17" ht="15.75">
      <c r="A20" s="47" t="s">
        <v>62</v>
      </c>
      <c r="B20" s="42"/>
      <c r="C20" s="43"/>
      <c r="E20" s="76" t="str">
        <f>IF(Hulpblad!B9=1,"",IF(Hulpblad!B9=2,"Let op: U kunt voor dezelfde isolatietechniek niet nogmaals subsidie aanvragen!","Let op: U kunt voor dezelfde isolatietechniek niet nogmaals subsidie aanvragen. Uitzondering hierop zijn glasmaatregelen, daar mag u binnen 24 maanden wel een 2e aanvraag voor indienen."))</f>
        <v/>
      </c>
    </row>
    <row r="21" spans="1:17" ht="15.75">
      <c r="A21" s="9"/>
      <c r="B21" s="42"/>
      <c r="C21" s="43"/>
      <c r="E21" s="76" t="str">
        <f>IF(Hulpblad!B9=1,"",IF(Hulpblad!B9=2,"","De eerder gesubsidieerde en uitgevoerde maatregelen die minder dan 24 maanden geleden zijn geïnstalleerd tellen wel mee voor de twee-maatregelen eis."))</f>
        <v/>
      </c>
    </row>
    <row r="22" spans="1:17" ht="15.75">
      <c r="A22" s="9"/>
      <c r="B22" s="42"/>
      <c r="C22" s="43"/>
    </row>
    <row r="23" spans="1:17" ht="15.75">
      <c r="A23" s="9"/>
      <c r="B23" s="42"/>
      <c r="C23" s="43"/>
      <c r="E23" s="10"/>
    </row>
    <row r="24" spans="1:17" ht="15.75">
      <c r="A24" s="42"/>
      <c r="B24" s="42"/>
      <c r="C24" s="43"/>
    </row>
    <row r="25" spans="1:17" ht="20.25">
      <c r="A25" s="48" t="s">
        <v>67</v>
      </c>
      <c r="Q25" s="44"/>
    </row>
    <row r="26" spans="1:17">
      <c r="A26" s="76" t="s">
        <v>68</v>
      </c>
      <c r="B26" s="10"/>
      <c r="C26" s="10"/>
      <c r="D26" s="10"/>
      <c r="E26" s="11"/>
      <c r="Q26" s="44"/>
    </row>
    <row r="27" spans="1:17">
      <c r="A27" s="76" t="s">
        <v>228</v>
      </c>
      <c r="B27" s="10"/>
      <c r="C27" s="10"/>
      <c r="D27" s="10"/>
      <c r="E27" s="11"/>
      <c r="Q27" s="44"/>
    </row>
    <row r="28" spans="1:17">
      <c r="A28" s="76" t="s">
        <v>229</v>
      </c>
      <c r="B28" s="10"/>
      <c r="C28" s="10"/>
      <c r="D28" s="10"/>
      <c r="Q28" s="44"/>
    </row>
    <row r="29" spans="1:17" ht="42" customHeight="1">
      <c r="C29" s="112" t="s">
        <v>86</v>
      </c>
      <c r="E29" s="111" t="s">
        <v>59</v>
      </c>
      <c r="G29" s="52" t="s">
        <v>113</v>
      </c>
      <c r="I29" s="52" t="s">
        <v>114</v>
      </c>
      <c r="K29" s="53" t="s">
        <v>115</v>
      </c>
      <c r="M29" s="51" t="s">
        <v>116</v>
      </c>
      <c r="O29" s="52" t="s">
        <v>117</v>
      </c>
      <c r="Q29" s="44"/>
    </row>
    <row r="30" spans="1:17" ht="15" customHeight="1">
      <c r="A30" s="44" t="s">
        <v>36</v>
      </c>
      <c r="E30" s="39"/>
      <c r="G30" s="54" t="str">
        <f>""&amp;VLOOKUP(Hulpblad!C22,Hulpblad!C485:I526,3,FALSE)&amp;" - "&amp;VLOOKUP(Hulpblad!C22,Hulpblad!C485:I526,4,FALSE)&amp;""</f>
        <v xml:space="preserve"> - </v>
      </c>
      <c r="I30" s="55">
        <f>VLOOKUP(Hulpblad!C22,Hulpblad!C485:I526,7,FALSE)</f>
        <v>0</v>
      </c>
      <c r="K30" s="56"/>
      <c r="L30" s="44"/>
      <c r="M30" s="129">
        <f>IF(AND(I30&gt;0,I35&gt;0,K30&gt;0,(K30+K35&gt;=20)),MIN(200,K30),
IF(AND(I30&gt;0,K30&gt;=20),MIN(200,K30),0))</f>
        <v>0</v>
      </c>
      <c r="N30" s="44"/>
      <c r="O30" s="58">
        <f>I30*M30</f>
        <v>0</v>
      </c>
      <c r="Q30" s="196" t="str">
        <f>IF(Hulpblad!C16="Geen dakisolatie","",
IF(Hulpblad!B21=1,"Vul in wanneer de isolatie is aangebracht",
IF(K30=0,"Vul in de blauwe cel het aantal m² te isoleren oppervlak in",
IF(AND(I35&gt;0,K30+K35&gt;=20),"",
IF(K30&lt;20,"U voldoet niet aan het minimum oppervlakte aan gecombineerde dak, zolder- en vlieringisolatie om voor subsidie in aanmerking te komen.","")))))</f>
        <v/>
      </c>
    </row>
    <row r="31" spans="1:17" ht="15" customHeight="1">
      <c r="Q31" s="198"/>
    </row>
    <row r="32" spans="1:17" ht="15" customHeight="1">
      <c r="Q32" s="44"/>
    </row>
    <row r="33" spans="1:17" ht="15" customHeight="1">
      <c r="Q33" s="44"/>
    </row>
    <row r="34" spans="1:17" ht="15" customHeight="1">
      <c r="Q34" s="44"/>
    </row>
    <row r="35" spans="1:17" ht="15" customHeight="1">
      <c r="A35" s="125" t="s">
        <v>212</v>
      </c>
      <c r="E35" s="39"/>
      <c r="G35" s="54" t="str">
        <f>""&amp;VLOOKUP(Hulpblad!C32,Hulpblad!C485:I526,3,FALSE)&amp;" - "&amp;VLOOKUP(Hulpblad!C32,Hulpblad!C485:I526,4,FALSE)&amp;""</f>
        <v xml:space="preserve"> - </v>
      </c>
      <c r="I35" s="55">
        <f>VLOOKUP(Hulpblad!C32,Hulpblad!C485:I526,7,FALSE)</f>
        <v>0</v>
      </c>
      <c r="K35" s="56"/>
      <c r="L35" s="44"/>
      <c r="M35" s="129">
        <f>IF(AND(I30&gt;0,I35&gt;0,K35&gt;0,(K30+K35&gt;=20)),MIN(200-M30,130,K35),
IF(AND(I35&gt;0,K35&gt;=20),MIN(130,K35),0))</f>
        <v>0</v>
      </c>
      <c r="N35" s="44"/>
      <c r="O35" s="58">
        <f>I35*M35</f>
        <v>0</v>
      </c>
      <c r="Q35" s="196" t="str">
        <f>IF(Hulpblad!C27="Geen zolder- of vlieringisolatie","",
IF(Hulpblad!B31=1,"Vul in wanneer de isolatie is aangebracht",
IF(K35=0,"Vul in de blauwe cel het aantal m² te isoleren oppervlak in",
IF(AND(K35&gt;0,M35&lt;K35),"Het subsidiabele aantal m2 is gemaximaliseerd op 130 m2 zolder-of vlieringisolatie of het maximum subsidiabele oppervlak van dak, zolder-en vlieringisolatie samen van 200 m2",
IF(AND(I30&gt;0,K30+K35&gt;=20),"",
IF(K35&lt;20,"U voldoet niet aan het minimum oppervlakte aan gecombineerde dak, zolder- en vlieringisolatie om voor subsidie in aanmerking te komen.",""))))))</f>
        <v/>
      </c>
    </row>
    <row r="36" spans="1:17" ht="15" customHeight="1">
      <c r="Q36" s="197"/>
    </row>
    <row r="37" spans="1:17" ht="15" customHeight="1">
      <c r="G37" s="19"/>
      <c r="Q37" s="44"/>
    </row>
    <row r="38" spans="1:17" ht="21" customHeight="1">
      <c r="Q38" s="44"/>
    </row>
    <row r="39" spans="1:17" ht="15" customHeight="1">
      <c r="A39" s="44" t="s">
        <v>37</v>
      </c>
      <c r="G39" s="54" t="str">
        <f>""&amp;VLOOKUP(Hulpblad!C43,Hulpblad!C485:I526,3,FALSE)&amp;" - "&amp;VLOOKUP(Hulpblad!C43,Hulpblad!C485:I526,4,FALSE)&amp;""</f>
        <v xml:space="preserve"> - </v>
      </c>
      <c r="H39" s="44"/>
      <c r="I39" s="55">
        <f>VLOOKUP(Hulpblad!C43,Hulpblad!C485:I526,7,FALSE)</f>
        <v>0</v>
      </c>
      <c r="J39" s="44"/>
      <c r="K39" s="56"/>
      <c r="L39" s="44"/>
      <c r="M39" s="57">
        <f>IF(AND($I39&gt;0,$K39&gt;=10),MIN(170,$K39),0)</f>
        <v>0</v>
      </c>
      <c r="N39" s="44"/>
      <c r="O39" s="58">
        <f>I39*M39</f>
        <v>0</v>
      </c>
      <c r="Q39" s="76" t="str">
        <f>IF(Hulpblad!C37="Geen gevelisolatie","",
IF(Hulpblad!B42=1,"Vul in wanneer de isolatie is aangebracht",
IF(K39=0,"Vul in de blauwe cel het aantal m² te isoleren oppervlak in",
IF(K39&lt;Hulpblad!E495,"U voldoet niet aan het minimum oppervlakte om voor subsidie in aanmerking te komen.",""))))</f>
        <v/>
      </c>
    </row>
    <row r="40" spans="1:17" ht="15" customHeight="1">
      <c r="G40" s="59"/>
      <c r="H40" s="44"/>
      <c r="I40" s="60"/>
      <c r="J40" s="44"/>
      <c r="K40" s="82"/>
      <c r="L40" s="44"/>
      <c r="M40" s="44"/>
      <c r="N40" s="44"/>
      <c r="O40" s="61"/>
      <c r="Q40" s="76"/>
    </row>
    <row r="41" spans="1:17" ht="15" customHeight="1">
      <c r="G41" s="59"/>
      <c r="H41" s="44"/>
      <c r="I41" s="60"/>
      <c r="J41" s="44"/>
      <c r="K41" s="82"/>
      <c r="L41" s="44"/>
      <c r="M41" s="44"/>
      <c r="N41" s="44"/>
      <c r="O41" s="61"/>
      <c r="Q41" s="76"/>
    </row>
    <row r="42" spans="1:17" ht="15" customHeight="1">
      <c r="G42" s="59"/>
      <c r="H42" s="44"/>
      <c r="I42" s="60"/>
      <c r="J42" s="44"/>
      <c r="K42" s="82"/>
      <c r="L42" s="44"/>
      <c r="M42" s="44"/>
      <c r="N42" s="44"/>
      <c r="O42" s="61"/>
      <c r="Q42" s="76"/>
    </row>
    <row r="43" spans="1:17" ht="15" customHeight="1">
      <c r="G43" s="59"/>
      <c r="H43" s="44"/>
      <c r="I43" s="60"/>
      <c r="J43" s="44"/>
      <c r="K43" s="82"/>
      <c r="L43" s="44"/>
      <c r="M43" s="44"/>
      <c r="N43" s="44"/>
      <c r="O43" s="61"/>
      <c r="Q43" s="76"/>
    </row>
    <row r="44" spans="1:17" ht="15" customHeight="1">
      <c r="A44" s="44" t="s">
        <v>38</v>
      </c>
      <c r="G44" s="54" t="str">
        <f>""&amp;VLOOKUP(Hulpblad!C54,Hulpblad!C485:I526,3,FALSE)&amp;" - "&amp;VLOOKUP(Hulpblad!C54,Hulpblad!C485:I526,4,FALSE)&amp;""</f>
        <v xml:space="preserve"> - </v>
      </c>
      <c r="H44" s="44"/>
      <c r="I44" s="55">
        <f>VLOOKUP(Hulpblad!C54,Hulpblad!C485:I526,7,FALSE)</f>
        <v>0</v>
      </c>
      <c r="J44" s="44"/>
      <c r="K44" s="56"/>
      <c r="L44" s="44"/>
      <c r="M44" s="129">
        <f>IF(AND($I44&gt;0,$K44&gt;=10),MIN(170,$K44),0)</f>
        <v>0</v>
      </c>
      <c r="N44" s="44"/>
      <c r="O44" s="58">
        <f>I44*M44</f>
        <v>0</v>
      </c>
      <c r="Q44" s="76" t="str">
        <f>IF(Hulpblad!C48="Geen spouwmuurisolatie","",
IF(Hulpblad!B53=1,"Vul in wanneer de isolatie is aangebracht",
IF(K44=0,"Vul in de blauwe cel het aantal m² te isoleren oppervlak in",
IF(K44&lt;Hulpblad!E496,"U voldoet niet aan het minimum oppervlakte om voor subsidie in aanmerking te komen.",""))))</f>
        <v/>
      </c>
    </row>
    <row r="45" spans="1:17" ht="15" customHeight="1">
      <c r="G45" s="59"/>
      <c r="H45" s="44"/>
      <c r="I45" s="60"/>
      <c r="J45" s="44"/>
      <c r="K45" s="82"/>
      <c r="L45" s="44"/>
      <c r="M45" s="44"/>
      <c r="N45" s="44"/>
      <c r="O45" s="61"/>
      <c r="Q45" s="76"/>
    </row>
    <row r="46" spans="1:17" ht="15" customHeight="1">
      <c r="G46" s="59"/>
      <c r="H46" s="44"/>
      <c r="I46" s="60"/>
      <c r="J46" s="44"/>
      <c r="K46" s="82"/>
      <c r="L46" s="44"/>
      <c r="M46" s="44"/>
      <c r="N46" s="44"/>
      <c r="O46" s="61"/>
      <c r="Q46" s="76"/>
    </row>
    <row r="47" spans="1:17" ht="15" customHeight="1">
      <c r="G47" s="59"/>
      <c r="H47" s="44"/>
      <c r="I47" s="60"/>
      <c r="J47" s="44"/>
      <c r="K47" s="82"/>
      <c r="L47" s="44"/>
      <c r="M47" s="44"/>
      <c r="N47" s="44"/>
      <c r="O47" s="61"/>
      <c r="Q47" s="76"/>
    </row>
    <row r="48" spans="1:17" ht="15" customHeight="1">
      <c r="G48" s="59"/>
      <c r="H48" s="44"/>
      <c r="I48" s="60"/>
      <c r="J48" s="44"/>
      <c r="K48" s="82"/>
      <c r="L48" s="44"/>
      <c r="M48" s="44"/>
      <c r="N48" s="44"/>
      <c r="O48" s="61"/>
      <c r="Q48" s="76"/>
    </row>
    <row r="49" spans="1:17" ht="15" customHeight="1">
      <c r="A49" s="44" t="s">
        <v>39</v>
      </c>
      <c r="G49" s="54" t="str">
        <f>""&amp;VLOOKUP(Hulpblad!C64,Hulpblad!C485:I526,3,FALSE)&amp;" - "&amp;VLOOKUP(Hulpblad!C64,Hulpblad!C485:I526,4,FALSE)&amp;""</f>
        <v xml:space="preserve"> - </v>
      </c>
      <c r="H49" s="44"/>
      <c r="I49" s="55">
        <f>VLOOKUP(Hulpblad!C64,Hulpblad!C485:I526,7,FALSE)</f>
        <v>0</v>
      </c>
      <c r="J49" s="44"/>
      <c r="K49" s="56"/>
      <c r="L49" s="44"/>
      <c r="M49" s="57">
        <f>IF(AND(I49&gt;0,I53&gt;0,K49&gt;0,(K49+K53&gt;=20)),MIN(130,K49),
IF(AND(I49&gt;0,K49&gt;=20),MIN(130,K49),0))</f>
        <v>0</v>
      </c>
      <c r="N49" s="44"/>
      <c r="O49" s="58">
        <f>I49*M49</f>
        <v>0</v>
      </c>
      <c r="Q49" s="196" t="str">
        <f>IF(Hulpblad!C59="Geen vloerisolatie","",
IF(Hulpblad!B63=1,"Vul in wanneer de isolatie is aangebracht",
IF(K49=0,"Vul in de blauwe cel het aantal m² te isoleren oppervlak in",
IF(AND(I53&gt;0,K49+K53&gt;=20),"",
IF(K49&lt;20,"U voldoet niet aan het minimum oppervlakte aan gecombineerde vloer-en bodemisolatie om voor subsidie in aanmerking te komen.","")))))</f>
        <v/>
      </c>
    </row>
    <row r="50" spans="1:17">
      <c r="Q50" s="198"/>
    </row>
    <row r="51" spans="1:17" ht="15" customHeight="1">
      <c r="G51" s="13"/>
      <c r="I51" s="13"/>
      <c r="K51" s="13"/>
      <c r="O51" s="14"/>
      <c r="Q51" s="45"/>
    </row>
    <row r="52" spans="1:17" ht="21.95" customHeight="1">
      <c r="G52" s="13"/>
      <c r="I52" s="13"/>
      <c r="K52" s="13"/>
      <c r="O52" s="14"/>
      <c r="Q52" s="45"/>
    </row>
    <row r="53" spans="1:17" ht="15" customHeight="1">
      <c r="A53" s="44" t="s">
        <v>39</v>
      </c>
      <c r="G53" s="54" t="str">
        <f>""&amp;VLOOKUP(Hulpblad!C74,Hulpblad!C485:I526,3,FALSE)&amp;" - "&amp;VLOOKUP(Hulpblad!C74,Hulpblad!C485:I526,4,FALSE)&amp;""</f>
        <v xml:space="preserve"> - </v>
      </c>
      <c r="H53" s="44"/>
      <c r="I53" s="55">
        <f>VLOOKUP(Hulpblad!C74,Hulpblad!C485:I526,7,FALSE)</f>
        <v>0</v>
      </c>
      <c r="J53" s="44"/>
      <c r="K53" s="56"/>
      <c r="L53" s="44"/>
      <c r="M53" s="57">
        <f>IF(AND(I49&gt;0,I53&gt;0,K53&gt;0,(K49+K53&gt;=20)),MIN(130-M49,130,K53),
IF(AND(I53&gt;0,K53&gt;=20),MIN(130,K53),0))</f>
        <v>0</v>
      </c>
      <c r="N53" s="44"/>
      <c r="O53" s="58">
        <f>I53*M53</f>
        <v>0</v>
      </c>
      <c r="Q53" s="196" t="str">
        <f>IF(Hulpblad!C69="Geen bodemisolatie","",
IF(Hulpblad!B73=1,"Vul in wanneer de isolatie is aangebracht",
IF(K53=0,"Vul in de blauwe cel het aantal m² te isoleren oppervlak in",
IF(AND(K53&gt;0,M53&lt;K53),"Het subsidiabele aantal m2 is gemaximaliseerd op 130 m2 vloerisolatie of het maximum subsidiabele oppervlak van vloer-en bodemisolatie samen van 130 m2",
IF(AND(I49&gt;0,K49+K53&gt;=20),"",
IF(K53&lt;20,"U voldoet niet aan het minimum oppervlakte aan gecombineerde vloer-en bodemisolatie om voor subsidie in aanmerking te komen.",""))))))</f>
        <v/>
      </c>
    </row>
    <row r="54" spans="1:17">
      <c r="Q54" s="198"/>
    </row>
    <row r="55" spans="1:17" ht="15" customHeight="1">
      <c r="G55" s="13"/>
      <c r="I55" s="13"/>
      <c r="K55" s="13"/>
      <c r="O55" s="14"/>
      <c r="Q55" s="45"/>
    </row>
    <row r="56" spans="1:17" ht="15" customHeight="1">
      <c r="G56" s="13"/>
      <c r="I56" s="13"/>
      <c r="K56" s="13"/>
      <c r="O56" s="14"/>
      <c r="Q56" s="45"/>
    </row>
    <row r="57" spans="1:17" ht="15" customHeight="1">
      <c r="G57" s="13"/>
      <c r="I57" s="13"/>
      <c r="K57" s="13"/>
      <c r="O57" s="14"/>
      <c r="Q57" s="45"/>
    </row>
    <row r="58" spans="1:17" ht="30" customHeight="1">
      <c r="A58" s="173" t="s">
        <v>418</v>
      </c>
      <c r="G58" s="13"/>
      <c r="I58" s="222" t="s">
        <v>146</v>
      </c>
      <c r="Q58" s="44"/>
    </row>
    <row r="59" spans="1:17" ht="15" customHeight="1">
      <c r="A59" s="44" t="s">
        <v>85</v>
      </c>
      <c r="I59" s="223"/>
      <c r="J59" s="44"/>
      <c r="K59" s="44"/>
      <c r="L59" s="44"/>
      <c r="M59" s="44"/>
      <c r="N59" s="44"/>
      <c r="O59" s="44" t="s">
        <v>118</v>
      </c>
      <c r="Q59" s="44"/>
    </row>
    <row r="60" spans="1:17" ht="15" customHeight="1">
      <c r="I60" s="44"/>
      <c r="J60" s="44"/>
      <c r="K60" s="44"/>
      <c r="L60" s="44"/>
      <c r="M60" s="44"/>
      <c r="N60" s="44"/>
      <c r="O60" s="44"/>
      <c r="Q60" s="44"/>
    </row>
    <row r="61" spans="1:17" ht="15" customHeight="1">
      <c r="I61" s="106">
        <f>IF(Hulpblad!B78=FALSE,0,VLOOKUP(Hulpblad!C22,Hulpblad!$C$486:$I$527,5,FALSE))</f>
        <v>0</v>
      </c>
      <c r="J61" s="44"/>
      <c r="K61" s="44"/>
      <c r="L61" s="44"/>
      <c r="M61" s="44"/>
      <c r="N61" s="44"/>
      <c r="O61" s="106">
        <f>M30*I61</f>
        <v>0</v>
      </c>
      <c r="Q61" s="76"/>
    </row>
    <row r="62" spans="1:17" ht="15" customHeight="1">
      <c r="I62" s="123"/>
      <c r="J62" s="44"/>
      <c r="K62" s="44"/>
      <c r="L62" s="44"/>
      <c r="M62" s="44"/>
      <c r="N62" s="44"/>
      <c r="O62" s="123"/>
      <c r="Q62" s="76"/>
    </row>
    <row r="63" spans="1:17" ht="15" customHeight="1">
      <c r="I63" s="106">
        <f>IF(Hulpblad!B79=FALSE,0,VLOOKUP(Hulpblad!C32,Hulpblad!$C$486:$I$527,5,FALSE))</f>
        <v>0</v>
      </c>
      <c r="J63" s="44"/>
      <c r="K63" s="44"/>
      <c r="L63" s="44"/>
      <c r="M63" s="44"/>
      <c r="N63" s="44"/>
      <c r="O63" s="106">
        <f>M35*I63</f>
        <v>0</v>
      </c>
      <c r="Q63" s="76"/>
    </row>
    <row r="64" spans="1:17" ht="15" customHeight="1">
      <c r="I64" s="123"/>
      <c r="J64" s="44"/>
      <c r="K64" s="44"/>
      <c r="L64" s="44"/>
      <c r="M64" s="44"/>
      <c r="N64" s="44"/>
      <c r="O64" s="123"/>
      <c r="Q64" s="44"/>
    </row>
    <row r="65" spans="1:17" ht="15" customHeight="1">
      <c r="I65" s="106">
        <f>IF(Hulpblad!B80=FALSE,0,VLOOKUP(Hulpblad!C43,Hulpblad!$C$486:$I$527,5,FALSE))</f>
        <v>0</v>
      </c>
      <c r="J65" s="44"/>
      <c r="K65" s="44"/>
      <c r="L65" s="44"/>
      <c r="M65" s="44"/>
      <c r="N65" s="44"/>
      <c r="O65" s="106">
        <f>M39*I65</f>
        <v>0</v>
      </c>
      <c r="Q65" s="76"/>
    </row>
    <row r="66" spans="1:17" ht="15" customHeight="1">
      <c r="I66" s="123"/>
      <c r="J66" s="44"/>
      <c r="K66" s="44"/>
      <c r="L66" s="44"/>
      <c r="M66" s="44"/>
      <c r="N66" s="44"/>
      <c r="O66" s="123"/>
      <c r="Q66" s="44"/>
    </row>
    <row r="67" spans="1:17" ht="15" customHeight="1">
      <c r="I67" s="106">
        <f>IF(Hulpblad!B81=FALSE,0,VLOOKUP(Hulpblad!C54,Hulpblad!$C$486:$I$527,5,FALSE))</f>
        <v>0</v>
      </c>
      <c r="J67" s="44"/>
      <c r="K67" s="44"/>
      <c r="L67" s="44"/>
      <c r="M67" s="44"/>
      <c r="N67" s="44"/>
      <c r="O67" s="106">
        <f>M44*I67</f>
        <v>0</v>
      </c>
      <c r="Q67" s="76"/>
    </row>
    <row r="68" spans="1:17" ht="15" customHeight="1">
      <c r="I68" s="123"/>
      <c r="J68" s="44"/>
      <c r="K68" s="44"/>
      <c r="L68" s="44"/>
      <c r="M68" s="44"/>
      <c r="N68" s="44"/>
      <c r="O68" s="123"/>
      <c r="Q68" s="44"/>
    </row>
    <row r="69" spans="1:17" ht="15" customHeight="1">
      <c r="A69" s="15"/>
      <c r="I69" s="106">
        <f>IF(Hulpblad!B82=FALSE,0,VLOOKUP(Hulpblad!C64,Hulpblad!$C$486:$I$527,5,FALSE))</f>
        <v>0</v>
      </c>
      <c r="J69" s="44"/>
      <c r="K69" s="44"/>
      <c r="L69" s="44"/>
      <c r="M69" s="44"/>
      <c r="N69" s="44"/>
      <c r="O69" s="106">
        <f>M49*I69</f>
        <v>0</v>
      </c>
      <c r="Q69" s="76"/>
    </row>
    <row r="70" spans="1:17" ht="15" customHeight="1">
      <c r="A70" s="15"/>
      <c r="I70" s="123"/>
      <c r="J70" s="44"/>
      <c r="K70" s="44"/>
      <c r="L70" s="44"/>
      <c r="M70" s="44"/>
      <c r="N70" s="44"/>
      <c r="O70" s="123"/>
      <c r="Q70" s="76"/>
    </row>
    <row r="71" spans="1:17" ht="15" customHeight="1">
      <c r="A71" s="15"/>
      <c r="I71" s="124">
        <f>IF(Hulpblad!B83=FALSE,0,VLOOKUP(Hulpblad!C74,Hulpblad!$C$486:$I$527,5,FALSE))</f>
        <v>0</v>
      </c>
      <c r="O71" s="124">
        <f>M53*I71</f>
        <v>0</v>
      </c>
      <c r="Q71" s="76"/>
    </row>
    <row r="72" spans="1:17" ht="15" customHeight="1">
      <c r="A72" s="15"/>
      <c r="O72" s="127"/>
      <c r="Q72" s="44"/>
    </row>
    <row r="73" spans="1:17" ht="15" customHeight="1">
      <c r="A73" s="15"/>
      <c r="Q73" s="136"/>
    </row>
    <row r="74" spans="1:17">
      <c r="A74" s="76" t="s">
        <v>380</v>
      </c>
      <c r="D74" s="16"/>
      <c r="E74" s="16"/>
      <c r="F74" s="16"/>
      <c r="G74" s="16"/>
      <c r="H74" s="16"/>
      <c r="I74" s="16"/>
      <c r="J74" s="16"/>
      <c r="Q74" s="44"/>
    </row>
    <row r="75" spans="1:17" ht="15" customHeight="1">
      <c r="D75" s="16"/>
      <c r="F75" s="16"/>
      <c r="H75" s="16"/>
      <c r="J75" s="16"/>
      <c r="Q75" s="44"/>
    </row>
    <row r="76" spans="1:17" ht="66.75">
      <c r="A76" s="46" t="s">
        <v>71</v>
      </c>
      <c r="D76" s="16"/>
      <c r="E76" s="137" t="s">
        <v>265</v>
      </c>
      <c r="F76" s="16"/>
      <c r="G76" s="62" t="s">
        <v>119</v>
      </c>
      <c r="H76" s="16"/>
      <c r="I76" s="62" t="s">
        <v>114</v>
      </c>
      <c r="J76" s="63"/>
      <c r="K76" s="64" t="s">
        <v>115</v>
      </c>
      <c r="L76" s="44"/>
      <c r="M76" s="62" t="s">
        <v>120</v>
      </c>
      <c r="N76" s="44"/>
      <c r="O76" s="62" t="s">
        <v>117</v>
      </c>
      <c r="Q76" s="44"/>
    </row>
    <row r="77" spans="1:17">
      <c r="D77" s="16"/>
      <c r="E77" s="16"/>
      <c r="F77" s="16"/>
      <c r="G77" s="16"/>
      <c r="H77" s="16"/>
      <c r="I77" s="63"/>
      <c r="J77" s="63"/>
      <c r="K77" s="44"/>
      <c r="L77" s="44"/>
      <c r="M77" s="44"/>
      <c r="N77" s="44"/>
      <c r="O77" s="44"/>
      <c r="Q77" s="44"/>
    </row>
    <row r="78" spans="1:17" ht="15" customHeight="1">
      <c r="D78" s="16"/>
      <c r="E78" s="16"/>
      <c r="F78" s="16"/>
      <c r="G78" s="148"/>
      <c r="H78" s="16"/>
      <c r="I78" s="63"/>
      <c r="J78" s="63"/>
      <c r="K78" s="44"/>
      <c r="L78" s="44"/>
      <c r="M78" s="44"/>
      <c r="N78" s="44"/>
      <c r="O78" s="44"/>
      <c r="Q78" s="139"/>
    </row>
    <row r="79" spans="1:17" ht="15" customHeight="1">
      <c r="A79" s="44" t="str">
        <f>Hulpblad!B224</f>
        <v>Niet van toepassing</v>
      </c>
      <c r="D79" s="16"/>
      <c r="E79" s="16"/>
      <c r="F79" s="16"/>
      <c r="G79" s="199" t="str">
        <f>IF(Hulpblad!B87=1,"","3 - 45")</f>
        <v/>
      </c>
      <c r="H79" s="16"/>
    </row>
    <row r="80" spans="1:17" ht="15" customHeight="1">
      <c r="D80" s="16"/>
      <c r="E80" s="16"/>
      <c r="F80" s="16"/>
      <c r="G80" s="200"/>
      <c r="H80" s="16"/>
      <c r="I80" s="55">
        <f>IF(A79="Niet van toepassing",0,VLOOKUP(Hulpblad!C97,Hulpblad!C408:I484,7,FALSE))</f>
        <v>0</v>
      </c>
      <c r="J80" s="63"/>
      <c r="K80" s="65"/>
      <c r="L80" s="44"/>
      <c r="M80" s="57">
        <f>IF(AND(I80&gt;0,K80&gt;0),MIN(45-M81-M117,K80),0)</f>
        <v>0</v>
      </c>
      <c r="N80" s="44"/>
      <c r="O80" s="58">
        <f>I80*M80</f>
        <v>0</v>
      </c>
      <c r="P80" s="157"/>
      <c r="Q80" s="139" t="str">
        <f>IF(Hulpblad!$C$87="Geen glasisolatie","",
IF(AND(Hulpblad!B91=2,Hulpblad!C93=FALSE,Hulpblad!C94=FALSE),"Vul in wanneer het isolerende glas is aangebracht",
IF(AND(Hulpblad!B91=2,Hulpblad!D93="2024 én ≤ 24 maanden geleden",K80=0),"Vul in de blauwe cel het aantal m² te isoleren oppervlak in","")))</f>
        <v/>
      </c>
    </row>
    <row r="81" spans="1:22" ht="15" customHeight="1">
      <c r="D81" s="16"/>
      <c r="E81" s="16"/>
      <c r="F81" s="16"/>
      <c r="G81" s="200"/>
      <c r="H81" s="16"/>
      <c r="I81" s="55">
        <f>IF(A79="Niet van toepassing",0,VLOOKUP(Hulpblad!C98,Hulpblad!C408:I484,7,FALSE))</f>
        <v>0</v>
      </c>
      <c r="J81" s="63"/>
      <c r="K81" s="65"/>
      <c r="L81" s="44"/>
      <c r="M81" s="57">
        <f>IF(AND(I81&gt;0,K81&gt;0),MIN(45,K81),0)</f>
        <v>0</v>
      </c>
      <c r="N81" s="44"/>
      <c r="O81" s="58">
        <f>I81*M81</f>
        <v>0</v>
      </c>
      <c r="P81" s="157"/>
      <c r="Q81" s="139" t="str">
        <f>IF(Hulpblad!$C$87="Geen glasisolatie","",
IF(AND(Hulpblad!B91=2,Hulpblad!C93=FALSE,Hulpblad!C94=FALSE),"Vul in wanneer het isolerende glas is aangebracht",
IF(AND(Hulpblad!B91=2,Hulpblad!D94="2025-2026",K81=0),"Vul in de blauwe cel het aantal m² te isoleren oppervlak in","")))</f>
        <v/>
      </c>
    </row>
    <row r="82" spans="1:22" ht="15" customHeight="1">
      <c r="D82" s="16"/>
      <c r="E82" s="16"/>
      <c r="F82" s="16"/>
      <c r="G82" s="200"/>
      <c r="H82" s="16"/>
      <c r="I82" s="60"/>
      <c r="J82" s="63"/>
      <c r="K82" s="140"/>
      <c r="L82" s="44"/>
      <c r="M82" s="44"/>
      <c r="N82" s="44"/>
      <c r="O82" s="61"/>
      <c r="P82" s="157"/>
      <c r="Q82" s="139"/>
    </row>
    <row r="83" spans="1:22">
      <c r="A83" s="44" t="str">
        <f>Hulpblad!B225</f>
        <v>Niet van toepassing</v>
      </c>
      <c r="D83" s="16"/>
      <c r="F83" s="16"/>
      <c r="G83" s="200"/>
      <c r="H83" s="16"/>
      <c r="P83" s="157"/>
      <c r="R83" s="158"/>
      <c r="S83" s="159"/>
      <c r="T83" s="158"/>
      <c r="U83" s="160"/>
      <c r="V83" s="160"/>
    </row>
    <row r="84" spans="1:22">
      <c r="A84" s="44"/>
      <c r="D84" s="16"/>
      <c r="F84" s="16"/>
      <c r="G84" s="200"/>
      <c r="H84" s="16"/>
      <c r="I84" s="55">
        <f>IF(A83="Niet van toepassing",0,VLOOKUP(Hulpblad!C109,Hulpblad!C408:I484,7,FALSE))</f>
        <v>0</v>
      </c>
      <c r="J84" s="63"/>
      <c r="K84" s="65"/>
      <c r="L84" s="44"/>
      <c r="M84" s="57">
        <f>IF(AND(I84&gt;0,K84&gt;0),MIN(45-M80-M81-M85-M89-M100-M116-M117-M121,K84),0)</f>
        <v>0</v>
      </c>
      <c r="N84" s="44"/>
      <c r="O84" s="58">
        <f>I84*M84</f>
        <v>0</v>
      </c>
      <c r="P84" s="157"/>
      <c r="Q84" s="139" t="str">
        <f>IF(Hulpblad!$C$87="Geen glasisolatie","",
IF(AND(Hulpblad!B103=2,Hulpblad!C105=FALSE,Hulpblad!C106=FALSE),"Vul in wanneer het isolerende glas is aangebracht",
IF(AND(Hulpblad!B103=2,Hulpblad!D105="2024 én ≤ 24 maanden geleden",K84=0),"Vul in de blauwe cel het aantal m² te isoleren oppervlak in","")))</f>
        <v/>
      </c>
      <c r="R84" s="161"/>
      <c r="S84" s="162"/>
      <c r="U84" s="163"/>
      <c r="V84" s="164"/>
    </row>
    <row r="85" spans="1:22">
      <c r="D85" s="16"/>
      <c r="F85" s="16"/>
      <c r="G85" s="200"/>
      <c r="H85" s="16"/>
      <c r="I85" s="55">
        <f>IF(A83="Niet van toepassing",0,VLOOKUP(Hulpblad!C110,Hulpblad!C408:I484,7,FALSE))</f>
        <v>0</v>
      </c>
      <c r="J85" s="63"/>
      <c r="K85" s="65"/>
      <c r="L85" s="44"/>
      <c r="M85" s="57">
        <f>IF(AND(I85&gt;0,K85&gt;0),MIN(45-M80-M81-M116-M117,K85),0)</f>
        <v>0</v>
      </c>
      <c r="N85" s="44"/>
      <c r="O85" s="58">
        <f>I85*M85</f>
        <v>0</v>
      </c>
      <c r="P85" s="157"/>
      <c r="Q85" s="139" t="str">
        <f>IF(Hulpblad!$C$87="Geen glasisolatie","",
IF(AND(Hulpblad!B103=2,Hulpblad!C105=FALSE,Hulpblad!C106=FALSE),"Vul in wanneer het isolerende glas is aangebracht",
IF(AND(Hulpblad!B103=2,Hulpblad!D106="2025-2026",K85=0),"Vul in de blauwe cel het aantal m² te isoleren oppervlak in","")))</f>
        <v/>
      </c>
      <c r="R85" s="161"/>
      <c r="S85" s="162"/>
      <c r="U85" s="163"/>
      <c r="V85" s="164"/>
    </row>
    <row r="86" spans="1:22" ht="15" customHeight="1">
      <c r="D86" s="16"/>
      <c r="E86" s="16"/>
      <c r="F86" s="16"/>
      <c r="G86" s="200"/>
      <c r="H86" s="16"/>
      <c r="I86" s="60"/>
      <c r="J86" s="63"/>
      <c r="K86" s="140"/>
      <c r="L86" s="44"/>
      <c r="M86" s="44"/>
      <c r="N86" s="44"/>
      <c r="O86" s="61"/>
      <c r="P86" s="157"/>
      <c r="Q86" s="139"/>
      <c r="R86" s="161"/>
      <c r="U86" s="163"/>
      <c r="V86" s="164"/>
    </row>
    <row r="87" spans="1:22">
      <c r="A87" s="202" t="str">
        <f>Hulpblad!B226</f>
        <v>Niet van toepassing</v>
      </c>
      <c r="D87" s="16"/>
      <c r="G87" s="200"/>
      <c r="P87" s="157"/>
      <c r="R87" s="161"/>
      <c r="U87" s="163"/>
      <c r="V87" s="164"/>
    </row>
    <row r="88" spans="1:22">
      <c r="A88" s="203"/>
      <c r="D88" s="16"/>
      <c r="G88" s="200"/>
      <c r="I88" s="55">
        <f>IF(A87="Niet van toepassing",0,VLOOKUP(Hulpblad!C121,Hulpblad!C408:I484,7,FALSE))</f>
        <v>0</v>
      </c>
      <c r="J88" s="63"/>
      <c r="K88" s="65"/>
      <c r="L88" s="44"/>
      <c r="M88" s="57">
        <f>IF(AND(I88&gt;0,K88&gt;0),MIN(45-M80-M81-M84-M85-M89-M100-M116-M117-M121,K88),0)</f>
        <v>0</v>
      </c>
      <c r="N88" s="44"/>
      <c r="O88" s="58">
        <f>I88*M88</f>
        <v>0</v>
      </c>
      <c r="P88" s="157"/>
      <c r="Q88" s="139" t="str">
        <f>IF(Hulpblad!$C$87="Geen glasisolatie","",
IF(AND(Hulpblad!B115=2,Hulpblad!C117=FALSE,Hulpblad!C118=FALSE),"Vul in wanneer het isolerende glas is aangebracht",
IF(AND(Hulpblad!B115=2,Hulpblad!D117="2024 én ≤ 24 maanden geleden",K88=0),"Vul in de blauwe cel het aantal m² te isoleren oppervlak in","")))</f>
        <v/>
      </c>
      <c r="R88" s="161"/>
      <c r="U88" s="163"/>
      <c r="V88" s="164"/>
    </row>
    <row r="89" spans="1:22">
      <c r="D89" s="16"/>
      <c r="G89" s="200"/>
      <c r="I89" s="55">
        <f>IF(A87="Niet van toepassing",0,VLOOKUP(Hulpblad!C122,Hulpblad!C408:I484,7,FALSE))</f>
        <v>0</v>
      </c>
      <c r="J89" s="63"/>
      <c r="K89" s="65"/>
      <c r="L89" s="44"/>
      <c r="M89" s="57">
        <f>IF(AND(I89&gt;0,K89&gt;0),MIN(45-M80-M81-M85-M116-M117,K89),0)</f>
        <v>0</v>
      </c>
      <c r="N89" s="44"/>
      <c r="O89" s="58">
        <f>I89*M89</f>
        <v>0</v>
      </c>
      <c r="P89" s="157"/>
      <c r="Q89" s="139" t="str">
        <f>IF(Hulpblad!$C$87="Geen glasisolatie","",
IF(AND(Hulpblad!B115=2,Hulpblad!C117=FALSE,Hulpblad!C118=FALSE),"Vul in wanneer het isolerende glas is aangebracht",
IF(AND(Hulpblad!B115=2,Hulpblad!D118="2025-2026",K89=0),"Vul in de blauwe cel het aantal m² te isoleren oppervlak in","")))</f>
        <v/>
      </c>
      <c r="R89" s="161"/>
      <c r="S89" s="162"/>
      <c r="U89" s="163"/>
      <c r="V89" s="164"/>
    </row>
    <row r="90" spans="1:22" ht="15" customHeight="1">
      <c r="D90" s="16"/>
      <c r="E90" s="16"/>
      <c r="G90" s="200"/>
      <c r="P90" s="157"/>
      <c r="R90" s="161"/>
      <c r="S90" s="162"/>
      <c r="U90" s="163"/>
      <c r="V90" s="164"/>
    </row>
    <row r="91" spans="1:22">
      <c r="A91" s="202" t="str">
        <f>Hulpblad!B227</f>
        <v>Niet van toepassing</v>
      </c>
      <c r="D91" s="16"/>
      <c r="G91" s="200"/>
      <c r="P91" s="157"/>
      <c r="R91" s="161"/>
      <c r="U91" s="163"/>
      <c r="V91" s="164"/>
    </row>
    <row r="92" spans="1:22">
      <c r="A92" s="203"/>
      <c r="D92" s="16"/>
      <c r="G92" s="200"/>
      <c r="I92" s="55">
        <f>IF(A91="Niet van toepassing",0,VLOOKUP(Hulpblad!C133,Hulpblad!C408:I484,7,FALSE))</f>
        <v>0</v>
      </c>
      <c r="J92" s="63"/>
      <c r="K92" s="65"/>
      <c r="L92" s="44"/>
      <c r="M92" s="57">
        <f>IF(AND(I92&gt;0,K92&gt;0),MIN(45-M80-M81-M84-M85-M88-M89-M93-M96-M100-M116-M117-M120-M121-M125,K92),0)</f>
        <v>0</v>
      </c>
      <c r="N92" s="44"/>
      <c r="O92" s="58">
        <f>I92*M92</f>
        <v>0</v>
      </c>
      <c r="P92" s="157"/>
      <c r="Q92" s="139" t="str">
        <f>IF(Hulpblad!$C$87="Geen glasisolatie","",
IF(AND(Hulpblad!B127=2,Hulpblad!C129=FALSE,Hulpblad!C130=FALSE),"Vul in wanneer het isolerende glas is aangebracht",
IF(AND(Hulpblad!B127=2,Hulpblad!D129="2024 én ≤ 24 maanden geleden",K92=0),"Vul in de blauwe cel het aantal m² te isoleren oppervlak in","")))</f>
        <v/>
      </c>
      <c r="R92" s="161"/>
      <c r="S92" s="17"/>
      <c r="U92" s="163"/>
      <c r="V92" s="164"/>
    </row>
    <row r="93" spans="1:22">
      <c r="D93" s="16"/>
      <c r="G93" s="200"/>
      <c r="I93" s="55">
        <f>IF(A91="Niet van toepassing",0,VLOOKUP(Hulpblad!C134,Hulpblad!C408:I484,7,FALSE))</f>
        <v>0</v>
      </c>
      <c r="J93" s="63"/>
      <c r="K93" s="65"/>
      <c r="L93" s="44"/>
      <c r="M93" s="57">
        <f>IF(AND(I93&gt;0,K93&gt;0),MIN(45-M80-M81-M84-M85-M88-M89-M100-M116-M117-M120-M121,K93),0)</f>
        <v>0</v>
      </c>
      <c r="N93" s="44"/>
      <c r="O93" s="58">
        <f>I93*M93</f>
        <v>0</v>
      </c>
      <c r="P93" s="157"/>
      <c r="Q93" s="139" t="str">
        <f>IF(Hulpblad!$C$87="Geen glasisolatie","",
IF(AND(Hulpblad!B127=2,Hulpblad!C129=FALSE,Hulpblad!C130=FALSE),"Vul in wanneer het isolerende glas is aangebracht",
IF(AND(Hulpblad!B127=2,Hulpblad!D130="2025-2026",K93=0),"Vul in de blauwe cel het aantal m² te isoleren oppervlak in","")))</f>
        <v/>
      </c>
      <c r="R93" s="161"/>
      <c r="S93" s="17"/>
      <c r="U93" s="163"/>
      <c r="V93" s="164"/>
    </row>
    <row r="94" spans="1:22">
      <c r="D94" s="16"/>
      <c r="G94" s="200"/>
      <c r="I94" s="60"/>
      <c r="J94" s="63"/>
      <c r="K94" s="140"/>
      <c r="L94" s="44"/>
      <c r="M94" s="44"/>
      <c r="N94" s="44"/>
      <c r="O94" s="61"/>
      <c r="P94" s="157"/>
      <c r="Q94" s="139"/>
      <c r="R94" s="161"/>
      <c r="S94" s="17"/>
      <c r="U94" s="163"/>
      <c r="V94" s="164"/>
    </row>
    <row r="95" spans="1:22">
      <c r="A95" s="219" t="str">
        <f>Hulpblad!B228</f>
        <v>Niet van toepassing</v>
      </c>
      <c r="D95" s="16"/>
      <c r="G95" s="200"/>
      <c r="P95" s="157"/>
      <c r="R95" s="161"/>
      <c r="U95" s="163"/>
      <c r="V95" s="164"/>
    </row>
    <row r="96" spans="1:22">
      <c r="A96" s="213"/>
      <c r="D96" s="16"/>
      <c r="G96" s="200"/>
      <c r="I96" s="55">
        <f>IF(A95="Niet van toepassing",0,VLOOKUP(Hulpblad!C144,Hulpblad!C408:I484,7,FALSE))</f>
        <v>0</v>
      </c>
      <c r="J96" s="63"/>
      <c r="K96" s="65"/>
      <c r="L96" s="44"/>
      <c r="M96" s="57">
        <f>IF(AND(I96&gt;0,K96&gt;0),MIN(45-M80-M81-M84-M85-M88-M89-M93-M100-M116-M117-M120-M121-M125,K96),0)</f>
        <v>0</v>
      </c>
      <c r="N96" s="44"/>
      <c r="O96" s="58">
        <f>I96*M96</f>
        <v>0</v>
      </c>
      <c r="P96" s="157"/>
      <c r="Q96" s="139" t="str">
        <f>IF(Hulpblad!$C$87="Geen glasisolatie","",
IF(AND(Hulpblad!B139=2,Hulpblad!C141=FALSE),"Vul in wanneer het isolerende glas is aangebracht",
IF(AND(Hulpblad!B139=2,Hulpblad!D141=2026,K96=0),"Vul in de blauwe cel het aantal m² te isoleren oppervlak in","")))</f>
        <v/>
      </c>
      <c r="R96" s="161"/>
      <c r="S96" s="17"/>
      <c r="U96" s="163"/>
      <c r="V96" s="164"/>
    </row>
    <row r="97" spans="1:22">
      <c r="D97" s="16"/>
      <c r="G97" s="200"/>
      <c r="I97" s="60"/>
      <c r="J97" s="63"/>
      <c r="K97" s="140"/>
      <c r="L97" s="44"/>
      <c r="M97" s="44"/>
      <c r="N97" s="44"/>
      <c r="O97" s="61"/>
      <c r="P97" s="157"/>
      <c r="Q97" s="139"/>
      <c r="R97" s="161"/>
      <c r="S97" s="17"/>
      <c r="U97" s="163"/>
      <c r="V97" s="164"/>
    </row>
    <row r="98" spans="1:22">
      <c r="D98" s="16"/>
      <c r="G98" s="200"/>
      <c r="I98" s="60"/>
      <c r="J98" s="63"/>
      <c r="K98" s="140"/>
      <c r="L98" s="44"/>
      <c r="M98" s="44"/>
      <c r="N98" s="44"/>
      <c r="O98" s="61"/>
      <c r="P98" s="157"/>
      <c r="Q98" s="139"/>
      <c r="R98" s="161"/>
      <c r="S98" s="17"/>
      <c r="U98" s="163"/>
      <c r="V98" s="164"/>
    </row>
    <row r="99" spans="1:22">
      <c r="A99" s="202" t="str">
        <f>Hulpblad!B229</f>
        <v>Niet van toepassing</v>
      </c>
      <c r="D99" s="16"/>
      <c r="E99" s="16"/>
      <c r="G99" s="200"/>
      <c r="P99" s="157"/>
      <c r="R99" s="161"/>
      <c r="U99" s="163"/>
      <c r="V99" s="164"/>
    </row>
    <row r="100" spans="1:22">
      <c r="A100" s="202"/>
      <c r="D100" s="16"/>
      <c r="E100" s="16"/>
      <c r="G100" s="200"/>
      <c r="I100" s="55">
        <f>IF(A99="Niet van toepassing",0,VLOOKUP(Hulpblad!C154,Hulpblad!C408:I484,7,FALSE))</f>
        <v>0</v>
      </c>
      <c r="J100" s="63"/>
      <c r="K100" s="65"/>
      <c r="L100" s="44"/>
      <c r="M100" s="57">
        <f>IF(AND(I100&gt;0,K100&gt;0),MIN(45-M80-M81-M85-M89-M116-M117-M121,K100),0)</f>
        <v>0</v>
      </c>
      <c r="N100" s="44"/>
      <c r="O100" s="58">
        <f>I100*M100</f>
        <v>0</v>
      </c>
      <c r="P100" s="157"/>
      <c r="Q100" s="76" t="str">
        <f>IF(A99="Niet van toepassing","",
IF(AND(Hulpblad!B149=2,Hulpblad!C151=FALSE),"Vul in wanneer de isolerende panelen zijn aangebracht",
IF(AND(Hulpblad!B149=2,Hulpblad!D151="Op of ná 1 januari 2024 én ≤ 24 maanden geleden",K100=0),"Vul in de blauwe cel het aantal m² te isoleren oppervlak in","")))</f>
        <v/>
      </c>
      <c r="R100" s="161"/>
      <c r="S100" s="162"/>
      <c r="U100" s="163"/>
      <c r="V100" s="164"/>
    </row>
    <row r="101" spans="1:22">
      <c r="A101" s="62"/>
      <c r="D101" s="16"/>
      <c r="E101" s="16"/>
      <c r="G101" s="200"/>
      <c r="I101" s="60"/>
      <c r="J101" s="63"/>
      <c r="K101" s="140"/>
      <c r="L101" s="44"/>
      <c r="M101" s="44"/>
      <c r="N101" s="44"/>
      <c r="O101" s="61"/>
      <c r="P101" s="157"/>
      <c r="Q101" s="76"/>
      <c r="R101" s="161"/>
      <c r="S101" s="162"/>
      <c r="U101" s="163"/>
      <c r="V101" s="164"/>
    </row>
    <row r="102" spans="1:22" ht="15" customHeight="1">
      <c r="D102" s="16"/>
      <c r="E102" s="16"/>
      <c r="F102" s="16"/>
      <c r="G102" s="200"/>
      <c r="H102" s="16"/>
      <c r="I102" s="63"/>
      <c r="J102" s="63"/>
      <c r="K102" s="44"/>
      <c r="L102" s="44"/>
      <c r="M102" s="44"/>
      <c r="N102" s="44"/>
      <c r="O102" s="44"/>
      <c r="P102" s="157"/>
      <c r="Q102" s="44"/>
      <c r="R102" s="161"/>
      <c r="S102" s="162"/>
      <c r="U102" s="165"/>
      <c r="V102" s="164"/>
    </row>
    <row r="103" spans="1:22" ht="15" customHeight="1">
      <c r="A103" s="202" t="str">
        <f>Hulpblad!B230</f>
        <v>Niet van toepassing</v>
      </c>
      <c r="D103" s="16"/>
      <c r="E103" s="16"/>
      <c r="F103" s="16"/>
      <c r="G103" s="200"/>
      <c r="H103" s="16"/>
      <c r="P103" s="157"/>
      <c r="R103" s="161"/>
      <c r="U103" s="163"/>
      <c r="V103" s="164"/>
    </row>
    <row r="104" spans="1:22" ht="15" customHeight="1">
      <c r="A104" s="202"/>
      <c r="D104" s="16"/>
      <c r="E104" s="16"/>
      <c r="F104" s="16"/>
      <c r="G104" s="200"/>
      <c r="H104" s="16"/>
      <c r="I104" s="55">
        <f>IF(A103="Niet van toepassing",0,VLOOKUP(Hulpblad!C164,Hulpblad!C408:I484,7,FALSE))</f>
        <v>0</v>
      </c>
      <c r="J104" s="63"/>
      <c r="K104" s="65"/>
      <c r="L104" s="44"/>
      <c r="M104" s="57">
        <f>IF(AND(I104&gt;0,K104&gt;0),MIN(45-M80-M81-M84-M85-M88-M89-M92-M93-M96-M100-M116-M117-M120-M121-M124-M125,K104),0)</f>
        <v>0</v>
      </c>
      <c r="N104" s="44"/>
      <c r="O104" s="58">
        <f>I104*M104</f>
        <v>0</v>
      </c>
      <c r="P104" s="157"/>
      <c r="Q104" s="139" t="str">
        <f>IF(A103="Niet van toepassing","",
IF(AND(Hulpblad!B159=2,Hulpblad!C161=FALSE),"Vul in wanneer de isolerende panelen zijn aangebracht",
IF(AND(Hulpblad!B159=2,Hulpblad!D161="Op of ná 1 januari 2024 én ≤ 24 maanden geleden",K104=0),"Vul in de blauwe cel het aantal m² te isoleren oppervlak in","")))</f>
        <v/>
      </c>
      <c r="R104" s="161"/>
      <c r="U104" s="163"/>
      <c r="V104" s="164"/>
    </row>
    <row r="105" spans="1:22">
      <c r="D105" s="16"/>
      <c r="E105" s="16"/>
      <c r="F105" s="16"/>
      <c r="G105" s="200"/>
      <c r="H105" s="16"/>
      <c r="I105" s="60"/>
      <c r="J105" s="63"/>
      <c r="K105" s="140"/>
      <c r="L105" s="44"/>
      <c r="M105" s="44"/>
      <c r="N105" s="44"/>
      <c r="O105" s="61"/>
      <c r="P105" s="157"/>
      <c r="Q105" s="76"/>
      <c r="R105" s="161"/>
      <c r="S105" s="162"/>
      <c r="U105" s="165"/>
      <c r="V105" s="164"/>
    </row>
    <row r="106" spans="1:22" ht="15" customHeight="1">
      <c r="F106" s="16"/>
      <c r="G106" s="200"/>
      <c r="H106" s="16"/>
      <c r="P106" s="157"/>
      <c r="R106" s="161"/>
      <c r="S106" s="162"/>
      <c r="U106" s="165"/>
      <c r="V106" s="166"/>
    </row>
    <row r="107" spans="1:22" ht="15" customHeight="1">
      <c r="A107" s="202" t="str">
        <f>Hulpblad!B231</f>
        <v>Niet van toepassing</v>
      </c>
      <c r="D107" s="16"/>
      <c r="E107" s="16"/>
      <c r="F107" s="16"/>
      <c r="G107" s="200"/>
      <c r="H107" s="16"/>
      <c r="P107" s="157"/>
      <c r="R107" s="161"/>
      <c r="S107" s="162"/>
      <c r="U107" s="165"/>
    </row>
    <row r="108" spans="1:22" ht="15" customHeight="1">
      <c r="A108" s="202"/>
      <c r="D108" s="16"/>
      <c r="E108" s="16"/>
      <c r="F108" s="16"/>
      <c r="G108" s="200"/>
      <c r="H108" s="16"/>
      <c r="I108" s="55">
        <f>IF(A107="Niet van toepassing",0,VLOOKUP(Hulpblad!C174,Hulpblad!C408:I484,7,FALSE))</f>
        <v>0</v>
      </c>
      <c r="J108" s="63"/>
      <c r="K108" s="65"/>
      <c r="L108" s="44"/>
      <c r="M108" s="57">
        <f>IF(AND(I108&gt;0,K108&gt;0),MIN(45-M80-M81-M84-M85-M88-M89-M92-M93-M96-M100-M104-M116-M117-M120-M121-M124-M125,K108),0)</f>
        <v>0</v>
      </c>
      <c r="N108" s="44"/>
      <c r="O108" s="58">
        <f>I108*M108</f>
        <v>0</v>
      </c>
      <c r="P108" s="157"/>
      <c r="Q108" s="76" t="str">
        <f>IF(A107="Niet van toepassing","",
IF(AND(Hulpblad!B169=2,Hulpblad!C171=FALSE),"Vul in wanneer de isolerende panelen zijn aangebracht",
IF(AND(Hulpblad!B169=2,Hulpblad!D171="Op of ná 1 januari 2024",K108=0),"Vul in de blauwe cel het aantal m² te isoleren oppervlak in","")))</f>
        <v/>
      </c>
      <c r="R108" s="161"/>
      <c r="U108" s="165"/>
      <c r="V108" s="162"/>
    </row>
    <row r="109" spans="1:22">
      <c r="D109" s="16"/>
      <c r="E109" s="16"/>
      <c r="F109" s="16"/>
      <c r="G109" s="200"/>
      <c r="H109" s="16"/>
      <c r="I109" s="60"/>
      <c r="J109" s="63"/>
      <c r="K109" s="140"/>
      <c r="L109" s="44"/>
      <c r="M109" s="44"/>
      <c r="N109" s="44"/>
      <c r="O109" s="61"/>
      <c r="P109" s="157"/>
      <c r="Q109" s="139"/>
      <c r="R109" s="161"/>
      <c r="U109" s="165"/>
      <c r="V109" s="166"/>
    </row>
    <row r="110" spans="1:22" ht="15" customHeight="1">
      <c r="F110" s="16"/>
      <c r="G110" s="200"/>
      <c r="H110" s="16"/>
      <c r="P110" s="157"/>
      <c r="R110" s="161"/>
      <c r="S110" s="162"/>
      <c r="U110" s="165"/>
      <c r="V110" s="162"/>
    </row>
    <row r="111" spans="1:22" ht="15" customHeight="1">
      <c r="A111" s="202" t="str">
        <f>Hulpblad!B232</f>
        <v>Niet van toepassing</v>
      </c>
      <c r="D111" s="16"/>
      <c r="E111" s="16"/>
      <c r="F111" s="16"/>
      <c r="G111" s="200"/>
      <c r="H111" s="16"/>
      <c r="P111" s="157"/>
      <c r="R111" s="161"/>
      <c r="S111" s="162"/>
      <c r="U111" s="165"/>
      <c r="V111" s="162"/>
    </row>
    <row r="112" spans="1:22" ht="15" customHeight="1">
      <c r="A112" s="202"/>
      <c r="D112" s="16"/>
      <c r="E112" s="16"/>
      <c r="F112" s="16"/>
      <c r="G112" s="200"/>
      <c r="H112" s="16"/>
      <c r="I112" s="55">
        <f>IF(A111="Niet van toepassing",0,VLOOKUP(Hulpblad!C184,Hulpblad!C408:I484,7,FALSE))</f>
        <v>0</v>
      </c>
      <c r="J112" s="63"/>
      <c r="K112" s="65"/>
      <c r="L112" s="44"/>
      <c r="M112" s="57">
        <f>IF(AND(I112&gt;0,K112&gt;0),MIN(45-M80-M81-M84-M85-M88-M89-M92-M93-M96-M100-M104-M108-M116-M117-M120-M121-M124-M125,K112),0)</f>
        <v>0</v>
      </c>
      <c r="N112" s="44"/>
      <c r="O112" s="58">
        <f>I112*M112</f>
        <v>0</v>
      </c>
      <c r="P112" s="157"/>
      <c r="Q112" s="76" t="str">
        <f>IF(A111="Niet van toepassing","",
IF(AND(Hulpblad!B179=2,Hulpblad!C181=FALSE),"Vul in wanneer de isolerende panelen zijn aangebracht",
IF(AND(Hulpblad!B179=2,Hulpblad!D181="Op of ná 1 januari 2024",K112=0),"Vul in de blauwe cel het aantal m² te isoleren oppervlak in","")))</f>
        <v/>
      </c>
    </row>
    <row r="113" spans="1:17" ht="15" customHeight="1">
      <c r="D113" s="16"/>
      <c r="E113" s="16"/>
      <c r="F113" s="16"/>
      <c r="G113" s="200"/>
      <c r="H113" s="16"/>
      <c r="I113" s="60"/>
      <c r="J113" s="63"/>
      <c r="K113" s="140"/>
      <c r="L113" s="44"/>
      <c r="M113" s="44"/>
      <c r="N113" s="44"/>
      <c r="O113" s="61"/>
      <c r="P113" s="157"/>
      <c r="Q113" s="139"/>
    </row>
    <row r="114" spans="1:17" ht="15" customHeight="1">
      <c r="D114" s="16"/>
      <c r="E114" s="16"/>
      <c r="F114" s="16"/>
      <c r="G114" s="200"/>
      <c r="H114" s="16"/>
      <c r="P114" s="157"/>
    </row>
    <row r="115" spans="1:17" ht="15" customHeight="1">
      <c r="A115" s="202" t="str">
        <f>Hulpblad!B233</f>
        <v>Niet van toepassing</v>
      </c>
      <c r="D115" s="16"/>
      <c r="E115" s="16"/>
      <c r="F115" s="16"/>
      <c r="G115" s="200"/>
      <c r="H115" s="16"/>
      <c r="P115" s="157"/>
    </row>
    <row r="116" spans="1:17" ht="15" customHeight="1">
      <c r="A116" s="202"/>
      <c r="D116" s="16"/>
      <c r="E116" s="16"/>
      <c r="F116" s="16"/>
      <c r="G116" s="200"/>
      <c r="H116" s="16"/>
      <c r="I116" s="55">
        <f>IF(A115="Niet van toepassing",0,VLOOKUP(Hulpblad!C195,Hulpblad!C408:I484,7,FALSE))</f>
        <v>0</v>
      </c>
      <c r="J116" s="63"/>
      <c r="K116" s="65"/>
      <c r="L116" s="44"/>
      <c r="M116" s="57">
        <f>IF(AND(I116&gt;0,K116&gt;0),MIN(45-M80-M81-M117,K116),0)</f>
        <v>0</v>
      </c>
      <c r="N116" s="44"/>
      <c r="O116" s="58">
        <f>I116*M116</f>
        <v>0</v>
      </c>
      <c r="P116" s="157"/>
      <c r="Q116" s="76" t="str">
        <f>IF(A115="Niet van toepassing","",
IF(AND(Hulpblad!B189=2,Hulpblad!C191=FALSE,Hulpblad!C192=FALSE),"Vul in wanneer de isolerende panelen zijn aangebracht",
IF(AND(Hulpblad!B189=2,Hulpblad!D191="2024 én ≤ 24 maanden geleden",K116=0),"Vul in de blauwe cel het aantal m² te isoleren oppervlak in","")))</f>
        <v/>
      </c>
    </row>
    <row r="117" spans="1:17" ht="15" customHeight="1">
      <c r="A117" s="62"/>
      <c r="D117" s="16"/>
      <c r="E117" s="16"/>
      <c r="F117" s="16"/>
      <c r="G117" s="200"/>
      <c r="H117" s="16"/>
      <c r="I117" s="55">
        <f>IF(A115="Niet van toepassing",0,VLOOKUP(Hulpblad!C196,Hulpblad!C408:I484,7,FALSE))</f>
        <v>0</v>
      </c>
      <c r="J117" s="63"/>
      <c r="K117" s="65"/>
      <c r="L117" s="44"/>
      <c r="M117" s="57">
        <f>IF(AND(I117&gt;0,K117&gt;0),MIN(45-M81,K117),0)</f>
        <v>0</v>
      </c>
      <c r="N117" s="44"/>
      <c r="O117" s="58">
        <f>I117*M117</f>
        <v>0</v>
      </c>
      <c r="P117" s="157"/>
      <c r="Q117" s="76" t="str">
        <f>IF(A115="Niet van toepassing","",
IF(AND(Hulpblad!B189=2,Hulpblad!C191=FALSE,Hulpblad!C192=FALSE),"Vul in wanneer de isolerende panelen zijn aangebracht",
IF(AND(Hulpblad!B189=2,Hulpblad!D192="2025-2026",K117=0),"Vul in de blauwe cel het aantal m² te isoleren oppervlak in","")))</f>
        <v/>
      </c>
    </row>
    <row r="118" spans="1:17" ht="15" customHeight="1">
      <c r="E118" s="16"/>
      <c r="F118" s="16"/>
      <c r="G118" s="200"/>
      <c r="H118" s="16"/>
      <c r="I118" s="63"/>
      <c r="J118" s="63"/>
      <c r="K118" s="44"/>
      <c r="L118" s="44"/>
      <c r="M118" s="44"/>
      <c r="N118" s="44"/>
      <c r="O118" s="44"/>
      <c r="P118" s="157"/>
      <c r="Q118" s="44"/>
    </row>
    <row r="119" spans="1:17" ht="15" customHeight="1">
      <c r="A119" s="202" t="str">
        <f>Hulpblad!B234</f>
        <v>Niet van toepassing</v>
      </c>
      <c r="D119" s="16"/>
      <c r="E119" s="16"/>
      <c r="F119" s="16"/>
      <c r="G119" s="200"/>
      <c r="H119" s="16"/>
      <c r="P119" s="157"/>
    </row>
    <row r="120" spans="1:17" ht="15" customHeight="1">
      <c r="A120" s="202"/>
      <c r="D120" s="16"/>
      <c r="E120" s="16"/>
      <c r="F120" s="16"/>
      <c r="G120" s="200"/>
      <c r="H120" s="16"/>
      <c r="I120" s="55">
        <f>IF(A119="Niet van toepassing",0,VLOOKUP(Hulpblad!C207,Hulpblad!C408:I484,7,FALSE))</f>
        <v>0</v>
      </c>
      <c r="J120" s="63"/>
      <c r="K120" s="65"/>
      <c r="L120" s="44"/>
      <c r="M120" s="57">
        <f>IF(AND(I120&gt;0,K120&gt;0),MIN(45-M80-M81-M84-M85-M88-M89-M100-M116-M117-M121,K120),0)</f>
        <v>0</v>
      </c>
      <c r="N120" s="44"/>
      <c r="O120" s="58">
        <f>I120*M120</f>
        <v>0</v>
      </c>
      <c r="P120" s="157"/>
      <c r="Q120" s="139" t="str">
        <f>IF(A119="Niet van toepassing","",
IF(AND(Hulpblad!B201=2,Hulpblad!C203=FALSE,Hulpblad!C204=FALSE),"Vul in wanneer de isolerende deuren zijn aangebracht",
IF(AND(Hulpblad!B201=2,Hulpblad!D203="2024 én ≤ 24 maanden geleden",K120=0),"Vul in de blauwe cel het aantal m² te isoleren oppervlak in","")))</f>
        <v/>
      </c>
    </row>
    <row r="121" spans="1:17">
      <c r="D121" s="16"/>
      <c r="E121" s="16"/>
      <c r="F121" s="16"/>
      <c r="G121" s="200"/>
      <c r="H121" s="16"/>
      <c r="I121" s="55">
        <f>IF(A119="Niet van toepassing",0,VLOOKUP(Hulpblad!C208,Hulpblad!C408:I484,7,FALSE))</f>
        <v>0</v>
      </c>
      <c r="J121" s="63"/>
      <c r="K121" s="65"/>
      <c r="L121" s="44"/>
      <c r="M121" s="57">
        <f>IF(AND(I121&gt;0,K121&gt;0),MIN(45-M80-M81-M85-M89-M116-M117,K121),0)</f>
        <v>0</v>
      </c>
      <c r="N121" s="44"/>
      <c r="O121" s="58">
        <f>I121*M121</f>
        <v>0</v>
      </c>
      <c r="P121" s="157"/>
      <c r="Q121" s="76" t="str">
        <f>IF(A119="Niet van toepassing","",
IF(AND(Hulpblad!B201=2,Hulpblad!C203=FALSE,Hulpblad!C204=FALSE),"Vul in wanneer de isolerende deuren zijn aangebracht",
IF(AND(Hulpblad!B201=2,Hulpblad!D204="2024 én ≤ 24 maanden geleden",K121=0),"Vul in de blauwe cel het aantal m² te isoleren oppervlak in","")))</f>
        <v/>
      </c>
    </row>
    <row r="122" spans="1:17" ht="15" customHeight="1">
      <c r="D122" s="16"/>
      <c r="E122" s="16"/>
      <c r="F122" s="16"/>
      <c r="G122" s="200"/>
      <c r="H122" s="16"/>
      <c r="I122" s="60"/>
      <c r="J122" s="63"/>
      <c r="K122" s="140"/>
      <c r="L122" s="44"/>
      <c r="M122" s="44"/>
      <c r="N122" s="44"/>
      <c r="O122" s="61"/>
      <c r="P122" s="157"/>
      <c r="Q122" s="76"/>
    </row>
    <row r="123" spans="1:17" ht="15" customHeight="1">
      <c r="A123" s="202" t="str">
        <f>Hulpblad!B235</f>
        <v>Niet van toepassing</v>
      </c>
      <c r="D123" s="16"/>
      <c r="E123" s="16"/>
      <c r="F123" s="16"/>
      <c r="G123" s="200"/>
      <c r="H123" s="16"/>
      <c r="P123" s="157"/>
    </row>
    <row r="124" spans="1:17" ht="15" customHeight="1">
      <c r="A124" s="202"/>
      <c r="D124" s="16"/>
      <c r="E124" s="16"/>
      <c r="F124" s="16"/>
      <c r="G124" s="200"/>
      <c r="H124" s="16"/>
      <c r="I124" s="55">
        <f>IF(A123="Niet van toepassing",0,VLOOKUP(Hulpblad!C219,Hulpblad!C408:I484,7,FALSE))</f>
        <v>0</v>
      </c>
      <c r="J124" s="44"/>
      <c r="K124" s="65"/>
      <c r="L124" s="44"/>
      <c r="M124" s="57">
        <f>IF(AND(I124&gt;0,K124&gt;0),MIN(45-M80-M81-M84-M85-M88-M89-M92-M93-M96-M100-M116-M117-M120-M121-M125,K124),0)</f>
        <v>0</v>
      </c>
      <c r="N124" s="44"/>
      <c r="O124" s="58">
        <f>I124*M124</f>
        <v>0</v>
      </c>
      <c r="P124" s="157"/>
      <c r="Q124" s="139" t="str">
        <f>IF(A123="Niet van toepassing","",
IF(AND(Hulpblad!B213=2,Hulpblad!C215=FALSE,Hulpblad!C216=FALSE),"Vul in wanneer de isolerende deuren zijn aangebracht",
IF(AND(Hulpblad!B213=2,Hulpblad!D215="2024 én ≤ 24 maanden geleden",K124=0),"Vul in de blauwe cel het aantal m² te isoleren oppervlak in","")))</f>
        <v/>
      </c>
    </row>
    <row r="125" spans="1:17" ht="15" customHeight="1">
      <c r="D125" s="16"/>
      <c r="E125" s="16"/>
      <c r="F125" s="16"/>
      <c r="G125" s="201"/>
      <c r="H125" s="16"/>
      <c r="I125" s="55">
        <f>IF(A123="Niet van toepassing",0,VLOOKUP(Hulpblad!C220,Hulpblad!C408:I484,7,FALSE))</f>
        <v>0</v>
      </c>
      <c r="J125" s="44"/>
      <c r="K125" s="65"/>
      <c r="L125" s="44"/>
      <c r="M125" s="57">
        <f>IF(AND(I125&gt;0,K125&gt;0),MIN(45-M80-M81-M84-M85-M88-M89-M93-M100-M116-M117-M120-M121,K125),0)</f>
        <v>0</v>
      </c>
      <c r="N125" s="44"/>
      <c r="O125" s="58">
        <f>I125*M125</f>
        <v>0</v>
      </c>
      <c r="P125" s="157"/>
      <c r="Q125" s="77" t="str">
        <f>IF(A123="Niet van toepassing","",
IF(AND(Hulpblad!B213=2,Hulpblad!C215=FALSE,Hulpblad!C216=FALSE),"Vul in wanneer de isolerende deuren zijn aangebracht",
IF(AND(Hulpblad!B213=2,Hulpblad!D216="2025-2026",K125=0),"Vul in de blauwe cel het aantal m² te isoleren oppervlak in","")))</f>
        <v/>
      </c>
    </row>
    <row r="126" spans="1:17">
      <c r="E126" s="16"/>
      <c r="G126" s="105"/>
      <c r="I126" s="44"/>
      <c r="J126" s="44"/>
      <c r="K126" s="44"/>
      <c r="L126" s="44"/>
      <c r="M126" s="44"/>
      <c r="N126" s="44"/>
      <c r="O126" s="44"/>
      <c r="Q126" s="44"/>
    </row>
    <row r="127" spans="1:17" ht="15.75">
      <c r="H127" s="17"/>
      <c r="I127" s="66" t="s">
        <v>121</v>
      </c>
      <c r="J127" s="67"/>
      <c r="K127" s="57">
        <f>SUM(K80:K125)</f>
        <v>0</v>
      </c>
      <c r="L127" s="44"/>
      <c r="M127" s="57">
        <f>IF(K127&gt;=3,SUM(M80:M125),0)</f>
        <v>0</v>
      </c>
      <c r="N127" s="44"/>
      <c r="O127" s="44"/>
      <c r="Q127" s="196" t="str">
        <f>IF(AND(M127&lt;45,M127&gt;=3),"",IF(AND(K127&gt;45,M127=45),"Er komt maximaal 45 m²  oppervlak aan glas, panelen en deuren in aanmerking voor subsidie! Het aantal m²  is per maatregel afgetopt van hoog naar laag bedrag per m²!",
IF(AND(M127=0,Hulpblad!B87=2),"Er is te weinig subsidiabel oppervlak aan glas, panelen en deuren om in aanmerking te komen voor subsidie!","")))</f>
        <v/>
      </c>
    </row>
    <row r="128" spans="1:17" ht="15" customHeight="1">
      <c r="I128" s="44"/>
      <c r="J128" s="44"/>
      <c r="K128" s="44"/>
      <c r="L128" s="44"/>
      <c r="M128" s="44"/>
      <c r="N128" s="44"/>
      <c r="O128" s="44"/>
      <c r="Q128" s="202"/>
    </row>
    <row r="129" spans="1:17">
      <c r="H129" s="17"/>
      <c r="I129" s="68"/>
      <c r="J129" s="67"/>
      <c r="K129" s="69" t="s">
        <v>145</v>
      </c>
      <c r="L129" s="44"/>
      <c r="M129" s="44"/>
      <c r="N129" s="44"/>
      <c r="O129" s="58">
        <f>IF(K127&gt;=3,SUM(O80:O125),0)</f>
        <v>0</v>
      </c>
      <c r="Q129" s="77"/>
    </row>
    <row r="130" spans="1:17">
      <c r="H130" s="17"/>
      <c r="I130" s="68"/>
      <c r="J130" s="67"/>
      <c r="K130" s="69"/>
      <c r="L130" s="44"/>
      <c r="M130" s="44"/>
      <c r="N130" s="44"/>
      <c r="O130" s="61"/>
      <c r="Q130" s="77"/>
    </row>
    <row r="131" spans="1:17">
      <c r="H131" s="17"/>
      <c r="I131" s="68"/>
      <c r="J131" s="67"/>
      <c r="K131" s="69"/>
      <c r="L131" s="44"/>
      <c r="M131" s="44"/>
      <c r="N131" s="44"/>
      <c r="O131" s="61"/>
      <c r="Q131" s="77"/>
    </row>
    <row r="132" spans="1:17" ht="23.25">
      <c r="A132" s="71" t="s">
        <v>428</v>
      </c>
      <c r="H132" s="17"/>
      <c r="I132" s="182"/>
      <c r="J132" s="183"/>
      <c r="K132" s="69"/>
      <c r="L132" s="173"/>
      <c r="M132" s="173"/>
      <c r="N132" s="173"/>
      <c r="O132" s="184"/>
      <c r="Q132" s="77"/>
    </row>
    <row r="133" spans="1:17">
      <c r="A133" s="76" t="s">
        <v>68</v>
      </c>
      <c r="H133" s="17"/>
      <c r="I133" s="182"/>
      <c r="J133" s="183"/>
      <c r="K133" s="69"/>
      <c r="L133" s="173"/>
      <c r="M133" s="173"/>
      <c r="N133" s="173"/>
      <c r="O133" s="184"/>
      <c r="Q133" s="77"/>
    </row>
    <row r="134" spans="1:17">
      <c r="A134" s="76" t="s">
        <v>429</v>
      </c>
      <c r="H134" s="17"/>
      <c r="I134" s="182"/>
      <c r="J134" s="183"/>
      <c r="K134" s="69"/>
      <c r="L134" s="173"/>
      <c r="M134" s="173"/>
      <c r="N134" s="173"/>
      <c r="O134" s="184"/>
      <c r="Q134" s="77"/>
    </row>
    <row r="135" spans="1:17">
      <c r="A135" s="76"/>
      <c r="H135" s="17"/>
      <c r="I135" s="182"/>
      <c r="J135" s="183"/>
      <c r="K135" s="69"/>
      <c r="L135" s="173"/>
      <c r="M135" s="173"/>
      <c r="N135" s="173"/>
      <c r="O135" s="184"/>
      <c r="Q135" s="77"/>
    </row>
    <row r="136" spans="1:17" ht="15" customHeight="1">
      <c r="A136" s="206" t="s">
        <v>430</v>
      </c>
      <c r="D136" s="16"/>
      <c r="E136" s="16"/>
      <c r="F136" s="16"/>
      <c r="H136" s="16"/>
      <c r="I136" s="185"/>
      <c r="J136" s="173"/>
      <c r="K136" s="206" t="s">
        <v>431</v>
      </c>
      <c r="L136" s="198"/>
      <c r="M136" s="198"/>
      <c r="N136" s="173"/>
      <c r="O136" s="186">
        <f>IF(Hulpblad!B273=2,VLOOKUP(Hulpblad!C268,Hulpblad!C529:D533,2,FALSE),0)</f>
        <v>0</v>
      </c>
      <c r="P136" s="16"/>
      <c r="Q136" s="139" t="s">
        <v>586</v>
      </c>
    </row>
    <row r="137" spans="1:17" ht="15" customHeight="1">
      <c r="A137" s="206"/>
      <c r="D137" s="16"/>
      <c r="E137" s="16"/>
      <c r="F137" s="16"/>
      <c r="G137" s="218"/>
      <c r="H137" s="217"/>
      <c r="I137" s="217"/>
      <c r="J137" s="63"/>
      <c r="K137" s="198"/>
      <c r="L137" s="198"/>
      <c r="M137" s="198"/>
      <c r="N137" s="173"/>
      <c r="O137" s="173"/>
      <c r="P137" s="16"/>
      <c r="Q137" s="139"/>
    </row>
    <row r="138" spans="1:17" ht="15" customHeight="1">
      <c r="D138" s="16"/>
      <c r="E138" s="16"/>
      <c r="F138" s="16"/>
      <c r="G138" s="218"/>
      <c r="H138" s="217"/>
      <c r="I138" s="217"/>
      <c r="J138" s="173"/>
      <c r="K138" s="140"/>
      <c r="L138" s="173"/>
      <c r="M138" s="173"/>
      <c r="N138" s="173"/>
      <c r="O138" s="184"/>
      <c r="P138" s="16"/>
      <c r="Q138" s="77" t="s">
        <v>586</v>
      </c>
    </row>
    <row r="139" spans="1:17">
      <c r="H139" s="17"/>
      <c r="I139" s="182"/>
      <c r="J139" s="183"/>
      <c r="K139" s="69"/>
      <c r="L139" s="173"/>
      <c r="M139" s="173"/>
      <c r="N139" s="173"/>
      <c r="O139" s="184"/>
      <c r="Q139" s="77"/>
    </row>
    <row r="140" spans="1:17">
      <c r="H140" s="17"/>
      <c r="I140" s="182"/>
      <c r="J140" s="183"/>
      <c r="K140" s="69"/>
      <c r="L140" s="173"/>
      <c r="M140" s="173"/>
      <c r="N140" s="173"/>
      <c r="O140" s="184"/>
      <c r="Q140" s="77"/>
    </row>
    <row r="141" spans="1:17">
      <c r="H141" s="17"/>
      <c r="I141" s="182"/>
      <c r="J141" s="183"/>
      <c r="K141" s="69"/>
      <c r="L141" s="173"/>
      <c r="M141" s="173"/>
      <c r="N141" s="173"/>
      <c r="O141" s="184"/>
      <c r="Q141" s="77"/>
    </row>
    <row r="142" spans="1:17" ht="23.25">
      <c r="A142" s="71" t="s">
        <v>645</v>
      </c>
      <c r="B142" s="18"/>
      <c r="E142" s="194"/>
      <c r="I142" s="173"/>
      <c r="J142" s="173"/>
      <c r="K142" s="173"/>
      <c r="L142" s="173"/>
      <c r="M142" s="173"/>
      <c r="N142" s="173"/>
      <c r="O142" s="173"/>
      <c r="Q142" s="45"/>
    </row>
    <row r="143" spans="1:17">
      <c r="A143" s="209"/>
      <c r="B143" s="209"/>
      <c r="C143" s="209"/>
      <c r="E143" s="10"/>
      <c r="H143" s="19"/>
      <c r="I143" s="19"/>
      <c r="J143" s="19"/>
      <c r="L143" s="19"/>
      <c r="M143" s="19"/>
      <c r="N143" s="19"/>
    </row>
    <row r="144" spans="1:17" ht="15" customHeight="1">
      <c r="A144" s="196" t="str">
        <f>IF(Hulpblad!B9&gt;1,"Betrof dit een categorie warmtepomp?","U heeft bij punt 1. aangegeven niet eerder ISDE-subsidie te hebben ontvangen, u kunt deze vraag overslaan!")</f>
        <v>U heeft bij punt 1. aangegeven niet eerder ISDE-subsidie te hebben ontvangen, u kunt deze vraag overslaan!</v>
      </c>
      <c r="E144" s="76" t="str">
        <f>IF(AND(Hulpblad!B9&gt;1,Hulpblad!B281&gt;1),"Ga verder naar 4.2","Ga verder naar 4.1")</f>
        <v>Ga verder naar 4.1</v>
      </c>
      <c r="G144" s="70"/>
      <c r="H144" s="11"/>
      <c r="I144" s="11"/>
      <c r="J144" s="11"/>
      <c r="O144" s="33"/>
      <c r="Q144" s="210"/>
    </row>
    <row r="145" spans="1:17" ht="15" customHeight="1">
      <c r="A145" s="208"/>
      <c r="B145" s="11"/>
      <c r="E145" s="19"/>
      <c r="G145" s="173"/>
      <c r="Q145" s="197"/>
    </row>
    <row r="146" spans="1:17" ht="15" customHeight="1">
      <c r="A146" s="208"/>
      <c r="B146" s="18"/>
      <c r="E146" s="19"/>
      <c r="G146" s="63"/>
    </row>
    <row r="147" spans="1:17" ht="15" customHeight="1">
      <c r="A147" s="18"/>
      <c r="B147" s="18"/>
      <c r="E147" s="19"/>
      <c r="Q147" s="39"/>
    </row>
    <row r="148" spans="1:17" ht="15" customHeight="1">
      <c r="A148" s="18"/>
      <c r="B148" s="18"/>
      <c r="Q148" s="39"/>
    </row>
    <row r="149" spans="1:17" ht="15" customHeight="1">
      <c r="A149" s="18"/>
      <c r="B149" s="18"/>
      <c r="Q149" s="39"/>
    </row>
    <row r="150" spans="1:17" ht="15" customHeight="1"/>
    <row r="151" spans="1:17" ht="15" customHeight="1"/>
    <row r="152" spans="1:17" ht="23.25">
      <c r="A152" s="71" t="str">
        <f>IF(E144="Ga verder naar 4.1","4.1  Wilt u een warmtepomp(boiler) laten installeren?","Ga verder naar 4.2")</f>
        <v>4.1  Wilt u een warmtepomp(boiler) laten installeren?</v>
      </c>
      <c r="B152" s="18"/>
      <c r="E152" s="194"/>
      <c r="I152" s="173"/>
      <c r="J152" s="173"/>
      <c r="K152" s="173"/>
      <c r="L152" s="173"/>
      <c r="M152" s="173"/>
      <c r="N152" s="173"/>
      <c r="O152" s="173"/>
      <c r="Q152" s="45"/>
    </row>
    <row r="153" spans="1:17" ht="15" customHeight="1">
      <c r="A153" s="76" t="s">
        <v>68</v>
      </c>
      <c r="B153" s="18"/>
      <c r="Q153" s="45"/>
    </row>
    <row r="154" spans="1:17" ht="15" customHeight="1">
      <c r="A154" s="76" t="s">
        <v>588</v>
      </c>
      <c r="B154" s="18"/>
      <c r="Q154" s="44"/>
    </row>
    <row r="155" spans="1:17">
      <c r="Q155" s="78"/>
    </row>
    <row r="156" spans="1:17">
      <c r="A156" s="44" t="str">
        <f>IF(A152="Ga verder naar 4.2","","Kies soort warmtepomp:")</f>
        <v>Kies soort warmtepomp:</v>
      </c>
      <c r="G156" s="70" t="s">
        <v>122</v>
      </c>
      <c r="H156" s="11"/>
      <c r="I156" s="11"/>
      <c r="J156" s="11"/>
      <c r="O156" s="12">
        <f>IF(E144="Ga verder naar 4.2",0,IF(OR(Hulpblad!C296="Geen warmtepomp",Hulpblad!C311="Niet van toepassing"),0,
IF(AND(Hulpblad!C304="Niet van toepassing",OR(Hulpblad!B296=2,Hulpblad!B296=3,Hulpblad!B296=5,Hulpblad!B296=6,Hulpblad!B296=7,Hulpblad!B296=9,Hulpblad!B296=10,Hulpblad!B296=11)),0,
IF(Hulpblad!C312=0,0,
IF(E178="",VLOOKUP(Hulpblad!C315,Hulpblad!C535:F753,4,FALSE))+IF(E178="",IF(C178=0,0,VLOOKUP(Hulpblad!C315,Hulpblad!C535:G753,5,FALSE)*(C178-Hulpblad!C318)),0)))))</f>
        <v>0</v>
      </c>
      <c r="Q156" s="76" t="str">
        <f>IF(AND(Hulpblad!B296&gt;1,E144="Ga verder naar 4.2"),"U heeft eerder ISDE-subsidie voor een warmtepomp ontvangen, ga verder naar 4.2 voor een extra warmtepomp",
IF(OR(Hulpblad!C296="Geen Warmtepomp",Hulpblad!C304="Niet van toepassing",Hulpblad!C311="Niet van toepassing",Hulpblad!C312=0),"",IF(O156=0,VLOOKUP(Hulpblad!C315,Hulpblad!C536:'Hulpblad'!I769,7,FALSE),"")))</f>
        <v/>
      </c>
    </row>
    <row r="157" spans="1:17">
      <c r="Q157" s="45"/>
    </row>
    <row r="158" spans="1:17">
      <c r="O158" s="33"/>
      <c r="Q158" s="63"/>
    </row>
    <row r="159" spans="1:17">
      <c r="Q159" s="44"/>
    </row>
    <row r="160" spans="1:17">
      <c r="H160" s="37"/>
      <c r="I160" s="37"/>
      <c r="J160" s="37"/>
      <c r="K160" s="37"/>
      <c r="L160" s="37"/>
      <c r="M160" s="37"/>
      <c r="N160" s="37"/>
      <c r="O160" s="37"/>
      <c r="Q160" s="44"/>
    </row>
    <row r="161" spans="1:17">
      <c r="G161" s="37"/>
      <c r="H161" s="37"/>
      <c r="I161" s="37"/>
      <c r="J161" s="37"/>
      <c r="K161" s="37"/>
      <c r="L161" s="37"/>
      <c r="M161" s="37"/>
      <c r="N161" s="37"/>
      <c r="O161" s="37"/>
      <c r="Q161" s="44"/>
    </row>
    <row r="162" spans="1:17" ht="15" customHeight="1">
      <c r="G162" s="37"/>
      <c r="H162" s="37"/>
      <c r="I162" s="37"/>
      <c r="J162" s="37"/>
      <c r="K162" s="37"/>
      <c r="L162" s="37"/>
      <c r="M162" s="37"/>
      <c r="N162" s="37"/>
      <c r="O162" s="37"/>
      <c r="Q162" s="44"/>
    </row>
    <row r="163" spans="1:17" ht="15" customHeight="1">
      <c r="E163" s="107" t="str">
        <f>IF(AND(Hulpblad!B296=3,C178&gt;0,C178&lt;13,Hulpblad!B311&gt;=3),"In welk jaar hebt u de warmtepomp aangeschaft?","")</f>
        <v/>
      </c>
      <c r="O163" s="33"/>
      <c r="Q163" s="44"/>
    </row>
    <row r="164" spans="1:17">
      <c r="E164" s="110"/>
      <c r="G164" s="76" t="str">
        <f>IF(AND(E163="In welk jaar hebt u de warmtepomp aangeschaft?",E164=""),"Vul in de blauwe cel het jaartal in","")</f>
        <v/>
      </c>
      <c r="L164" s="10"/>
      <c r="Q164" s="44"/>
    </row>
    <row r="165" spans="1:17">
      <c r="Q165" s="44"/>
    </row>
    <row r="166" spans="1:17">
      <c r="Q166" s="44"/>
    </row>
    <row r="167" spans="1:17">
      <c r="Q167" s="44"/>
    </row>
    <row r="168" spans="1:17">
      <c r="Q168" s="44"/>
    </row>
    <row r="170" spans="1:17">
      <c r="K170" s="108"/>
    </row>
    <row r="171" spans="1:17">
      <c r="A171" s="44" t="str">
        <f>IF(A152="Ga verder naar 4.2","","Kies energie-efficiency klasse:")</f>
        <v>Kies energie-efficiency klasse:</v>
      </c>
      <c r="K171" s="108"/>
    </row>
    <row r="173" spans="1:17">
      <c r="E173" s="109"/>
    </row>
    <row r="176" spans="1:17">
      <c r="E176" s="10" t="str">
        <f>IF(A152="Ga verder naar 4.2","",IF(AND(Hulpblad!B304=1,OR(Hulpblad!B296=1,Hulpblad!B296=4,Hulpblad!B296=8,Hulpblad!B296=12)),"",
IF(AND(Hulpblad!B296&gt;1,Hulpblad!B304=1),"U moet nog een energie-efficiencyklasse invullen!","")))</f>
        <v/>
      </c>
    </row>
    <row r="178" spans="1:17">
      <c r="A178" s="134" t="str">
        <f>IF(A152="Ga verder naar 4.2","",IF(VLOOKUP(Hulpblad!C296,Hulpblad!B284:C295,2,FALSE)&gt;0,"Kies vermogen (kW):",""))</f>
        <v/>
      </c>
      <c r="C178" s="35"/>
      <c r="E178" s="10" t="str">
        <f>IF(A178="","",IF(OR(C178=0,C178&lt;Hulpblad!C318,C178&gt;Hulpblad!C319),"U moet een geheel aantal kW vermogen tussen "&amp;Hulpblad!C318&amp;" kW - "&amp;Hulpblad!C319&amp;" kW  invullen!",""))</f>
        <v/>
      </c>
      <c r="H178" s="19"/>
      <c r="I178" s="19"/>
      <c r="J178" s="19"/>
      <c r="L178" s="19"/>
      <c r="M178" s="19"/>
      <c r="N178" s="19"/>
    </row>
    <row r="179" spans="1:17">
      <c r="A179" s="131"/>
      <c r="C179" s="133"/>
      <c r="E179" s="10"/>
      <c r="H179" s="19"/>
      <c r="I179" s="19"/>
      <c r="J179" s="19"/>
      <c r="L179" s="19"/>
      <c r="M179" s="19"/>
      <c r="N179" s="19"/>
    </row>
    <row r="180" spans="1:17">
      <c r="A180" s="131"/>
      <c r="C180" s="133"/>
      <c r="E180" s="10"/>
      <c r="H180" s="19"/>
      <c r="I180" s="19"/>
      <c r="J180" s="19"/>
      <c r="L180" s="19"/>
      <c r="M180" s="19"/>
      <c r="N180" s="19"/>
    </row>
    <row r="181" spans="1:17">
      <c r="A181" s="131"/>
      <c r="C181" s="133"/>
      <c r="E181" s="10"/>
      <c r="H181" s="19"/>
      <c r="I181" s="19"/>
      <c r="J181" s="19"/>
      <c r="L181" s="19"/>
      <c r="M181" s="19"/>
      <c r="N181" s="19"/>
    </row>
    <row r="182" spans="1:17" ht="23.25">
      <c r="A182" s="71" t="s">
        <v>446</v>
      </c>
      <c r="B182" s="18"/>
      <c r="I182" s="44"/>
      <c r="J182" s="44"/>
      <c r="K182" s="44"/>
      <c r="L182" s="44"/>
      <c r="M182" s="44"/>
      <c r="N182" s="44"/>
      <c r="O182" s="44"/>
      <c r="Q182" s="45"/>
    </row>
    <row r="183" spans="1:17" ht="15" customHeight="1">
      <c r="A183" s="76" t="s">
        <v>68</v>
      </c>
      <c r="B183" s="18"/>
      <c r="Q183" s="45"/>
    </row>
    <row r="184" spans="1:17" ht="15" customHeight="1">
      <c r="A184" s="76" t="s">
        <v>447</v>
      </c>
      <c r="B184" s="18"/>
      <c r="Q184" s="44"/>
    </row>
    <row r="185" spans="1:17">
      <c r="A185" s="76" t="s">
        <v>448</v>
      </c>
      <c r="Q185" s="78"/>
    </row>
    <row r="186" spans="1:17">
      <c r="A186" s="76"/>
      <c r="Q186" s="78"/>
    </row>
    <row r="187" spans="1:17">
      <c r="A187" s="44" t="s">
        <v>30</v>
      </c>
      <c r="G187" s="70" t="s">
        <v>122</v>
      </c>
      <c r="H187" s="11"/>
      <c r="I187" s="11"/>
      <c r="J187" s="11"/>
      <c r="O187" s="12">
        <f>IF(OR(Hulpblad!C338="Geen warmtepomp",Hulpblad!C353="Niet van toepassing"),0,
IF(AND(Hulpblad!C346="Niet van toepassing",OR(Hulpblad!B338=2,Hulpblad!B338=3,Hulpblad!B338=5,Hulpblad!B338=6,Hulpblad!B338=7,Hulpblad!B338=9,Hulpblad!B338=10,Hulpblad!B338=11)),0,
IF(Hulpblad!C354=0,0,
IF(OR(
AND(E209="",Hulpblad!C353=2026,Hulpblad!B9&gt;1,Hulpblad!B281=3,Hulpblad!B338=3,Hulpblad!B346=2),
AND(E209="",Hulpblad!C353=2026,Hulpblad!B9&gt;1,Hulpblad!B281=4,Hulpblad!B338=3,Hulpblad!B346=2),
AND(E209="",Hulpblad!C353=2026,Hulpblad!B296=3,Hulpblad!B304=3,O156&gt;0,Hulpblad!B338=3,Hulpblad!B346=2),
AND(E209="",Hulpblad!C353=2026,Hulpblad!B296=4,Hulpblad!B304=3,O156&gt;0,Hulpblad!B338=3,Hulpblad!B346=2)),
IF(C209=0,0,VLOOKUP(Hulpblad!C357,Hulpblad!C535:G753,5,FALSE)*C209)+VLOOKUP(Hulpblad!C357,Hulpblad!C535:G753,3,FALSE),
IF(OR(
AND(E209="",Hulpblad!C353=2026,Hulpblad!B9&gt;1,Hulpblad!B281=2,Hulpblad!B338=3),
AND(E209="",Hulpblad!C353=2026,Hulpblad!B9&gt;1,Hulpblad!B281=2,Hulpblad!B338=4),
AND(E209="",Hulpblad!C353=2026,Hulpblad!B296=3,Hulpblad!B338=3,O156&gt;0),
AND(E209="",Hulpblad!C353=2026,Hulpblad!B296=4,Hulpblad!B338=4,O156&gt;0),
AND(E209="",Hulpblad!C353=2026,Hulpblad!B296=3,Hulpblad!B338=4,O156&gt;0),
AND(E209="",Hulpblad!C353=2026,Hulpblad!B296=4,Hulpblad!B338=3,O156&gt;0)),
IF(C209=0,0,VLOOKUP(Hulpblad!C357,Hulpblad!C535:G753,5,FALSE)*C209),
IF(E209="",VLOOKUP(Hulpblad!C357,Hulpblad!C535:F753,4,FALSE))+IF(E209="",IF(C209=0,0,VLOOKUP(Hulpblad!C357,Hulpblad!C535:G753,5,FALSE)*(C209-Hulpblad!C360)),0))))))</f>
        <v>0</v>
      </c>
      <c r="Q187" s="76" t="str">
        <f>IF(OR(Hulpblad!C338="Geen Warmtepomp",Hulpblad!C346="Niet van toepassing",Hulpblad!C353="Niet van toepassing",Hulpblad!C354=0),"",IF(O187=0,VLOOKUP(Hulpblad!C357,Hulpblad!C535:'Hulpblad'!I753,7,FALSE),""))</f>
        <v/>
      </c>
    </row>
    <row r="188" spans="1:17">
      <c r="Q188" s="45"/>
    </row>
    <row r="189" spans="1:17">
      <c r="O189" s="33"/>
      <c r="Q189" s="63"/>
    </row>
    <row r="190" spans="1:17">
      <c r="Q190" s="44"/>
    </row>
    <row r="191" spans="1:17">
      <c r="H191" s="37"/>
      <c r="I191" s="37"/>
      <c r="J191" s="37"/>
      <c r="K191" s="37"/>
      <c r="L191" s="37"/>
      <c r="M191" s="37"/>
      <c r="N191" s="37"/>
      <c r="O191" s="37"/>
      <c r="Q191" s="44"/>
    </row>
    <row r="192" spans="1:17">
      <c r="G192" s="37"/>
      <c r="H192" s="37"/>
      <c r="I192" s="37"/>
      <c r="J192" s="37"/>
      <c r="K192" s="37"/>
      <c r="L192" s="37"/>
      <c r="M192" s="37"/>
      <c r="N192" s="37"/>
      <c r="O192" s="37"/>
      <c r="Q192" s="44"/>
    </row>
    <row r="193" spans="1:17" ht="15" customHeight="1">
      <c r="G193" s="37"/>
      <c r="H193" s="37"/>
      <c r="I193" s="37"/>
      <c r="J193" s="37"/>
      <c r="K193" s="37"/>
      <c r="L193" s="37"/>
      <c r="M193" s="37"/>
      <c r="N193" s="37"/>
      <c r="O193" s="37"/>
      <c r="Q193" s="44"/>
    </row>
    <row r="194" spans="1:17" ht="15" customHeight="1">
      <c r="E194" s="107" t="str">
        <f>IF(AND(Hulpblad!B338=3,C209&gt;0,C209&lt;13,Hulpblad!B353=3),"In welk jaar hebt u de warmtepomp aangeschaft?","")</f>
        <v/>
      </c>
      <c r="O194" s="33"/>
      <c r="Q194" s="44"/>
    </row>
    <row r="195" spans="1:17">
      <c r="E195" s="110"/>
      <c r="G195" s="76" t="str">
        <f>IF(AND(E194="In welk jaar hebt u de warmtepomp aangeschaft?",E195=""),"Vul in de blauwe cel het jaartal in","")</f>
        <v/>
      </c>
      <c r="L195" s="10"/>
      <c r="Q195" s="44"/>
    </row>
    <row r="196" spans="1:17">
      <c r="Q196" s="44"/>
    </row>
    <row r="197" spans="1:17">
      <c r="Q197" s="44"/>
    </row>
    <row r="198" spans="1:17">
      <c r="Q198" s="44"/>
    </row>
    <row r="199" spans="1:17">
      <c r="Q199" s="44"/>
    </row>
    <row r="201" spans="1:17">
      <c r="K201" s="108"/>
    </row>
    <row r="202" spans="1:17">
      <c r="A202" s="44" t="str">
        <f>IF(C187="Geen warmtepomp","","Kies energie-efficiency klasse:")</f>
        <v>Kies energie-efficiency klasse:</v>
      </c>
      <c r="K202" s="108"/>
    </row>
    <row r="204" spans="1:17">
      <c r="E204" s="109"/>
    </row>
    <row r="207" spans="1:17">
      <c r="E207" s="10" t="str">
        <f>IF(AND(Hulpblad!B382=1,OR(Hulpblad!B374=1,Hulpblad!B374=4,Hulpblad!B374=8,Hulpblad!B374=12)),"",
IF(AND(Hulpblad!B374&gt;1,Hulpblad!B382=1),"U moet nog een energie-efficiencyklasse invullen!",""))</f>
        <v/>
      </c>
    </row>
    <row r="209" spans="1:17">
      <c r="A209" s="134" t="str">
        <f>IF(VLOOKUP(Hulpblad!C338,Hulpblad!B326:C337,2,FALSE)&gt;0,"Kies vermogen (kW):","")</f>
        <v/>
      </c>
      <c r="C209" s="35"/>
      <c r="E209" s="10" t="str">
        <f>IF(A209="","",IF(OR(C209=0,C209&lt;Hulpblad!C360,C209&gt;Hulpblad!C361),"U moet een geheel aantal kW vermogen tussen "&amp;Hulpblad!C360&amp;" kW - "&amp;Hulpblad!C361&amp;" kW  invullen!",""))</f>
        <v/>
      </c>
      <c r="H209" s="19"/>
      <c r="I209" s="19"/>
      <c r="J209" s="19"/>
      <c r="L209" s="19"/>
      <c r="M209" s="19"/>
      <c r="N209" s="19"/>
    </row>
    <row r="210" spans="1:17">
      <c r="A210" s="131"/>
      <c r="C210" s="133"/>
      <c r="E210" s="10"/>
      <c r="H210" s="19"/>
      <c r="I210" s="19"/>
      <c r="J210" s="19"/>
      <c r="L210" s="19"/>
      <c r="M210" s="19"/>
      <c r="N210" s="19"/>
    </row>
    <row r="211" spans="1:17">
      <c r="A211" s="131"/>
      <c r="C211" s="133"/>
      <c r="E211" s="10"/>
      <c r="H211" s="19"/>
      <c r="I211" s="19"/>
      <c r="J211" s="19"/>
      <c r="L211" s="19"/>
      <c r="M211" s="19"/>
      <c r="N211" s="19"/>
    </row>
    <row r="212" spans="1:17">
      <c r="A212" s="131"/>
      <c r="C212" s="133"/>
      <c r="E212" s="10"/>
      <c r="H212" s="19"/>
      <c r="I212" s="19"/>
      <c r="J212" s="19"/>
      <c r="L212" s="19"/>
      <c r="M212" s="19"/>
      <c r="N212" s="19"/>
    </row>
    <row r="213" spans="1:17">
      <c r="A213" s="131"/>
      <c r="C213" s="133"/>
      <c r="E213" s="10"/>
      <c r="H213" s="19"/>
      <c r="I213" s="19"/>
      <c r="J213" s="19"/>
      <c r="L213" s="19"/>
      <c r="M213" s="19"/>
      <c r="N213" s="19"/>
    </row>
    <row r="214" spans="1:17">
      <c r="A214" s="132" t="s">
        <v>260</v>
      </c>
      <c r="C214" s="133"/>
      <c r="E214" s="10"/>
      <c r="H214" s="19"/>
      <c r="I214" s="19"/>
      <c r="J214" s="19"/>
      <c r="L214" s="19"/>
      <c r="M214" s="19"/>
      <c r="N214" s="19"/>
    </row>
    <row r="215" spans="1:17">
      <c r="A215" s="131" t="s">
        <v>261</v>
      </c>
      <c r="C215" s="133"/>
      <c r="E215" s="10"/>
      <c r="H215" s="19"/>
      <c r="I215" s="19"/>
      <c r="J215" s="19"/>
      <c r="L215" s="19"/>
      <c r="M215" s="19"/>
      <c r="N215" s="19"/>
    </row>
    <row r="216" spans="1:17" ht="15" customHeight="1">
      <c r="B216" s="11"/>
    </row>
    <row r="217" spans="1:17" ht="23.25">
      <c r="A217" s="71" t="s">
        <v>70</v>
      </c>
      <c r="B217" s="18"/>
    </row>
    <row r="218" spans="1:17" ht="23.25">
      <c r="A218" s="18"/>
      <c r="B218" s="18"/>
    </row>
    <row r="219" spans="1:17" ht="15" customHeight="1">
      <c r="A219" s="18"/>
      <c r="B219" s="18"/>
    </row>
    <row r="220" spans="1:17" ht="15" customHeight="1">
      <c r="A220" s="44" t="s">
        <v>31</v>
      </c>
      <c r="E220" s="19"/>
      <c r="G220" s="70" t="s">
        <v>125</v>
      </c>
      <c r="H220" s="11"/>
      <c r="I220" s="11"/>
      <c r="J220" s="11"/>
      <c r="O220" s="12">
        <f>IF(OR(Hulpblad!C374="Geen zonneboiler",Hulpblad!C379="Niet van toepassing"),0,VLOOKUP(Hulpblad!C381,Hulpblad!C757:D761,2,FALSE))</f>
        <v>0</v>
      </c>
      <c r="Q220" s="210" t="str">
        <f>IF(O220&gt;0,"Dit subsidiebedrag is indicatief, raadpleeg de ISDE-apparatenlijst zonneboilers voor het exacte bedrag.","")</f>
        <v/>
      </c>
    </row>
    <row r="221" spans="1:17" ht="15" customHeight="1">
      <c r="B221" s="11"/>
      <c r="E221" s="19"/>
      <c r="G221" s="44"/>
      <c r="Q221" s="197"/>
    </row>
    <row r="222" spans="1:17" ht="15" customHeight="1">
      <c r="A222" s="18"/>
      <c r="B222" s="18"/>
      <c r="E222" s="19"/>
      <c r="G222" s="63"/>
    </row>
    <row r="223" spans="1:17" ht="15" customHeight="1">
      <c r="A223" s="18"/>
      <c r="B223" s="18"/>
      <c r="E223" s="19"/>
      <c r="Q223" s="39"/>
    </row>
    <row r="224" spans="1:17" ht="15" customHeight="1">
      <c r="A224" s="18"/>
      <c r="B224" s="18"/>
      <c r="Q224" s="39"/>
    </row>
    <row r="225" spans="1:17" ht="15" customHeight="1">
      <c r="A225" s="18"/>
      <c r="B225" s="18"/>
      <c r="Q225" s="39"/>
    </row>
    <row r="226" spans="1:17" ht="15" customHeight="1"/>
    <row r="227" spans="1:17" ht="15" customHeight="1">
      <c r="A227" s="132" t="s">
        <v>258</v>
      </c>
    </row>
    <row r="228" spans="1:17" ht="15" customHeight="1">
      <c r="A228" s="131" t="s">
        <v>259</v>
      </c>
    </row>
    <row r="229" spans="1:17" ht="15" customHeight="1"/>
    <row r="230" spans="1:17" ht="23.25">
      <c r="A230" s="71" t="s">
        <v>69</v>
      </c>
      <c r="B230" s="18"/>
    </row>
    <row r="231" spans="1:17" ht="23.25">
      <c r="A231" s="18"/>
      <c r="B231" s="18"/>
    </row>
    <row r="232" spans="1:17" ht="15" customHeight="1"/>
    <row r="233" spans="1:17">
      <c r="A233" s="205" t="s">
        <v>77</v>
      </c>
      <c r="B233" s="39"/>
      <c r="D233" s="20"/>
      <c r="E233" s="20"/>
      <c r="G233" s="70" t="s">
        <v>124</v>
      </c>
      <c r="H233" s="11"/>
      <c r="I233" s="11"/>
      <c r="J233" s="11"/>
      <c r="O233" s="12">
        <f>IF(OR(Hulpblad!C386="Geen aansluiting op een warmtenet",Hulpblad!C390="Niet van toepassing"),0,VLOOKUP(Hulpblad!C392,Hulpblad!C764:D765,2,FALSE))</f>
        <v>0</v>
      </c>
      <c r="Q233" s="206" t="str">
        <f>IF(O233&gt;0,"Dit subsidiebedrag is inclusief een bijdrage voor een elektrische kookvoorziening.","")</f>
        <v/>
      </c>
    </row>
    <row r="234" spans="1:17">
      <c r="A234" s="205"/>
      <c r="B234" s="39"/>
      <c r="D234" s="20"/>
      <c r="E234" s="20"/>
      <c r="Q234" s="205"/>
    </row>
    <row r="235" spans="1:17">
      <c r="A235" s="37"/>
      <c r="B235" s="39"/>
      <c r="D235" s="20"/>
      <c r="E235" s="20"/>
      <c r="Q235" s="37"/>
    </row>
    <row r="236" spans="1:17">
      <c r="A236" s="37"/>
      <c r="B236" s="39"/>
      <c r="D236" s="20"/>
      <c r="E236" s="20"/>
      <c r="Q236" s="37"/>
    </row>
    <row r="237" spans="1:17" ht="15" customHeight="1">
      <c r="A237" s="39"/>
      <c r="B237" s="39"/>
      <c r="D237" s="20"/>
      <c r="E237" s="20"/>
    </row>
    <row r="238" spans="1:17" ht="30.75" customHeight="1">
      <c r="A238" s="71" t="s">
        <v>78</v>
      </c>
      <c r="B238" s="39"/>
      <c r="D238" s="4" t="s">
        <v>73</v>
      </c>
      <c r="E238" s="39"/>
    </row>
    <row r="239" spans="1:17" ht="30.75" customHeight="1">
      <c r="A239" s="18"/>
      <c r="B239" s="39"/>
      <c r="E239" s="39"/>
    </row>
    <row r="240" spans="1:17" ht="60" customHeight="1">
      <c r="A240" s="72" t="str">
        <f>IF(O233&gt;0,"U komt niet in aanmerking voor een aparte subsidie voor de elektrische kookvoorziening, omdat deze al bij de aansluiting op een warmtenet is inbegrepen.","Wilt u een elektrische kookvoorziening aanschaffen?")</f>
        <v>Wilt u een elektrische kookvoorziening aanschaffen?</v>
      </c>
      <c r="B240" s="39"/>
      <c r="E240" s="23"/>
    </row>
    <row r="241" spans="1:15" ht="15" customHeight="1">
      <c r="A241" s="73"/>
      <c r="B241" s="39"/>
    </row>
    <row r="242" spans="1:15" ht="30" customHeight="1">
      <c r="A242" s="72" t="str">
        <f>IF(AND(Hulpblad!C398="Ja",A240="Wilt u een elektrische kookvoorziening aanschaffen?"),"Is uw woning aangesloten op een warmtenet?","Niet van toepassing!")</f>
        <v>Niet van toepassing!</v>
      </c>
      <c r="B242" s="39"/>
      <c r="E242" s="79" t="str">
        <f>IF(O233&gt;0,"",IF(Hulpblad!F398="Nee","U komt niet in aanmerking voor subsidie voor een elektrische kookvoorziening als uw woning niet op een warmtenet is aangesloten.",""))</f>
        <v/>
      </c>
    </row>
    <row r="243" spans="1:15" ht="15" customHeight="1">
      <c r="A243" s="73"/>
      <c r="B243" s="39"/>
    </row>
    <row r="244" spans="1:15" ht="15" customHeight="1">
      <c r="A244" s="73"/>
      <c r="B244" s="39"/>
    </row>
    <row r="245" spans="1:15" ht="15" customHeight="1">
      <c r="A245" s="73"/>
      <c r="B245" s="39"/>
    </row>
    <row r="246" spans="1:15" ht="30" customHeight="1">
      <c r="A246" s="72" t="str">
        <f>IF(AND(Hulpblad!F398="Ja",A242="Is uw woning aangesloten op een warmtenet?"),"Heeft u voor de aansluiting op een warmtenet al  eerder subsidie ontvangen van de Rijksoverheid?","Niet van toepassing!")</f>
        <v>Niet van toepassing!</v>
      </c>
      <c r="B246" s="39"/>
      <c r="E246" s="211" t="str">
        <f>IF(O233&gt;0,"",IF(Hulpblad!I398="Ja","U komt niet in aanmerking vooor subsidie voor een elektrische kookvoorziening, omdat u van de Rijksoverheid al subsidie voor het warmtenet heeft ontvangen.",""))</f>
        <v/>
      </c>
      <c r="F246" s="202"/>
      <c r="G246" s="202"/>
      <c r="H246" s="202"/>
      <c r="I246" s="202"/>
      <c r="J246" s="202"/>
      <c r="K246" s="202"/>
    </row>
    <row r="247" spans="1:15" ht="14.1" customHeight="1">
      <c r="A247" s="73"/>
      <c r="B247" s="21"/>
      <c r="D247" s="20"/>
      <c r="L247" s="20"/>
      <c r="M247" s="20"/>
    </row>
    <row r="248" spans="1:15">
      <c r="A248" s="74"/>
      <c r="B248" s="21"/>
      <c r="D248" s="20"/>
      <c r="L248" s="20"/>
      <c r="M248" s="20"/>
    </row>
    <row r="249" spans="1:15">
      <c r="A249" s="74"/>
      <c r="B249" s="21"/>
      <c r="D249" s="20"/>
      <c r="L249" s="20"/>
      <c r="M249" s="20"/>
    </row>
    <row r="250" spans="1:15" ht="30" customHeight="1">
      <c r="A250" s="206" t="str">
        <f>IF(O233&gt;0,"Niet van toepassing!",IF(Hulpblad!I398="Nee","Is zowel uw woning afgesloten van het aardgasnet als de elektrische kookvoorziening aangeschaft niet langer dan 24 maanden geleden?","Niet van toepassing!"))</f>
        <v>Niet van toepassing!</v>
      </c>
      <c r="B250" s="43"/>
      <c r="E250" s="80" t="str">
        <f>IF(O233&gt;0,"",IF(Hulpblad!L398="Nee","U komt niet in aanmerking vooor subsidie voor een elektrische kookvoorziening. ",""))</f>
        <v/>
      </c>
    </row>
    <row r="251" spans="1:15" ht="15" customHeight="1">
      <c r="A251" s="207"/>
      <c r="B251" s="43"/>
      <c r="E251" s="22"/>
    </row>
    <row r="252" spans="1:15">
      <c r="A252" s="207"/>
      <c r="B252" s="38"/>
      <c r="G252" s="11" t="s">
        <v>49</v>
      </c>
      <c r="H252" s="11"/>
      <c r="I252" s="11"/>
      <c r="J252" s="11"/>
      <c r="O252" s="12">
        <f>IF(O233&gt;0,0,IF(Hulpblad!L398="Ja",VLOOKUP(Hulpblad!C769,Hulpblad!C768:D769,2,FALSE),0))</f>
        <v>0</v>
      </c>
    </row>
    <row r="253" spans="1:15">
      <c r="A253" s="207"/>
      <c r="B253" s="39"/>
    </row>
    <row r="254" spans="1:15">
      <c r="A254" s="23"/>
      <c r="B254" s="23"/>
    </row>
    <row r="255" spans="1:15">
      <c r="A255" s="11"/>
      <c r="B255" s="11"/>
    </row>
    <row r="256" spans="1:15" ht="18.75">
      <c r="B256" s="24"/>
      <c r="G256" s="75" t="s">
        <v>123</v>
      </c>
      <c r="H256" s="24"/>
      <c r="I256" s="24"/>
      <c r="J256" s="24"/>
      <c r="O256" s="128">
        <f>SUM(O30:O53)+SUM(O61:O71)+O129+O136+O156+O187+O220+O233+O252</f>
        <v>0</v>
      </c>
    </row>
    <row r="257" spans="1:15">
      <c r="O257" s="20"/>
    </row>
    <row r="258" spans="1:15">
      <c r="A258" s="204"/>
      <c r="B258" s="204"/>
      <c r="C258" s="203"/>
    </row>
  </sheetData>
  <sheetProtection algorithmName="SHA-512" hashValue="28Q1dVtRR0PNJfhcp39UgePAuQKcOQMnN9BqbfzyEfjVAJhJyA75yYGYW4L1xM4DbCoWg9BpgA3YCdyihddg5A==" saltValue="+jVhZBhsjVNCMwHfW+x5QQ==" spinCount="100000" sheet="1" objects="1" scenarios="1"/>
  <mergeCells count="33">
    <mergeCell ref="Q144:Q145"/>
    <mergeCell ref="E246:K246"/>
    <mergeCell ref="A5:O5"/>
    <mergeCell ref="A16:G16"/>
    <mergeCell ref="K136:M137"/>
    <mergeCell ref="G137:I137"/>
    <mergeCell ref="G138:I138"/>
    <mergeCell ref="A95:A96"/>
    <mergeCell ref="Q233:Q234"/>
    <mergeCell ref="Q220:Q221"/>
    <mergeCell ref="A8:C8"/>
    <mergeCell ref="Q127:Q128"/>
    <mergeCell ref="I58:I59"/>
    <mergeCell ref="Q30:Q31"/>
    <mergeCell ref="A258:C258"/>
    <mergeCell ref="A233:A234"/>
    <mergeCell ref="A103:A104"/>
    <mergeCell ref="A99:A100"/>
    <mergeCell ref="A119:A120"/>
    <mergeCell ref="A123:A124"/>
    <mergeCell ref="A250:A253"/>
    <mergeCell ref="A136:A137"/>
    <mergeCell ref="A144:A146"/>
    <mergeCell ref="A143:C143"/>
    <mergeCell ref="Q35:Q36"/>
    <mergeCell ref="Q53:Q54"/>
    <mergeCell ref="Q49:Q50"/>
    <mergeCell ref="G79:G125"/>
    <mergeCell ref="A107:A108"/>
    <mergeCell ref="A111:A112"/>
    <mergeCell ref="A115:A116"/>
    <mergeCell ref="A87:A88"/>
    <mergeCell ref="A91:A92"/>
  </mergeCells>
  <conditionalFormatting sqref="A152">
    <cfRule type="expression" dxfId="6" priority="1">
      <formula>A152="Ga verder naar 4.2"</formula>
    </cfRule>
  </conditionalFormatting>
  <conditionalFormatting sqref="C178">
    <cfRule type="expression" dxfId="5" priority="2">
      <formula>A178=""</formula>
    </cfRule>
    <cfRule type="expression" dxfId="4" priority="3">
      <formula>A178=""</formula>
    </cfRule>
  </conditionalFormatting>
  <conditionalFormatting sqref="C209">
    <cfRule type="expression" dxfId="3" priority="8">
      <formula>$A$209=""</formula>
    </cfRule>
    <cfRule type="expression" dxfId="2" priority="9">
      <formula>$A$209=""</formula>
    </cfRule>
  </conditionalFormatting>
  <conditionalFormatting sqref="E164">
    <cfRule type="expression" dxfId="1" priority="5">
      <formula>E163=""</formula>
    </cfRule>
  </conditionalFormatting>
  <conditionalFormatting sqref="E195">
    <cfRule type="expression" dxfId="0" priority="4">
      <formula>E194=""</formula>
    </cfRule>
  </conditionalFormatting>
  <hyperlinks>
    <hyperlink ref="A9" r:id="rId1" xr:uid="{47158AD8-F4BE-4684-9E7F-A872EB46414A}"/>
    <hyperlink ref="A11" r:id="rId2" xr:uid="{FBF1111B-5C35-4A3D-AA40-12A6A0720D7E}"/>
    <hyperlink ref="A8" r:id="rId3" xr:uid="{8BDAA56C-B297-4D20-9CA0-573A492E3437}"/>
    <hyperlink ref="A12" r:id="rId4" xr:uid="{3316CA3D-B4B2-408E-9A54-58B00C0F7BBE}"/>
    <hyperlink ref="A228" r:id="rId5" xr:uid="{B0BF26BA-2B1A-4270-A122-F44552B762AB}"/>
    <hyperlink ref="A215" r:id="rId6" xr:uid="{C8204443-5EE0-4E50-A759-F6FCA58C372C}"/>
    <hyperlink ref="A13" r:id="rId7" xr:uid="{D1B38439-3CB1-436C-9BA4-44ECD27DBD3A}"/>
    <hyperlink ref="A10" r:id="rId8" location="ook-subsidie-voor-ventilatie" xr:uid="{F0C0C254-6B64-421F-A143-E046C85896D0}"/>
  </hyperlinks>
  <pageMargins left="0.7" right="0.7" top="0.75" bottom="0.75" header="0.3" footer="0.3"/>
  <pageSetup paperSize="9" scale="37" fitToHeight="0" orientation="landscape" r:id="rId9"/>
  <ignoredErrors>
    <ignoredError sqref="Q233"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133" r:id="rId12" name="Option Button 109">
              <controlPr defaultSize="0" autoFill="0" autoLine="0" autoPict="0">
                <anchor moveWithCells="1">
                  <from>
                    <xdr:col>2</xdr:col>
                    <xdr:colOff>19050</xdr:colOff>
                    <xdr:row>30</xdr:row>
                    <xdr:rowOff>0</xdr:rowOff>
                  </from>
                  <to>
                    <xdr:col>2</xdr:col>
                    <xdr:colOff>2266950</xdr:colOff>
                    <xdr:row>30</xdr:row>
                    <xdr:rowOff>180975</xdr:rowOff>
                  </to>
                </anchor>
              </controlPr>
            </control>
          </mc:Choice>
        </mc:AlternateContent>
        <mc:AlternateContent xmlns:mc="http://schemas.openxmlformats.org/markup-compatibility/2006">
          <mc:Choice Requires="x14">
            <control shapeId="1136" r:id="rId13" name="Group Box 112">
              <controlPr defaultSize="0" autoFill="0" autoPict="0" altText="Dakisolatie">
                <anchor moveWithCells="1">
                  <from>
                    <xdr:col>2</xdr:col>
                    <xdr:colOff>0</xdr:colOff>
                    <xdr:row>29</xdr:row>
                    <xdr:rowOff>0</xdr:rowOff>
                  </from>
                  <to>
                    <xdr:col>2</xdr:col>
                    <xdr:colOff>2809875</xdr:colOff>
                    <xdr:row>32</xdr:row>
                    <xdr:rowOff>104775</xdr:rowOff>
                  </to>
                </anchor>
              </controlPr>
            </control>
          </mc:Choice>
        </mc:AlternateContent>
        <mc:AlternateContent xmlns:mc="http://schemas.openxmlformats.org/markup-compatibility/2006">
          <mc:Choice Requires="x14">
            <control shapeId="1141" r:id="rId14" name="Group Box 117">
              <controlPr defaultSize="0" autoFill="0" autoPict="0" altText="Dakisolatie">
                <anchor moveWithCells="1">
                  <from>
                    <xdr:col>2</xdr:col>
                    <xdr:colOff>0</xdr:colOff>
                    <xdr:row>18</xdr:row>
                    <xdr:rowOff>285750</xdr:rowOff>
                  </from>
                  <to>
                    <xdr:col>2</xdr:col>
                    <xdr:colOff>2809875</xdr:colOff>
                    <xdr:row>23</xdr:row>
                    <xdr:rowOff>47625</xdr:rowOff>
                  </to>
                </anchor>
              </controlPr>
            </control>
          </mc:Choice>
        </mc:AlternateContent>
        <mc:AlternateContent xmlns:mc="http://schemas.openxmlformats.org/markup-compatibility/2006">
          <mc:Choice Requires="x14">
            <control shapeId="1142" r:id="rId15" name="Option Button 118">
              <controlPr defaultSize="0" autoFill="0" autoLine="0" autoPict="0">
                <anchor moveWithCells="1">
                  <from>
                    <xdr:col>2</xdr:col>
                    <xdr:colOff>0</xdr:colOff>
                    <xdr:row>20</xdr:row>
                    <xdr:rowOff>9525</xdr:rowOff>
                  </from>
                  <to>
                    <xdr:col>2</xdr:col>
                    <xdr:colOff>2352675</xdr:colOff>
                    <xdr:row>20</xdr:row>
                    <xdr:rowOff>190500</xdr:rowOff>
                  </to>
                </anchor>
              </controlPr>
            </control>
          </mc:Choice>
        </mc:AlternateContent>
        <mc:AlternateContent xmlns:mc="http://schemas.openxmlformats.org/markup-compatibility/2006">
          <mc:Choice Requires="x14">
            <control shapeId="1145" r:id="rId16" name="Option Button 121">
              <controlPr defaultSize="0" autoFill="0" autoLine="0" autoPict="0">
                <anchor moveWithCells="1">
                  <from>
                    <xdr:col>4</xdr:col>
                    <xdr:colOff>28575</xdr:colOff>
                    <xdr:row>29</xdr:row>
                    <xdr:rowOff>171450</xdr:rowOff>
                  </from>
                  <to>
                    <xdr:col>4</xdr:col>
                    <xdr:colOff>2495550</xdr:colOff>
                    <xdr:row>31</xdr:row>
                    <xdr:rowOff>0</xdr:rowOff>
                  </to>
                </anchor>
              </controlPr>
            </control>
          </mc:Choice>
        </mc:AlternateContent>
        <mc:AlternateContent xmlns:mc="http://schemas.openxmlformats.org/markup-compatibility/2006">
          <mc:Choice Requires="x14">
            <control shapeId="1152" r:id="rId17" name="Option Button 128">
              <controlPr defaultSize="0" autoFill="0" autoLine="0" autoPict="0">
                <anchor moveWithCells="1">
                  <from>
                    <xdr:col>2</xdr:col>
                    <xdr:colOff>19050</xdr:colOff>
                    <xdr:row>39</xdr:row>
                    <xdr:rowOff>9525</xdr:rowOff>
                  </from>
                  <to>
                    <xdr:col>2</xdr:col>
                    <xdr:colOff>2324100</xdr:colOff>
                    <xdr:row>40</xdr:row>
                    <xdr:rowOff>0</xdr:rowOff>
                  </to>
                </anchor>
              </controlPr>
            </control>
          </mc:Choice>
        </mc:AlternateContent>
        <mc:AlternateContent xmlns:mc="http://schemas.openxmlformats.org/markup-compatibility/2006">
          <mc:Choice Requires="x14">
            <control shapeId="1157" r:id="rId18" name="Group Box 133">
              <controlPr defaultSize="0" autoFill="0" autoPict="0">
                <anchor moveWithCells="1">
                  <from>
                    <xdr:col>2</xdr:col>
                    <xdr:colOff>0</xdr:colOff>
                    <xdr:row>38</xdr:row>
                    <xdr:rowOff>0</xdr:rowOff>
                  </from>
                  <to>
                    <xdr:col>2</xdr:col>
                    <xdr:colOff>2809875</xdr:colOff>
                    <xdr:row>41</xdr:row>
                    <xdr:rowOff>104775</xdr:rowOff>
                  </to>
                </anchor>
              </controlPr>
            </control>
          </mc:Choice>
        </mc:AlternateContent>
        <mc:AlternateContent xmlns:mc="http://schemas.openxmlformats.org/markup-compatibility/2006">
          <mc:Choice Requires="x14">
            <control shapeId="1180" r:id="rId19" name="Option Button 156">
              <controlPr defaultSize="0" autoFill="0" autoLine="0" autoPict="0">
                <anchor moveWithCells="1">
                  <from>
                    <xdr:col>4</xdr:col>
                    <xdr:colOff>38100</xdr:colOff>
                    <xdr:row>38</xdr:row>
                    <xdr:rowOff>171450</xdr:rowOff>
                  </from>
                  <to>
                    <xdr:col>4</xdr:col>
                    <xdr:colOff>2390775</xdr:colOff>
                    <xdr:row>40</xdr:row>
                    <xdr:rowOff>9525</xdr:rowOff>
                  </to>
                </anchor>
              </controlPr>
            </control>
          </mc:Choice>
        </mc:AlternateContent>
        <mc:AlternateContent xmlns:mc="http://schemas.openxmlformats.org/markup-compatibility/2006">
          <mc:Choice Requires="x14">
            <control shapeId="1186" r:id="rId20" name="Group Box 162">
              <controlPr defaultSize="0" autoFill="0" autoPict="0">
                <anchor moveWithCells="1">
                  <from>
                    <xdr:col>4</xdr:col>
                    <xdr:colOff>9525</xdr:colOff>
                    <xdr:row>29</xdr:row>
                    <xdr:rowOff>0</xdr:rowOff>
                  </from>
                  <to>
                    <xdr:col>4</xdr:col>
                    <xdr:colOff>2705100</xdr:colOff>
                    <xdr:row>33</xdr:row>
                    <xdr:rowOff>28575</xdr:rowOff>
                  </to>
                </anchor>
              </controlPr>
            </control>
          </mc:Choice>
        </mc:AlternateContent>
        <mc:AlternateContent xmlns:mc="http://schemas.openxmlformats.org/markup-compatibility/2006">
          <mc:Choice Requires="x14">
            <control shapeId="1187" r:id="rId21" name="Group Box 163">
              <controlPr defaultSize="0" autoFill="0" autoPict="0">
                <anchor moveWithCells="1">
                  <from>
                    <xdr:col>4</xdr:col>
                    <xdr:colOff>0</xdr:colOff>
                    <xdr:row>38</xdr:row>
                    <xdr:rowOff>0</xdr:rowOff>
                  </from>
                  <to>
                    <xdr:col>4</xdr:col>
                    <xdr:colOff>2695575</xdr:colOff>
                    <xdr:row>42</xdr:row>
                    <xdr:rowOff>28575</xdr:rowOff>
                  </to>
                </anchor>
              </controlPr>
            </control>
          </mc:Choice>
        </mc:AlternateContent>
        <mc:AlternateContent xmlns:mc="http://schemas.openxmlformats.org/markup-compatibility/2006">
          <mc:Choice Requires="x14">
            <control shapeId="1188" r:id="rId22" name="Option Button 164">
              <controlPr defaultSize="0" autoFill="0" autoLine="0" autoPict="0">
                <anchor moveWithCells="1">
                  <from>
                    <xdr:col>2</xdr:col>
                    <xdr:colOff>19050</xdr:colOff>
                    <xdr:row>43</xdr:row>
                    <xdr:rowOff>180975</xdr:rowOff>
                  </from>
                  <to>
                    <xdr:col>2</xdr:col>
                    <xdr:colOff>2428875</xdr:colOff>
                    <xdr:row>45</xdr:row>
                    <xdr:rowOff>19050</xdr:rowOff>
                  </to>
                </anchor>
              </controlPr>
            </control>
          </mc:Choice>
        </mc:AlternateContent>
        <mc:AlternateContent xmlns:mc="http://schemas.openxmlformats.org/markup-compatibility/2006">
          <mc:Choice Requires="x14">
            <control shapeId="1190" r:id="rId23" name="Group Box 166">
              <controlPr defaultSize="0" autoFill="0" autoPict="0">
                <anchor moveWithCells="1">
                  <from>
                    <xdr:col>2</xdr:col>
                    <xdr:colOff>0</xdr:colOff>
                    <xdr:row>43</xdr:row>
                    <xdr:rowOff>0</xdr:rowOff>
                  </from>
                  <to>
                    <xdr:col>2</xdr:col>
                    <xdr:colOff>2809875</xdr:colOff>
                    <xdr:row>46</xdr:row>
                    <xdr:rowOff>104775</xdr:rowOff>
                  </to>
                </anchor>
              </controlPr>
            </control>
          </mc:Choice>
        </mc:AlternateContent>
        <mc:AlternateContent xmlns:mc="http://schemas.openxmlformats.org/markup-compatibility/2006">
          <mc:Choice Requires="x14">
            <control shapeId="1191" r:id="rId24" name="Option Button 167">
              <controlPr defaultSize="0" autoFill="0" autoLine="0" autoPict="0">
                <anchor moveWithCells="1">
                  <from>
                    <xdr:col>4</xdr:col>
                    <xdr:colOff>47625</xdr:colOff>
                    <xdr:row>43</xdr:row>
                    <xdr:rowOff>180975</xdr:rowOff>
                  </from>
                  <to>
                    <xdr:col>4</xdr:col>
                    <xdr:colOff>2505075</xdr:colOff>
                    <xdr:row>45</xdr:row>
                    <xdr:rowOff>9525</xdr:rowOff>
                  </to>
                </anchor>
              </controlPr>
            </control>
          </mc:Choice>
        </mc:AlternateContent>
        <mc:AlternateContent xmlns:mc="http://schemas.openxmlformats.org/markup-compatibility/2006">
          <mc:Choice Requires="x14">
            <control shapeId="1195" r:id="rId25" name="Group Box 171">
              <controlPr defaultSize="0" autoFill="0" autoPict="0">
                <anchor moveWithCells="1">
                  <from>
                    <xdr:col>4</xdr:col>
                    <xdr:colOff>0</xdr:colOff>
                    <xdr:row>43</xdr:row>
                    <xdr:rowOff>0</xdr:rowOff>
                  </from>
                  <to>
                    <xdr:col>4</xdr:col>
                    <xdr:colOff>2695575</xdr:colOff>
                    <xdr:row>47</xdr:row>
                    <xdr:rowOff>28575</xdr:rowOff>
                  </to>
                </anchor>
              </controlPr>
            </control>
          </mc:Choice>
        </mc:AlternateContent>
        <mc:AlternateContent xmlns:mc="http://schemas.openxmlformats.org/markup-compatibility/2006">
          <mc:Choice Requires="x14">
            <control shapeId="1197" r:id="rId26" name="Option Button 173">
              <controlPr defaultSize="0" autoFill="0" autoLine="0" autoPict="0">
                <anchor moveWithCells="1">
                  <from>
                    <xdr:col>2</xdr:col>
                    <xdr:colOff>19050</xdr:colOff>
                    <xdr:row>48</xdr:row>
                    <xdr:rowOff>180975</xdr:rowOff>
                  </from>
                  <to>
                    <xdr:col>2</xdr:col>
                    <xdr:colOff>2295525</xdr:colOff>
                    <xdr:row>50</xdr:row>
                    <xdr:rowOff>9525</xdr:rowOff>
                  </to>
                </anchor>
              </controlPr>
            </control>
          </mc:Choice>
        </mc:AlternateContent>
        <mc:AlternateContent xmlns:mc="http://schemas.openxmlformats.org/markup-compatibility/2006">
          <mc:Choice Requires="x14">
            <control shapeId="1200" r:id="rId27" name="Group Box 176">
              <controlPr defaultSize="0" autoFill="0" autoPict="0">
                <anchor moveWithCells="1">
                  <from>
                    <xdr:col>2</xdr:col>
                    <xdr:colOff>0</xdr:colOff>
                    <xdr:row>48</xdr:row>
                    <xdr:rowOff>0</xdr:rowOff>
                  </from>
                  <to>
                    <xdr:col>2</xdr:col>
                    <xdr:colOff>2809875</xdr:colOff>
                    <xdr:row>51</xdr:row>
                    <xdr:rowOff>104775</xdr:rowOff>
                  </to>
                </anchor>
              </controlPr>
            </control>
          </mc:Choice>
        </mc:AlternateContent>
        <mc:AlternateContent xmlns:mc="http://schemas.openxmlformats.org/markup-compatibility/2006">
          <mc:Choice Requires="x14">
            <control shapeId="1201" r:id="rId28" name="Option Button 177">
              <controlPr defaultSize="0" autoFill="0" autoLine="0" autoPict="0">
                <anchor moveWithCells="1">
                  <from>
                    <xdr:col>4</xdr:col>
                    <xdr:colOff>66675</xdr:colOff>
                    <xdr:row>48</xdr:row>
                    <xdr:rowOff>171450</xdr:rowOff>
                  </from>
                  <to>
                    <xdr:col>4</xdr:col>
                    <xdr:colOff>2409825</xdr:colOff>
                    <xdr:row>50</xdr:row>
                    <xdr:rowOff>9525</xdr:rowOff>
                  </to>
                </anchor>
              </controlPr>
            </control>
          </mc:Choice>
        </mc:AlternateContent>
        <mc:AlternateContent xmlns:mc="http://schemas.openxmlformats.org/markup-compatibility/2006">
          <mc:Choice Requires="x14">
            <control shapeId="1205" r:id="rId29" name="Group Box 181">
              <controlPr defaultSize="0" autoFill="0" autoPict="0">
                <anchor moveWithCells="1">
                  <from>
                    <xdr:col>4</xdr:col>
                    <xdr:colOff>0</xdr:colOff>
                    <xdr:row>48</xdr:row>
                    <xdr:rowOff>0</xdr:rowOff>
                  </from>
                  <to>
                    <xdr:col>4</xdr:col>
                    <xdr:colOff>2695575</xdr:colOff>
                    <xdr:row>51</xdr:row>
                    <xdr:rowOff>104775</xdr:rowOff>
                  </to>
                </anchor>
              </controlPr>
            </control>
          </mc:Choice>
        </mc:AlternateContent>
        <mc:AlternateContent xmlns:mc="http://schemas.openxmlformats.org/markup-compatibility/2006">
          <mc:Choice Requires="x14">
            <control shapeId="1206" r:id="rId30" name="Option Button 182">
              <controlPr defaultSize="0" autoFill="0" autoLine="0" autoPict="0">
                <anchor moveWithCells="1">
                  <from>
                    <xdr:col>2</xdr:col>
                    <xdr:colOff>66675</xdr:colOff>
                    <xdr:row>155</xdr:row>
                    <xdr:rowOff>171450</xdr:rowOff>
                  </from>
                  <to>
                    <xdr:col>2</xdr:col>
                    <xdr:colOff>2447925</xdr:colOff>
                    <xdr:row>157</xdr:row>
                    <xdr:rowOff>0</xdr:rowOff>
                  </to>
                </anchor>
              </controlPr>
            </control>
          </mc:Choice>
        </mc:AlternateContent>
        <mc:AlternateContent xmlns:mc="http://schemas.openxmlformats.org/markup-compatibility/2006">
          <mc:Choice Requires="x14">
            <control shapeId="1216" r:id="rId31" name="Group Box 192">
              <controlPr defaultSize="0" autoFill="0" autoPict="0">
                <anchor moveWithCells="1">
                  <from>
                    <xdr:col>2</xdr:col>
                    <xdr:colOff>0</xdr:colOff>
                    <xdr:row>155</xdr:row>
                    <xdr:rowOff>0</xdr:rowOff>
                  </from>
                  <to>
                    <xdr:col>2</xdr:col>
                    <xdr:colOff>2809875</xdr:colOff>
                    <xdr:row>168</xdr:row>
                    <xdr:rowOff>66675</xdr:rowOff>
                  </to>
                </anchor>
              </controlPr>
            </control>
          </mc:Choice>
        </mc:AlternateContent>
        <mc:AlternateContent xmlns:mc="http://schemas.openxmlformats.org/markup-compatibility/2006">
          <mc:Choice Requires="x14">
            <control shapeId="1237" r:id="rId32" name="Option Button 213">
              <controlPr defaultSize="0" autoFill="0" autoLine="0" autoPict="0">
                <anchor moveWithCells="1">
                  <from>
                    <xdr:col>2</xdr:col>
                    <xdr:colOff>66675</xdr:colOff>
                    <xdr:row>156</xdr:row>
                    <xdr:rowOff>171450</xdr:rowOff>
                  </from>
                  <to>
                    <xdr:col>2</xdr:col>
                    <xdr:colOff>2371725</xdr:colOff>
                    <xdr:row>158</xdr:row>
                    <xdr:rowOff>0</xdr:rowOff>
                  </to>
                </anchor>
              </controlPr>
            </control>
          </mc:Choice>
        </mc:AlternateContent>
        <mc:AlternateContent xmlns:mc="http://schemas.openxmlformats.org/markup-compatibility/2006">
          <mc:Choice Requires="x14">
            <control shapeId="1238" r:id="rId33" name="Option Button 214">
              <controlPr defaultSize="0" autoFill="0" autoLine="0" autoPict="0">
                <anchor moveWithCells="1">
                  <from>
                    <xdr:col>2</xdr:col>
                    <xdr:colOff>66675</xdr:colOff>
                    <xdr:row>157</xdr:row>
                    <xdr:rowOff>171450</xdr:rowOff>
                  </from>
                  <to>
                    <xdr:col>2</xdr:col>
                    <xdr:colOff>2457450</xdr:colOff>
                    <xdr:row>159</xdr:row>
                    <xdr:rowOff>0</xdr:rowOff>
                  </to>
                </anchor>
              </controlPr>
            </control>
          </mc:Choice>
        </mc:AlternateContent>
        <mc:AlternateContent xmlns:mc="http://schemas.openxmlformats.org/markup-compatibility/2006">
          <mc:Choice Requires="x14">
            <control shapeId="1239" r:id="rId34" name="Option Button 215">
              <controlPr defaultSize="0" autoFill="0" autoLine="0" autoPict="0">
                <anchor moveWithCells="1">
                  <from>
                    <xdr:col>2</xdr:col>
                    <xdr:colOff>66675</xdr:colOff>
                    <xdr:row>158</xdr:row>
                    <xdr:rowOff>171450</xdr:rowOff>
                  </from>
                  <to>
                    <xdr:col>2</xdr:col>
                    <xdr:colOff>2466975</xdr:colOff>
                    <xdr:row>160</xdr:row>
                    <xdr:rowOff>0</xdr:rowOff>
                  </to>
                </anchor>
              </controlPr>
            </control>
          </mc:Choice>
        </mc:AlternateContent>
        <mc:AlternateContent xmlns:mc="http://schemas.openxmlformats.org/markup-compatibility/2006">
          <mc:Choice Requires="x14">
            <control shapeId="1240" r:id="rId35" name="Option Button 216">
              <controlPr defaultSize="0" autoFill="0" autoLine="0" autoPict="0">
                <anchor moveWithCells="1">
                  <from>
                    <xdr:col>2</xdr:col>
                    <xdr:colOff>66675</xdr:colOff>
                    <xdr:row>159</xdr:row>
                    <xdr:rowOff>171450</xdr:rowOff>
                  </from>
                  <to>
                    <xdr:col>2</xdr:col>
                    <xdr:colOff>2390775</xdr:colOff>
                    <xdr:row>161</xdr:row>
                    <xdr:rowOff>0</xdr:rowOff>
                  </to>
                </anchor>
              </controlPr>
            </control>
          </mc:Choice>
        </mc:AlternateContent>
        <mc:AlternateContent xmlns:mc="http://schemas.openxmlformats.org/markup-compatibility/2006">
          <mc:Choice Requires="x14">
            <control shapeId="1241" r:id="rId36" name="Option Button 217">
              <controlPr defaultSize="0" autoFill="0" autoLine="0" autoPict="0">
                <anchor moveWithCells="1">
                  <from>
                    <xdr:col>2</xdr:col>
                    <xdr:colOff>66675</xdr:colOff>
                    <xdr:row>160</xdr:row>
                    <xdr:rowOff>171450</xdr:rowOff>
                  </from>
                  <to>
                    <xdr:col>2</xdr:col>
                    <xdr:colOff>2362200</xdr:colOff>
                    <xdr:row>162</xdr:row>
                    <xdr:rowOff>0</xdr:rowOff>
                  </to>
                </anchor>
              </controlPr>
            </control>
          </mc:Choice>
        </mc:AlternateContent>
        <mc:AlternateContent xmlns:mc="http://schemas.openxmlformats.org/markup-compatibility/2006">
          <mc:Choice Requires="x14">
            <control shapeId="1242" r:id="rId37" name="Option Button 218">
              <controlPr defaultSize="0" autoFill="0" autoLine="0" autoPict="0">
                <anchor moveWithCells="1">
                  <from>
                    <xdr:col>2</xdr:col>
                    <xdr:colOff>66675</xdr:colOff>
                    <xdr:row>161</xdr:row>
                    <xdr:rowOff>171450</xdr:rowOff>
                  </from>
                  <to>
                    <xdr:col>2</xdr:col>
                    <xdr:colOff>2438400</xdr:colOff>
                    <xdr:row>163</xdr:row>
                    <xdr:rowOff>0</xdr:rowOff>
                  </to>
                </anchor>
              </controlPr>
            </control>
          </mc:Choice>
        </mc:AlternateContent>
        <mc:AlternateContent xmlns:mc="http://schemas.openxmlformats.org/markup-compatibility/2006">
          <mc:Choice Requires="x14">
            <control shapeId="1243" r:id="rId38" name="Option Button 219">
              <controlPr defaultSize="0" autoFill="0" autoLine="0" autoPict="0">
                <anchor moveWithCells="1">
                  <from>
                    <xdr:col>2</xdr:col>
                    <xdr:colOff>66675</xdr:colOff>
                    <xdr:row>162</xdr:row>
                    <xdr:rowOff>171450</xdr:rowOff>
                  </from>
                  <to>
                    <xdr:col>2</xdr:col>
                    <xdr:colOff>2400300</xdr:colOff>
                    <xdr:row>164</xdr:row>
                    <xdr:rowOff>0</xdr:rowOff>
                  </to>
                </anchor>
              </controlPr>
            </control>
          </mc:Choice>
        </mc:AlternateContent>
        <mc:AlternateContent xmlns:mc="http://schemas.openxmlformats.org/markup-compatibility/2006">
          <mc:Choice Requires="x14">
            <control shapeId="1244" r:id="rId39" name="Option Button 220">
              <controlPr defaultSize="0" autoFill="0" autoLine="0" autoPict="0">
                <anchor moveWithCells="1">
                  <from>
                    <xdr:col>2</xdr:col>
                    <xdr:colOff>66675</xdr:colOff>
                    <xdr:row>163</xdr:row>
                    <xdr:rowOff>171450</xdr:rowOff>
                  </from>
                  <to>
                    <xdr:col>2</xdr:col>
                    <xdr:colOff>2409825</xdr:colOff>
                    <xdr:row>165</xdr:row>
                    <xdr:rowOff>0</xdr:rowOff>
                  </to>
                </anchor>
              </controlPr>
            </control>
          </mc:Choice>
        </mc:AlternateContent>
        <mc:AlternateContent xmlns:mc="http://schemas.openxmlformats.org/markup-compatibility/2006">
          <mc:Choice Requires="x14">
            <control shapeId="1253" r:id="rId40" name="Option Button 229">
              <controlPr defaultSize="0" autoFill="0" autoLine="0" autoPict="0">
                <anchor moveWithCells="1">
                  <from>
                    <xdr:col>2</xdr:col>
                    <xdr:colOff>66675</xdr:colOff>
                    <xdr:row>164</xdr:row>
                    <xdr:rowOff>171450</xdr:rowOff>
                  </from>
                  <to>
                    <xdr:col>2</xdr:col>
                    <xdr:colOff>2362200</xdr:colOff>
                    <xdr:row>166</xdr:row>
                    <xdr:rowOff>0</xdr:rowOff>
                  </to>
                </anchor>
              </controlPr>
            </control>
          </mc:Choice>
        </mc:AlternateContent>
        <mc:AlternateContent xmlns:mc="http://schemas.openxmlformats.org/markup-compatibility/2006">
          <mc:Choice Requires="x14">
            <control shapeId="1254" r:id="rId41" name="Option Button 230">
              <controlPr defaultSize="0" autoFill="0" autoLine="0" autoPict="0">
                <anchor moveWithCells="1">
                  <from>
                    <xdr:col>2</xdr:col>
                    <xdr:colOff>66675</xdr:colOff>
                    <xdr:row>165</xdr:row>
                    <xdr:rowOff>171450</xdr:rowOff>
                  </from>
                  <to>
                    <xdr:col>2</xdr:col>
                    <xdr:colOff>2419350</xdr:colOff>
                    <xdr:row>167</xdr:row>
                    <xdr:rowOff>0</xdr:rowOff>
                  </to>
                </anchor>
              </controlPr>
            </control>
          </mc:Choice>
        </mc:AlternateContent>
        <mc:AlternateContent xmlns:mc="http://schemas.openxmlformats.org/markup-compatibility/2006">
          <mc:Choice Requires="x14">
            <control shapeId="1259" r:id="rId42" name="Option Button 235">
              <controlPr defaultSize="0" autoFill="0" autoLine="0" autoPict="0">
                <anchor moveWithCells="1">
                  <from>
                    <xdr:col>2</xdr:col>
                    <xdr:colOff>66675</xdr:colOff>
                    <xdr:row>166</xdr:row>
                    <xdr:rowOff>171450</xdr:rowOff>
                  </from>
                  <to>
                    <xdr:col>2</xdr:col>
                    <xdr:colOff>2466975</xdr:colOff>
                    <xdr:row>168</xdr:row>
                    <xdr:rowOff>0</xdr:rowOff>
                  </to>
                </anchor>
              </controlPr>
            </control>
          </mc:Choice>
        </mc:AlternateContent>
        <mc:AlternateContent xmlns:mc="http://schemas.openxmlformats.org/markup-compatibility/2006">
          <mc:Choice Requires="x14">
            <control shapeId="1263" r:id="rId43" name="Option Button 239">
              <controlPr defaultSize="0" autoFill="0" autoLine="0" autoPict="0">
                <anchor moveWithCells="1">
                  <from>
                    <xdr:col>2</xdr:col>
                    <xdr:colOff>85725</xdr:colOff>
                    <xdr:row>170</xdr:row>
                    <xdr:rowOff>180975</xdr:rowOff>
                  </from>
                  <to>
                    <xdr:col>2</xdr:col>
                    <xdr:colOff>2486025</xdr:colOff>
                    <xdr:row>172</xdr:row>
                    <xdr:rowOff>9525</xdr:rowOff>
                  </to>
                </anchor>
              </controlPr>
            </control>
          </mc:Choice>
        </mc:AlternateContent>
        <mc:AlternateContent xmlns:mc="http://schemas.openxmlformats.org/markup-compatibility/2006">
          <mc:Choice Requires="x14">
            <control shapeId="1273" r:id="rId44" name="Option Button 249">
              <controlPr defaultSize="0" autoFill="0" autoLine="0" autoPict="0">
                <anchor moveWithCells="1">
                  <from>
                    <xdr:col>2</xdr:col>
                    <xdr:colOff>85725</xdr:colOff>
                    <xdr:row>171</xdr:row>
                    <xdr:rowOff>180975</xdr:rowOff>
                  </from>
                  <to>
                    <xdr:col>2</xdr:col>
                    <xdr:colOff>2457450</xdr:colOff>
                    <xdr:row>173</xdr:row>
                    <xdr:rowOff>9525</xdr:rowOff>
                  </to>
                </anchor>
              </controlPr>
            </control>
          </mc:Choice>
        </mc:AlternateContent>
        <mc:AlternateContent xmlns:mc="http://schemas.openxmlformats.org/markup-compatibility/2006">
          <mc:Choice Requires="x14">
            <control shapeId="1274" r:id="rId45" name="Option Button 250">
              <controlPr defaultSize="0" autoFill="0" autoLine="0" autoPict="0">
                <anchor moveWithCells="1">
                  <from>
                    <xdr:col>2</xdr:col>
                    <xdr:colOff>85725</xdr:colOff>
                    <xdr:row>172</xdr:row>
                    <xdr:rowOff>180975</xdr:rowOff>
                  </from>
                  <to>
                    <xdr:col>2</xdr:col>
                    <xdr:colOff>2295525</xdr:colOff>
                    <xdr:row>174</xdr:row>
                    <xdr:rowOff>9525</xdr:rowOff>
                  </to>
                </anchor>
              </controlPr>
            </control>
          </mc:Choice>
        </mc:AlternateContent>
        <mc:AlternateContent xmlns:mc="http://schemas.openxmlformats.org/markup-compatibility/2006">
          <mc:Choice Requires="x14">
            <control shapeId="1275" r:id="rId46" name="Option Button 251">
              <controlPr defaultSize="0" autoFill="0" autoLine="0" autoPict="0">
                <anchor moveWithCells="1">
                  <from>
                    <xdr:col>2</xdr:col>
                    <xdr:colOff>85725</xdr:colOff>
                    <xdr:row>173</xdr:row>
                    <xdr:rowOff>180975</xdr:rowOff>
                  </from>
                  <to>
                    <xdr:col>2</xdr:col>
                    <xdr:colOff>2390775</xdr:colOff>
                    <xdr:row>175</xdr:row>
                    <xdr:rowOff>9525</xdr:rowOff>
                  </to>
                </anchor>
              </controlPr>
            </control>
          </mc:Choice>
        </mc:AlternateContent>
        <mc:AlternateContent xmlns:mc="http://schemas.openxmlformats.org/markup-compatibility/2006">
          <mc:Choice Requires="x14">
            <control shapeId="1276" r:id="rId47" name="Option Button 252">
              <controlPr defaultSize="0" autoFill="0" autoLine="0" autoPict="0">
                <anchor moveWithCells="1">
                  <from>
                    <xdr:col>2</xdr:col>
                    <xdr:colOff>85725</xdr:colOff>
                    <xdr:row>174</xdr:row>
                    <xdr:rowOff>180975</xdr:rowOff>
                  </from>
                  <to>
                    <xdr:col>2</xdr:col>
                    <xdr:colOff>2286000</xdr:colOff>
                    <xdr:row>176</xdr:row>
                    <xdr:rowOff>9525</xdr:rowOff>
                  </to>
                </anchor>
              </controlPr>
            </control>
          </mc:Choice>
        </mc:AlternateContent>
        <mc:AlternateContent xmlns:mc="http://schemas.openxmlformats.org/markup-compatibility/2006">
          <mc:Choice Requires="x14">
            <control shapeId="1277" r:id="rId48" name="Group Box 253">
              <controlPr defaultSize="0" autoFill="0" autoPict="0">
                <anchor moveWithCells="1">
                  <from>
                    <xdr:col>2</xdr:col>
                    <xdr:colOff>9525</xdr:colOff>
                    <xdr:row>170</xdr:row>
                    <xdr:rowOff>57150</xdr:rowOff>
                  </from>
                  <to>
                    <xdr:col>2</xdr:col>
                    <xdr:colOff>2819400</xdr:colOff>
                    <xdr:row>176</xdr:row>
                    <xdr:rowOff>66675</xdr:rowOff>
                  </to>
                </anchor>
              </controlPr>
            </control>
          </mc:Choice>
        </mc:AlternateContent>
        <mc:AlternateContent xmlns:mc="http://schemas.openxmlformats.org/markup-compatibility/2006">
          <mc:Choice Requires="x14">
            <control shapeId="1278" r:id="rId49" name="Option Button 254">
              <controlPr defaultSize="0" autoFill="0" autoLine="0" autoPict="0">
                <anchor moveWithCells="1">
                  <from>
                    <xdr:col>2</xdr:col>
                    <xdr:colOff>0</xdr:colOff>
                    <xdr:row>21</xdr:row>
                    <xdr:rowOff>9525</xdr:rowOff>
                  </from>
                  <to>
                    <xdr:col>2</xdr:col>
                    <xdr:colOff>2600325</xdr:colOff>
                    <xdr:row>21</xdr:row>
                    <xdr:rowOff>190500</xdr:rowOff>
                  </to>
                </anchor>
              </controlPr>
            </control>
          </mc:Choice>
        </mc:AlternateContent>
        <mc:AlternateContent xmlns:mc="http://schemas.openxmlformats.org/markup-compatibility/2006">
          <mc:Choice Requires="x14">
            <control shapeId="1279" r:id="rId50" name="Option Button 255">
              <controlPr defaultSize="0" autoFill="0" autoLine="0" autoPict="0">
                <anchor moveWithCells="1">
                  <from>
                    <xdr:col>2</xdr:col>
                    <xdr:colOff>0</xdr:colOff>
                    <xdr:row>22</xdr:row>
                    <xdr:rowOff>9525</xdr:rowOff>
                  </from>
                  <to>
                    <xdr:col>2</xdr:col>
                    <xdr:colOff>2628900</xdr:colOff>
                    <xdr:row>22</xdr:row>
                    <xdr:rowOff>190500</xdr:rowOff>
                  </to>
                </anchor>
              </controlPr>
            </control>
          </mc:Choice>
        </mc:AlternateContent>
        <mc:AlternateContent xmlns:mc="http://schemas.openxmlformats.org/markup-compatibility/2006">
          <mc:Choice Requires="x14">
            <control shapeId="1280" r:id="rId51" name="Option Button 256">
              <controlPr defaultSize="0" autoFill="0" autoLine="0" autoPict="0">
                <anchor moveWithCells="1">
                  <from>
                    <xdr:col>2</xdr:col>
                    <xdr:colOff>19050</xdr:colOff>
                    <xdr:row>31</xdr:row>
                    <xdr:rowOff>0</xdr:rowOff>
                  </from>
                  <to>
                    <xdr:col>2</xdr:col>
                    <xdr:colOff>2362200</xdr:colOff>
                    <xdr:row>31</xdr:row>
                    <xdr:rowOff>180975</xdr:rowOff>
                  </to>
                </anchor>
              </controlPr>
            </control>
          </mc:Choice>
        </mc:AlternateContent>
        <mc:AlternateContent xmlns:mc="http://schemas.openxmlformats.org/markup-compatibility/2006">
          <mc:Choice Requires="x14">
            <control shapeId="1282" r:id="rId52" name="Option Button 258">
              <controlPr defaultSize="0" autoFill="0" autoLine="0" autoPict="0">
                <anchor moveWithCells="1">
                  <from>
                    <xdr:col>4</xdr:col>
                    <xdr:colOff>28575</xdr:colOff>
                    <xdr:row>30</xdr:row>
                    <xdr:rowOff>171450</xdr:rowOff>
                  </from>
                  <to>
                    <xdr:col>4</xdr:col>
                    <xdr:colOff>2476500</xdr:colOff>
                    <xdr:row>32</xdr:row>
                    <xdr:rowOff>0</xdr:rowOff>
                  </to>
                </anchor>
              </controlPr>
            </control>
          </mc:Choice>
        </mc:AlternateContent>
        <mc:AlternateContent xmlns:mc="http://schemas.openxmlformats.org/markup-compatibility/2006">
          <mc:Choice Requires="x14">
            <control shapeId="1283" r:id="rId53" name="Option Button 259">
              <controlPr defaultSize="0" autoFill="0" autoLine="0" autoPict="0">
                <anchor moveWithCells="1">
                  <from>
                    <xdr:col>4</xdr:col>
                    <xdr:colOff>28575</xdr:colOff>
                    <xdr:row>31</xdr:row>
                    <xdr:rowOff>171450</xdr:rowOff>
                  </from>
                  <to>
                    <xdr:col>4</xdr:col>
                    <xdr:colOff>2371725</xdr:colOff>
                    <xdr:row>33</xdr:row>
                    <xdr:rowOff>0</xdr:rowOff>
                  </to>
                </anchor>
              </controlPr>
            </control>
          </mc:Choice>
        </mc:AlternateContent>
        <mc:AlternateContent xmlns:mc="http://schemas.openxmlformats.org/markup-compatibility/2006">
          <mc:Choice Requires="x14">
            <control shapeId="1287" r:id="rId54" name="Option Button 263">
              <controlPr defaultSize="0" autoFill="0" autoLine="0" autoPict="0">
                <anchor moveWithCells="1">
                  <from>
                    <xdr:col>2</xdr:col>
                    <xdr:colOff>19050</xdr:colOff>
                    <xdr:row>40</xdr:row>
                    <xdr:rowOff>9525</xdr:rowOff>
                  </from>
                  <to>
                    <xdr:col>2</xdr:col>
                    <xdr:colOff>2790825</xdr:colOff>
                    <xdr:row>41</xdr:row>
                    <xdr:rowOff>0</xdr:rowOff>
                  </to>
                </anchor>
              </controlPr>
            </control>
          </mc:Choice>
        </mc:AlternateContent>
        <mc:AlternateContent xmlns:mc="http://schemas.openxmlformats.org/markup-compatibility/2006">
          <mc:Choice Requires="x14">
            <control shapeId="1288" r:id="rId55" name="Option Button 264">
              <controlPr defaultSize="0" autoFill="0" autoLine="0" autoPict="0">
                <anchor moveWithCells="1">
                  <from>
                    <xdr:col>4</xdr:col>
                    <xdr:colOff>38100</xdr:colOff>
                    <xdr:row>39</xdr:row>
                    <xdr:rowOff>171450</xdr:rowOff>
                  </from>
                  <to>
                    <xdr:col>4</xdr:col>
                    <xdr:colOff>2533650</xdr:colOff>
                    <xdr:row>41</xdr:row>
                    <xdr:rowOff>9525</xdr:rowOff>
                  </to>
                </anchor>
              </controlPr>
            </control>
          </mc:Choice>
        </mc:AlternateContent>
        <mc:AlternateContent xmlns:mc="http://schemas.openxmlformats.org/markup-compatibility/2006">
          <mc:Choice Requires="x14">
            <control shapeId="1289" r:id="rId56" name="Option Button 265">
              <controlPr defaultSize="0" autoFill="0" autoLine="0" autoPict="0">
                <anchor moveWithCells="1">
                  <from>
                    <xdr:col>4</xdr:col>
                    <xdr:colOff>38100</xdr:colOff>
                    <xdr:row>40</xdr:row>
                    <xdr:rowOff>171450</xdr:rowOff>
                  </from>
                  <to>
                    <xdr:col>4</xdr:col>
                    <xdr:colOff>2571750</xdr:colOff>
                    <xdr:row>42</xdr:row>
                    <xdr:rowOff>9525</xdr:rowOff>
                  </to>
                </anchor>
              </controlPr>
            </control>
          </mc:Choice>
        </mc:AlternateContent>
        <mc:AlternateContent xmlns:mc="http://schemas.openxmlformats.org/markup-compatibility/2006">
          <mc:Choice Requires="x14">
            <control shapeId="1292" r:id="rId57" name="Option Button 268">
              <controlPr defaultSize="0" autoFill="0" autoLine="0" autoPict="0">
                <anchor moveWithCells="1">
                  <from>
                    <xdr:col>2</xdr:col>
                    <xdr:colOff>19050</xdr:colOff>
                    <xdr:row>44</xdr:row>
                    <xdr:rowOff>180975</xdr:rowOff>
                  </from>
                  <to>
                    <xdr:col>2</xdr:col>
                    <xdr:colOff>2486025</xdr:colOff>
                    <xdr:row>46</xdr:row>
                    <xdr:rowOff>19050</xdr:rowOff>
                  </to>
                </anchor>
              </controlPr>
            </control>
          </mc:Choice>
        </mc:AlternateContent>
        <mc:AlternateContent xmlns:mc="http://schemas.openxmlformats.org/markup-compatibility/2006">
          <mc:Choice Requires="x14">
            <control shapeId="1293" r:id="rId58" name="Option Button 269">
              <controlPr defaultSize="0" autoFill="0" autoLine="0" autoPict="0">
                <anchor moveWithCells="1">
                  <from>
                    <xdr:col>4</xdr:col>
                    <xdr:colOff>47625</xdr:colOff>
                    <xdr:row>44</xdr:row>
                    <xdr:rowOff>180975</xdr:rowOff>
                  </from>
                  <to>
                    <xdr:col>4</xdr:col>
                    <xdr:colOff>2600325</xdr:colOff>
                    <xdr:row>46</xdr:row>
                    <xdr:rowOff>9525</xdr:rowOff>
                  </to>
                </anchor>
              </controlPr>
            </control>
          </mc:Choice>
        </mc:AlternateContent>
        <mc:AlternateContent xmlns:mc="http://schemas.openxmlformats.org/markup-compatibility/2006">
          <mc:Choice Requires="x14">
            <control shapeId="1294" r:id="rId59" name="Option Button 270">
              <controlPr defaultSize="0" autoFill="0" autoLine="0" autoPict="0">
                <anchor moveWithCells="1">
                  <from>
                    <xdr:col>4</xdr:col>
                    <xdr:colOff>47625</xdr:colOff>
                    <xdr:row>45</xdr:row>
                    <xdr:rowOff>180975</xdr:rowOff>
                  </from>
                  <to>
                    <xdr:col>4</xdr:col>
                    <xdr:colOff>2638425</xdr:colOff>
                    <xdr:row>47</xdr:row>
                    <xdr:rowOff>9525</xdr:rowOff>
                  </to>
                </anchor>
              </controlPr>
            </control>
          </mc:Choice>
        </mc:AlternateContent>
        <mc:AlternateContent xmlns:mc="http://schemas.openxmlformats.org/markup-compatibility/2006">
          <mc:Choice Requires="x14">
            <control shapeId="1300" r:id="rId60" name="Option Button 276">
              <controlPr defaultSize="0" autoFill="0" autoLine="0" autoPict="0">
                <anchor moveWithCells="1">
                  <from>
                    <xdr:col>2</xdr:col>
                    <xdr:colOff>19050</xdr:colOff>
                    <xdr:row>49</xdr:row>
                    <xdr:rowOff>180975</xdr:rowOff>
                  </from>
                  <to>
                    <xdr:col>2</xdr:col>
                    <xdr:colOff>2162175</xdr:colOff>
                    <xdr:row>51</xdr:row>
                    <xdr:rowOff>9525</xdr:rowOff>
                  </to>
                </anchor>
              </controlPr>
            </control>
          </mc:Choice>
        </mc:AlternateContent>
        <mc:AlternateContent xmlns:mc="http://schemas.openxmlformats.org/markup-compatibility/2006">
          <mc:Choice Requires="x14">
            <control shapeId="1302" r:id="rId61" name="Option Button 278">
              <controlPr defaultSize="0" autoFill="0" autoLine="0" autoPict="0">
                <anchor moveWithCells="1">
                  <from>
                    <xdr:col>4</xdr:col>
                    <xdr:colOff>66675</xdr:colOff>
                    <xdr:row>49</xdr:row>
                    <xdr:rowOff>171450</xdr:rowOff>
                  </from>
                  <to>
                    <xdr:col>4</xdr:col>
                    <xdr:colOff>2581275</xdr:colOff>
                    <xdr:row>51</xdr:row>
                    <xdr:rowOff>9525</xdr:rowOff>
                  </to>
                </anchor>
              </controlPr>
            </control>
          </mc:Choice>
        </mc:AlternateContent>
        <mc:AlternateContent xmlns:mc="http://schemas.openxmlformats.org/markup-compatibility/2006">
          <mc:Choice Requires="x14">
            <control shapeId="1312" r:id="rId62" name="Check Box 288">
              <controlPr defaultSize="0" autoFill="0" autoLine="0" autoPict="0" altText="Biobased">
                <anchor moveWithCells="1">
                  <from>
                    <xdr:col>2</xdr:col>
                    <xdr:colOff>0</xdr:colOff>
                    <xdr:row>63</xdr:row>
                    <xdr:rowOff>171450</xdr:rowOff>
                  </from>
                  <to>
                    <xdr:col>2</xdr:col>
                    <xdr:colOff>1962150</xdr:colOff>
                    <xdr:row>65</xdr:row>
                    <xdr:rowOff>28575</xdr:rowOff>
                  </to>
                </anchor>
              </controlPr>
            </control>
          </mc:Choice>
        </mc:AlternateContent>
        <mc:AlternateContent xmlns:mc="http://schemas.openxmlformats.org/markup-compatibility/2006">
          <mc:Choice Requires="x14">
            <control shapeId="1314" r:id="rId63" name="Check Box 290">
              <controlPr defaultSize="0" autoFill="0" autoLine="0" autoPict="0" altText="Biobased">
                <anchor moveWithCells="1">
                  <from>
                    <xdr:col>2</xdr:col>
                    <xdr:colOff>0</xdr:colOff>
                    <xdr:row>65</xdr:row>
                    <xdr:rowOff>171450</xdr:rowOff>
                  </from>
                  <to>
                    <xdr:col>2</xdr:col>
                    <xdr:colOff>1962150</xdr:colOff>
                    <xdr:row>67</xdr:row>
                    <xdr:rowOff>28575</xdr:rowOff>
                  </to>
                </anchor>
              </controlPr>
            </control>
          </mc:Choice>
        </mc:AlternateContent>
        <mc:AlternateContent xmlns:mc="http://schemas.openxmlformats.org/markup-compatibility/2006">
          <mc:Choice Requires="x14">
            <control shapeId="1316" r:id="rId64" name="Check Box 292">
              <controlPr defaultSize="0" autoFill="0" autoLine="0" autoPict="0" altText="Biobased">
                <anchor moveWithCells="1">
                  <from>
                    <xdr:col>2</xdr:col>
                    <xdr:colOff>0</xdr:colOff>
                    <xdr:row>67</xdr:row>
                    <xdr:rowOff>171450</xdr:rowOff>
                  </from>
                  <to>
                    <xdr:col>2</xdr:col>
                    <xdr:colOff>1962150</xdr:colOff>
                    <xdr:row>69</xdr:row>
                    <xdr:rowOff>28575</xdr:rowOff>
                  </to>
                </anchor>
              </controlPr>
            </control>
          </mc:Choice>
        </mc:AlternateContent>
        <mc:AlternateContent xmlns:mc="http://schemas.openxmlformats.org/markup-compatibility/2006">
          <mc:Choice Requires="x14">
            <control shapeId="1317" r:id="rId65" name="Option Button 293">
              <controlPr defaultSize="0" autoFill="0" autoLine="0" autoPict="0">
                <anchor moveWithCells="1">
                  <from>
                    <xdr:col>4</xdr:col>
                    <xdr:colOff>47625</xdr:colOff>
                    <xdr:row>155</xdr:row>
                    <xdr:rowOff>180975</xdr:rowOff>
                  </from>
                  <to>
                    <xdr:col>4</xdr:col>
                    <xdr:colOff>2552700</xdr:colOff>
                    <xdr:row>157</xdr:row>
                    <xdr:rowOff>19050</xdr:rowOff>
                  </to>
                </anchor>
              </controlPr>
            </control>
          </mc:Choice>
        </mc:AlternateContent>
        <mc:AlternateContent xmlns:mc="http://schemas.openxmlformats.org/markup-compatibility/2006">
          <mc:Choice Requires="x14">
            <control shapeId="1318" r:id="rId66" name="Option Button 294">
              <controlPr defaultSize="0" autoFill="0" autoLine="0" autoPict="0">
                <anchor moveWithCells="1">
                  <from>
                    <xdr:col>4</xdr:col>
                    <xdr:colOff>47625</xdr:colOff>
                    <xdr:row>156</xdr:row>
                    <xdr:rowOff>180975</xdr:rowOff>
                  </from>
                  <to>
                    <xdr:col>4</xdr:col>
                    <xdr:colOff>2524125</xdr:colOff>
                    <xdr:row>158</xdr:row>
                    <xdr:rowOff>19050</xdr:rowOff>
                  </to>
                </anchor>
              </controlPr>
            </control>
          </mc:Choice>
        </mc:AlternateContent>
        <mc:AlternateContent xmlns:mc="http://schemas.openxmlformats.org/markup-compatibility/2006">
          <mc:Choice Requires="x14">
            <control shapeId="1319" r:id="rId67" name="Group Box 295">
              <controlPr defaultSize="0" autoFill="0" autoPict="0">
                <anchor moveWithCells="1">
                  <from>
                    <xdr:col>4</xdr:col>
                    <xdr:colOff>0</xdr:colOff>
                    <xdr:row>155</xdr:row>
                    <xdr:rowOff>0</xdr:rowOff>
                  </from>
                  <to>
                    <xdr:col>4</xdr:col>
                    <xdr:colOff>2695575</xdr:colOff>
                    <xdr:row>160</xdr:row>
                    <xdr:rowOff>114300</xdr:rowOff>
                  </to>
                </anchor>
              </controlPr>
            </control>
          </mc:Choice>
        </mc:AlternateContent>
        <mc:AlternateContent xmlns:mc="http://schemas.openxmlformats.org/markup-compatibility/2006">
          <mc:Choice Requires="x14">
            <control shapeId="1320" r:id="rId68" name="Option Button 296">
              <controlPr defaultSize="0" autoFill="0" autoLine="0" autoPict="0">
                <anchor moveWithCells="1">
                  <from>
                    <xdr:col>4</xdr:col>
                    <xdr:colOff>47625</xdr:colOff>
                    <xdr:row>157</xdr:row>
                    <xdr:rowOff>180975</xdr:rowOff>
                  </from>
                  <to>
                    <xdr:col>4</xdr:col>
                    <xdr:colOff>2552700</xdr:colOff>
                    <xdr:row>159</xdr:row>
                    <xdr:rowOff>19050</xdr:rowOff>
                  </to>
                </anchor>
              </controlPr>
            </control>
          </mc:Choice>
        </mc:AlternateContent>
        <mc:AlternateContent xmlns:mc="http://schemas.openxmlformats.org/markup-compatibility/2006">
          <mc:Choice Requires="x14">
            <control shapeId="1321" r:id="rId69" name="Option Button 297">
              <controlPr defaultSize="0" autoFill="0" autoLine="0" autoPict="0">
                <anchor moveWithCells="1">
                  <from>
                    <xdr:col>2</xdr:col>
                    <xdr:colOff>66675</xdr:colOff>
                    <xdr:row>219</xdr:row>
                    <xdr:rowOff>180975</xdr:rowOff>
                  </from>
                  <to>
                    <xdr:col>2</xdr:col>
                    <xdr:colOff>2228850</xdr:colOff>
                    <xdr:row>221</xdr:row>
                    <xdr:rowOff>9525</xdr:rowOff>
                  </to>
                </anchor>
              </controlPr>
            </control>
          </mc:Choice>
        </mc:AlternateContent>
        <mc:AlternateContent xmlns:mc="http://schemas.openxmlformats.org/markup-compatibility/2006">
          <mc:Choice Requires="x14">
            <control shapeId="1322" r:id="rId70" name="Option Button 298">
              <controlPr defaultSize="0" autoFill="0" autoLine="0" autoPict="0">
                <anchor moveWithCells="1">
                  <from>
                    <xdr:col>2</xdr:col>
                    <xdr:colOff>66675</xdr:colOff>
                    <xdr:row>220</xdr:row>
                    <xdr:rowOff>180975</xdr:rowOff>
                  </from>
                  <to>
                    <xdr:col>2</xdr:col>
                    <xdr:colOff>2314575</xdr:colOff>
                    <xdr:row>222</xdr:row>
                    <xdr:rowOff>9525</xdr:rowOff>
                  </to>
                </anchor>
              </controlPr>
            </control>
          </mc:Choice>
        </mc:AlternateContent>
        <mc:AlternateContent xmlns:mc="http://schemas.openxmlformats.org/markup-compatibility/2006">
          <mc:Choice Requires="x14">
            <control shapeId="1323" r:id="rId71" name="Option Button 299">
              <controlPr defaultSize="0" autoFill="0" autoLine="0" autoPict="0">
                <anchor moveWithCells="1">
                  <from>
                    <xdr:col>2</xdr:col>
                    <xdr:colOff>66675</xdr:colOff>
                    <xdr:row>221</xdr:row>
                    <xdr:rowOff>180975</xdr:rowOff>
                  </from>
                  <to>
                    <xdr:col>2</xdr:col>
                    <xdr:colOff>2181225</xdr:colOff>
                    <xdr:row>223</xdr:row>
                    <xdr:rowOff>9525</xdr:rowOff>
                  </to>
                </anchor>
              </controlPr>
            </control>
          </mc:Choice>
        </mc:AlternateContent>
        <mc:AlternateContent xmlns:mc="http://schemas.openxmlformats.org/markup-compatibility/2006">
          <mc:Choice Requires="x14">
            <control shapeId="1324" r:id="rId72" name="Option Button 300">
              <controlPr defaultSize="0" autoFill="0" autoLine="0" autoPict="0">
                <anchor moveWithCells="1">
                  <from>
                    <xdr:col>2</xdr:col>
                    <xdr:colOff>66675</xdr:colOff>
                    <xdr:row>222</xdr:row>
                    <xdr:rowOff>180975</xdr:rowOff>
                  </from>
                  <to>
                    <xdr:col>2</xdr:col>
                    <xdr:colOff>2324100</xdr:colOff>
                    <xdr:row>224</xdr:row>
                    <xdr:rowOff>9525</xdr:rowOff>
                  </to>
                </anchor>
              </controlPr>
            </control>
          </mc:Choice>
        </mc:AlternateContent>
        <mc:AlternateContent xmlns:mc="http://schemas.openxmlformats.org/markup-compatibility/2006">
          <mc:Choice Requires="x14">
            <control shapeId="1325" r:id="rId73" name="Option Button 301">
              <controlPr defaultSize="0" autoFill="0" autoLine="0" autoPict="0">
                <anchor moveWithCells="1">
                  <from>
                    <xdr:col>2</xdr:col>
                    <xdr:colOff>66675</xdr:colOff>
                    <xdr:row>223</xdr:row>
                    <xdr:rowOff>180975</xdr:rowOff>
                  </from>
                  <to>
                    <xdr:col>2</xdr:col>
                    <xdr:colOff>2333625</xdr:colOff>
                    <xdr:row>225</xdr:row>
                    <xdr:rowOff>9525</xdr:rowOff>
                  </to>
                </anchor>
              </controlPr>
            </control>
          </mc:Choice>
        </mc:AlternateContent>
        <mc:AlternateContent xmlns:mc="http://schemas.openxmlformats.org/markup-compatibility/2006">
          <mc:Choice Requires="x14">
            <control shapeId="1327" r:id="rId74" name="Group Box 303">
              <controlPr defaultSize="0" autoFill="0" autoPict="0">
                <anchor moveWithCells="1">
                  <from>
                    <xdr:col>2</xdr:col>
                    <xdr:colOff>9525</xdr:colOff>
                    <xdr:row>219</xdr:row>
                    <xdr:rowOff>0</xdr:rowOff>
                  </from>
                  <to>
                    <xdr:col>2</xdr:col>
                    <xdr:colOff>2819400</xdr:colOff>
                    <xdr:row>225</xdr:row>
                    <xdr:rowOff>76200</xdr:rowOff>
                  </to>
                </anchor>
              </controlPr>
            </control>
          </mc:Choice>
        </mc:AlternateContent>
        <mc:AlternateContent xmlns:mc="http://schemas.openxmlformats.org/markup-compatibility/2006">
          <mc:Choice Requires="x14">
            <control shapeId="1328" r:id="rId75" name="Option Button 304">
              <controlPr defaultSize="0" autoFill="0" autoLine="0" autoPict="0">
                <anchor moveWithCells="1">
                  <from>
                    <xdr:col>2</xdr:col>
                    <xdr:colOff>85725</xdr:colOff>
                    <xdr:row>232</xdr:row>
                    <xdr:rowOff>180975</xdr:rowOff>
                  </from>
                  <to>
                    <xdr:col>2</xdr:col>
                    <xdr:colOff>2409825</xdr:colOff>
                    <xdr:row>234</xdr:row>
                    <xdr:rowOff>9525</xdr:rowOff>
                  </to>
                </anchor>
              </controlPr>
            </control>
          </mc:Choice>
        </mc:AlternateContent>
        <mc:AlternateContent xmlns:mc="http://schemas.openxmlformats.org/markup-compatibility/2006">
          <mc:Choice Requires="x14">
            <control shapeId="1329" r:id="rId76" name="Option Button 305">
              <controlPr defaultSize="0" autoFill="0" autoLine="0" autoPict="0">
                <anchor moveWithCells="1">
                  <from>
                    <xdr:col>2</xdr:col>
                    <xdr:colOff>85725</xdr:colOff>
                    <xdr:row>233</xdr:row>
                    <xdr:rowOff>180975</xdr:rowOff>
                  </from>
                  <to>
                    <xdr:col>2</xdr:col>
                    <xdr:colOff>2333625</xdr:colOff>
                    <xdr:row>235</xdr:row>
                    <xdr:rowOff>9525</xdr:rowOff>
                  </to>
                </anchor>
              </controlPr>
            </control>
          </mc:Choice>
        </mc:AlternateContent>
        <mc:AlternateContent xmlns:mc="http://schemas.openxmlformats.org/markup-compatibility/2006">
          <mc:Choice Requires="x14">
            <control shapeId="1330" r:id="rId77" name="Group Box 306">
              <controlPr defaultSize="0" autoFill="0" autoPict="0">
                <anchor moveWithCells="1">
                  <from>
                    <xdr:col>2</xdr:col>
                    <xdr:colOff>9525</xdr:colOff>
                    <xdr:row>232</xdr:row>
                    <xdr:rowOff>9525</xdr:rowOff>
                  </from>
                  <to>
                    <xdr:col>2</xdr:col>
                    <xdr:colOff>2819400</xdr:colOff>
                    <xdr:row>235</xdr:row>
                    <xdr:rowOff>76200</xdr:rowOff>
                  </to>
                </anchor>
              </controlPr>
            </control>
          </mc:Choice>
        </mc:AlternateContent>
        <mc:AlternateContent xmlns:mc="http://schemas.openxmlformats.org/markup-compatibility/2006">
          <mc:Choice Requires="x14">
            <control shapeId="1331" r:id="rId78" name="Option Button 307">
              <controlPr defaultSize="0" autoFill="0" autoLine="0" autoPict="0">
                <anchor moveWithCells="1">
                  <from>
                    <xdr:col>4</xdr:col>
                    <xdr:colOff>85725</xdr:colOff>
                    <xdr:row>232</xdr:row>
                    <xdr:rowOff>180975</xdr:rowOff>
                  </from>
                  <to>
                    <xdr:col>4</xdr:col>
                    <xdr:colOff>2476500</xdr:colOff>
                    <xdr:row>234</xdr:row>
                    <xdr:rowOff>9525</xdr:rowOff>
                  </to>
                </anchor>
              </controlPr>
            </control>
          </mc:Choice>
        </mc:AlternateContent>
        <mc:AlternateContent xmlns:mc="http://schemas.openxmlformats.org/markup-compatibility/2006">
          <mc:Choice Requires="x14">
            <control shapeId="1332" r:id="rId79" name="Option Button 308">
              <controlPr defaultSize="0" autoFill="0" autoLine="0" autoPict="0">
                <anchor moveWithCells="1">
                  <from>
                    <xdr:col>4</xdr:col>
                    <xdr:colOff>85725</xdr:colOff>
                    <xdr:row>233</xdr:row>
                    <xdr:rowOff>180975</xdr:rowOff>
                  </from>
                  <to>
                    <xdr:col>4</xdr:col>
                    <xdr:colOff>2514600</xdr:colOff>
                    <xdr:row>235</xdr:row>
                    <xdr:rowOff>38100</xdr:rowOff>
                  </to>
                </anchor>
              </controlPr>
            </control>
          </mc:Choice>
        </mc:AlternateContent>
        <mc:AlternateContent xmlns:mc="http://schemas.openxmlformats.org/markup-compatibility/2006">
          <mc:Choice Requires="x14">
            <control shapeId="1334" r:id="rId80" name="Group Box 310">
              <controlPr defaultSize="0" autoFill="0" autoPict="0">
                <anchor moveWithCells="1">
                  <from>
                    <xdr:col>4</xdr:col>
                    <xdr:colOff>0</xdr:colOff>
                    <xdr:row>232</xdr:row>
                    <xdr:rowOff>0</xdr:rowOff>
                  </from>
                  <to>
                    <xdr:col>4</xdr:col>
                    <xdr:colOff>2695575</xdr:colOff>
                    <xdr:row>235</xdr:row>
                    <xdr:rowOff>104775</xdr:rowOff>
                  </to>
                </anchor>
              </controlPr>
            </control>
          </mc:Choice>
        </mc:AlternateContent>
        <mc:AlternateContent xmlns:mc="http://schemas.openxmlformats.org/markup-compatibility/2006">
          <mc:Choice Requires="x14">
            <control shapeId="1335" r:id="rId81" name="Option Button 311">
              <controlPr defaultSize="0" autoFill="0" autoLine="0" autoPict="0">
                <anchor moveWithCells="1">
                  <from>
                    <xdr:col>4</xdr:col>
                    <xdr:colOff>95250</xdr:colOff>
                    <xdr:row>220</xdr:row>
                    <xdr:rowOff>0</xdr:rowOff>
                  </from>
                  <to>
                    <xdr:col>4</xdr:col>
                    <xdr:colOff>2524125</xdr:colOff>
                    <xdr:row>221</xdr:row>
                    <xdr:rowOff>19050</xdr:rowOff>
                  </to>
                </anchor>
              </controlPr>
            </control>
          </mc:Choice>
        </mc:AlternateContent>
        <mc:AlternateContent xmlns:mc="http://schemas.openxmlformats.org/markup-compatibility/2006">
          <mc:Choice Requires="x14">
            <control shapeId="1336" r:id="rId82" name="Option Button 312">
              <controlPr defaultSize="0" autoFill="0" autoLine="0" autoPict="0">
                <anchor moveWithCells="1">
                  <from>
                    <xdr:col>4</xdr:col>
                    <xdr:colOff>95250</xdr:colOff>
                    <xdr:row>221</xdr:row>
                    <xdr:rowOff>0</xdr:rowOff>
                  </from>
                  <to>
                    <xdr:col>4</xdr:col>
                    <xdr:colOff>2600325</xdr:colOff>
                    <xdr:row>222</xdr:row>
                    <xdr:rowOff>19050</xdr:rowOff>
                  </to>
                </anchor>
              </controlPr>
            </control>
          </mc:Choice>
        </mc:AlternateContent>
        <mc:AlternateContent xmlns:mc="http://schemas.openxmlformats.org/markup-compatibility/2006">
          <mc:Choice Requires="x14">
            <control shapeId="1339" r:id="rId83" name="Group Box 315">
              <controlPr defaultSize="0" autoFill="0" autoPict="0">
                <anchor moveWithCells="1">
                  <from>
                    <xdr:col>4</xdr:col>
                    <xdr:colOff>0</xdr:colOff>
                    <xdr:row>219</xdr:row>
                    <xdr:rowOff>0</xdr:rowOff>
                  </from>
                  <to>
                    <xdr:col>4</xdr:col>
                    <xdr:colOff>2695575</xdr:colOff>
                    <xdr:row>222</xdr:row>
                    <xdr:rowOff>104775</xdr:rowOff>
                  </to>
                </anchor>
              </controlPr>
            </control>
          </mc:Choice>
        </mc:AlternateContent>
        <mc:AlternateContent xmlns:mc="http://schemas.openxmlformats.org/markup-compatibility/2006">
          <mc:Choice Requires="x14">
            <control shapeId="1340" r:id="rId84" name="Option Button 316">
              <controlPr defaultSize="0" autoFill="0" autoLine="0" autoPict="0">
                <anchor moveWithCells="1">
                  <from>
                    <xdr:col>2</xdr:col>
                    <xdr:colOff>85725</xdr:colOff>
                    <xdr:row>239</xdr:row>
                    <xdr:rowOff>142875</xdr:rowOff>
                  </from>
                  <to>
                    <xdr:col>2</xdr:col>
                    <xdr:colOff>2219325</xdr:colOff>
                    <xdr:row>239</xdr:row>
                    <xdr:rowOff>390525</xdr:rowOff>
                  </to>
                </anchor>
              </controlPr>
            </control>
          </mc:Choice>
        </mc:AlternateContent>
        <mc:AlternateContent xmlns:mc="http://schemas.openxmlformats.org/markup-compatibility/2006">
          <mc:Choice Requires="x14">
            <control shapeId="1342" r:id="rId85" name="Option Button 318">
              <controlPr defaultSize="0" autoFill="0" autoLine="0" autoPict="0">
                <anchor moveWithCells="1">
                  <from>
                    <xdr:col>2</xdr:col>
                    <xdr:colOff>85725</xdr:colOff>
                    <xdr:row>239</xdr:row>
                    <xdr:rowOff>352425</xdr:rowOff>
                  </from>
                  <to>
                    <xdr:col>2</xdr:col>
                    <xdr:colOff>2124075</xdr:colOff>
                    <xdr:row>239</xdr:row>
                    <xdr:rowOff>571500</xdr:rowOff>
                  </to>
                </anchor>
              </controlPr>
            </control>
          </mc:Choice>
        </mc:AlternateContent>
        <mc:AlternateContent xmlns:mc="http://schemas.openxmlformats.org/markup-compatibility/2006">
          <mc:Choice Requires="x14">
            <control shapeId="1343" r:id="rId86" name="Group Box 319">
              <controlPr defaultSize="0" autoFill="0" autoPict="0">
                <anchor moveWithCells="1">
                  <from>
                    <xdr:col>2</xdr:col>
                    <xdr:colOff>9525</xdr:colOff>
                    <xdr:row>239</xdr:row>
                    <xdr:rowOff>9525</xdr:rowOff>
                  </from>
                  <to>
                    <xdr:col>2</xdr:col>
                    <xdr:colOff>2819400</xdr:colOff>
                    <xdr:row>239</xdr:row>
                    <xdr:rowOff>647700</xdr:rowOff>
                  </to>
                </anchor>
              </controlPr>
            </control>
          </mc:Choice>
        </mc:AlternateContent>
        <mc:AlternateContent xmlns:mc="http://schemas.openxmlformats.org/markup-compatibility/2006">
          <mc:Choice Requires="x14">
            <control shapeId="1344" r:id="rId87" name="Option Button 320">
              <controlPr defaultSize="0" autoFill="0" autoLine="0" autoPict="0">
                <anchor moveWithCells="1">
                  <from>
                    <xdr:col>2</xdr:col>
                    <xdr:colOff>95250</xdr:colOff>
                    <xdr:row>241</xdr:row>
                    <xdr:rowOff>180975</xdr:rowOff>
                  </from>
                  <to>
                    <xdr:col>2</xdr:col>
                    <xdr:colOff>2038350</xdr:colOff>
                    <xdr:row>242</xdr:row>
                    <xdr:rowOff>9525</xdr:rowOff>
                  </to>
                </anchor>
              </controlPr>
            </control>
          </mc:Choice>
        </mc:AlternateContent>
        <mc:AlternateContent xmlns:mc="http://schemas.openxmlformats.org/markup-compatibility/2006">
          <mc:Choice Requires="x14">
            <control shapeId="1345" r:id="rId88" name="Option Button 321">
              <controlPr defaultSize="0" autoFill="0" autoLine="0" autoPict="0">
                <anchor moveWithCells="1">
                  <from>
                    <xdr:col>2</xdr:col>
                    <xdr:colOff>95250</xdr:colOff>
                    <xdr:row>242</xdr:row>
                    <xdr:rowOff>0</xdr:rowOff>
                  </from>
                  <to>
                    <xdr:col>2</xdr:col>
                    <xdr:colOff>2171700</xdr:colOff>
                    <xdr:row>243</xdr:row>
                    <xdr:rowOff>19050</xdr:rowOff>
                  </to>
                </anchor>
              </controlPr>
            </control>
          </mc:Choice>
        </mc:AlternateContent>
        <mc:AlternateContent xmlns:mc="http://schemas.openxmlformats.org/markup-compatibility/2006">
          <mc:Choice Requires="x14">
            <control shapeId="1346" r:id="rId89" name="Group Box 322">
              <controlPr defaultSize="0" autoFill="0" autoPict="0">
                <anchor moveWithCells="1">
                  <from>
                    <xdr:col>2</xdr:col>
                    <xdr:colOff>9525</xdr:colOff>
                    <xdr:row>241</xdr:row>
                    <xdr:rowOff>0</xdr:rowOff>
                  </from>
                  <to>
                    <xdr:col>2</xdr:col>
                    <xdr:colOff>2819400</xdr:colOff>
                    <xdr:row>243</xdr:row>
                    <xdr:rowOff>85725</xdr:rowOff>
                  </to>
                </anchor>
              </controlPr>
            </control>
          </mc:Choice>
        </mc:AlternateContent>
        <mc:AlternateContent xmlns:mc="http://schemas.openxmlformats.org/markup-compatibility/2006">
          <mc:Choice Requires="x14">
            <control shapeId="1347" r:id="rId90" name="Option Button 323">
              <controlPr defaultSize="0" autoFill="0" autoLine="0" autoPict="0">
                <anchor moveWithCells="1">
                  <from>
                    <xdr:col>2</xdr:col>
                    <xdr:colOff>104775</xdr:colOff>
                    <xdr:row>245</xdr:row>
                    <xdr:rowOff>171450</xdr:rowOff>
                  </from>
                  <to>
                    <xdr:col>2</xdr:col>
                    <xdr:colOff>2133600</xdr:colOff>
                    <xdr:row>246</xdr:row>
                    <xdr:rowOff>9525</xdr:rowOff>
                  </to>
                </anchor>
              </controlPr>
            </control>
          </mc:Choice>
        </mc:AlternateContent>
        <mc:AlternateContent xmlns:mc="http://schemas.openxmlformats.org/markup-compatibility/2006">
          <mc:Choice Requires="x14">
            <control shapeId="1348" r:id="rId91" name="Option Button 324">
              <controlPr defaultSize="0" autoFill="0" autoLine="0" autoPict="0">
                <anchor moveWithCells="1">
                  <from>
                    <xdr:col>2</xdr:col>
                    <xdr:colOff>104775</xdr:colOff>
                    <xdr:row>246</xdr:row>
                    <xdr:rowOff>0</xdr:rowOff>
                  </from>
                  <to>
                    <xdr:col>2</xdr:col>
                    <xdr:colOff>2171700</xdr:colOff>
                    <xdr:row>247</xdr:row>
                    <xdr:rowOff>47625</xdr:rowOff>
                  </to>
                </anchor>
              </controlPr>
            </control>
          </mc:Choice>
        </mc:AlternateContent>
        <mc:AlternateContent xmlns:mc="http://schemas.openxmlformats.org/markup-compatibility/2006">
          <mc:Choice Requires="x14">
            <control shapeId="1349" r:id="rId92" name="Group Box 325">
              <controlPr defaultSize="0" autoFill="0" autoPict="0">
                <anchor moveWithCells="1">
                  <from>
                    <xdr:col>2</xdr:col>
                    <xdr:colOff>9525</xdr:colOff>
                    <xdr:row>245</xdr:row>
                    <xdr:rowOff>9525</xdr:rowOff>
                  </from>
                  <to>
                    <xdr:col>2</xdr:col>
                    <xdr:colOff>2819400</xdr:colOff>
                    <xdr:row>247</xdr:row>
                    <xdr:rowOff>85725</xdr:rowOff>
                  </to>
                </anchor>
              </controlPr>
            </control>
          </mc:Choice>
        </mc:AlternateContent>
        <mc:AlternateContent xmlns:mc="http://schemas.openxmlformats.org/markup-compatibility/2006">
          <mc:Choice Requires="x14">
            <control shapeId="1350" r:id="rId93" name="Option Button 326">
              <controlPr defaultSize="0" autoFill="0" autoLine="0" autoPict="0">
                <anchor moveWithCells="1">
                  <from>
                    <xdr:col>2</xdr:col>
                    <xdr:colOff>114300</xdr:colOff>
                    <xdr:row>249</xdr:row>
                    <xdr:rowOff>180975</xdr:rowOff>
                  </from>
                  <to>
                    <xdr:col>2</xdr:col>
                    <xdr:colOff>1943100</xdr:colOff>
                    <xdr:row>250</xdr:row>
                    <xdr:rowOff>9525</xdr:rowOff>
                  </to>
                </anchor>
              </controlPr>
            </control>
          </mc:Choice>
        </mc:AlternateContent>
        <mc:AlternateContent xmlns:mc="http://schemas.openxmlformats.org/markup-compatibility/2006">
          <mc:Choice Requires="x14">
            <control shapeId="1351" r:id="rId94" name="Option Button 327">
              <controlPr defaultSize="0" autoFill="0" autoLine="0" autoPict="0">
                <anchor moveWithCells="1">
                  <from>
                    <xdr:col>2</xdr:col>
                    <xdr:colOff>114300</xdr:colOff>
                    <xdr:row>250</xdr:row>
                    <xdr:rowOff>0</xdr:rowOff>
                  </from>
                  <to>
                    <xdr:col>2</xdr:col>
                    <xdr:colOff>2143125</xdr:colOff>
                    <xdr:row>251</xdr:row>
                    <xdr:rowOff>19050</xdr:rowOff>
                  </to>
                </anchor>
              </controlPr>
            </control>
          </mc:Choice>
        </mc:AlternateContent>
        <mc:AlternateContent xmlns:mc="http://schemas.openxmlformats.org/markup-compatibility/2006">
          <mc:Choice Requires="x14">
            <control shapeId="1353" r:id="rId95" name="Group Box 329">
              <controlPr defaultSize="0" autoFill="0" autoPict="0">
                <anchor moveWithCells="1">
                  <from>
                    <xdr:col>2</xdr:col>
                    <xdr:colOff>0</xdr:colOff>
                    <xdr:row>249</xdr:row>
                    <xdr:rowOff>0</xdr:rowOff>
                  </from>
                  <to>
                    <xdr:col>2</xdr:col>
                    <xdr:colOff>2809875</xdr:colOff>
                    <xdr:row>251</xdr:row>
                    <xdr:rowOff>57150</xdr:rowOff>
                  </to>
                </anchor>
              </controlPr>
            </control>
          </mc:Choice>
        </mc:AlternateContent>
        <mc:AlternateContent xmlns:mc="http://schemas.openxmlformats.org/markup-compatibility/2006">
          <mc:Choice Requires="x14">
            <control shapeId="1356" r:id="rId96" name="Option Button 332">
              <controlPr defaultSize="0" autoFill="0" autoLine="0" autoPict="0">
                <anchor moveWithCells="1">
                  <from>
                    <xdr:col>2</xdr:col>
                    <xdr:colOff>85725</xdr:colOff>
                    <xdr:row>75</xdr:row>
                    <xdr:rowOff>390525</xdr:rowOff>
                  </from>
                  <to>
                    <xdr:col>2</xdr:col>
                    <xdr:colOff>2457450</xdr:colOff>
                    <xdr:row>75</xdr:row>
                    <xdr:rowOff>609600</xdr:rowOff>
                  </to>
                </anchor>
              </controlPr>
            </control>
          </mc:Choice>
        </mc:AlternateContent>
        <mc:AlternateContent xmlns:mc="http://schemas.openxmlformats.org/markup-compatibility/2006">
          <mc:Choice Requires="x14">
            <control shapeId="1357" r:id="rId97" name="Option Button 333">
              <controlPr defaultSize="0" autoFill="0" autoLine="0" autoPict="0">
                <anchor moveWithCells="1">
                  <from>
                    <xdr:col>2</xdr:col>
                    <xdr:colOff>85725</xdr:colOff>
                    <xdr:row>75</xdr:row>
                    <xdr:rowOff>590550</xdr:rowOff>
                  </from>
                  <to>
                    <xdr:col>2</xdr:col>
                    <xdr:colOff>2790825</xdr:colOff>
                    <xdr:row>75</xdr:row>
                    <xdr:rowOff>809625</xdr:rowOff>
                  </to>
                </anchor>
              </controlPr>
            </control>
          </mc:Choice>
        </mc:AlternateContent>
        <mc:AlternateContent xmlns:mc="http://schemas.openxmlformats.org/markup-compatibility/2006">
          <mc:Choice Requires="x14">
            <control shapeId="1359" r:id="rId98" name="Group Box 335">
              <controlPr defaultSize="0" autoFill="0" autoPict="0">
                <anchor moveWithCells="1">
                  <from>
                    <xdr:col>2</xdr:col>
                    <xdr:colOff>0</xdr:colOff>
                    <xdr:row>75</xdr:row>
                    <xdr:rowOff>228600</xdr:rowOff>
                  </from>
                  <to>
                    <xdr:col>2</xdr:col>
                    <xdr:colOff>2809875</xdr:colOff>
                    <xdr:row>76</xdr:row>
                    <xdr:rowOff>9525</xdr:rowOff>
                  </to>
                </anchor>
              </controlPr>
            </control>
          </mc:Choice>
        </mc:AlternateContent>
        <mc:AlternateContent xmlns:mc="http://schemas.openxmlformats.org/markup-compatibility/2006">
          <mc:Choice Requires="x14">
            <control shapeId="1360" r:id="rId99" name="Option Button 336">
              <controlPr defaultSize="0" autoFill="0" autoLine="0" autoPict="0">
                <anchor moveWithCells="1">
                  <from>
                    <xdr:col>2</xdr:col>
                    <xdr:colOff>95250</xdr:colOff>
                    <xdr:row>82</xdr:row>
                    <xdr:rowOff>180975</xdr:rowOff>
                  </from>
                  <to>
                    <xdr:col>2</xdr:col>
                    <xdr:colOff>2171700</xdr:colOff>
                    <xdr:row>84</xdr:row>
                    <xdr:rowOff>19050</xdr:rowOff>
                  </to>
                </anchor>
              </controlPr>
            </control>
          </mc:Choice>
        </mc:AlternateContent>
        <mc:AlternateContent xmlns:mc="http://schemas.openxmlformats.org/markup-compatibility/2006">
          <mc:Choice Requires="x14">
            <control shapeId="1363" r:id="rId100" name="Group Box 339">
              <controlPr defaultSize="0" autoFill="0" autoPict="0">
                <anchor moveWithCells="1">
                  <from>
                    <xdr:col>2</xdr:col>
                    <xdr:colOff>0</xdr:colOff>
                    <xdr:row>82</xdr:row>
                    <xdr:rowOff>0</xdr:rowOff>
                  </from>
                  <to>
                    <xdr:col>2</xdr:col>
                    <xdr:colOff>2809875</xdr:colOff>
                    <xdr:row>85</xdr:row>
                    <xdr:rowOff>19050</xdr:rowOff>
                  </to>
                </anchor>
              </controlPr>
            </control>
          </mc:Choice>
        </mc:AlternateContent>
        <mc:AlternateContent xmlns:mc="http://schemas.openxmlformats.org/markup-compatibility/2006">
          <mc:Choice Requires="x14">
            <control shapeId="1364" r:id="rId101" name="Option Button 340">
              <controlPr defaultSize="0" autoFill="0" autoLine="0" autoPict="0">
                <anchor moveWithCells="1">
                  <from>
                    <xdr:col>2</xdr:col>
                    <xdr:colOff>114300</xdr:colOff>
                    <xdr:row>78</xdr:row>
                    <xdr:rowOff>180975</xdr:rowOff>
                  </from>
                  <to>
                    <xdr:col>2</xdr:col>
                    <xdr:colOff>2286000</xdr:colOff>
                    <xdr:row>80</xdr:row>
                    <xdr:rowOff>19050</xdr:rowOff>
                  </to>
                </anchor>
              </controlPr>
            </control>
          </mc:Choice>
        </mc:AlternateContent>
        <mc:AlternateContent xmlns:mc="http://schemas.openxmlformats.org/markup-compatibility/2006">
          <mc:Choice Requires="x14">
            <control shapeId="1365" r:id="rId102" name="Option Button 341">
              <controlPr defaultSize="0" autoFill="0" autoLine="0" autoPict="0">
                <anchor moveWithCells="1">
                  <from>
                    <xdr:col>2</xdr:col>
                    <xdr:colOff>114300</xdr:colOff>
                    <xdr:row>79</xdr:row>
                    <xdr:rowOff>180975</xdr:rowOff>
                  </from>
                  <to>
                    <xdr:col>2</xdr:col>
                    <xdr:colOff>2266950</xdr:colOff>
                    <xdr:row>81</xdr:row>
                    <xdr:rowOff>19050</xdr:rowOff>
                  </to>
                </anchor>
              </controlPr>
            </control>
          </mc:Choice>
        </mc:AlternateContent>
        <mc:AlternateContent xmlns:mc="http://schemas.openxmlformats.org/markup-compatibility/2006">
          <mc:Choice Requires="x14">
            <control shapeId="1366" r:id="rId103" name="Group Box 342">
              <controlPr defaultSize="0" autoFill="0" autoPict="0">
                <anchor moveWithCells="1">
                  <from>
                    <xdr:col>2</xdr:col>
                    <xdr:colOff>0</xdr:colOff>
                    <xdr:row>78</xdr:row>
                    <xdr:rowOff>0</xdr:rowOff>
                  </from>
                  <to>
                    <xdr:col>2</xdr:col>
                    <xdr:colOff>2809875</xdr:colOff>
                    <xdr:row>81</xdr:row>
                    <xdr:rowOff>19050</xdr:rowOff>
                  </to>
                </anchor>
              </controlPr>
            </control>
          </mc:Choice>
        </mc:AlternateContent>
        <mc:AlternateContent xmlns:mc="http://schemas.openxmlformats.org/markup-compatibility/2006">
          <mc:Choice Requires="x14">
            <control shapeId="1367" r:id="rId104" name="Option Button 343">
              <controlPr defaultSize="0" autoFill="0" autoLine="0" autoPict="0">
                <anchor moveWithCells="1">
                  <from>
                    <xdr:col>2</xdr:col>
                    <xdr:colOff>123825</xdr:colOff>
                    <xdr:row>102</xdr:row>
                    <xdr:rowOff>180975</xdr:rowOff>
                  </from>
                  <to>
                    <xdr:col>2</xdr:col>
                    <xdr:colOff>2228850</xdr:colOff>
                    <xdr:row>104</xdr:row>
                    <xdr:rowOff>19050</xdr:rowOff>
                  </to>
                </anchor>
              </controlPr>
            </control>
          </mc:Choice>
        </mc:AlternateContent>
        <mc:AlternateContent xmlns:mc="http://schemas.openxmlformats.org/markup-compatibility/2006">
          <mc:Choice Requires="x14">
            <control shapeId="1368" r:id="rId105" name="Option Button 344">
              <controlPr defaultSize="0" autoFill="0" autoLine="0" autoPict="0">
                <anchor moveWithCells="1">
                  <from>
                    <xdr:col>2</xdr:col>
                    <xdr:colOff>123825</xdr:colOff>
                    <xdr:row>103</xdr:row>
                    <xdr:rowOff>180975</xdr:rowOff>
                  </from>
                  <to>
                    <xdr:col>2</xdr:col>
                    <xdr:colOff>2124075</xdr:colOff>
                    <xdr:row>105</xdr:row>
                    <xdr:rowOff>19050</xdr:rowOff>
                  </to>
                </anchor>
              </controlPr>
            </control>
          </mc:Choice>
        </mc:AlternateContent>
        <mc:AlternateContent xmlns:mc="http://schemas.openxmlformats.org/markup-compatibility/2006">
          <mc:Choice Requires="x14">
            <control shapeId="1369" r:id="rId106" name="Group Box 345">
              <controlPr defaultSize="0" autoFill="0" autoPict="0">
                <anchor moveWithCells="1">
                  <from>
                    <xdr:col>2</xdr:col>
                    <xdr:colOff>0</xdr:colOff>
                    <xdr:row>102</xdr:row>
                    <xdr:rowOff>0</xdr:rowOff>
                  </from>
                  <to>
                    <xdr:col>2</xdr:col>
                    <xdr:colOff>2809875</xdr:colOff>
                    <xdr:row>105</xdr:row>
                    <xdr:rowOff>19050</xdr:rowOff>
                  </to>
                </anchor>
              </controlPr>
            </control>
          </mc:Choice>
        </mc:AlternateContent>
        <mc:AlternateContent xmlns:mc="http://schemas.openxmlformats.org/markup-compatibility/2006">
          <mc:Choice Requires="x14">
            <control shapeId="1370" r:id="rId107" name="Option Button 346">
              <controlPr defaultSize="0" autoFill="0" autoLine="0" autoPict="0">
                <anchor moveWithCells="1">
                  <from>
                    <xdr:col>2</xdr:col>
                    <xdr:colOff>114300</xdr:colOff>
                    <xdr:row>98</xdr:row>
                    <xdr:rowOff>171450</xdr:rowOff>
                  </from>
                  <to>
                    <xdr:col>2</xdr:col>
                    <xdr:colOff>2305050</xdr:colOff>
                    <xdr:row>100</xdr:row>
                    <xdr:rowOff>9525</xdr:rowOff>
                  </to>
                </anchor>
              </controlPr>
            </control>
          </mc:Choice>
        </mc:AlternateContent>
        <mc:AlternateContent xmlns:mc="http://schemas.openxmlformats.org/markup-compatibility/2006">
          <mc:Choice Requires="x14">
            <control shapeId="1371" r:id="rId108" name="Option Button 347">
              <controlPr defaultSize="0" autoFill="0" autoLine="0" autoPict="0">
                <anchor moveWithCells="1">
                  <from>
                    <xdr:col>2</xdr:col>
                    <xdr:colOff>114300</xdr:colOff>
                    <xdr:row>99</xdr:row>
                    <xdr:rowOff>171450</xdr:rowOff>
                  </from>
                  <to>
                    <xdr:col>2</xdr:col>
                    <xdr:colOff>2238375</xdr:colOff>
                    <xdr:row>101</xdr:row>
                    <xdr:rowOff>9525</xdr:rowOff>
                  </to>
                </anchor>
              </controlPr>
            </control>
          </mc:Choice>
        </mc:AlternateContent>
        <mc:AlternateContent xmlns:mc="http://schemas.openxmlformats.org/markup-compatibility/2006">
          <mc:Choice Requires="x14">
            <control shapeId="1372" r:id="rId109" name="Group Box 348">
              <controlPr defaultSize="0" autoFill="0" autoPict="0">
                <anchor moveWithCells="1">
                  <from>
                    <xdr:col>2</xdr:col>
                    <xdr:colOff>0</xdr:colOff>
                    <xdr:row>98</xdr:row>
                    <xdr:rowOff>0</xdr:rowOff>
                  </from>
                  <to>
                    <xdr:col>2</xdr:col>
                    <xdr:colOff>2809875</xdr:colOff>
                    <xdr:row>101</xdr:row>
                    <xdr:rowOff>19050</xdr:rowOff>
                  </to>
                </anchor>
              </controlPr>
            </control>
          </mc:Choice>
        </mc:AlternateContent>
        <mc:AlternateContent xmlns:mc="http://schemas.openxmlformats.org/markup-compatibility/2006">
          <mc:Choice Requires="x14">
            <control shapeId="1373" r:id="rId110" name="Option Button 349">
              <controlPr defaultSize="0" autoFill="0" autoLine="0" autoPict="0">
                <anchor moveWithCells="1">
                  <from>
                    <xdr:col>2</xdr:col>
                    <xdr:colOff>123825</xdr:colOff>
                    <xdr:row>118</xdr:row>
                    <xdr:rowOff>180975</xdr:rowOff>
                  </from>
                  <to>
                    <xdr:col>2</xdr:col>
                    <xdr:colOff>2200275</xdr:colOff>
                    <xdr:row>120</xdr:row>
                    <xdr:rowOff>19050</xdr:rowOff>
                  </to>
                </anchor>
              </controlPr>
            </control>
          </mc:Choice>
        </mc:AlternateContent>
        <mc:AlternateContent xmlns:mc="http://schemas.openxmlformats.org/markup-compatibility/2006">
          <mc:Choice Requires="x14">
            <control shapeId="1374" r:id="rId111" name="Option Button 350">
              <controlPr defaultSize="0" autoFill="0" autoLine="0" autoPict="0">
                <anchor moveWithCells="1">
                  <from>
                    <xdr:col>2</xdr:col>
                    <xdr:colOff>123825</xdr:colOff>
                    <xdr:row>119</xdr:row>
                    <xdr:rowOff>180975</xdr:rowOff>
                  </from>
                  <to>
                    <xdr:col>2</xdr:col>
                    <xdr:colOff>2352675</xdr:colOff>
                    <xdr:row>121</xdr:row>
                    <xdr:rowOff>19050</xdr:rowOff>
                  </to>
                </anchor>
              </controlPr>
            </control>
          </mc:Choice>
        </mc:AlternateContent>
        <mc:AlternateContent xmlns:mc="http://schemas.openxmlformats.org/markup-compatibility/2006">
          <mc:Choice Requires="x14">
            <control shapeId="1375" r:id="rId112" name="Group Box 351">
              <controlPr defaultSize="0" autoFill="0" autoPict="0">
                <anchor moveWithCells="1">
                  <from>
                    <xdr:col>2</xdr:col>
                    <xdr:colOff>0</xdr:colOff>
                    <xdr:row>118</xdr:row>
                    <xdr:rowOff>0</xdr:rowOff>
                  </from>
                  <to>
                    <xdr:col>2</xdr:col>
                    <xdr:colOff>2809875</xdr:colOff>
                    <xdr:row>121</xdr:row>
                    <xdr:rowOff>19050</xdr:rowOff>
                  </to>
                </anchor>
              </controlPr>
            </control>
          </mc:Choice>
        </mc:AlternateContent>
        <mc:AlternateContent xmlns:mc="http://schemas.openxmlformats.org/markup-compatibility/2006">
          <mc:Choice Requires="x14">
            <control shapeId="1376" r:id="rId113" name="Option Button 352">
              <controlPr defaultSize="0" autoFill="0" autoLine="0" autoPict="0">
                <anchor moveWithCells="1">
                  <from>
                    <xdr:col>2</xdr:col>
                    <xdr:colOff>114300</xdr:colOff>
                    <xdr:row>122</xdr:row>
                    <xdr:rowOff>171450</xdr:rowOff>
                  </from>
                  <to>
                    <xdr:col>2</xdr:col>
                    <xdr:colOff>2047875</xdr:colOff>
                    <xdr:row>124</xdr:row>
                    <xdr:rowOff>9525</xdr:rowOff>
                  </to>
                </anchor>
              </controlPr>
            </control>
          </mc:Choice>
        </mc:AlternateContent>
        <mc:AlternateContent xmlns:mc="http://schemas.openxmlformats.org/markup-compatibility/2006">
          <mc:Choice Requires="x14">
            <control shapeId="1377" r:id="rId114" name="Option Button 353">
              <controlPr defaultSize="0" autoFill="0" autoLine="0" autoPict="0">
                <anchor moveWithCells="1">
                  <from>
                    <xdr:col>2</xdr:col>
                    <xdr:colOff>114300</xdr:colOff>
                    <xdr:row>123</xdr:row>
                    <xdr:rowOff>171450</xdr:rowOff>
                  </from>
                  <to>
                    <xdr:col>2</xdr:col>
                    <xdr:colOff>2038350</xdr:colOff>
                    <xdr:row>125</xdr:row>
                    <xdr:rowOff>9525</xdr:rowOff>
                  </to>
                </anchor>
              </controlPr>
            </control>
          </mc:Choice>
        </mc:AlternateContent>
        <mc:AlternateContent xmlns:mc="http://schemas.openxmlformats.org/markup-compatibility/2006">
          <mc:Choice Requires="x14">
            <control shapeId="1378" r:id="rId115" name="Group Box 354">
              <controlPr defaultSize="0" autoFill="0" autoPict="0">
                <anchor moveWithCells="1">
                  <from>
                    <xdr:col>2</xdr:col>
                    <xdr:colOff>0</xdr:colOff>
                    <xdr:row>122</xdr:row>
                    <xdr:rowOff>0</xdr:rowOff>
                  </from>
                  <to>
                    <xdr:col>2</xdr:col>
                    <xdr:colOff>2809875</xdr:colOff>
                    <xdr:row>125</xdr:row>
                    <xdr:rowOff>19050</xdr:rowOff>
                  </to>
                </anchor>
              </controlPr>
            </control>
          </mc:Choice>
        </mc:AlternateContent>
        <mc:AlternateContent xmlns:mc="http://schemas.openxmlformats.org/markup-compatibility/2006">
          <mc:Choice Requires="x14">
            <control shapeId="1385" r:id="rId116" name="Group Box 361">
              <controlPr defaultSize="0" autoFill="0" autoPict="0">
                <anchor moveWithCells="1">
                  <from>
                    <xdr:col>4</xdr:col>
                    <xdr:colOff>9525</xdr:colOff>
                    <xdr:row>82</xdr:row>
                    <xdr:rowOff>0</xdr:rowOff>
                  </from>
                  <to>
                    <xdr:col>4</xdr:col>
                    <xdr:colOff>2705100</xdr:colOff>
                    <xdr:row>85</xdr:row>
                    <xdr:rowOff>19050</xdr:rowOff>
                  </to>
                </anchor>
              </controlPr>
            </control>
          </mc:Choice>
        </mc:AlternateContent>
        <mc:AlternateContent xmlns:mc="http://schemas.openxmlformats.org/markup-compatibility/2006">
          <mc:Choice Requires="x14">
            <control shapeId="1391" r:id="rId117" name="Group Box 367">
              <controlPr defaultSize="0" autoFill="0" autoPict="0">
                <anchor moveWithCells="1">
                  <from>
                    <xdr:col>4</xdr:col>
                    <xdr:colOff>0</xdr:colOff>
                    <xdr:row>78</xdr:row>
                    <xdr:rowOff>0</xdr:rowOff>
                  </from>
                  <to>
                    <xdr:col>4</xdr:col>
                    <xdr:colOff>2695575</xdr:colOff>
                    <xdr:row>81</xdr:row>
                    <xdr:rowOff>19050</xdr:rowOff>
                  </to>
                </anchor>
              </controlPr>
            </control>
          </mc:Choice>
        </mc:AlternateContent>
        <mc:AlternateContent xmlns:mc="http://schemas.openxmlformats.org/markup-compatibility/2006">
          <mc:Choice Requires="x14">
            <control shapeId="1396" r:id="rId118" name="Group Box 372">
              <controlPr defaultSize="0" autoFill="0" autoPict="0">
                <anchor moveWithCells="1">
                  <from>
                    <xdr:col>4</xdr:col>
                    <xdr:colOff>0</xdr:colOff>
                    <xdr:row>102</xdr:row>
                    <xdr:rowOff>0</xdr:rowOff>
                  </from>
                  <to>
                    <xdr:col>4</xdr:col>
                    <xdr:colOff>2695575</xdr:colOff>
                    <xdr:row>105</xdr:row>
                    <xdr:rowOff>19050</xdr:rowOff>
                  </to>
                </anchor>
              </controlPr>
            </control>
          </mc:Choice>
        </mc:AlternateContent>
        <mc:AlternateContent xmlns:mc="http://schemas.openxmlformats.org/markup-compatibility/2006">
          <mc:Choice Requires="x14">
            <control shapeId="1401" r:id="rId119" name="Group Box 377">
              <controlPr defaultSize="0" autoFill="0" autoPict="0">
                <anchor moveWithCells="1">
                  <from>
                    <xdr:col>4</xdr:col>
                    <xdr:colOff>0</xdr:colOff>
                    <xdr:row>98</xdr:row>
                    <xdr:rowOff>0</xdr:rowOff>
                  </from>
                  <to>
                    <xdr:col>4</xdr:col>
                    <xdr:colOff>2695575</xdr:colOff>
                    <xdr:row>101</xdr:row>
                    <xdr:rowOff>19050</xdr:rowOff>
                  </to>
                </anchor>
              </controlPr>
            </control>
          </mc:Choice>
        </mc:AlternateContent>
        <mc:AlternateContent xmlns:mc="http://schemas.openxmlformats.org/markup-compatibility/2006">
          <mc:Choice Requires="x14">
            <control shapeId="1408" r:id="rId120" name="Group Box 384">
              <controlPr defaultSize="0" autoFill="0" autoPict="0">
                <anchor moveWithCells="1">
                  <from>
                    <xdr:col>4</xdr:col>
                    <xdr:colOff>9525</xdr:colOff>
                    <xdr:row>118</xdr:row>
                    <xdr:rowOff>0</xdr:rowOff>
                  </from>
                  <to>
                    <xdr:col>4</xdr:col>
                    <xdr:colOff>2705100</xdr:colOff>
                    <xdr:row>121</xdr:row>
                    <xdr:rowOff>19050</xdr:rowOff>
                  </to>
                </anchor>
              </controlPr>
            </control>
          </mc:Choice>
        </mc:AlternateContent>
        <mc:AlternateContent xmlns:mc="http://schemas.openxmlformats.org/markup-compatibility/2006">
          <mc:Choice Requires="x14">
            <control shapeId="1413" r:id="rId121" name="Group Box 389">
              <controlPr defaultSize="0" autoFill="0" autoPict="0">
                <anchor moveWithCells="1">
                  <from>
                    <xdr:col>4</xdr:col>
                    <xdr:colOff>0</xdr:colOff>
                    <xdr:row>122</xdr:row>
                    <xdr:rowOff>0</xdr:rowOff>
                  </from>
                  <to>
                    <xdr:col>4</xdr:col>
                    <xdr:colOff>2695575</xdr:colOff>
                    <xdr:row>125</xdr:row>
                    <xdr:rowOff>19050</xdr:rowOff>
                  </to>
                </anchor>
              </controlPr>
            </control>
          </mc:Choice>
        </mc:AlternateContent>
        <mc:AlternateContent xmlns:mc="http://schemas.openxmlformats.org/markup-compatibility/2006">
          <mc:Choice Requires="x14">
            <control shapeId="1414" r:id="rId122" name="Check Box 390">
              <controlPr defaultSize="0" autoFill="0" autoLine="0" autoPict="0" altText="Biobased">
                <anchor moveWithCells="1">
                  <from>
                    <xdr:col>2</xdr:col>
                    <xdr:colOff>0</xdr:colOff>
                    <xdr:row>59</xdr:row>
                    <xdr:rowOff>171450</xdr:rowOff>
                  </from>
                  <to>
                    <xdr:col>4</xdr:col>
                    <xdr:colOff>190500</xdr:colOff>
                    <xdr:row>61</xdr:row>
                    <xdr:rowOff>28575</xdr:rowOff>
                  </to>
                </anchor>
              </controlPr>
            </control>
          </mc:Choice>
        </mc:AlternateContent>
        <mc:AlternateContent xmlns:mc="http://schemas.openxmlformats.org/markup-compatibility/2006">
          <mc:Choice Requires="x14">
            <control shapeId="1420" r:id="rId123" name="Option Button 396">
              <controlPr defaultSize="0" autoFill="0" autoLine="0" autoPict="0">
                <anchor moveWithCells="1">
                  <from>
                    <xdr:col>4</xdr:col>
                    <xdr:colOff>47625</xdr:colOff>
                    <xdr:row>158</xdr:row>
                    <xdr:rowOff>180975</xdr:rowOff>
                  </from>
                  <to>
                    <xdr:col>4</xdr:col>
                    <xdr:colOff>2552700</xdr:colOff>
                    <xdr:row>160</xdr:row>
                    <xdr:rowOff>19050</xdr:rowOff>
                  </to>
                </anchor>
              </controlPr>
            </control>
          </mc:Choice>
        </mc:AlternateContent>
        <mc:AlternateContent xmlns:mc="http://schemas.openxmlformats.org/markup-compatibility/2006">
          <mc:Choice Requires="x14">
            <control shapeId="1421" r:id="rId124" name="Option Button 397">
              <controlPr defaultSize="0" autoFill="0" autoLine="0" autoPict="0">
                <anchor moveWithCells="1">
                  <from>
                    <xdr:col>2</xdr:col>
                    <xdr:colOff>19050</xdr:colOff>
                    <xdr:row>35</xdr:row>
                    <xdr:rowOff>0</xdr:rowOff>
                  </from>
                  <to>
                    <xdr:col>2</xdr:col>
                    <xdr:colOff>2266950</xdr:colOff>
                    <xdr:row>35</xdr:row>
                    <xdr:rowOff>180975</xdr:rowOff>
                  </to>
                </anchor>
              </controlPr>
            </control>
          </mc:Choice>
        </mc:AlternateContent>
        <mc:AlternateContent xmlns:mc="http://schemas.openxmlformats.org/markup-compatibility/2006">
          <mc:Choice Requires="x14">
            <control shapeId="1422" r:id="rId125" name="Group Box 398">
              <controlPr defaultSize="0" autoFill="0" autoPict="0" altText="Dakisolatie">
                <anchor moveWithCells="1">
                  <from>
                    <xdr:col>2</xdr:col>
                    <xdr:colOff>0</xdr:colOff>
                    <xdr:row>34</xdr:row>
                    <xdr:rowOff>0</xdr:rowOff>
                  </from>
                  <to>
                    <xdr:col>2</xdr:col>
                    <xdr:colOff>2809875</xdr:colOff>
                    <xdr:row>37</xdr:row>
                    <xdr:rowOff>104775</xdr:rowOff>
                  </to>
                </anchor>
              </controlPr>
            </control>
          </mc:Choice>
        </mc:AlternateContent>
        <mc:AlternateContent xmlns:mc="http://schemas.openxmlformats.org/markup-compatibility/2006">
          <mc:Choice Requires="x14">
            <control shapeId="1423" r:id="rId126" name="Option Button 399">
              <controlPr defaultSize="0" autoFill="0" autoLine="0" autoPict="0">
                <anchor moveWithCells="1">
                  <from>
                    <xdr:col>4</xdr:col>
                    <xdr:colOff>28575</xdr:colOff>
                    <xdr:row>34</xdr:row>
                    <xdr:rowOff>171450</xdr:rowOff>
                  </from>
                  <to>
                    <xdr:col>4</xdr:col>
                    <xdr:colOff>2495550</xdr:colOff>
                    <xdr:row>36</xdr:row>
                    <xdr:rowOff>0</xdr:rowOff>
                  </to>
                </anchor>
              </controlPr>
            </control>
          </mc:Choice>
        </mc:AlternateContent>
        <mc:AlternateContent xmlns:mc="http://schemas.openxmlformats.org/markup-compatibility/2006">
          <mc:Choice Requires="x14">
            <control shapeId="1424" r:id="rId127" name="Group Box 400">
              <controlPr defaultSize="0" autoFill="0" autoPict="0" altText="Zolder-of vlieringisolatie">
                <anchor moveWithCells="1">
                  <from>
                    <xdr:col>4</xdr:col>
                    <xdr:colOff>9525</xdr:colOff>
                    <xdr:row>34</xdr:row>
                    <xdr:rowOff>0</xdr:rowOff>
                  </from>
                  <to>
                    <xdr:col>4</xdr:col>
                    <xdr:colOff>2705100</xdr:colOff>
                    <xdr:row>37</xdr:row>
                    <xdr:rowOff>104775</xdr:rowOff>
                  </to>
                </anchor>
              </controlPr>
            </control>
          </mc:Choice>
        </mc:AlternateContent>
        <mc:AlternateContent xmlns:mc="http://schemas.openxmlformats.org/markup-compatibility/2006">
          <mc:Choice Requires="x14">
            <control shapeId="1426" r:id="rId128" name="Option Button 402">
              <controlPr defaultSize="0" autoFill="0" autoLine="0" autoPict="0">
                <anchor moveWithCells="1">
                  <from>
                    <xdr:col>2</xdr:col>
                    <xdr:colOff>19050</xdr:colOff>
                    <xdr:row>36</xdr:row>
                    <xdr:rowOff>0</xdr:rowOff>
                  </from>
                  <to>
                    <xdr:col>2</xdr:col>
                    <xdr:colOff>2457450</xdr:colOff>
                    <xdr:row>36</xdr:row>
                    <xdr:rowOff>180975</xdr:rowOff>
                  </to>
                </anchor>
              </controlPr>
            </control>
          </mc:Choice>
        </mc:AlternateContent>
        <mc:AlternateContent xmlns:mc="http://schemas.openxmlformats.org/markup-compatibility/2006">
          <mc:Choice Requires="x14">
            <control shapeId="1427" r:id="rId129" name="Option Button 403">
              <controlPr defaultSize="0" autoFill="0" autoLine="0" autoPict="0">
                <anchor moveWithCells="1">
                  <from>
                    <xdr:col>4</xdr:col>
                    <xdr:colOff>28575</xdr:colOff>
                    <xdr:row>35</xdr:row>
                    <xdr:rowOff>171450</xdr:rowOff>
                  </from>
                  <to>
                    <xdr:col>4</xdr:col>
                    <xdr:colOff>2476500</xdr:colOff>
                    <xdr:row>37</xdr:row>
                    <xdr:rowOff>0</xdr:rowOff>
                  </to>
                </anchor>
              </controlPr>
            </control>
          </mc:Choice>
        </mc:AlternateContent>
        <mc:AlternateContent xmlns:mc="http://schemas.openxmlformats.org/markup-compatibility/2006">
          <mc:Choice Requires="x14">
            <control shapeId="1434" r:id="rId130" name="Option Button 410">
              <controlPr defaultSize="0" autoFill="0" autoLine="0" autoPict="0">
                <anchor moveWithCells="1">
                  <from>
                    <xdr:col>2</xdr:col>
                    <xdr:colOff>19050</xdr:colOff>
                    <xdr:row>52</xdr:row>
                    <xdr:rowOff>180975</xdr:rowOff>
                  </from>
                  <to>
                    <xdr:col>2</xdr:col>
                    <xdr:colOff>2295525</xdr:colOff>
                    <xdr:row>54</xdr:row>
                    <xdr:rowOff>9525</xdr:rowOff>
                  </to>
                </anchor>
              </controlPr>
            </control>
          </mc:Choice>
        </mc:AlternateContent>
        <mc:AlternateContent xmlns:mc="http://schemas.openxmlformats.org/markup-compatibility/2006">
          <mc:Choice Requires="x14">
            <control shapeId="1435" r:id="rId131" name="Group Box 411">
              <controlPr defaultSize="0" autoFill="0" autoPict="0">
                <anchor moveWithCells="1">
                  <from>
                    <xdr:col>2</xdr:col>
                    <xdr:colOff>0</xdr:colOff>
                    <xdr:row>52</xdr:row>
                    <xdr:rowOff>0</xdr:rowOff>
                  </from>
                  <to>
                    <xdr:col>2</xdr:col>
                    <xdr:colOff>2809875</xdr:colOff>
                    <xdr:row>55</xdr:row>
                    <xdr:rowOff>104775</xdr:rowOff>
                  </to>
                </anchor>
              </controlPr>
            </control>
          </mc:Choice>
        </mc:AlternateContent>
        <mc:AlternateContent xmlns:mc="http://schemas.openxmlformats.org/markup-compatibility/2006">
          <mc:Choice Requires="x14">
            <control shapeId="1436" r:id="rId132" name="Option Button 412">
              <controlPr defaultSize="0" autoFill="0" autoLine="0" autoPict="0">
                <anchor moveWithCells="1">
                  <from>
                    <xdr:col>4</xdr:col>
                    <xdr:colOff>66675</xdr:colOff>
                    <xdr:row>52</xdr:row>
                    <xdr:rowOff>171450</xdr:rowOff>
                  </from>
                  <to>
                    <xdr:col>4</xdr:col>
                    <xdr:colOff>2409825</xdr:colOff>
                    <xdr:row>54</xdr:row>
                    <xdr:rowOff>9525</xdr:rowOff>
                  </to>
                </anchor>
              </controlPr>
            </control>
          </mc:Choice>
        </mc:AlternateContent>
        <mc:AlternateContent xmlns:mc="http://schemas.openxmlformats.org/markup-compatibility/2006">
          <mc:Choice Requires="x14">
            <control shapeId="1437" r:id="rId133" name="Group Box 413">
              <controlPr defaultSize="0" autoFill="0" autoPict="0">
                <anchor moveWithCells="1">
                  <from>
                    <xdr:col>4</xdr:col>
                    <xdr:colOff>0</xdr:colOff>
                    <xdr:row>52</xdr:row>
                    <xdr:rowOff>0</xdr:rowOff>
                  </from>
                  <to>
                    <xdr:col>4</xdr:col>
                    <xdr:colOff>2695575</xdr:colOff>
                    <xdr:row>55</xdr:row>
                    <xdr:rowOff>104775</xdr:rowOff>
                  </to>
                </anchor>
              </controlPr>
            </control>
          </mc:Choice>
        </mc:AlternateContent>
        <mc:AlternateContent xmlns:mc="http://schemas.openxmlformats.org/markup-compatibility/2006">
          <mc:Choice Requires="x14">
            <control shapeId="1438" r:id="rId134" name="Option Button 414">
              <controlPr defaultSize="0" autoFill="0" autoLine="0" autoPict="0">
                <anchor moveWithCells="1">
                  <from>
                    <xdr:col>2</xdr:col>
                    <xdr:colOff>19050</xdr:colOff>
                    <xdr:row>53</xdr:row>
                    <xdr:rowOff>180975</xdr:rowOff>
                  </from>
                  <to>
                    <xdr:col>2</xdr:col>
                    <xdr:colOff>2162175</xdr:colOff>
                    <xdr:row>55</xdr:row>
                    <xdr:rowOff>9525</xdr:rowOff>
                  </to>
                </anchor>
              </controlPr>
            </control>
          </mc:Choice>
        </mc:AlternateContent>
        <mc:AlternateContent xmlns:mc="http://schemas.openxmlformats.org/markup-compatibility/2006">
          <mc:Choice Requires="x14">
            <control shapeId="1440" r:id="rId135" name="Option Button 416">
              <controlPr defaultSize="0" autoFill="0" autoLine="0" autoPict="0">
                <anchor moveWithCells="1">
                  <from>
                    <xdr:col>4</xdr:col>
                    <xdr:colOff>66675</xdr:colOff>
                    <xdr:row>53</xdr:row>
                    <xdr:rowOff>171450</xdr:rowOff>
                  </from>
                  <to>
                    <xdr:col>4</xdr:col>
                    <xdr:colOff>2581275</xdr:colOff>
                    <xdr:row>55</xdr:row>
                    <xdr:rowOff>9525</xdr:rowOff>
                  </to>
                </anchor>
              </controlPr>
            </control>
          </mc:Choice>
        </mc:AlternateContent>
        <mc:AlternateContent xmlns:mc="http://schemas.openxmlformats.org/markup-compatibility/2006">
          <mc:Choice Requires="x14">
            <control shapeId="1443" r:id="rId136" name="Check Box 419">
              <controlPr defaultSize="0" autoFill="0" autoLine="0" autoPict="0" altText="Biobased">
                <anchor moveWithCells="1">
                  <from>
                    <xdr:col>2</xdr:col>
                    <xdr:colOff>0</xdr:colOff>
                    <xdr:row>61</xdr:row>
                    <xdr:rowOff>171450</xdr:rowOff>
                  </from>
                  <to>
                    <xdr:col>4</xdr:col>
                    <xdr:colOff>190500</xdr:colOff>
                    <xdr:row>63</xdr:row>
                    <xdr:rowOff>28575</xdr:rowOff>
                  </to>
                </anchor>
              </controlPr>
            </control>
          </mc:Choice>
        </mc:AlternateContent>
        <mc:AlternateContent xmlns:mc="http://schemas.openxmlformats.org/markup-compatibility/2006">
          <mc:Choice Requires="x14">
            <control shapeId="1444" r:id="rId137" name="Check Box 420">
              <controlPr defaultSize="0" autoFill="0" autoLine="0" autoPict="0" altText="Biobased">
                <anchor moveWithCells="1">
                  <from>
                    <xdr:col>2</xdr:col>
                    <xdr:colOff>0</xdr:colOff>
                    <xdr:row>70</xdr:row>
                    <xdr:rowOff>0</xdr:rowOff>
                  </from>
                  <to>
                    <xdr:col>2</xdr:col>
                    <xdr:colOff>1962150</xdr:colOff>
                    <xdr:row>71</xdr:row>
                    <xdr:rowOff>47625</xdr:rowOff>
                  </to>
                </anchor>
              </controlPr>
            </control>
          </mc:Choice>
        </mc:AlternateContent>
        <mc:AlternateContent xmlns:mc="http://schemas.openxmlformats.org/markup-compatibility/2006">
          <mc:Choice Requires="x14">
            <control shapeId="1452" r:id="rId138" name="Check Box 428">
              <controlPr defaultSize="0" autoFill="0" autoLine="0" autoPict="0" altText="Biobased">
                <anchor moveWithCells="1">
                  <from>
                    <xdr:col>4</xdr:col>
                    <xdr:colOff>66675</xdr:colOff>
                    <xdr:row>82</xdr:row>
                    <xdr:rowOff>152400</xdr:rowOff>
                  </from>
                  <to>
                    <xdr:col>4</xdr:col>
                    <xdr:colOff>2028825</xdr:colOff>
                    <xdr:row>84</xdr:row>
                    <xdr:rowOff>9525</xdr:rowOff>
                  </to>
                </anchor>
              </controlPr>
            </control>
          </mc:Choice>
        </mc:AlternateContent>
        <mc:AlternateContent xmlns:mc="http://schemas.openxmlformats.org/markup-compatibility/2006">
          <mc:Choice Requires="x14">
            <control shapeId="1456" r:id="rId139" name="Check Box 432">
              <controlPr defaultSize="0" autoFill="0" autoLine="0" autoPict="0" altText="Biobased">
                <anchor moveWithCells="1">
                  <from>
                    <xdr:col>4</xdr:col>
                    <xdr:colOff>66675</xdr:colOff>
                    <xdr:row>78</xdr:row>
                    <xdr:rowOff>152400</xdr:rowOff>
                  </from>
                  <to>
                    <xdr:col>4</xdr:col>
                    <xdr:colOff>2028825</xdr:colOff>
                    <xdr:row>80</xdr:row>
                    <xdr:rowOff>9525</xdr:rowOff>
                  </to>
                </anchor>
              </controlPr>
            </control>
          </mc:Choice>
        </mc:AlternateContent>
        <mc:AlternateContent xmlns:mc="http://schemas.openxmlformats.org/markup-compatibility/2006">
          <mc:Choice Requires="x14">
            <control shapeId="1457" r:id="rId140" name="Check Box 433">
              <controlPr defaultSize="0" autoFill="0" autoLine="0" autoPict="0" altText="Biobased">
                <anchor moveWithCells="1">
                  <from>
                    <xdr:col>4</xdr:col>
                    <xdr:colOff>66675</xdr:colOff>
                    <xdr:row>79</xdr:row>
                    <xdr:rowOff>152400</xdr:rowOff>
                  </from>
                  <to>
                    <xdr:col>4</xdr:col>
                    <xdr:colOff>2028825</xdr:colOff>
                    <xdr:row>81</xdr:row>
                    <xdr:rowOff>9525</xdr:rowOff>
                  </to>
                </anchor>
              </controlPr>
            </control>
          </mc:Choice>
        </mc:AlternateContent>
        <mc:AlternateContent xmlns:mc="http://schemas.openxmlformats.org/markup-compatibility/2006">
          <mc:Choice Requires="x14">
            <control shapeId="1458" r:id="rId141" name="Check Box 434">
              <controlPr defaultSize="0" autoFill="0" autoLine="0" autoPict="0" altText="Biobased">
                <anchor moveWithCells="1">
                  <from>
                    <xdr:col>4</xdr:col>
                    <xdr:colOff>66675</xdr:colOff>
                    <xdr:row>102</xdr:row>
                    <xdr:rowOff>152400</xdr:rowOff>
                  </from>
                  <to>
                    <xdr:col>4</xdr:col>
                    <xdr:colOff>2609850</xdr:colOff>
                    <xdr:row>104</xdr:row>
                    <xdr:rowOff>9525</xdr:rowOff>
                  </to>
                </anchor>
              </controlPr>
            </control>
          </mc:Choice>
        </mc:AlternateContent>
        <mc:AlternateContent xmlns:mc="http://schemas.openxmlformats.org/markup-compatibility/2006">
          <mc:Choice Requires="x14">
            <control shapeId="1460" r:id="rId142" name="Check Box 436">
              <controlPr defaultSize="0" autoFill="0" autoLine="0" autoPict="0" altText="Biobased">
                <anchor moveWithCells="1">
                  <from>
                    <xdr:col>4</xdr:col>
                    <xdr:colOff>66675</xdr:colOff>
                    <xdr:row>98</xdr:row>
                    <xdr:rowOff>152400</xdr:rowOff>
                  </from>
                  <to>
                    <xdr:col>4</xdr:col>
                    <xdr:colOff>2657475</xdr:colOff>
                    <xdr:row>100</xdr:row>
                    <xdr:rowOff>9525</xdr:rowOff>
                  </to>
                </anchor>
              </controlPr>
            </control>
          </mc:Choice>
        </mc:AlternateContent>
        <mc:AlternateContent xmlns:mc="http://schemas.openxmlformats.org/markup-compatibility/2006">
          <mc:Choice Requires="x14">
            <control shapeId="1462" r:id="rId143" name="Check Box 438">
              <controlPr defaultSize="0" autoFill="0" autoLine="0" autoPict="0" altText="Biobased">
                <anchor moveWithCells="1">
                  <from>
                    <xdr:col>4</xdr:col>
                    <xdr:colOff>66675</xdr:colOff>
                    <xdr:row>118</xdr:row>
                    <xdr:rowOff>152400</xdr:rowOff>
                  </from>
                  <to>
                    <xdr:col>4</xdr:col>
                    <xdr:colOff>2028825</xdr:colOff>
                    <xdr:row>120</xdr:row>
                    <xdr:rowOff>9525</xdr:rowOff>
                  </to>
                </anchor>
              </controlPr>
            </control>
          </mc:Choice>
        </mc:AlternateContent>
        <mc:AlternateContent xmlns:mc="http://schemas.openxmlformats.org/markup-compatibility/2006">
          <mc:Choice Requires="x14">
            <control shapeId="1463" r:id="rId144" name="Check Box 439">
              <controlPr defaultSize="0" autoFill="0" autoLine="0" autoPict="0" altText="Biobased">
                <anchor moveWithCells="1">
                  <from>
                    <xdr:col>4</xdr:col>
                    <xdr:colOff>66675</xdr:colOff>
                    <xdr:row>119</xdr:row>
                    <xdr:rowOff>152400</xdr:rowOff>
                  </from>
                  <to>
                    <xdr:col>4</xdr:col>
                    <xdr:colOff>2028825</xdr:colOff>
                    <xdr:row>121</xdr:row>
                    <xdr:rowOff>9525</xdr:rowOff>
                  </to>
                </anchor>
              </controlPr>
            </control>
          </mc:Choice>
        </mc:AlternateContent>
        <mc:AlternateContent xmlns:mc="http://schemas.openxmlformats.org/markup-compatibility/2006">
          <mc:Choice Requires="x14">
            <control shapeId="1464" r:id="rId145" name="Check Box 440">
              <controlPr defaultSize="0" autoFill="0" autoLine="0" autoPict="0" altText="Biobased">
                <anchor moveWithCells="1">
                  <from>
                    <xdr:col>4</xdr:col>
                    <xdr:colOff>66675</xdr:colOff>
                    <xdr:row>122</xdr:row>
                    <xdr:rowOff>152400</xdr:rowOff>
                  </from>
                  <to>
                    <xdr:col>4</xdr:col>
                    <xdr:colOff>2028825</xdr:colOff>
                    <xdr:row>124</xdr:row>
                    <xdr:rowOff>9525</xdr:rowOff>
                  </to>
                </anchor>
              </controlPr>
            </control>
          </mc:Choice>
        </mc:AlternateContent>
        <mc:AlternateContent xmlns:mc="http://schemas.openxmlformats.org/markup-compatibility/2006">
          <mc:Choice Requires="x14">
            <control shapeId="1465" r:id="rId146" name="Check Box 441">
              <controlPr defaultSize="0" autoFill="0" autoLine="0" autoPict="0" altText="Biobased">
                <anchor moveWithCells="1">
                  <from>
                    <xdr:col>4</xdr:col>
                    <xdr:colOff>66675</xdr:colOff>
                    <xdr:row>123</xdr:row>
                    <xdr:rowOff>152400</xdr:rowOff>
                  </from>
                  <to>
                    <xdr:col>4</xdr:col>
                    <xdr:colOff>2028825</xdr:colOff>
                    <xdr:row>125</xdr:row>
                    <xdr:rowOff>9525</xdr:rowOff>
                  </to>
                </anchor>
              </controlPr>
            </control>
          </mc:Choice>
        </mc:AlternateContent>
        <mc:AlternateContent xmlns:mc="http://schemas.openxmlformats.org/markup-compatibility/2006">
          <mc:Choice Requires="x14">
            <control shapeId="1469" r:id="rId147" name="Check Box 445">
              <controlPr defaultSize="0" autoFill="0" autoLine="0" autoPict="0" altText="Biobased">
                <anchor moveWithCells="1">
                  <from>
                    <xdr:col>4</xdr:col>
                    <xdr:colOff>66675</xdr:colOff>
                    <xdr:row>83</xdr:row>
                    <xdr:rowOff>152400</xdr:rowOff>
                  </from>
                  <to>
                    <xdr:col>4</xdr:col>
                    <xdr:colOff>2028825</xdr:colOff>
                    <xdr:row>85</xdr:row>
                    <xdr:rowOff>9525</xdr:rowOff>
                  </to>
                </anchor>
              </controlPr>
            </control>
          </mc:Choice>
        </mc:AlternateContent>
        <mc:AlternateContent xmlns:mc="http://schemas.openxmlformats.org/markup-compatibility/2006">
          <mc:Choice Requires="x14">
            <control shapeId="1470" r:id="rId148" name="Option Button 446">
              <controlPr defaultSize="0" autoFill="0" autoLine="0" autoPict="0">
                <anchor moveWithCells="1">
                  <from>
                    <xdr:col>2</xdr:col>
                    <xdr:colOff>95250</xdr:colOff>
                    <xdr:row>83</xdr:row>
                    <xdr:rowOff>180975</xdr:rowOff>
                  </from>
                  <to>
                    <xdr:col>2</xdr:col>
                    <xdr:colOff>2171700</xdr:colOff>
                    <xdr:row>85</xdr:row>
                    <xdr:rowOff>19050</xdr:rowOff>
                  </to>
                </anchor>
              </controlPr>
            </control>
          </mc:Choice>
        </mc:AlternateContent>
        <mc:AlternateContent xmlns:mc="http://schemas.openxmlformats.org/markup-compatibility/2006">
          <mc:Choice Requires="x14">
            <control shapeId="1478" r:id="rId149" name="Option Button 454">
              <controlPr defaultSize="0" autoFill="0" autoLine="0" autoPict="0">
                <anchor moveWithCells="1">
                  <from>
                    <xdr:col>2</xdr:col>
                    <xdr:colOff>95250</xdr:colOff>
                    <xdr:row>86</xdr:row>
                    <xdr:rowOff>180975</xdr:rowOff>
                  </from>
                  <to>
                    <xdr:col>2</xdr:col>
                    <xdr:colOff>2171700</xdr:colOff>
                    <xdr:row>88</xdr:row>
                    <xdr:rowOff>19050</xdr:rowOff>
                  </to>
                </anchor>
              </controlPr>
            </control>
          </mc:Choice>
        </mc:AlternateContent>
        <mc:AlternateContent xmlns:mc="http://schemas.openxmlformats.org/markup-compatibility/2006">
          <mc:Choice Requires="x14">
            <control shapeId="1479" r:id="rId150" name="Group Box 455">
              <controlPr defaultSize="0" autoFill="0" autoPict="0">
                <anchor moveWithCells="1">
                  <from>
                    <xdr:col>2</xdr:col>
                    <xdr:colOff>0</xdr:colOff>
                    <xdr:row>86</xdr:row>
                    <xdr:rowOff>0</xdr:rowOff>
                  </from>
                  <to>
                    <xdr:col>2</xdr:col>
                    <xdr:colOff>2809875</xdr:colOff>
                    <xdr:row>89</xdr:row>
                    <xdr:rowOff>19050</xdr:rowOff>
                  </to>
                </anchor>
              </controlPr>
            </control>
          </mc:Choice>
        </mc:AlternateContent>
        <mc:AlternateContent xmlns:mc="http://schemas.openxmlformats.org/markup-compatibility/2006">
          <mc:Choice Requires="x14">
            <control shapeId="1480" r:id="rId151" name="Group Box 456">
              <controlPr defaultSize="0" autoFill="0" autoPict="0">
                <anchor moveWithCells="1">
                  <from>
                    <xdr:col>4</xdr:col>
                    <xdr:colOff>9525</xdr:colOff>
                    <xdr:row>86</xdr:row>
                    <xdr:rowOff>0</xdr:rowOff>
                  </from>
                  <to>
                    <xdr:col>4</xdr:col>
                    <xdr:colOff>2705100</xdr:colOff>
                    <xdr:row>89</xdr:row>
                    <xdr:rowOff>19050</xdr:rowOff>
                  </to>
                </anchor>
              </controlPr>
            </control>
          </mc:Choice>
        </mc:AlternateContent>
        <mc:AlternateContent xmlns:mc="http://schemas.openxmlformats.org/markup-compatibility/2006">
          <mc:Choice Requires="x14">
            <control shapeId="1481" r:id="rId152" name="Check Box 457">
              <controlPr defaultSize="0" autoFill="0" autoLine="0" autoPict="0" altText="Biobased">
                <anchor moveWithCells="1">
                  <from>
                    <xdr:col>4</xdr:col>
                    <xdr:colOff>66675</xdr:colOff>
                    <xdr:row>86</xdr:row>
                    <xdr:rowOff>152400</xdr:rowOff>
                  </from>
                  <to>
                    <xdr:col>4</xdr:col>
                    <xdr:colOff>2028825</xdr:colOff>
                    <xdr:row>88</xdr:row>
                    <xdr:rowOff>9525</xdr:rowOff>
                  </to>
                </anchor>
              </controlPr>
            </control>
          </mc:Choice>
        </mc:AlternateContent>
        <mc:AlternateContent xmlns:mc="http://schemas.openxmlformats.org/markup-compatibility/2006">
          <mc:Choice Requires="x14">
            <control shapeId="1483" r:id="rId153" name="Check Box 459">
              <controlPr defaultSize="0" autoFill="0" autoLine="0" autoPict="0" altText="Biobased">
                <anchor moveWithCells="1">
                  <from>
                    <xdr:col>4</xdr:col>
                    <xdr:colOff>66675</xdr:colOff>
                    <xdr:row>87</xdr:row>
                    <xdr:rowOff>152400</xdr:rowOff>
                  </from>
                  <to>
                    <xdr:col>4</xdr:col>
                    <xdr:colOff>2028825</xdr:colOff>
                    <xdr:row>89</xdr:row>
                    <xdr:rowOff>9525</xdr:rowOff>
                  </to>
                </anchor>
              </controlPr>
            </control>
          </mc:Choice>
        </mc:AlternateContent>
        <mc:AlternateContent xmlns:mc="http://schemas.openxmlformats.org/markup-compatibility/2006">
          <mc:Choice Requires="x14">
            <control shapeId="1484" r:id="rId154" name="Option Button 460">
              <controlPr defaultSize="0" autoFill="0" autoLine="0" autoPict="0">
                <anchor moveWithCells="1">
                  <from>
                    <xdr:col>2</xdr:col>
                    <xdr:colOff>95250</xdr:colOff>
                    <xdr:row>87</xdr:row>
                    <xdr:rowOff>180975</xdr:rowOff>
                  </from>
                  <to>
                    <xdr:col>2</xdr:col>
                    <xdr:colOff>2171700</xdr:colOff>
                    <xdr:row>89</xdr:row>
                    <xdr:rowOff>19050</xdr:rowOff>
                  </to>
                </anchor>
              </controlPr>
            </control>
          </mc:Choice>
        </mc:AlternateContent>
        <mc:AlternateContent xmlns:mc="http://schemas.openxmlformats.org/markup-compatibility/2006">
          <mc:Choice Requires="x14">
            <control shapeId="1487" r:id="rId155" name="Option Button 463">
              <controlPr defaultSize="0" autoFill="0" autoLine="0" autoPict="0">
                <anchor moveWithCells="1">
                  <from>
                    <xdr:col>2</xdr:col>
                    <xdr:colOff>95250</xdr:colOff>
                    <xdr:row>90</xdr:row>
                    <xdr:rowOff>180975</xdr:rowOff>
                  </from>
                  <to>
                    <xdr:col>2</xdr:col>
                    <xdr:colOff>2171700</xdr:colOff>
                    <xdr:row>92</xdr:row>
                    <xdr:rowOff>19050</xdr:rowOff>
                  </to>
                </anchor>
              </controlPr>
            </control>
          </mc:Choice>
        </mc:AlternateContent>
        <mc:AlternateContent xmlns:mc="http://schemas.openxmlformats.org/markup-compatibility/2006">
          <mc:Choice Requires="x14">
            <control shapeId="1488" r:id="rId156" name="Group Box 464">
              <controlPr defaultSize="0" autoFill="0" autoPict="0">
                <anchor moveWithCells="1">
                  <from>
                    <xdr:col>2</xdr:col>
                    <xdr:colOff>0</xdr:colOff>
                    <xdr:row>90</xdr:row>
                    <xdr:rowOff>0</xdr:rowOff>
                  </from>
                  <to>
                    <xdr:col>2</xdr:col>
                    <xdr:colOff>2809875</xdr:colOff>
                    <xdr:row>93</xdr:row>
                    <xdr:rowOff>19050</xdr:rowOff>
                  </to>
                </anchor>
              </controlPr>
            </control>
          </mc:Choice>
        </mc:AlternateContent>
        <mc:AlternateContent xmlns:mc="http://schemas.openxmlformats.org/markup-compatibility/2006">
          <mc:Choice Requires="x14">
            <control shapeId="1489" r:id="rId157" name="Group Box 465">
              <controlPr defaultSize="0" autoFill="0" autoPict="0">
                <anchor moveWithCells="1">
                  <from>
                    <xdr:col>4</xdr:col>
                    <xdr:colOff>9525</xdr:colOff>
                    <xdr:row>90</xdr:row>
                    <xdr:rowOff>0</xdr:rowOff>
                  </from>
                  <to>
                    <xdr:col>4</xdr:col>
                    <xdr:colOff>2705100</xdr:colOff>
                    <xdr:row>93</xdr:row>
                    <xdr:rowOff>19050</xdr:rowOff>
                  </to>
                </anchor>
              </controlPr>
            </control>
          </mc:Choice>
        </mc:AlternateContent>
        <mc:AlternateContent xmlns:mc="http://schemas.openxmlformats.org/markup-compatibility/2006">
          <mc:Choice Requires="x14">
            <control shapeId="1490" r:id="rId158" name="Check Box 466">
              <controlPr defaultSize="0" autoFill="0" autoLine="0" autoPict="0" altText="Biobased">
                <anchor moveWithCells="1">
                  <from>
                    <xdr:col>4</xdr:col>
                    <xdr:colOff>66675</xdr:colOff>
                    <xdr:row>90</xdr:row>
                    <xdr:rowOff>152400</xdr:rowOff>
                  </from>
                  <to>
                    <xdr:col>4</xdr:col>
                    <xdr:colOff>2619375</xdr:colOff>
                    <xdr:row>92</xdr:row>
                    <xdr:rowOff>9525</xdr:rowOff>
                  </to>
                </anchor>
              </controlPr>
            </control>
          </mc:Choice>
        </mc:AlternateContent>
        <mc:AlternateContent xmlns:mc="http://schemas.openxmlformats.org/markup-compatibility/2006">
          <mc:Choice Requires="x14">
            <control shapeId="1491" r:id="rId159" name="Check Box 467">
              <controlPr defaultSize="0" autoFill="0" autoLine="0" autoPict="0" altText="Biobased">
                <anchor moveWithCells="1">
                  <from>
                    <xdr:col>4</xdr:col>
                    <xdr:colOff>66675</xdr:colOff>
                    <xdr:row>91</xdr:row>
                    <xdr:rowOff>152400</xdr:rowOff>
                  </from>
                  <to>
                    <xdr:col>4</xdr:col>
                    <xdr:colOff>2028825</xdr:colOff>
                    <xdr:row>93</xdr:row>
                    <xdr:rowOff>9525</xdr:rowOff>
                  </to>
                </anchor>
              </controlPr>
            </control>
          </mc:Choice>
        </mc:AlternateContent>
        <mc:AlternateContent xmlns:mc="http://schemas.openxmlformats.org/markup-compatibility/2006">
          <mc:Choice Requires="x14">
            <control shapeId="1492" r:id="rId160" name="Option Button 468">
              <controlPr defaultSize="0" autoFill="0" autoLine="0" autoPict="0">
                <anchor moveWithCells="1">
                  <from>
                    <xdr:col>2</xdr:col>
                    <xdr:colOff>95250</xdr:colOff>
                    <xdr:row>91</xdr:row>
                    <xdr:rowOff>180975</xdr:rowOff>
                  </from>
                  <to>
                    <xdr:col>2</xdr:col>
                    <xdr:colOff>2171700</xdr:colOff>
                    <xdr:row>93</xdr:row>
                    <xdr:rowOff>19050</xdr:rowOff>
                  </to>
                </anchor>
              </controlPr>
            </control>
          </mc:Choice>
        </mc:AlternateContent>
        <mc:AlternateContent xmlns:mc="http://schemas.openxmlformats.org/markup-compatibility/2006">
          <mc:Choice Requires="x14">
            <control shapeId="1493" r:id="rId161" name="Option Button 469">
              <controlPr defaultSize="0" autoFill="0" autoLine="0" autoPict="0">
                <anchor moveWithCells="1">
                  <from>
                    <xdr:col>2</xdr:col>
                    <xdr:colOff>123825</xdr:colOff>
                    <xdr:row>106</xdr:row>
                    <xdr:rowOff>180975</xdr:rowOff>
                  </from>
                  <to>
                    <xdr:col>2</xdr:col>
                    <xdr:colOff>2228850</xdr:colOff>
                    <xdr:row>108</xdr:row>
                    <xdr:rowOff>19050</xdr:rowOff>
                  </to>
                </anchor>
              </controlPr>
            </control>
          </mc:Choice>
        </mc:AlternateContent>
        <mc:AlternateContent xmlns:mc="http://schemas.openxmlformats.org/markup-compatibility/2006">
          <mc:Choice Requires="x14">
            <control shapeId="1494" r:id="rId162" name="Option Button 470">
              <controlPr defaultSize="0" autoFill="0" autoLine="0" autoPict="0">
                <anchor moveWithCells="1">
                  <from>
                    <xdr:col>2</xdr:col>
                    <xdr:colOff>123825</xdr:colOff>
                    <xdr:row>107</xdr:row>
                    <xdr:rowOff>180975</xdr:rowOff>
                  </from>
                  <to>
                    <xdr:col>2</xdr:col>
                    <xdr:colOff>2124075</xdr:colOff>
                    <xdr:row>109</xdr:row>
                    <xdr:rowOff>19050</xdr:rowOff>
                  </to>
                </anchor>
              </controlPr>
            </control>
          </mc:Choice>
        </mc:AlternateContent>
        <mc:AlternateContent xmlns:mc="http://schemas.openxmlformats.org/markup-compatibility/2006">
          <mc:Choice Requires="x14">
            <control shapeId="1495" r:id="rId163" name="Group Box 471">
              <controlPr defaultSize="0" autoFill="0" autoPict="0">
                <anchor moveWithCells="1">
                  <from>
                    <xdr:col>2</xdr:col>
                    <xdr:colOff>0</xdr:colOff>
                    <xdr:row>106</xdr:row>
                    <xdr:rowOff>0</xdr:rowOff>
                  </from>
                  <to>
                    <xdr:col>2</xdr:col>
                    <xdr:colOff>2809875</xdr:colOff>
                    <xdr:row>109</xdr:row>
                    <xdr:rowOff>19050</xdr:rowOff>
                  </to>
                </anchor>
              </controlPr>
            </control>
          </mc:Choice>
        </mc:AlternateContent>
        <mc:AlternateContent xmlns:mc="http://schemas.openxmlformats.org/markup-compatibility/2006">
          <mc:Choice Requires="x14">
            <control shapeId="1496" r:id="rId164" name="Group Box 472">
              <controlPr defaultSize="0" autoFill="0" autoPict="0">
                <anchor moveWithCells="1">
                  <from>
                    <xdr:col>4</xdr:col>
                    <xdr:colOff>0</xdr:colOff>
                    <xdr:row>106</xdr:row>
                    <xdr:rowOff>0</xdr:rowOff>
                  </from>
                  <to>
                    <xdr:col>4</xdr:col>
                    <xdr:colOff>2695575</xdr:colOff>
                    <xdr:row>109</xdr:row>
                    <xdr:rowOff>19050</xdr:rowOff>
                  </to>
                </anchor>
              </controlPr>
            </control>
          </mc:Choice>
        </mc:AlternateContent>
        <mc:AlternateContent xmlns:mc="http://schemas.openxmlformats.org/markup-compatibility/2006">
          <mc:Choice Requires="x14">
            <control shapeId="1497" r:id="rId165" name="Check Box 473">
              <controlPr defaultSize="0" autoFill="0" autoLine="0" autoPict="0" altText="Biobased">
                <anchor moveWithCells="1">
                  <from>
                    <xdr:col>4</xdr:col>
                    <xdr:colOff>66675</xdr:colOff>
                    <xdr:row>106</xdr:row>
                    <xdr:rowOff>152400</xdr:rowOff>
                  </from>
                  <to>
                    <xdr:col>4</xdr:col>
                    <xdr:colOff>2638425</xdr:colOff>
                    <xdr:row>108</xdr:row>
                    <xdr:rowOff>9525</xdr:rowOff>
                  </to>
                </anchor>
              </controlPr>
            </control>
          </mc:Choice>
        </mc:AlternateContent>
        <mc:AlternateContent xmlns:mc="http://schemas.openxmlformats.org/markup-compatibility/2006">
          <mc:Choice Requires="x14">
            <control shapeId="1499" r:id="rId166" name="Option Button 475">
              <controlPr defaultSize="0" autoFill="0" autoLine="0" autoPict="0">
                <anchor moveWithCells="1">
                  <from>
                    <xdr:col>2</xdr:col>
                    <xdr:colOff>123825</xdr:colOff>
                    <xdr:row>110</xdr:row>
                    <xdr:rowOff>180975</xdr:rowOff>
                  </from>
                  <to>
                    <xdr:col>2</xdr:col>
                    <xdr:colOff>2228850</xdr:colOff>
                    <xdr:row>112</xdr:row>
                    <xdr:rowOff>19050</xdr:rowOff>
                  </to>
                </anchor>
              </controlPr>
            </control>
          </mc:Choice>
        </mc:AlternateContent>
        <mc:AlternateContent xmlns:mc="http://schemas.openxmlformats.org/markup-compatibility/2006">
          <mc:Choice Requires="x14">
            <control shapeId="1500" r:id="rId167" name="Option Button 476">
              <controlPr defaultSize="0" autoFill="0" autoLine="0" autoPict="0">
                <anchor moveWithCells="1">
                  <from>
                    <xdr:col>2</xdr:col>
                    <xdr:colOff>123825</xdr:colOff>
                    <xdr:row>111</xdr:row>
                    <xdr:rowOff>180975</xdr:rowOff>
                  </from>
                  <to>
                    <xdr:col>2</xdr:col>
                    <xdr:colOff>2124075</xdr:colOff>
                    <xdr:row>113</xdr:row>
                    <xdr:rowOff>19050</xdr:rowOff>
                  </to>
                </anchor>
              </controlPr>
            </control>
          </mc:Choice>
        </mc:AlternateContent>
        <mc:AlternateContent xmlns:mc="http://schemas.openxmlformats.org/markup-compatibility/2006">
          <mc:Choice Requires="x14">
            <control shapeId="1501" r:id="rId168" name="Group Box 477">
              <controlPr defaultSize="0" autoFill="0" autoPict="0">
                <anchor moveWithCells="1">
                  <from>
                    <xdr:col>2</xdr:col>
                    <xdr:colOff>0</xdr:colOff>
                    <xdr:row>110</xdr:row>
                    <xdr:rowOff>0</xdr:rowOff>
                  </from>
                  <to>
                    <xdr:col>2</xdr:col>
                    <xdr:colOff>2809875</xdr:colOff>
                    <xdr:row>113</xdr:row>
                    <xdr:rowOff>19050</xdr:rowOff>
                  </to>
                </anchor>
              </controlPr>
            </control>
          </mc:Choice>
        </mc:AlternateContent>
        <mc:AlternateContent xmlns:mc="http://schemas.openxmlformats.org/markup-compatibility/2006">
          <mc:Choice Requires="x14">
            <control shapeId="1502" r:id="rId169" name="Group Box 478">
              <controlPr defaultSize="0" autoFill="0" autoPict="0">
                <anchor moveWithCells="1">
                  <from>
                    <xdr:col>4</xdr:col>
                    <xdr:colOff>0</xdr:colOff>
                    <xdr:row>110</xdr:row>
                    <xdr:rowOff>0</xdr:rowOff>
                  </from>
                  <to>
                    <xdr:col>4</xdr:col>
                    <xdr:colOff>2695575</xdr:colOff>
                    <xdr:row>113</xdr:row>
                    <xdr:rowOff>19050</xdr:rowOff>
                  </to>
                </anchor>
              </controlPr>
            </control>
          </mc:Choice>
        </mc:AlternateContent>
        <mc:AlternateContent xmlns:mc="http://schemas.openxmlformats.org/markup-compatibility/2006">
          <mc:Choice Requires="x14">
            <control shapeId="1503" r:id="rId170" name="Check Box 479">
              <controlPr defaultSize="0" autoFill="0" autoLine="0" autoPict="0" altText="Biobased">
                <anchor moveWithCells="1">
                  <from>
                    <xdr:col>4</xdr:col>
                    <xdr:colOff>66675</xdr:colOff>
                    <xdr:row>110</xdr:row>
                    <xdr:rowOff>152400</xdr:rowOff>
                  </from>
                  <to>
                    <xdr:col>4</xdr:col>
                    <xdr:colOff>2628900</xdr:colOff>
                    <xdr:row>112</xdr:row>
                    <xdr:rowOff>9525</xdr:rowOff>
                  </to>
                </anchor>
              </controlPr>
            </control>
          </mc:Choice>
        </mc:AlternateContent>
        <mc:AlternateContent xmlns:mc="http://schemas.openxmlformats.org/markup-compatibility/2006">
          <mc:Choice Requires="x14">
            <control shapeId="1505" r:id="rId171" name="Option Button 481">
              <controlPr defaultSize="0" autoFill="0" autoLine="0" autoPict="0">
                <anchor moveWithCells="1">
                  <from>
                    <xdr:col>2</xdr:col>
                    <xdr:colOff>114300</xdr:colOff>
                    <xdr:row>114</xdr:row>
                    <xdr:rowOff>171450</xdr:rowOff>
                  </from>
                  <to>
                    <xdr:col>2</xdr:col>
                    <xdr:colOff>2047875</xdr:colOff>
                    <xdr:row>116</xdr:row>
                    <xdr:rowOff>9525</xdr:rowOff>
                  </to>
                </anchor>
              </controlPr>
            </control>
          </mc:Choice>
        </mc:AlternateContent>
        <mc:AlternateContent xmlns:mc="http://schemas.openxmlformats.org/markup-compatibility/2006">
          <mc:Choice Requires="x14">
            <control shapeId="1506" r:id="rId172" name="Option Button 482">
              <controlPr defaultSize="0" autoFill="0" autoLine="0" autoPict="0">
                <anchor moveWithCells="1">
                  <from>
                    <xdr:col>2</xdr:col>
                    <xdr:colOff>114300</xdr:colOff>
                    <xdr:row>115</xdr:row>
                    <xdr:rowOff>171450</xdr:rowOff>
                  </from>
                  <to>
                    <xdr:col>2</xdr:col>
                    <xdr:colOff>2038350</xdr:colOff>
                    <xdr:row>117</xdr:row>
                    <xdr:rowOff>9525</xdr:rowOff>
                  </to>
                </anchor>
              </controlPr>
            </control>
          </mc:Choice>
        </mc:AlternateContent>
        <mc:AlternateContent xmlns:mc="http://schemas.openxmlformats.org/markup-compatibility/2006">
          <mc:Choice Requires="x14">
            <control shapeId="1507" r:id="rId173" name="Group Box 483">
              <controlPr defaultSize="0" autoFill="0" autoPict="0">
                <anchor moveWithCells="1">
                  <from>
                    <xdr:col>2</xdr:col>
                    <xdr:colOff>0</xdr:colOff>
                    <xdr:row>114</xdr:row>
                    <xdr:rowOff>0</xdr:rowOff>
                  </from>
                  <to>
                    <xdr:col>2</xdr:col>
                    <xdr:colOff>2809875</xdr:colOff>
                    <xdr:row>117</xdr:row>
                    <xdr:rowOff>19050</xdr:rowOff>
                  </to>
                </anchor>
              </controlPr>
            </control>
          </mc:Choice>
        </mc:AlternateContent>
        <mc:AlternateContent xmlns:mc="http://schemas.openxmlformats.org/markup-compatibility/2006">
          <mc:Choice Requires="x14">
            <control shapeId="1508" r:id="rId174" name="Group Box 484">
              <controlPr defaultSize="0" autoFill="0" autoPict="0">
                <anchor moveWithCells="1">
                  <from>
                    <xdr:col>4</xdr:col>
                    <xdr:colOff>0</xdr:colOff>
                    <xdr:row>114</xdr:row>
                    <xdr:rowOff>0</xdr:rowOff>
                  </from>
                  <to>
                    <xdr:col>4</xdr:col>
                    <xdr:colOff>2695575</xdr:colOff>
                    <xdr:row>117</xdr:row>
                    <xdr:rowOff>19050</xdr:rowOff>
                  </to>
                </anchor>
              </controlPr>
            </control>
          </mc:Choice>
        </mc:AlternateContent>
        <mc:AlternateContent xmlns:mc="http://schemas.openxmlformats.org/markup-compatibility/2006">
          <mc:Choice Requires="x14">
            <control shapeId="1509" r:id="rId175" name="Check Box 485">
              <controlPr defaultSize="0" autoFill="0" autoLine="0" autoPict="0" altText="Biobased">
                <anchor moveWithCells="1">
                  <from>
                    <xdr:col>4</xdr:col>
                    <xdr:colOff>66675</xdr:colOff>
                    <xdr:row>114</xdr:row>
                    <xdr:rowOff>152400</xdr:rowOff>
                  </from>
                  <to>
                    <xdr:col>4</xdr:col>
                    <xdr:colOff>2028825</xdr:colOff>
                    <xdr:row>116</xdr:row>
                    <xdr:rowOff>9525</xdr:rowOff>
                  </to>
                </anchor>
              </controlPr>
            </control>
          </mc:Choice>
        </mc:AlternateContent>
        <mc:AlternateContent xmlns:mc="http://schemas.openxmlformats.org/markup-compatibility/2006">
          <mc:Choice Requires="x14">
            <control shapeId="1510" r:id="rId176" name="Check Box 486">
              <controlPr defaultSize="0" autoFill="0" autoLine="0" autoPict="0" altText="Biobased">
                <anchor moveWithCells="1">
                  <from>
                    <xdr:col>4</xdr:col>
                    <xdr:colOff>66675</xdr:colOff>
                    <xdr:row>115</xdr:row>
                    <xdr:rowOff>152400</xdr:rowOff>
                  </from>
                  <to>
                    <xdr:col>4</xdr:col>
                    <xdr:colOff>2028825</xdr:colOff>
                    <xdr:row>117</xdr:row>
                    <xdr:rowOff>9525</xdr:rowOff>
                  </to>
                </anchor>
              </controlPr>
            </control>
          </mc:Choice>
        </mc:AlternateContent>
        <mc:AlternateContent xmlns:mc="http://schemas.openxmlformats.org/markup-compatibility/2006">
          <mc:Choice Requires="x14">
            <control shapeId="1515" r:id="rId177" name="Option Button 491">
              <controlPr defaultSize="0" autoFill="0" autoLine="0" autoPict="0">
                <anchor moveWithCells="1">
                  <from>
                    <xdr:col>2</xdr:col>
                    <xdr:colOff>114300</xdr:colOff>
                    <xdr:row>135</xdr:row>
                    <xdr:rowOff>171450</xdr:rowOff>
                  </from>
                  <to>
                    <xdr:col>2</xdr:col>
                    <xdr:colOff>2047875</xdr:colOff>
                    <xdr:row>137</xdr:row>
                    <xdr:rowOff>9525</xdr:rowOff>
                  </to>
                </anchor>
              </controlPr>
            </control>
          </mc:Choice>
        </mc:AlternateContent>
        <mc:AlternateContent xmlns:mc="http://schemas.openxmlformats.org/markup-compatibility/2006">
          <mc:Choice Requires="x14">
            <control shapeId="1516" r:id="rId178" name="Option Button 492">
              <controlPr defaultSize="0" autoFill="0" autoLine="0" autoPict="0">
                <anchor moveWithCells="1">
                  <from>
                    <xdr:col>2</xdr:col>
                    <xdr:colOff>114300</xdr:colOff>
                    <xdr:row>136</xdr:row>
                    <xdr:rowOff>171450</xdr:rowOff>
                  </from>
                  <to>
                    <xdr:col>2</xdr:col>
                    <xdr:colOff>2038350</xdr:colOff>
                    <xdr:row>138</xdr:row>
                    <xdr:rowOff>9525</xdr:rowOff>
                  </to>
                </anchor>
              </controlPr>
            </control>
          </mc:Choice>
        </mc:AlternateContent>
        <mc:AlternateContent xmlns:mc="http://schemas.openxmlformats.org/markup-compatibility/2006">
          <mc:Choice Requires="x14">
            <control shapeId="1517" r:id="rId179" name="Group Box 493">
              <controlPr defaultSize="0" autoFill="0" autoPict="0">
                <anchor moveWithCells="1">
                  <from>
                    <xdr:col>2</xdr:col>
                    <xdr:colOff>0</xdr:colOff>
                    <xdr:row>135</xdr:row>
                    <xdr:rowOff>0</xdr:rowOff>
                  </from>
                  <to>
                    <xdr:col>2</xdr:col>
                    <xdr:colOff>2695575</xdr:colOff>
                    <xdr:row>138</xdr:row>
                    <xdr:rowOff>66675</xdr:rowOff>
                  </to>
                </anchor>
              </controlPr>
            </control>
          </mc:Choice>
        </mc:AlternateContent>
        <mc:AlternateContent xmlns:mc="http://schemas.openxmlformats.org/markup-compatibility/2006">
          <mc:Choice Requires="x14">
            <control shapeId="1518" r:id="rId180" name="Group Box 494">
              <controlPr defaultSize="0" autoFill="0" autoPict="0">
                <anchor moveWithCells="1">
                  <from>
                    <xdr:col>4</xdr:col>
                    <xdr:colOff>0</xdr:colOff>
                    <xdr:row>135</xdr:row>
                    <xdr:rowOff>0</xdr:rowOff>
                  </from>
                  <to>
                    <xdr:col>4</xdr:col>
                    <xdr:colOff>2695575</xdr:colOff>
                    <xdr:row>138</xdr:row>
                    <xdr:rowOff>57150</xdr:rowOff>
                  </to>
                </anchor>
              </controlPr>
            </control>
          </mc:Choice>
        </mc:AlternateContent>
        <mc:AlternateContent xmlns:mc="http://schemas.openxmlformats.org/markup-compatibility/2006">
          <mc:Choice Requires="x14">
            <control shapeId="1519" r:id="rId181" name="Option Button 495">
              <controlPr defaultSize="0" autoFill="0" autoLine="0" autoPict="0">
                <anchor moveWithCells="1">
                  <from>
                    <xdr:col>4</xdr:col>
                    <xdr:colOff>57150</xdr:colOff>
                    <xdr:row>135</xdr:row>
                    <xdr:rowOff>152400</xdr:rowOff>
                  </from>
                  <to>
                    <xdr:col>4</xdr:col>
                    <xdr:colOff>2562225</xdr:colOff>
                    <xdr:row>136</xdr:row>
                    <xdr:rowOff>180975</xdr:rowOff>
                  </to>
                </anchor>
              </controlPr>
            </control>
          </mc:Choice>
        </mc:AlternateContent>
        <mc:AlternateContent xmlns:mc="http://schemas.openxmlformats.org/markup-compatibility/2006">
          <mc:Choice Requires="x14">
            <control shapeId="1520" r:id="rId182" name="Option Button 496">
              <controlPr defaultSize="0" autoFill="0" autoLine="0" autoPict="0">
                <anchor moveWithCells="1">
                  <from>
                    <xdr:col>4</xdr:col>
                    <xdr:colOff>57150</xdr:colOff>
                    <xdr:row>136</xdr:row>
                    <xdr:rowOff>152400</xdr:rowOff>
                  </from>
                  <to>
                    <xdr:col>4</xdr:col>
                    <xdr:colOff>2562225</xdr:colOff>
                    <xdr:row>137</xdr:row>
                    <xdr:rowOff>180975</xdr:rowOff>
                  </to>
                </anchor>
              </controlPr>
            </control>
          </mc:Choice>
        </mc:AlternateContent>
        <mc:AlternateContent xmlns:mc="http://schemas.openxmlformats.org/markup-compatibility/2006">
          <mc:Choice Requires="x14">
            <control shapeId="1521" r:id="rId183" name="Group Box 497">
              <controlPr defaultSize="0" autoFill="0" autoPict="0">
                <anchor moveWithCells="1">
                  <from>
                    <xdr:col>6</xdr:col>
                    <xdr:colOff>0</xdr:colOff>
                    <xdr:row>135</xdr:row>
                    <xdr:rowOff>0</xdr:rowOff>
                  </from>
                  <to>
                    <xdr:col>9</xdr:col>
                    <xdr:colOff>19050</xdr:colOff>
                    <xdr:row>139</xdr:row>
                    <xdr:rowOff>57150</xdr:rowOff>
                  </to>
                </anchor>
              </controlPr>
            </control>
          </mc:Choice>
        </mc:AlternateContent>
        <mc:AlternateContent xmlns:mc="http://schemas.openxmlformats.org/markup-compatibility/2006">
          <mc:Choice Requires="x14">
            <control shapeId="1522" r:id="rId184" name="Option Button 498">
              <controlPr defaultSize="0" autoFill="0" autoLine="0" autoPict="0">
                <anchor moveWithCells="1">
                  <from>
                    <xdr:col>6</xdr:col>
                    <xdr:colOff>28575</xdr:colOff>
                    <xdr:row>135</xdr:row>
                    <xdr:rowOff>161925</xdr:rowOff>
                  </from>
                  <to>
                    <xdr:col>8</xdr:col>
                    <xdr:colOff>942975</xdr:colOff>
                    <xdr:row>136</xdr:row>
                    <xdr:rowOff>152400</xdr:rowOff>
                  </to>
                </anchor>
              </controlPr>
            </control>
          </mc:Choice>
        </mc:AlternateContent>
        <mc:AlternateContent xmlns:mc="http://schemas.openxmlformats.org/markup-compatibility/2006">
          <mc:Choice Requires="x14">
            <control shapeId="1523" r:id="rId185" name="Option Button 499">
              <controlPr defaultSize="0" autoFill="0" autoLine="0" autoPict="0">
                <anchor moveWithCells="1">
                  <from>
                    <xdr:col>6</xdr:col>
                    <xdr:colOff>28575</xdr:colOff>
                    <xdr:row>136</xdr:row>
                    <xdr:rowOff>161925</xdr:rowOff>
                  </from>
                  <to>
                    <xdr:col>8</xdr:col>
                    <xdr:colOff>942975</xdr:colOff>
                    <xdr:row>138</xdr:row>
                    <xdr:rowOff>133350</xdr:rowOff>
                  </to>
                </anchor>
              </controlPr>
            </control>
          </mc:Choice>
        </mc:AlternateContent>
        <mc:AlternateContent xmlns:mc="http://schemas.openxmlformats.org/markup-compatibility/2006">
          <mc:Choice Requires="x14">
            <control shapeId="1525" r:id="rId186" name="Option Button 501">
              <controlPr defaultSize="0" autoFill="0" autoLine="0" autoPict="0">
                <anchor moveWithCells="1">
                  <from>
                    <xdr:col>2</xdr:col>
                    <xdr:colOff>66675</xdr:colOff>
                    <xdr:row>186</xdr:row>
                    <xdr:rowOff>171450</xdr:rowOff>
                  </from>
                  <to>
                    <xdr:col>2</xdr:col>
                    <xdr:colOff>2447925</xdr:colOff>
                    <xdr:row>188</xdr:row>
                    <xdr:rowOff>0</xdr:rowOff>
                  </to>
                </anchor>
              </controlPr>
            </control>
          </mc:Choice>
        </mc:AlternateContent>
        <mc:AlternateContent xmlns:mc="http://schemas.openxmlformats.org/markup-compatibility/2006">
          <mc:Choice Requires="x14">
            <control shapeId="1526" r:id="rId187" name="Group Box 502">
              <controlPr defaultSize="0" autoFill="0" autoPict="0">
                <anchor moveWithCells="1">
                  <from>
                    <xdr:col>2</xdr:col>
                    <xdr:colOff>0</xdr:colOff>
                    <xdr:row>186</xdr:row>
                    <xdr:rowOff>0</xdr:rowOff>
                  </from>
                  <to>
                    <xdr:col>2</xdr:col>
                    <xdr:colOff>2809875</xdr:colOff>
                    <xdr:row>199</xdr:row>
                    <xdr:rowOff>66675</xdr:rowOff>
                  </to>
                </anchor>
              </controlPr>
            </control>
          </mc:Choice>
        </mc:AlternateContent>
        <mc:AlternateContent xmlns:mc="http://schemas.openxmlformats.org/markup-compatibility/2006">
          <mc:Choice Requires="x14">
            <control shapeId="1527" r:id="rId188" name="Option Button 503">
              <controlPr defaultSize="0" autoFill="0" autoLine="0" autoPict="0">
                <anchor moveWithCells="1">
                  <from>
                    <xdr:col>2</xdr:col>
                    <xdr:colOff>66675</xdr:colOff>
                    <xdr:row>187</xdr:row>
                    <xdr:rowOff>171450</xdr:rowOff>
                  </from>
                  <to>
                    <xdr:col>2</xdr:col>
                    <xdr:colOff>2371725</xdr:colOff>
                    <xdr:row>189</xdr:row>
                    <xdr:rowOff>0</xdr:rowOff>
                  </to>
                </anchor>
              </controlPr>
            </control>
          </mc:Choice>
        </mc:AlternateContent>
        <mc:AlternateContent xmlns:mc="http://schemas.openxmlformats.org/markup-compatibility/2006">
          <mc:Choice Requires="x14">
            <control shapeId="1528" r:id="rId189" name="Option Button 504">
              <controlPr defaultSize="0" autoFill="0" autoLine="0" autoPict="0">
                <anchor moveWithCells="1">
                  <from>
                    <xdr:col>2</xdr:col>
                    <xdr:colOff>66675</xdr:colOff>
                    <xdr:row>188</xdr:row>
                    <xdr:rowOff>171450</xdr:rowOff>
                  </from>
                  <to>
                    <xdr:col>2</xdr:col>
                    <xdr:colOff>2457450</xdr:colOff>
                    <xdr:row>190</xdr:row>
                    <xdr:rowOff>0</xdr:rowOff>
                  </to>
                </anchor>
              </controlPr>
            </control>
          </mc:Choice>
        </mc:AlternateContent>
        <mc:AlternateContent xmlns:mc="http://schemas.openxmlformats.org/markup-compatibility/2006">
          <mc:Choice Requires="x14">
            <control shapeId="1529" r:id="rId190" name="Option Button 505">
              <controlPr defaultSize="0" autoFill="0" autoLine="0" autoPict="0">
                <anchor moveWithCells="1">
                  <from>
                    <xdr:col>2</xdr:col>
                    <xdr:colOff>66675</xdr:colOff>
                    <xdr:row>189</xdr:row>
                    <xdr:rowOff>171450</xdr:rowOff>
                  </from>
                  <to>
                    <xdr:col>2</xdr:col>
                    <xdr:colOff>2466975</xdr:colOff>
                    <xdr:row>191</xdr:row>
                    <xdr:rowOff>0</xdr:rowOff>
                  </to>
                </anchor>
              </controlPr>
            </control>
          </mc:Choice>
        </mc:AlternateContent>
        <mc:AlternateContent xmlns:mc="http://schemas.openxmlformats.org/markup-compatibility/2006">
          <mc:Choice Requires="x14">
            <control shapeId="1530" r:id="rId191" name="Option Button 506">
              <controlPr defaultSize="0" autoFill="0" autoLine="0" autoPict="0">
                <anchor moveWithCells="1">
                  <from>
                    <xdr:col>2</xdr:col>
                    <xdr:colOff>66675</xdr:colOff>
                    <xdr:row>190</xdr:row>
                    <xdr:rowOff>171450</xdr:rowOff>
                  </from>
                  <to>
                    <xdr:col>2</xdr:col>
                    <xdr:colOff>2390775</xdr:colOff>
                    <xdr:row>192</xdr:row>
                    <xdr:rowOff>0</xdr:rowOff>
                  </to>
                </anchor>
              </controlPr>
            </control>
          </mc:Choice>
        </mc:AlternateContent>
        <mc:AlternateContent xmlns:mc="http://schemas.openxmlformats.org/markup-compatibility/2006">
          <mc:Choice Requires="x14">
            <control shapeId="1531" r:id="rId192" name="Option Button 507">
              <controlPr defaultSize="0" autoFill="0" autoLine="0" autoPict="0">
                <anchor moveWithCells="1">
                  <from>
                    <xdr:col>2</xdr:col>
                    <xdr:colOff>66675</xdr:colOff>
                    <xdr:row>191</xdr:row>
                    <xdr:rowOff>171450</xdr:rowOff>
                  </from>
                  <to>
                    <xdr:col>2</xdr:col>
                    <xdr:colOff>2362200</xdr:colOff>
                    <xdr:row>193</xdr:row>
                    <xdr:rowOff>0</xdr:rowOff>
                  </to>
                </anchor>
              </controlPr>
            </control>
          </mc:Choice>
        </mc:AlternateContent>
        <mc:AlternateContent xmlns:mc="http://schemas.openxmlformats.org/markup-compatibility/2006">
          <mc:Choice Requires="x14">
            <control shapeId="1532" r:id="rId193" name="Option Button 508">
              <controlPr defaultSize="0" autoFill="0" autoLine="0" autoPict="0">
                <anchor moveWithCells="1">
                  <from>
                    <xdr:col>2</xdr:col>
                    <xdr:colOff>66675</xdr:colOff>
                    <xdr:row>192</xdr:row>
                    <xdr:rowOff>171450</xdr:rowOff>
                  </from>
                  <to>
                    <xdr:col>2</xdr:col>
                    <xdr:colOff>2438400</xdr:colOff>
                    <xdr:row>194</xdr:row>
                    <xdr:rowOff>0</xdr:rowOff>
                  </to>
                </anchor>
              </controlPr>
            </control>
          </mc:Choice>
        </mc:AlternateContent>
        <mc:AlternateContent xmlns:mc="http://schemas.openxmlformats.org/markup-compatibility/2006">
          <mc:Choice Requires="x14">
            <control shapeId="1533" r:id="rId194" name="Option Button 509">
              <controlPr defaultSize="0" autoFill="0" autoLine="0" autoPict="0">
                <anchor moveWithCells="1">
                  <from>
                    <xdr:col>2</xdr:col>
                    <xdr:colOff>66675</xdr:colOff>
                    <xdr:row>193</xdr:row>
                    <xdr:rowOff>171450</xdr:rowOff>
                  </from>
                  <to>
                    <xdr:col>2</xdr:col>
                    <xdr:colOff>2400300</xdr:colOff>
                    <xdr:row>195</xdr:row>
                    <xdr:rowOff>0</xdr:rowOff>
                  </to>
                </anchor>
              </controlPr>
            </control>
          </mc:Choice>
        </mc:AlternateContent>
        <mc:AlternateContent xmlns:mc="http://schemas.openxmlformats.org/markup-compatibility/2006">
          <mc:Choice Requires="x14">
            <control shapeId="1534" r:id="rId195" name="Option Button 510">
              <controlPr defaultSize="0" autoFill="0" autoLine="0" autoPict="0">
                <anchor moveWithCells="1">
                  <from>
                    <xdr:col>2</xdr:col>
                    <xdr:colOff>66675</xdr:colOff>
                    <xdr:row>194</xdr:row>
                    <xdr:rowOff>171450</xdr:rowOff>
                  </from>
                  <to>
                    <xdr:col>2</xdr:col>
                    <xdr:colOff>2409825</xdr:colOff>
                    <xdr:row>196</xdr:row>
                    <xdr:rowOff>0</xdr:rowOff>
                  </to>
                </anchor>
              </controlPr>
            </control>
          </mc:Choice>
        </mc:AlternateContent>
        <mc:AlternateContent xmlns:mc="http://schemas.openxmlformats.org/markup-compatibility/2006">
          <mc:Choice Requires="x14">
            <control shapeId="1535" r:id="rId196" name="Option Button 511">
              <controlPr defaultSize="0" autoFill="0" autoLine="0" autoPict="0">
                <anchor moveWithCells="1">
                  <from>
                    <xdr:col>2</xdr:col>
                    <xdr:colOff>66675</xdr:colOff>
                    <xdr:row>195</xdr:row>
                    <xdr:rowOff>171450</xdr:rowOff>
                  </from>
                  <to>
                    <xdr:col>2</xdr:col>
                    <xdr:colOff>2362200</xdr:colOff>
                    <xdr:row>197</xdr:row>
                    <xdr:rowOff>0</xdr:rowOff>
                  </to>
                </anchor>
              </controlPr>
            </control>
          </mc:Choice>
        </mc:AlternateContent>
        <mc:AlternateContent xmlns:mc="http://schemas.openxmlformats.org/markup-compatibility/2006">
          <mc:Choice Requires="x14">
            <control shapeId="1536" r:id="rId197" name="Option Button 512">
              <controlPr defaultSize="0" autoFill="0" autoLine="0" autoPict="0">
                <anchor moveWithCells="1">
                  <from>
                    <xdr:col>2</xdr:col>
                    <xdr:colOff>66675</xdr:colOff>
                    <xdr:row>196</xdr:row>
                    <xdr:rowOff>171450</xdr:rowOff>
                  </from>
                  <to>
                    <xdr:col>2</xdr:col>
                    <xdr:colOff>2419350</xdr:colOff>
                    <xdr:row>198</xdr:row>
                    <xdr:rowOff>0</xdr:rowOff>
                  </to>
                </anchor>
              </controlPr>
            </control>
          </mc:Choice>
        </mc:AlternateContent>
        <mc:AlternateContent xmlns:mc="http://schemas.openxmlformats.org/markup-compatibility/2006">
          <mc:Choice Requires="x14">
            <control shapeId="1537" r:id="rId198" name="Option Button 513">
              <controlPr defaultSize="0" autoFill="0" autoLine="0" autoPict="0">
                <anchor moveWithCells="1">
                  <from>
                    <xdr:col>2</xdr:col>
                    <xdr:colOff>66675</xdr:colOff>
                    <xdr:row>197</xdr:row>
                    <xdr:rowOff>171450</xdr:rowOff>
                  </from>
                  <to>
                    <xdr:col>2</xdr:col>
                    <xdr:colOff>2466975</xdr:colOff>
                    <xdr:row>199</xdr:row>
                    <xdr:rowOff>0</xdr:rowOff>
                  </to>
                </anchor>
              </controlPr>
            </control>
          </mc:Choice>
        </mc:AlternateContent>
        <mc:AlternateContent xmlns:mc="http://schemas.openxmlformats.org/markup-compatibility/2006">
          <mc:Choice Requires="x14">
            <control shapeId="1538" r:id="rId199" name="Option Button 514">
              <controlPr defaultSize="0" autoFill="0" autoLine="0" autoPict="0">
                <anchor moveWithCells="1">
                  <from>
                    <xdr:col>2</xdr:col>
                    <xdr:colOff>85725</xdr:colOff>
                    <xdr:row>201</xdr:row>
                    <xdr:rowOff>180975</xdr:rowOff>
                  </from>
                  <to>
                    <xdr:col>2</xdr:col>
                    <xdr:colOff>2486025</xdr:colOff>
                    <xdr:row>203</xdr:row>
                    <xdr:rowOff>9525</xdr:rowOff>
                  </to>
                </anchor>
              </controlPr>
            </control>
          </mc:Choice>
        </mc:AlternateContent>
        <mc:AlternateContent xmlns:mc="http://schemas.openxmlformats.org/markup-compatibility/2006">
          <mc:Choice Requires="x14">
            <control shapeId="1539" r:id="rId200" name="Option Button 515">
              <controlPr defaultSize="0" autoFill="0" autoLine="0" autoPict="0">
                <anchor moveWithCells="1">
                  <from>
                    <xdr:col>2</xdr:col>
                    <xdr:colOff>85725</xdr:colOff>
                    <xdr:row>202</xdr:row>
                    <xdr:rowOff>180975</xdr:rowOff>
                  </from>
                  <to>
                    <xdr:col>2</xdr:col>
                    <xdr:colOff>2457450</xdr:colOff>
                    <xdr:row>204</xdr:row>
                    <xdr:rowOff>9525</xdr:rowOff>
                  </to>
                </anchor>
              </controlPr>
            </control>
          </mc:Choice>
        </mc:AlternateContent>
        <mc:AlternateContent xmlns:mc="http://schemas.openxmlformats.org/markup-compatibility/2006">
          <mc:Choice Requires="x14">
            <control shapeId="1540" r:id="rId201" name="Option Button 516">
              <controlPr defaultSize="0" autoFill="0" autoLine="0" autoPict="0">
                <anchor moveWithCells="1">
                  <from>
                    <xdr:col>2</xdr:col>
                    <xdr:colOff>85725</xdr:colOff>
                    <xdr:row>203</xdr:row>
                    <xdr:rowOff>180975</xdr:rowOff>
                  </from>
                  <to>
                    <xdr:col>2</xdr:col>
                    <xdr:colOff>2295525</xdr:colOff>
                    <xdr:row>205</xdr:row>
                    <xdr:rowOff>9525</xdr:rowOff>
                  </to>
                </anchor>
              </controlPr>
            </control>
          </mc:Choice>
        </mc:AlternateContent>
        <mc:AlternateContent xmlns:mc="http://schemas.openxmlformats.org/markup-compatibility/2006">
          <mc:Choice Requires="x14">
            <control shapeId="1541" r:id="rId202" name="Option Button 517">
              <controlPr defaultSize="0" autoFill="0" autoLine="0" autoPict="0">
                <anchor moveWithCells="1">
                  <from>
                    <xdr:col>2</xdr:col>
                    <xdr:colOff>85725</xdr:colOff>
                    <xdr:row>204</xdr:row>
                    <xdr:rowOff>180975</xdr:rowOff>
                  </from>
                  <to>
                    <xdr:col>2</xdr:col>
                    <xdr:colOff>2390775</xdr:colOff>
                    <xdr:row>206</xdr:row>
                    <xdr:rowOff>9525</xdr:rowOff>
                  </to>
                </anchor>
              </controlPr>
            </control>
          </mc:Choice>
        </mc:AlternateContent>
        <mc:AlternateContent xmlns:mc="http://schemas.openxmlformats.org/markup-compatibility/2006">
          <mc:Choice Requires="x14">
            <control shapeId="1542" r:id="rId203" name="Option Button 518">
              <controlPr defaultSize="0" autoFill="0" autoLine="0" autoPict="0">
                <anchor moveWithCells="1">
                  <from>
                    <xdr:col>2</xdr:col>
                    <xdr:colOff>85725</xdr:colOff>
                    <xdr:row>205</xdr:row>
                    <xdr:rowOff>180975</xdr:rowOff>
                  </from>
                  <to>
                    <xdr:col>2</xdr:col>
                    <xdr:colOff>2286000</xdr:colOff>
                    <xdr:row>207</xdr:row>
                    <xdr:rowOff>9525</xdr:rowOff>
                  </to>
                </anchor>
              </controlPr>
            </control>
          </mc:Choice>
        </mc:AlternateContent>
        <mc:AlternateContent xmlns:mc="http://schemas.openxmlformats.org/markup-compatibility/2006">
          <mc:Choice Requires="x14">
            <control shapeId="1543" r:id="rId204" name="Group Box 519">
              <controlPr defaultSize="0" autoFill="0" autoPict="0">
                <anchor moveWithCells="1">
                  <from>
                    <xdr:col>2</xdr:col>
                    <xdr:colOff>9525</xdr:colOff>
                    <xdr:row>201</xdr:row>
                    <xdr:rowOff>57150</xdr:rowOff>
                  </from>
                  <to>
                    <xdr:col>2</xdr:col>
                    <xdr:colOff>2819400</xdr:colOff>
                    <xdr:row>207</xdr:row>
                    <xdr:rowOff>66675</xdr:rowOff>
                  </to>
                </anchor>
              </controlPr>
            </control>
          </mc:Choice>
        </mc:AlternateContent>
        <mc:AlternateContent xmlns:mc="http://schemas.openxmlformats.org/markup-compatibility/2006">
          <mc:Choice Requires="x14">
            <control shapeId="1544" r:id="rId205" name="Option Button 520">
              <controlPr defaultSize="0" autoFill="0" autoLine="0" autoPict="0">
                <anchor moveWithCells="1">
                  <from>
                    <xdr:col>4</xdr:col>
                    <xdr:colOff>47625</xdr:colOff>
                    <xdr:row>186</xdr:row>
                    <xdr:rowOff>180975</xdr:rowOff>
                  </from>
                  <to>
                    <xdr:col>4</xdr:col>
                    <xdr:colOff>2552700</xdr:colOff>
                    <xdr:row>188</xdr:row>
                    <xdr:rowOff>19050</xdr:rowOff>
                  </to>
                </anchor>
              </controlPr>
            </control>
          </mc:Choice>
        </mc:AlternateContent>
        <mc:AlternateContent xmlns:mc="http://schemas.openxmlformats.org/markup-compatibility/2006">
          <mc:Choice Requires="x14">
            <control shapeId="1545" r:id="rId206" name="Option Button 521">
              <controlPr defaultSize="0" autoFill="0" autoLine="0" autoPict="0">
                <anchor moveWithCells="1">
                  <from>
                    <xdr:col>4</xdr:col>
                    <xdr:colOff>47625</xdr:colOff>
                    <xdr:row>187</xdr:row>
                    <xdr:rowOff>180975</xdr:rowOff>
                  </from>
                  <to>
                    <xdr:col>4</xdr:col>
                    <xdr:colOff>2524125</xdr:colOff>
                    <xdr:row>189</xdr:row>
                    <xdr:rowOff>19050</xdr:rowOff>
                  </to>
                </anchor>
              </controlPr>
            </control>
          </mc:Choice>
        </mc:AlternateContent>
        <mc:AlternateContent xmlns:mc="http://schemas.openxmlformats.org/markup-compatibility/2006">
          <mc:Choice Requires="x14">
            <control shapeId="1546" r:id="rId207" name="Group Box 522">
              <controlPr defaultSize="0" autoFill="0" autoPict="0">
                <anchor moveWithCells="1">
                  <from>
                    <xdr:col>4</xdr:col>
                    <xdr:colOff>0</xdr:colOff>
                    <xdr:row>186</xdr:row>
                    <xdr:rowOff>0</xdr:rowOff>
                  </from>
                  <to>
                    <xdr:col>4</xdr:col>
                    <xdr:colOff>2695575</xdr:colOff>
                    <xdr:row>191</xdr:row>
                    <xdr:rowOff>114300</xdr:rowOff>
                  </to>
                </anchor>
              </controlPr>
            </control>
          </mc:Choice>
        </mc:AlternateContent>
        <mc:AlternateContent xmlns:mc="http://schemas.openxmlformats.org/markup-compatibility/2006">
          <mc:Choice Requires="x14">
            <control shapeId="1547" r:id="rId208" name="Option Button 523">
              <controlPr defaultSize="0" autoFill="0" autoLine="0" autoPict="0">
                <anchor moveWithCells="1">
                  <from>
                    <xdr:col>4</xdr:col>
                    <xdr:colOff>47625</xdr:colOff>
                    <xdr:row>188</xdr:row>
                    <xdr:rowOff>180975</xdr:rowOff>
                  </from>
                  <to>
                    <xdr:col>4</xdr:col>
                    <xdr:colOff>2552700</xdr:colOff>
                    <xdr:row>190</xdr:row>
                    <xdr:rowOff>19050</xdr:rowOff>
                  </to>
                </anchor>
              </controlPr>
            </control>
          </mc:Choice>
        </mc:AlternateContent>
        <mc:AlternateContent xmlns:mc="http://schemas.openxmlformats.org/markup-compatibility/2006">
          <mc:Choice Requires="x14">
            <control shapeId="1548" r:id="rId209" name="Option Button 524">
              <controlPr defaultSize="0" autoFill="0" autoLine="0" autoPict="0">
                <anchor moveWithCells="1">
                  <from>
                    <xdr:col>4</xdr:col>
                    <xdr:colOff>47625</xdr:colOff>
                    <xdr:row>189</xdr:row>
                    <xdr:rowOff>180975</xdr:rowOff>
                  </from>
                  <to>
                    <xdr:col>4</xdr:col>
                    <xdr:colOff>2552700</xdr:colOff>
                    <xdr:row>191</xdr:row>
                    <xdr:rowOff>19050</xdr:rowOff>
                  </to>
                </anchor>
              </controlPr>
            </control>
          </mc:Choice>
        </mc:AlternateContent>
        <mc:AlternateContent xmlns:mc="http://schemas.openxmlformats.org/markup-compatibility/2006">
          <mc:Choice Requires="x14">
            <control shapeId="1549" r:id="rId210" name="Option Button 525">
              <controlPr defaultSize="0" autoFill="0" autoLine="0" autoPict="0">
                <anchor moveWithCells="1">
                  <from>
                    <xdr:col>2</xdr:col>
                    <xdr:colOff>95250</xdr:colOff>
                    <xdr:row>94</xdr:row>
                    <xdr:rowOff>180975</xdr:rowOff>
                  </from>
                  <to>
                    <xdr:col>2</xdr:col>
                    <xdr:colOff>2171700</xdr:colOff>
                    <xdr:row>96</xdr:row>
                    <xdr:rowOff>19050</xdr:rowOff>
                  </to>
                </anchor>
              </controlPr>
            </control>
          </mc:Choice>
        </mc:AlternateContent>
        <mc:AlternateContent xmlns:mc="http://schemas.openxmlformats.org/markup-compatibility/2006">
          <mc:Choice Requires="x14">
            <control shapeId="1550" r:id="rId211" name="Group Box 526">
              <controlPr defaultSize="0" autoFill="0" autoPict="0">
                <anchor moveWithCells="1">
                  <from>
                    <xdr:col>2</xdr:col>
                    <xdr:colOff>0</xdr:colOff>
                    <xdr:row>94</xdr:row>
                    <xdr:rowOff>0</xdr:rowOff>
                  </from>
                  <to>
                    <xdr:col>2</xdr:col>
                    <xdr:colOff>2809875</xdr:colOff>
                    <xdr:row>97</xdr:row>
                    <xdr:rowOff>19050</xdr:rowOff>
                  </to>
                </anchor>
              </controlPr>
            </control>
          </mc:Choice>
        </mc:AlternateContent>
        <mc:AlternateContent xmlns:mc="http://schemas.openxmlformats.org/markup-compatibility/2006">
          <mc:Choice Requires="x14">
            <control shapeId="1551" r:id="rId212" name="Group Box 527">
              <controlPr defaultSize="0" autoFill="0" autoPict="0">
                <anchor moveWithCells="1">
                  <from>
                    <xdr:col>4</xdr:col>
                    <xdr:colOff>9525</xdr:colOff>
                    <xdr:row>94</xdr:row>
                    <xdr:rowOff>0</xdr:rowOff>
                  </from>
                  <to>
                    <xdr:col>4</xdr:col>
                    <xdr:colOff>2705100</xdr:colOff>
                    <xdr:row>97</xdr:row>
                    <xdr:rowOff>19050</xdr:rowOff>
                  </to>
                </anchor>
              </controlPr>
            </control>
          </mc:Choice>
        </mc:AlternateContent>
        <mc:AlternateContent xmlns:mc="http://schemas.openxmlformats.org/markup-compatibility/2006">
          <mc:Choice Requires="x14">
            <control shapeId="1552" r:id="rId213" name="Check Box 528">
              <controlPr defaultSize="0" autoFill="0" autoLine="0" autoPict="0" altText="Biobased">
                <anchor moveWithCells="1">
                  <from>
                    <xdr:col>4</xdr:col>
                    <xdr:colOff>66675</xdr:colOff>
                    <xdr:row>94</xdr:row>
                    <xdr:rowOff>152400</xdr:rowOff>
                  </from>
                  <to>
                    <xdr:col>4</xdr:col>
                    <xdr:colOff>2028825</xdr:colOff>
                    <xdr:row>96</xdr:row>
                    <xdr:rowOff>9525</xdr:rowOff>
                  </to>
                </anchor>
              </controlPr>
            </control>
          </mc:Choice>
        </mc:AlternateContent>
        <mc:AlternateContent xmlns:mc="http://schemas.openxmlformats.org/markup-compatibility/2006">
          <mc:Choice Requires="x14">
            <control shapeId="1554" r:id="rId214" name="Option Button 530">
              <controlPr defaultSize="0" autoFill="0" autoLine="0" autoPict="0">
                <anchor moveWithCells="1">
                  <from>
                    <xdr:col>2</xdr:col>
                    <xdr:colOff>95250</xdr:colOff>
                    <xdr:row>95</xdr:row>
                    <xdr:rowOff>180975</xdr:rowOff>
                  </from>
                  <to>
                    <xdr:col>2</xdr:col>
                    <xdr:colOff>2171700</xdr:colOff>
                    <xdr:row>97</xdr:row>
                    <xdr:rowOff>19050</xdr:rowOff>
                  </to>
                </anchor>
              </controlPr>
            </control>
          </mc:Choice>
        </mc:AlternateContent>
        <mc:AlternateContent xmlns:mc="http://schemas.openxmlformats.org/markup-compatibility/2006">
          <mc:Choice Requires="x14">
            <control shapeId="1555" r:id="rId215" name="Option Button 531">
              <controlPr defaultSize="0" autoFill="0" autoLine="0" autoPict="0">
                <anchor moveWithCells="1">
                  <from>
                    <xdr:col>2</xdr:col>
                    <xdr:colOff>66675</xdr:colOff>
                    <xdr:row>143</xdr:row>
                    <xdr:rowOff>180975</xdr:rowOff>
                  </from>
                  <to>
                    <xdr:col>2</xdr:col>
                    <xdr:colOff>2228850</xdr:colOff>
                    <xdr:row>145</xdr:row>
                    <xdr:rowOff>9525</xdr:rowOff>
                  </to>
                </anchor>
              </controlPr>
            </control>
          </mc:Choice>
        </mc:AlternateContent>
        <mc:AlternateContent xmlns:mc="http://schemas.openxmlformats.org/markup-compatibility/2006">
          <mc:Choice Requires="x14">
            <control shapeId="1556" r:id="rId216" name="Option Button 532">
              <controlPr defaultSize="0" autoFill="0" autoLine="0" autoPict="0">
                <anchor moveWithCells="1">
                  <from>
                    <xdr:col>2</xdr:col>
                    <xdr:colOff>66675</xdr:colOff>
                    <xdr:row>144</xdr:row>
                    <xdr:rowOff>180975</xdr:rowOff>
                  </from>
                  <to>
                    <xdr:col>2</xdr:col>
                    <xdr:colOff>2657475</xdr:colOff>
                    <xdr:row>146</xdr:row>
                    <xdr:rowOff>19050</xdr:rowOff>
                  </to>
                </anchor>
              </controlPr>
            </control>
          </mc:Choice>
        </mc:AlternateContent>
        <mc:AlternateContent xmlns:mc="http://schemas.openxmlformats.org/markup-compatibility/2006">
          <mc:Choice Requires="x14">
            <control shapeId="1557" r:id="rId217" name="Option Button 533">
              <controlPr defaultSize="0" autoFill="0" autoLine="0" autoPict="0">
                <anchor moveWithCells="1">
                  <from>
                    <xdr:col>2</xdr:col>
                    <xdr:colOff>66675</xdr:colOff>
                    <xdr:row>145</xdr:row>
                    <xdr:rowOff>180975</xdr:rowOff>
                  </from>
                  <to>
                    <xdr:col>2</xdr:col>
                    <xdr:colOff>2676525</xdr:colOff>
                    <xdr:row>147</xdr:row>
                    <xdr:rowOff>38100</xdr:rowOff>
                  </to>
                </anchor>
              </controlPr>
            </control>
          </mc:Choice>
        </mc:AlternateContent>
        <mc:AlternateContent xmlns:mc="http://schemas.openxmlformats.org/markup-compatibility/2006">
          <mc:Choice Requires="x14">
            <control shapeId="1558" r:id="rId218" name="Option Button 534">
              <controlPr defaultSize="0" autoFill="0" autoLine="0" autoPict="0">
                <anchor moveWithCells="1">
                  <from>
                    <xdr:col>2</xdr:col>
                    <xdr:colOff>66675</xdr:colOff>
                    <xdr:row>146</xdr:row>
                    <xdr:rowOff>180975</xdr:rowOff>
                  </from>
                  <to>
                    <xdr:col>2</xdr:col>
                    <xdr:colOff>2324100</xdr:colOff>
                    <xdr:row>148</xdr:row>
                    <xdr:rowOff>9525</xdr:rowOff>
                  </to>
                </anchor>
              </controlPr>
            </control>
          </mc:Choice>
        </mc:AlternateContent>
        <mc:AlternateContent xmlns:mc="http://schemas.openxmlformats.org/markup-compatibility/2006">
          <mc:Choice Requires="x14">
            <control shapeId="1559" r:id="rId219" name="Option Button 535">
              <controlPr defaultSize="0" autoFill="0" autoLine="0" autoPict="0">
                <anchor moveWithCells="1">
                  <from>
                    <xdr:col>2</xdr:col>
                    <xdr:colOff>66675</xdr:colOff>
                    <xdr:row>147</xdr:row>
                    <xdr:rowOff>180975</xdr:rowOff>
                  </from>
                  <to>
                    <xdr:col>2</xdr:col>
                    <xdr:colOff>2657475</xdr:colOff>
                    <xdr:row>149</xdr:row>
                    <xdr:rowOff>38100</xdr:rowOff>
                  </to>
                </anchor>
              </controlPr>
            </control>
          </mc:Choice>
        </mc:AlternateContent>
        <mc:AlternateContent xmlns:mc="http://schemas.openxmlformats.org/markup-compatibility/2006">
          <mc:Choice Requires="x14">
            <control shapeId="1560" r:id="rId220" name="Group Box 536">
              <controlPr defaultSize="0" autoFill="0" autoPict="0">
                <anchor moveWithCells="1">
                  <from>
                    <xdr:col>2</xdr:col>
                    <xdr:colOff>9525</xdr:colOff>
                    <xdr:row>143</xdr:row>
                    <xdr:rowOff>0</xdr:rowOff>
                  </from>
                  <to>
                    <xdr:col>2</xdr:col>
                    <xdr:colOff>2705100</xdr:colOff>
                    <xdr:row>149</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758" yWindow="652" count="11">
        <x14:dataValidation type="whole" allowBlank="1" showInputMessage="1" showErrorMessage="1" error="De opdrachtdatum kan niet na de installatiedatum liggen!" xr:uid="{B894F165-45A2-45E8-BF81-EB802E347B1F}">
          <x14:formula1>
            <xm:f>Hulpblad!C364</xm:f>
          </x14:formula1>
          <x14:formula2>
            <xm:f>Hulpblad!C365</xm:f>
          </x14:formula2>
          <xm:sqref>E195</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C5F91914-8C69-4B7E-9C23-27976343ECDD}">
          <x14:formula1>
            <xm:f>Hulpblad!C367</xm:f>
          </x14:formula1>
          <x14:formula2>
            <xm:f>Hulpblad!C368</xm:f>
          </x14:formula2>
          <xm:sqref>C213</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24BFF568-6C28-4B67-8E45-F7C7DFFDCB38}">
          <x14:formula1>
            <xm:f>Hulpblad!C367</xm:f>
          </x14:formula1>
          <x14:formula2>
            <xm:f>Hulpblad!C368</xm:f>
          </x14:formula2>
          <xm:sqref>C211:C212</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28EA065A-A68C-4F67-BA18-42A80AF3CBF3}">
          <x14:formula1>
            <xm:f>Hulpblad!C367</xm:f>
          </x14:formula1>
          <x14:formula2>
            <xm:f>Hulpblad!C368</xm:f>
          </x14:formula2>
          <xm:sqref>C180 C210</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CBA6ABF0-41A4-4341-9ED1-60734C858FAB}">
          <x14:formula1>
            <xm:f>Hulpblad!C369</xm:f>
          </x14:formula1>
          <x14:formula2>
            <xm:f>Hulpblad!C370</xm:f>
          </x14:formula2>
          <xm:sqref>C181</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D3AE0EC8-53FD-4CE0-AE92-582D66EEE8C8}">
          <x14:formula1>
            <xm:f>Hulpblad!C367</xm:f>
          </x14:formula1>
          <x14:formula2>
            <xm:f>Hulpblad!C368</xm:f>
          </x14:formula2>
          <xm:sqref>C215</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6DC46F7F-B1A8-430E-A2E2-025841B0D88C}">
          <x14:formula1>
            <xm:f>Hulpblad!C319</xm:f>
          </x14:formula1>
          <x14:formula2>
            <xm:f>Hulpblad!C367</xm:f>
          </x14:formula2>
          <xm:sqref>C214</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5FEEFF20-F00A-459B-A05E-8F5DDDD098F2}">
          <x14:formula1>
            <xm:f>Hulpblad!C319</xm:f>
          </x14:formula1>
          <x14:formula2>
            <xm:f>Hulpblad!C367</xm:f>
          </x14:formula2>
          <xm:sqref>C179</xm:sqref>
        </x14:dataValidation>
        <x14:dataValidation type="whole" allowBlank="1" showInputMessage="1" showErrorMessage="1" error="De aanschafdatum kan niet na de installatiedatum liggen!" xr:uid="{C3138C38-5068-4EB7-B715-A4E6A6D33278}">
          <x14:formula1>
            <xm:f>Hulpblad!C322</xm:f>
          </x14:formula1>
          <x14:formula2>
            <xm:f>Hulpblad!C323</xm:f>
          </x14:formula2>
          <xm:sqref>E164</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8CBE3EA2-A8D6-431E-BB87-DDC759478A8D}">
          <x14:formula1>
            <xm:f>Hulpblad!C360</xm:f>
          </x14:formula1>
          <x14:formula2>
            <xm:f>Hulpblad!C361</xm:f>
          </x14:formula2>
          <xm:sqref>C209</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BA3BE676-A862-4470-BB40-5DD49A3D8882}">
          <x14:formula1>
            <xm:f>Hulpblad!C318</xm:f>
          </x14:formula1>
          <x14:formula2>
            <xm:f>Hulpblad!C319</xm:f>
          </x14:formula2>
          <xm:sqref>C178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6A6-9020-4006-A279-D1FEA64A9C9A}">
  <sheetPr>
    <pageSetUpPr fitToPage="1"/>
  </sheetPr>
  <dimension ref="A1:D40"/>
  <sheetViews>
    <sheetView workbookViewId="0">
      <selection activeCell="C31" sqref="C31"/>
    </sheetView>
  </sheetViews>
  <sheetFormatPr defaultRowHeight="15"/>
  <cols>
    <col min="1" max="1" width="55.42578125" style="4" customWidth="1"/>
    <col min="2" max="3" width="40.7109375" style="4" customWidth="1"/>
    <col min="4" max="4" width="12.5703125" style="4" customWidth="1"/>
    <col min="5" max="16384" width="9.140625" style="4"/>
  </cols>
  <sheetData>
    <row r="1" spans="1:3" ht="26.25">
      <c r="A1" s="83" t="s">
        <v>127</v>
      </c>
    </row>
    <row r="2" spans="1:3" ht="26.25">
      <c r="A2" s="83"/>
    </row>
    <row r="4" spans="1:3" ht="15.75">
      <c r="A4" s="99" t="s">
        <v>131</v>
      </c>
      <c r="B4" s="101" t="s">
        <v>128</v>
      </c>
      <c r="C4" s="101" t="s">
        <v>140</v>
      </c>
    </row>
    <row r="5" spans="1:3" ht="20.100000000000001" customHeight="1">
      <c r="A5" s="89" t="s">
        <v>248</v>
      </c>
      <c r="B5" s="130">
        <f>'Keuzeblad maatregelen'!M30</f>
        <v>0</v>
      </c>
      <c r="C5" s="92">
        <f>'Keuzeblad maatregelen'!O30+'Keuzeblad maatregelen'!O61</f>
        <v>0</v>
      </c>
    </row>
    <row r="6" spans="1:3" ht="20.100000000000001" customHeight="1">
      <c r="A6" s="89" t="s">
        <v>247</v>
      </c>
      <c r="B6" s="130">
        <f>'Keuzeblad maatregelen'!M35</f>
        <v>0</v>
      </c>
      <c r="C6" s="92">
        <f>'Keuzeblad maatregelen'!O35+'Keuzeblad maatregelen'!O63</f>
        <v>0</v>
      </c>
    </row>
    <row r="7" spans="1:3" ht="20.100000000000001" customHeight="1">
      <c r="A7" s="90" t="s">
        <v>129</v>
      </c>
      <c r="B7" s="90">
        <f>'Keuzeblad maatregelen'!M39</f>
        <v>0</v>
      </c>
      <c r="C7" s="93">
        <f>'Keuzeblad maatregelen'!O39+'Keuzeblad maatregelen'!O65</f>
        <v>0</v>
      </c>
    </row>
    <row r="8" spans="1:3" ht="20.100000000000001" customHeight="1">
      <c r="A8" s="90" t="s">
        <v>130</v>
      </c>
      <c r="B8" s="90">
        <f>'Keuzeblad maatregelen'!M44</f>
        <v>0</v>
      </c>
      <c r="C8" s="93">
        <f>'Keuzeblad maatregelen'!O44+'Keuzeblad maatregelen'!O67</f>
        <v>0</v>
      </c>
    </row>
    <row r="9" spans="1:3" ht="20.100000000000001" customHeight="1">
      <c r="A9" s="91" t="s">
        <v>249</v>
      </c>
      <c r="B9" s="90">
        <f>'Keuzeblad maatregelen'!M49</f>
        <v>0</v>
      </c>
      <c r="C9" s="93">
        <f>'Keuzeblad maatregelen'!O49+'Keuzeblad maatregelen'!O69</f>
        <v>0</v>
      </c>
    </row>
    <row r="10" spans="1:3" ht="20.100000000000001" customHeight="1">
      <c r="A10" s="91" t="s">
        <v>250</v>
      </c>
      <c r="B10" s="91">
        <f>'Keuzeblad maatregelen'!M53</f>
        <v>0</v>
      </c>
      <c r="C10" s="94">
        <f>'Keuzeblad maatregelen'!O53+'Keuzeblad maatregelen'!O71</f>
        <v>0</v>
      </c>
    </row>
    <row r="11" spans="1:3" ht="20.100000000000001" customHeight="1">
      <c r="A11" s="41"/>
      <c r="B11" s="41"/>
      <c r="C11" s="96"/>
    </row>
    <row r="12" spans="1:3" ht="20.100000000000001" customHeight="1">
      <c r="A12" s="100" t="s">
        <v>137</v>
      </c>
      <c r="B12" s="101" t="s">
        <v>128</v>
      </c>
      <c r="C12" s="101"/>
    </row>
    <row r="13" spans="1:3" ht="20.100000000000001" customHeight="1">
      <c r="A13" s="90" t="s">
        <v>133</v>
      </c>
      <c r="B13" s="90">
        <f>IF('Keuzeblad maatregelen'!M127&gt;0,'Keuzeblad maatregelen'!M80+'Keuzeblad maatregelen'!M81,0)</f>
        <v>0</v>
      </c>
      <c r="C13" s="93">
        <f>IF('Keuzeblad maatregelen'!M127&gt;0,'Keuzeblad maatregelen'!O80+'Keuzeblad maatregelen'!O81,0)</f>
        <v>0</v>
      </c>
    </row>
    <row r="14" spans="1:3" ht="20.100000000000001" customHeight="1">
      <c r="A14" s="89" t="s">
        <v>132</v>
      </c>
      <c r="B14" s="89">
        <f>IF('Keuzeblad maatregelen'!M127&gt;0,'Keuzeblad maatregelen'!M84+'Keuzeblad maatregelen'!M85,0)</f>
        <v>0</v>
      </c>
      <c r="C14" s="92">
        <f>IF('Keuzeblad maatregelen'!M127&gt;0,'Keuzeblad maatregelen'!O84+'Keuzeblad maatregelen'!O85,0)</f>
        <v>0</v>
      </c>
    </row>
    <row r="15" spans="1:3" ht="20.100000000000001" customHeight="1">
      <c r="A15" s="90" t="s">
        <v>334</v>
      </c>
      <c r="B15" s="90">
        <f>IF('Keuzeblad maatregelen'!M127&gt;0,'Keuzeblad maatregelen'!M88+'Keuzeblad maatregelen'!M89,0)</f>
        <v>0</v>
      </c>
      <c r="C15" s="92">
        <f>IF('Keuzeblad maatregelen'!M127&gt;0,'Keuzeblad maatregelen'!O88+'Keuzeblad maatregelen'!O89,0)</f>
        <v>0</v>
      </c>
    </row>
    <row r="16" spans="1:3" ht="20.100000000000001" customHeight="1">
      <c r="A16" s="41" t="s">
        <v>336</v>
      </c>
      <c r="B16" s="41">
        <f>IF('Keuzeblad maatregelen'!M127&gt;0,'Keuzeblad maatregelen'!M92+'Keuzeblad maatregelen'!M93,0)</f>
        <v>0</v>
      </c>
      <c r="C16" s="92">
        <f>IF('Keuzeblad maatregelen'!M127&gt;0,'Keuzeblad maatregelen'!O92+'Keuzeblad maatregelen'!O93,0)</f>
        <v>0</v>
      </c>
    </row>
    <row r="17" spans="1:3" ht="20.100000000000001" customHeight="1">
      <c r="A17" s="90" t="s">
        <v>381</v>
      </c>
      <c r="B17" s="90">
        <f>IF('Keuzeblad maatregelen'!M127&gt;0,'Keuzeblad maatregelen'!M96,0)</f>
        <v>0</v>
      </c>
      <c r="C17" s="92">
        <f>IF('Keuzeblad maatregelen'!M127&gt;0,'Keuzeblad maatregelen'!O96,0)</f>
        <v>0</v>
      </c>
    </row>
    <row r="18" spans="1:3" ht="20.100000000000001" customHeight="1">
      <c r="A18" s="90" t="s">
        <v>134</v>
      </c>
      <c r="B18" s="90">
        <f>IF('Keuzeblad maatregelen'!M127&gt;0,'Keuzeblad maatregelen'!M100,0)</f>
        <v>0</v>
      </c>
      <c r="C18" s="93">
        <f>IF('Keuzeblad maatregelen'!M127&gt;0,'Keuzeblad maatregelen'!O100,0)</f>
        <v>0</v>
      </c>
    </row>
    <row r="19" spans="1:3" ht="20.100000000000001" customHeight="1">
      <c r="A19" s="90" t="s">
        <v>142</v>
      </c>
      <c r="B19" s="90">
        <f>IF('Keuzeblad maatregelen'!M127&gt;0,'Keuzeblad maatregelen'!M104,0)</f>
        <v>0</v>
      </c>
      <c r="C19" s="93">
        <f>IF('Keuzeblad maatregelen'!M127&gt;0,'Keuzeblad maatregelen'!O104,0)</f>
        <v>0</v>
      </c>
    </row>
    <row r="20" spans="1:3" ht="20.100000000000001" customHeight="1">
      <c r="A20" s="90" t="s">
        <v>364</v>
      </c>
      <c r="B20" s="90">
        <f>IF('Keuzeblad maatregelen'!M127&gt;0,'Keuzeblad maatregelen'!M108,0)</f>
        <v>0</v>
      </c>
      <c r="C20" s="93">
        <f>IF('Keuzeblad maatregelen'!M127&gt;0,'Keuzeblad maatregelen'!O108,0)</f>
        <v>0</v>
      </c>
    </row>
    <row r="21" spans="1:3" ht="20.100000000000001" customHeight="1">
      <c r="A21" s="41" t="s">
        <v>365</v>
      </c>
      <c r="B21" s="41">
        <f>IF('Keuzeblad maatregelen'!M127&gt;0,'Keuzeblad maatregelen'!M112,0)</f>
        <v>0</v>
      </c>
      <c r="C21" s="96">
        <f>IF('Keuzeblad maatregelen'!M127&gt;0,'Keuzeblad maatregelen'!O112,0)</f>
        <v>0</v>
      </c>
    </row>
    <row r="22" spans="1:3" ht="20.100000000000001" customHeight="1">
      <c r="A22" s="90" t="s">
        <v>144</v>
      </c>
      <c r="B22" s="90">
        <f>IF('Keuzeblad maatregelen'!M127&gt;0,'Keuzeblad maatregelen'!M116+'Keuzeblad maatregelen'!M117,0)</f>
        <v>0</v>
      </c>
      <c r="C22" s="93">
        <f>IF('Keuzeblad maatregelen'!M127&gt;0,'Keuzeblad maatregelen'!O116+'Keuzeblad maatregelen'!O117,0)</f>
        <v>0</v>
      </c>
    </row>
    <row r="23" spans="1:3" ht="20.100000000000001" customHeight="1">
      <c r="A23" s="91" t="s">
        <v>143</v>
      </c>
      <c r="B23" s="91">
        <f>IF('Keuzeblad maatregelen'!M127&gt;0,'Keuzeblad maatregelen'!M120+'Keuzeblad maatregelen'!M121,0)</f>
        <v>0</v>
      </c>
      <c r="C23" s="94">
        <f>IF('Keuzeblad maatregelen'!M127&gt;0,'Keuzeblad maatregelen'!O120+'Keuzeblad maatregelen'!O121,0)</f>
        <v>0</v>
      </c>
    </row>
    <row r="24" spans="1:3" ht="20.100000000000001" customHeight="1">
      <c r="A24" s="91" t="s">
        <v>366</v>
      </c>
      <c r="B24" s="91">
        <f>IF('Keuzeblad maatregelen'!M127&gt;0,'Keuzeblad maatregelen'!M124+'Keuzeblad maatregelen'!M125,0)</f>
        <v>0</v>
      </c>
      <c r="C24" s="94">
        <f>IF('Keuzeblad maatregelen'!M127&gt;0,'Keuzeblad maatregelen'!O124+'Keuzeblad maatregelen'!O125,0)</f>
        <v>0</v>
      </c>
    </row>
    <row r="25" spans="1:3" ht="20.100000000000001" customHeight="1">
      <c r="A25" s="41"/>
      <c r="B25" s="41"/>
      <c r="C25" s="96"/>
    </row>
    <row r="26" spans="1:3" ht="20.100000000000001" customHeight="1">
      <c r="A26" s="100" t="s">
        <v>584</v>
      </c>
      <c r="B26" s="41"/>
      <c r="C26" s="96"/>
    </row>
    <row r="27" spans="1:3" ht="20.100000000000001" customHeight="1">
      <c r="A27" s="190" t="s">
        <v>585</v>
      </c>
      <c r="B27" s="90"/>
      <c r="C27" s="93">
        <f>'Keuzeblad maatregelen'!O136</f>
        <v>0</v>
      </c>
    </row>
    <row r="29" spans="1:3" ht="15.75">
      <c r="A29" s="99" t="s">
        <v>135</v>
      </c>
      <c r="B29" s="101" t="s">
        <v>583</v>
      </c>
      <c r="C29" s="101"/>
    </row>
    <row r="30" spans="1:3">
      <c r="A30" s="85" t="str">
        <f>"Warmtepomp "&amp;IF(Hulpblad!C296="Geen warmtepomp","",Hulpblad!C296)</f>
        <v xml:space="preserve">Warmtepomp </v>
      </c>
      <c r="B30" s="95" t="str">
        <f>IF('Keuzeblad maatregelen'!C178=0,"",'Keuzeblad maatregelen'!C178)</f>
        <v/>
      </c>
      <c r="C30" s="86">
        <f>'Keuzeblad maatregelen'!O156</f>
        <v>0</v>
      </c>
    </row>
    <row r="31" spans="1:3">
      <c r="A31" s="189" t="s">
        <v>587</v>
      </c>
      <c r="B31" s="95" t="str">
        <f>IF('Keuzeblad maatregelen'!C209=0,"",'Keuzeblad maatregelen'!C209)</f>
        <v/>
      </c>
      <c r="C31" s="88">
        <f>'Keuzeblad maatregelen'!O187</f>
        <v>0</v>
      </c>
    </row>
    <row r="32" spans="1:3">
      <c r="A32" s="87"/>
      <c r="B32" s="102"/>
      <c r="C32" s="88"/>
    </row>
    <row r="33" spans="1:4" ht="15.75">
      <c r="A33" s="104" t="s">
        <v>9</v>
      </c>
      <c r="B33" s="103"/>
      <c r="C33" s="101"/>
    </row>
    <row r="34" spans="1:4">
      <c r="A34" s="85" t="str">
        <f>IF(Hulpblad!C374="Geen zonneboiler","Zonneboiler",Hulpblad!C374)</f>
        <v>Zonneboiler</v>
      </c>
      <c r="B34" s="85"/>
      <c r="C34" s="86">
        <f>'Keuzeblad maatregelen'!O220</f>
        <v>0</v>
      </c>
      <c r="D34" s="4" t="s">
        <v>139</v>
      </c>
    </row>
    <row r="35" spans="1:4">
      <c r="C35" s="33"/>
    </row>
    <row r="36" spans="1:4" ht="15.75">
      <c r="A36" s="104" t="s">
        <v>141</v>
      </c>
      <c r="B36" s="84"/>
      <c r="C36" s="101"/>
    </row>
    <row r="37" spans="1:4">
      <c r="A37" s="85" t="s">
        <v>136</v>
      </c>
      <c r="B37" s="85"/>
      <c r="C37" s="86">
        <f>'Keuzeblad maatregelen'!O233</f>
        <v>0</v>
      </c>
    </row>
    <row r="38" spans="1:4">
      <c r="A38" s="85" t="s">
        <v>46</v>
      </c>
      <c r="B38" s="85"/>
      <c r="C38" s="86">
        <f>'Keuzeblad maatregelen'!O252</f>
        <v>0</v>
      </c>
    </row>
    <row r="40" spans="1:4" ht="23.25">
      <c r="A40" s="97" t="s">
        <v>138</v>
      </c>
      <c r="C40" s="98">
        <f>SUM(C5:C38)</f>
        <v>0</v>
      </c>
    </row>
  </sheetData>
  <sheetProtection algorithmName="SHA-512" hashValue="TXz0AT52FpAU7fVVqYJrV3Ob2DEgavRxUQwdte+tIAE7+IT4JRznITeljI2OLdYbSJ64eUBqFMNQeWJBk/6jEQ==" saltValue="a5y3JB9+3fyCfgQMx7SZhw==" spinCount="100000" sheet="1" objects="1" scenarios="1"/>
  <pageMargins left="0.7" right="0.7" top="0.75" bottom="0.75" header="0.3" footer="0.3"/>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C93C-DE4A-4407-AD38-FD14A8F368A5}">
  <dimension ref="A1:N787"/>
  <sheetViews>
    <sheetView topLeftCell="A285" zoomScale="75" zoomScaleNormal="75" workbookViewId="0">
      <selection activeCell="B281" sqref="B281"/>
    </sheetView>
  </sheetViews>
  <sheetFormatPr defaultRowHeight="15"/>
  <cols>
    <col min="2" max="2" width="79.140625" customWidth="1"/>
    <col min="3" max="3" width="98.85546875" customWidth="1"/>
    <col min="4" max="4" width="84.28515625" customWidth="1"/>
    <col min="5" max="5" width="75.85546875" customWidth="1"/>
    <col min="6" max="6" width="70.85546875" customWidth="1"/>
    <col min="7" max="7" width="32.85546875" customWidth="1"/>
    <col min="8" max="8" width="44.28515625" customWidth="1"/>
    <col min="9" max="9" width="36.28515625" customWidth="1"/>
    <col min="10" max="10" width="30.7109375" customWidth="1"/>
    <col min="11" max="11" width="29.28515625" customWidth="1"/>
    <col min="12" max="12" width="30" customWidth="1"/>
    <col min="13" max="13" width="26.140625" customWidth="1"/>
    <col min="14" max="14" width="29.5703125" customWidth="1"/>
  </cols>
  <sheetData>
    <row r="1" spans="1:14" s="30" customFormat="1" ht="18.75">
      <c r="A1" s="122" t="s">
        <v>54</v>
      </c>
      <c r="H1" s="176"/>
    </row>
    <row r="2" spans="1:14" s="30" customFormat="1" ht="18.75">
      <c r="A2" s="122"/>
      <c r="H2" s="176"/>
    </row>
    <row r="3" spans="1:14" s="30" customFormat="1" ht="18.75">
      <c r="A3" s="122"/>
      <c r="B3" s="122" t="s">
        <v>386</v>
      </c>
      <c r="H3" s="176"/>
    </row>
    <row r="4" spans="1:14" s="30" customFormat="1">
      <c r="M4" s="224"/>
    </row>
    <row r="5" spans="1:14" s="30" customFormat="1">
      <c r="B5" s="27" t="s">
        <v>63</v>
      </c>
      <c r="E5" s="27"/>
      <c r="M5" s="224"/>
    </row>
    <row r="6" spans="1:14" s="30" customFormat="1">
      <c r="A6" s="30">
        <v>1</v>
      </c>
      <c r="B6" s="30" t="s">
        <v>383</v>
      </c>
      <c r="E6" s="27"/>
      <c r="M6" s="224"/>
    </row>
    <row r="7" spans="1:14" s="30" customFormat="1">
      <c r="A7" s="30">
        <v>2</v>
      </c>
      <c r="B7" s="30" t="s">
        <v>384</v>
      </c>
      <c r="E7" s="27"/>
      <c r="M7" s="224"/>
    </row>
    <row r="8" spans="1:14" s="30" customFormat="1">
      <c r="A8" s="30">
        <v>3</v>
      </c>
      <c r="B8" s="30" t="s">
        <v>385</v>
      </c>
      <c r="E8" s="27"/>
      <c r="M8" s="224"/>
    </row>
    <row r="9" spans="1:14" s="30" customFormat="1">
      <c r="B9" s="115">
        <v>1</v>
      </c>
      <c r="C9" s="115" t="str">
        <f>VLOOKUP(B9,A6:B8,2,FALSE)</f>
        <v>Nee, ik heb niet eerder ISDE-subsidie ontvangen</v>
      </c>
      <c r="M9" s="224"/>
    </row>
    <row r="10" spans="1:14" s="30" customFormat="1">
      <c r="M10" s="224"/>
      <c r="N10" s="225"/>
    </row>
    <row r="11" spans="1:14" s="30" customFormat="1" ht="18.75" customHeight="1">
      <c r="B11" s="121" t="s">
        <v>3</v>
      </c>
      <c r="C11" s="118"/>
      <c r="D11" s="118"/>
      <c r="E11" s="118"/>
      <c r="F11" s="118"/>
      <c r="M11" s="224"/>
      <c r="N11" s="225"/>
    </row>
    <row r="12" spans="1:14" s="30" customFormat="1">
      <c r="B12" s="26"/>
      <c r="C12" s="118"/>
      <c r="D12" s="118"/>
      <c r="E12" s="118"/>
      <c r="F12" s="118"/>
      <c r="M12" s="224"/>
      <c r="N12" s="225"/>
    </row>
    <row r="13" spans="1:14" s="30" customFormat="1" ht="33.75" customHeight="1">
      <c r="B13" s="26" t="s">
        <v>55</v>
      </c>
      <c r="E13" s="27"/>
      <c r="F13" s="26"/>
      <c r="G13" s="27"/>
      <c r="H13" s="27"/>
      <c r="I13" s="177"/>
      <c r="J13" s="177"/>
      <c r="K13" s="178"/>
      <c r="L13" s="26"/>
      <c r="M13" s="224"/>
      <c r="N13" s="225"/>
    </row>
    <row r="14" spans="1:14" s="30" customFormat="1">
      <c r="A14" s="30">
        <v>1</v>
      </c>
      <c r="B14" s="30" t="s">
        <v>40</v>
      </c>
      <c r="G14" s="32"/>
      <c r="H14" s="32"/>
      <c r="I14" s="32"/>
      <c r="L14" s="118"/>
      <c r="M14" s="118"/>
    </row>
    <row r="15" spans="1:14" s="30" customFormat="1">
      <c r="A15" s="30">
        <v>2</v>
      </c>
      <c r="B15" s="32" t="s">
        <v>387</v>
      </c>
      <c r="G15" s="32"/>
      <c r="H15" s="32"/>
      <c r="I15" s="32"/>
      <c r="L15" s="118"/>
      <c r="M15" s="118"/>
    </row>
    <row r="16" spans="1:14" s="30" customFormat="1">
      <c r="B16" s="118">
        <v>1</v>
      </c>
      <c r="C16" s="115" t="str">
        <f>VLOOKUP(B16,A14:B15,2,FALSE)</f>
        <v>Geen dakisolatie</v>
      </c>
      <c r="G16" s="32"/>
      <c r="H16" s="32"/>
      <c r="I16" s="32"/>
      <c r="L16" s="118"/>
      <c r="M16" s="118"/>
    </row>
    <row r="17" spans="1:13" s="30" customFormat="1">
      <c r="B17" s="27" t="s">
        <v>213</v>
      </c>
      <c r="G17" s="32"/>
      <c r="H17" s="32"/>
      <c r="I17" s="32"/>
      <c r="L17" s="118"/>
      <c r="M17" s="118"/>
    </row>
    <row r="18" spans="1:13" s="30" customFormat="1">
      <c r="A18" s="30">
        <v>1</v>
      </c>
      <c r="B18" s="30" t="s">
        <v>48</v>
      </c>
      <c r="G18" s="32"/>
      <c r="H18" s="32"/>
      <c r="I18" s="32"/>
      <c r="L18" s="118"/>
      <c r="M18" s="118"/>
    </row>
    <row r="19" spans="1:13" s="30" customFormat="1">
      <c r="A19" s="30">
        <v>2</v>
      </c>
      <c r="B19" s="30" t="s">
        <v>389</v>
      </c>
      <c r="G19" s="32"/>
      <c r="H19" s="32"/>
      <c r="I19" s="32"/>
      <c r="L19" s="118"/>
      <c r="M19" s="118"/>
    </row>
    <row r="20" spans="1:13" s="30" customFormat="1">
      <c r="A20" s="30">
        <v>3</v>
      </c>
      <c r="B20" s="114" t="s">
        <v>388</v>
      </c>
      <c r="G20" s="32"/>
      <c r="H20" s="32"/>
      <c r="I20" s="32"/>
      <c r="L20" s="118"/>
      <c r="M20" s="118"/>
    </row>
    <row r="21" spans="1:13" s="30" customFormat="1">
      <c r="B21" s="120">
        <v>1</v>
      </c>
      <c r="C21" s="119" t="str">
        <f>VLOOKUP(B21,A18:B20,2,FALSE)</f>
        <v>Niet van toepassing</v>
      </c>
      <c r="G21" s="32"/>
      <c r="H21" s="32"/>
      <c r="I21" s="32"/>
      <c r="L21" s="118"/>
      <c r="M21" s="118"/>
    </row>
    <row r="22" spans="1:13" s="30" customFormat="1">
      <c r="B22" s="26" t="s">
        <v>220</v>
      </c>
      <c r="C22" s="115" t="str">
        <f>Hulpblad!C16&amp;" "&amp;Hulpblad!C21&amp;""</f>
        <v>Geen dakisolatie Niet van toepassing</v>
      </c>
      <c r="G22" s="32"/>
      <c r="H22" s="32"/>
      <c r="I22" s="32"/>
      <c r="L22" s="118"/>
      <c r="M22" s="118"/>
    </row>
    <row r="23" spans="1:13" s="30" customFormat="1">
      <c r="B23" s="114"/>
      <c r="C23" s="115"/>
      <c r="G23" s="32"/>
      <c r="H23" s="32"/>
      <c r="I23" s="32"/>
      <c r="L23" s="118"/>
      <c r="M23" s="118"/>
    </row>
    <row r="24" spans="1:13" s="30" customFormat="1">
      <c r="B24" s="26" t="s">
        <v>215</v>
      </c>
      <c r="G24" s="32"/>
      <c r="H24" s="32"/>
      <c r="I24" s="32"/>
      <c r="L24" s="118"/>
      <c r="M24" s="118"/>
    </row>
    <row r="25" spans="1:13" s="30" customFormat="1">
      <c r="A25" s="30">
        <v>1</v>
      </c>
      <c r="B25" s="32" t="s">
        <v>211</v>
      </c>
      <c r="G25" s="32"/>
      <c r="H25" s="32"/>
      <c r="I25" s="32"/>
      <c r="L25" s="118"/>
      <c r="M25" s="118"/>
    </row>
    <row r="26" spans="1:13" s="30" customFormat="1">
      <c r="A26" s="30">
        <v>2</v>
      </c>
      <c r="B26" s="30" t="s">
        <v>390</v>
      </c>
      <c r="G26" s="32"/>
      <c r="H26" s="32"/>
      <c r="I26" s="32"/>
      <c r="L26" s="118"/>
      <c r="M26" s="118"/>
    </row>
    <row r="27" spans="1:13" s="30" customFormat="1">
      <c r="B27" s="115">
        <v>1</v>
      </c>
      <c r="C27" s="115" t="str">
        <f>VLOOKUP(B27,A25:B26,2,FALSE)</f>
        <v>Geen zolder- of vlieringisolatie</v>
      </c>
      <c r="G27" s="32"/>
      <c r="H27" s="32"/>
      <c r="I27" s="32"/>
      <c r="L27" s="118"/>
      <c r="M27" s="118"/>
    </row>
    <row r="28" spans="1:13" s="30" customFormat="1">
      <c r="B28" s="27" t="s">
        <v>216</v>
      </c>
      <c r="G28" s="32"/>
      <c r="H28" s="32"/>
      <c r="I28" s="32"/>
      <c r="L28" s="118"/>
      <c r="M28" s="118"/>
    </row>
    <row r="29" spans="1:13" s="30" customFormat="1">
      <c r="A29" s="30">
        <v>1</v>
      </c>
      <c r="B29" s="30" t="s">
        <v>48</v>
      </c>
      <c r="G29" s="32"/>
      <c r="H29" s="32"/>
      <c r="I29" s="32"/>
      <c r="L29" s="118"/>
      <c r="M29" s="118"/>
    </row>
    <row r="30" spans="1:13" s="30" customFormat="1">
      <c r="A30" s="30">
        <v>2</v>
      </c>
      <c r="B30" s="116" t="s">
        <v>392</v>
      </c>
      <c r="G30" s="32"/>
      <c r="H30" s="32"/>
      <c r="I30" s="32"/>
      <c r="L30" s="118"/>
      <c r="M30" s="118"/>
    </row>
    <row r="31" spans="1:13" s="30" customFormat="1">
      <c r="B31" s="120">
        <v>1</v>
      </c>
      <c r="C31" s="119" t="str">
        <f>VLOOKUP(B31,A29:B30,2,FALSE)</f>
        <v>Niet van toepassing</v>
      </c>
      <c r="G31" s="32"/>
      <c r="H31" s="32"/>
      <c r="I31" s="32"/>
      <c r="L31" s="118"/>
      <c r="M31" s="118"/>
    </row>
    <row r="32" spans="1:13" s="30" customFormat="1">
      <c r="B32" s="26" t="s">
        <v>221</v>
      </c>
      <c r="C32" s="115" t="str">
        <f>Hulpblad!C27&amp;" "&amp;Hulpblad!C31&amp;""</f>
        <v>Geen zolder- of vlieringisolatie Niet van toepassing</v>
      </c>
      <c r="G32" s="32"/>
      <c r="H32" s="32"/>
      <c r="I32" s="32"/>
      <c r="L32" s="118"/>
      <c r="M32" s="118"/>
    </row>
    <row r="33" spans="1:13" s="30" customFormat="1">
      <c r="B33" s="115"/>
      <c r="C33" s="119"/>
      <c r="E33" s="115"/>
      <c r="F33" s="115"/>
      <c r="G33" s="118"/>
      <c r="H33" s="115"/>
      <c r="I33" s="32"/>
      <c r="L33" s="118"/>
      <c r="M33" s="118"/>
    </row>
    <row r="34" spans="1:13" s="30" customFormat="1">
      <c r="B34" s="26" t="s">
        <v>56</v>
      </c>
      <c r="E34" s="27"/>
      <c r="G34" s="32"/>
      <c r="H34" s="32"/>
      <c r="I34" s="32"/>
      <c r="L34" s="118"/>
      <c r="M34" s="118"/>
    </row>
    <row r="35" spans="1:13" s="30" customFormat="1">
      <c r="A35" s="30">
        <v>1</v>
      </c>
      <c r="B35" s="32" t="s">
        <v>41</v>
      </c>
      <c r="C35" s="32"/>
      <c r="G35" s="32"/>
      <c r="H35" s="32"/>
      <c r="I35" s="32"/>
      <c r="L35" s="118"/>
      <c r="M35" s="118"/>
    </row>
    <row r="36" spans="1:13" s="30" customFormat="1">
      <c r="A36" s="30">
        <v>2</v>
      </c>
      <c r="B36" s="32" t="s">
        <v>391</v>
      </c>
      <c r="C36" s="32"/>
      <c r="G36" s="32"/>
      <c r="H36" s="32"/>
      <c r="I36" s="32"/>
      <c r="L36" s="118"/>
      <c r="M36" s="118"/>
    </row>
    <row r="37" spans="1:13" s="30" customFormat="1">
      <c r="B37" s="115">
        <v>1</v>
      </c>
      <c r="C37" s="115" t="str">
        <f>VLOOKUP(B37,A35:B36,2,FALSE)</f>
        <v>Geen gevelisolatie</v>
      </c>
      <c r="G37" s="32"/>
      <c r="H37" s="32"/>
      <c r="I37" s="32"/>
      <c r="L37" s="118"/>
      <c r="M37" s="118"/>
    </row>
    <row r="38" spans="1:13" s="30" customFormat="1">
      <c r="B38" s="27" t="s">
        <v>222</v>
      </c>
      <c r="C38" s="115"/>
      <c r="G38" s="32"/>
      <c r="H38" s="32"/>
      <c r="I38" s="32"/>
      <c r="L38" s="118"/>
      <c r="M38" s="118"/>
    </row>
    <row r="39" spans="1:13" s="30" customFormat="1">
      <c r="A39" s="30">
        <v>1</v>
      </c>
      <c r="B39" s="30" t="s">
        <v>48</v>
      </c>
      <c r="C39" s="115"/>
      <c r="G39" s="32"/>
      <c r="H39" s="32"/>
      <c r="I39" s="32"/>
      <c r="L39" s="118"/>
      <c r="M39" s="118"/>
    </row>
    <row r="40" spans="1:13" s="30" customFormat="1">
      <c r="A40" s="30">
        <v>2</v>
      </c>
      <c r="B40" s="30" t="s">
        <v>389</v>
      </c>
      <c r="C40" s="115"/>
      <c r="G40" s="32"/>
      <c r="H40" s="32"/>
      <c r="I40" s="32"/>
      <c r="L40" s="118"/>
      <c r="M40" s="118"/>
    </row>
    <row r="41" spans="1:13" s="30" customFormat="1">
      <c r="A41" s="30">
        <v>3</v>
      </c>
      <c r="B41" s="114" t="s">
        <v>388</v>
      </c>
      <c r="C41" s="115"/>
      <c r="G41" s="32"/>
      <c r="H41" s="32"/>
      <c r="I41" s="32"/>
      <c r="L41" s="118"/>
      <c r="M41" s="118"/>
    </row>
    <row r="42" spans="1:13" s="30" customFormat="1">
      <c r="B42" s="120">
        <v>1</v>
      </c>
      <c r="C42" s="119" t="str">
        <f>VLOOKUP(B42,A39:B41,2,FALSE)</f>
        <v>Niet van toepassing</v>
      </c>
      <c r="G42" s="32"/>
      <c r="H42" s="32"/>
      <c r="I42" s="32"/>
      <c r="L42" s="118"/>
      <c r="M42" s="118"/>
    </row>
    <row r="43" spans="1:13" s="30" customFormat="1">
      <c r="B43" s="26" t="s">
        <v>223</v>
      </c>
      <c r="C43" s="115" t="str">
        <f>Hulpblad!C37&amp;" "&amp;Hulpblad!C42&amp;""</f>
        <v>Geen gevelisolatie Niet van toepassing</v>
      </c>
      <c r="G43" s="32"/>
      <c r="H43" s="32"/>
      <c r="I43" s="32"/>
      <c r="L43" s="118"/>
      <c r="M43" s="118"/>
    </row>
    <row r="44" spans="1:13" s="30" customFormat="1">
      <c r="B44" s="115"/>
      <c r="C44" s="115"/>
      <c r="E44" s="115"/>
      <c r="F44" s="115"/>
      <c r="G44" s="32"/>
      <c r="H44" s="32"/>
      <c r="I44" s="32"/>
      <c r="L44" s="118"/>
      <c r="M44" s="118"/>
    </row>
    <row r="45" spans="1:13" s="30" customFormat="1">
      <c r="B45" s="26" t="s">
        <v>57</v>
      </c>
      <c r="E45" s="27"/>
      <c r="G45" s="32"/>
      <c r="H45" s="32"/>
      <c r="I45" s="32"/>
      <c r="L45" s="118"/>
      <c r="M45" s="118"/>
    </row>
    <row r="46" spans="1:13" s="30" customFormat="1">
      <c r="A46" s="30">
        <v>1</v>
      </c>
      <c r="B46" s="32" t="s">
        <v>42</v>
      </c>
      <c r="C46" s="32"/>
      <c r="G46" s="32"/>
      <c r="H46" s="32"/>
      <c r="I46" s="32"/>
      <c r="L46" s="118"/>
      <c r="M46" s="118"/>
    </row>
    <row r="47" spans="1:13" s="30" customFormat="1">
      <c r="A47" s="30">
        <v>2</v>
      </c>
      <c r="B47" s="32" t="s">
        <v>242</v>
      </c>
      <c r="C47" s="32"/>
      <c r="G47" s="32"/>
      <c r="H47" s="32"/>
      <c r="I47" s="32"/>
      <c r="L47" s="118"/>
      <c r="M47" s="118"/>
    </row>
    <row r="48" spans="1:13" s="30" customFormat="1">
      <c r="B48" s="115">
        <v>1</v>
      </c>
      <c r="C48" s="115" t="str">
        <f>VLOOKUP(B48,A46:B47,2,FALSE)</f>
        <v>Geen spouwmuurisolatie</v>
      </c>
      <c r="G48" s="32"/>
      <c r="H48" s="32"/>
      <c r="I48" s="32"/>
      <c r="L48" s="118"/>
      <c r="M48" s="118"/>
    </row>
    <row r="49" spans="1:13" s="30" customFormat="1">
      <c r="B49" s="27" t="s">
        <v>224</v>
      </c>
      <c r="C49" s="115"/>
      <c r="G49" s="32"/>
      <c r="H49" s="32"/>
      <c r="I49" s="32"/>
      <c r="L49" s="118"/>
      <c r="M49" s="118"/>
    </row>
    <row r="50" spans="1:13" s="30" customFormat="1">
      <c r="A50" s="30">
        <v>1</v>
      </c>
      <c r="B50" s="30" t="s">
        <v>48</v>
      </c>
      <c r="C50" s="115"/>
      <c r="G50" s="32"/>
      <c r="H50" s="32"/>
      <c r="I50" s="32"/>
      <c r="L50" s="118"/>
      <c r="M50" s="118"/>
    </row>
    <row r="51" spans="1:13" s="30" customFormat="1">
      <c r="A51" s="30">
        <v>2</v>
      </c>
      <c r="B51" s="30" t="s">
        <v>389</v>
      </c>
      <c r="C51" s="115"/>
      <c r="G51" s="32"/>
      <c r="H51" s="32"/>
      <c r="I51" s="32"/>
      <c r="L51" s="118"/>
      <c r="M51" s="118"/>
    </row>
    <row r="52" spans="1:13" s="30" customFormat="1">
      <c r="A52" s="30">
        <v>3</v>
      </c>
      <c r="B52" s="114" t="s">
        <v>388</v>
      </c>
      <c r="C52" s="115"/>
      <c r="G52" s="32"/>
      <c r="H52" s="32"/>
      <c r="I52" s="32"/>
      <c r="L52" s="118"/>
      <c r="M52" s="118"/>
    </row>
    <row r="53" spans="1:13" s="30" customFormat="1">
      <c r="B53" s="120">
        <v>1</v>
      </c>
      <c r="C53" s="119" t="str">
        <f>VLOOKUP(B53,A50:B52,2,FALSE)</f>
        <v>Niet van toepassing</v>
      </c>
      <c r="G53" s="32"/>
      <c r="H53" s="32"/>
      <c r="I53" s="32"/>
      <c r="L53" s="118"/>
      <c r="M53" s="118"/>
    </row>
    <row r="54" spans="1:13" s="30" customFormat="1">
      <c r="B54" s="26" t="s">
        <v>225</v>
      </c>
      <c r="C54" s="115" t="str">
        <f>Hulpblad!C48&amp;" "&amp;Hulpblad!C53&amp;""</f>
        <v>Geen spouwmuurisolatie Niet van toepassing</v>
      </c>
      <c r="G54" s="32"/>
      <c r="H54" s="32"/>
      <c r="I54" s="32"/>
      <c r="L54" s="118"/>
      <c r="M54" s="118"/>
    </row>
    <row r="55" spans="1:13" s="30" customFormat="1">
      <c r="B55" s="115"/>
      <c r="C55" s="115"/>
      <c r="E55" s="115"/>
      <c r="F55" s="115"/>
      <c r="G55" s="32"/>
      <c r="H55" s="32"/>
      <c r="I55" s="32"/>
      <c r="L55" s="118"/>
      <c r="M55" s="118"/>
    </row>
    <row r="56" spans="1:13" s="30" customFormat="1">
      <c r="B56" s="26" t="s">
        <v>58</v>
      </c>
      <c r="E56" s="27"/>
      <c r="G56" s="32"/>
      <c r="H56" s="32"/>
      <c r="I56" s="32"/>
      <c r="L56" s="118"/>
      <c r="M56" s="118"/>
    </row>
    <row r="57" spans="1:13" s="30" customFormat="1">
      <c r="A57" s="30">
        <v>1</v>
      </c>
      <c r="B57" s="32" t="s">
        <v>43</v>
      </c>
      <c r="C57" s="32"/>
      <c r="G57" s="32"/>
      <c r="H57" s="32"/>
      <c r="I57" s="32"/>
      <c r="L57" s="118"/>
      <c r="M57" s="118"/>
    </row>
    <row r="58" spans="1:13" s="30" customFormat="1">
      <c r="A58" s="30">
        <v>2</v>
      </c>
      <c r="B58" s="32" t="s">
        <v>243</v>
      </c>
      <c r="C58" s="32"/>
      <c r="G58" s="32"/>
      <c r="H58" s="32"/>
      <c r="I58" s="32"/>
      <c r="L58" s="118"/>
      <c r="M58" s="118"/>
    </row>
    <row r="59" spans="1:13" s="30" customFormat="1">
      <c r="B59" s="115">
        <v>1</v>
      </c>
      <c r="C59" s="115" t="str">
        <f>VLOOKUP(B59,A57:B58,2,FALSE)</f>
        <v>Geen vloerisolatie</v>
      </c>
      <c r="G59" s="32"/>
      <c r="H59" s="32"/>
      <c r="I59" s="32"/>
      <c r="L59" s="118"/>
      <c r="M59" s="118"/>
    </row>
    <row r="60" spans="1:13" s="30" customFormat="1">
      <c r="B60" s="27" t="s">
        <v>251</v>
      </c>
      <c r="C60" s="32"/>
      <c r="G60" s="32"/>
      <c r="H60" s="32"/>
      <c r="I60" s="32"/>
      <c r="L60" s="118"/>
      <c r="M60" s="118"/>
    </row>
    <row r="61" spans="1:13" s="30" customFormat="1">
      <c r="A61" s="30">
        <v>1</v>
      </c>
      <c r="B61" s="30" t="s">
        <v>48</v>
      </c>
      <c r="C61" s="32"/>
      <c r="G61" s="32"/>
      <c r="H61" s="32"/>
      <c r="I61" s="32"/>
      <c r="L61" s="118"/>
      <c r="M61" s="118"/>
    </row>
    <row r="62" spans="1:13" s="30" customFormat="1">
      <c r="A62" s="30">
        <v>2</v>
      </c>
      <c r="B62" s="116" t="s">
        <v>392</v>
      </c>
      <c r="C62" s="32"/>
      <c r="G62" s="32"/>
      <c r="H62" s="32"/>
      <c r="I62" s="32"/>
      <c r="L62" s="118"/>
      <c r="M62" s="118"/>
    </row>
    <row r="63" spans="1:13" s="30" customFormat="1">
      <c r="B63" s="120">
        <v>1</v>
      </c>
      <c r="C63" s="119" t="str">
        <f>VLOOKUP(B63,A61:B62,2,FALSE)</f>
        <v>Niet van toepassing</v>
      </c>
      <c r="G63" s="32"/>
      <c r="H63" s="32"/>
      <c r="I63" s="32"/>
      <c r="L63" s="118"/>
      <c r="M63" s="118"/>
    </row>
    <row r="64" spans="1:13" s="30" customFormat="1">
      <c r="B64" s="26" t="s">
        <v>252</v>
      </c>
      <c r="C64" s="115" t="str">
        <f>Hulpblad!C59&amp;" "&amp;Hulpblad!C63&amp;""</f>
        <v>Geen vloerisolatie Niet van toepassing</v>
      </c>
      <c r="G64" s="32"/>
      <c r="H64" s="32"/>
      <c r="I64" s="32"/>
      <c r="L64" s="118"/>
      <c r="M64" s="118"/>
    </row>
    <row r="65" spans="1:13" s="30" customFormat="1">
      <c r="B65" s="26"/>
      <c r="C65" s="32"/>
      <c r="G65" s="32"/>
      <c r="H65" s="32"/>
      <c r="I65" s="32"/>
      <c r="L65" s="118"/>
      <c r="M65" s="118"/>
    </row>
    <row r="66" spans="1:13" s="30" customFormat="1">
      <c r="B66" s="26" t="s">
        <v>226</v>
      </c>
      <c r="C66" s="32"/>
      <c r="G66" s="32"/>
      <c r="H66" s="32"/>
      <c r="I66" s="32"/>
      <c r="L66" s="118"/>
      <c r="M66" s="118"/>
    </row>
    <row r="67" spans="1:13" s="30" customFormat="1">
      <c r="A67" s="30">
        <v>1</v>
      </c>
      <c r="B67" s="114" t="s">
        <v>227</v>
      </c>
      <c r="C67" s="32"/>
      <c r="G67" s="32"/>
      <c r="H67" s="32"/>
      <c r="I67" s="32"/>
      <c r="L67" s="118"/>
      <c r="M67" s="118"/>
    </row>
    <row r="68" spans="1:13" s="30" customFormat="1">
      <c r="A68" s="30">
        <v>2</v>
      </c>
      <c r="B68" s="32" t="s">
        <v>244</v>
      </c>
      <c r="C68" s="32"/>
      <c r="G68" s="32"/>
      <c r="H68" s="32"/>
      <c r="I68" s="179"/>
      <c r="L68" s="118"/>
      <c r="M68" s="118"/>
    </row>
    <row r="69" spans="1:13" s="30" customFormat="1">
      <c r="B69" s="115">
        <v>1</v>
      </c>
      <c r="C69" s="115" t="str">
        <f>VLOOKUP(B69,A67:B68,2,FALSE)</f>
        <v>Geen bodemisolatie</v>
      </c>
      <c r="G69" s="32"/>
      <c r="H69" s="32"/>
      <c r="I69" s="179"/>
      <c r="L69" s="118"/>
      <c r="M69" s="118"/>
    </row>
    <row r="70" spans="1:13" s="30" customFormat="1">
      <c r="B70" s="27" t="s">
        <v>253</v>
      </c>
      <c r="C70" s="32"/>
      <c r="G70" s="32"/>
      <c r="H70" s="32"/>
      <c r="I70" s="179"/>
      <c r="L70" s="118"/>
      <c r="M70" s="118"/>
    </row>
    <row r="71" spans="1:13" s="30" customFormat="1">
      <c r="A71" s="30">
        <v>1</v>
      </c>
      <c r="B71" s="30" t="s">
        <v>48</v>
      </c>
      <c r="C71" s="32"/>
      <c r="G71" s="32"/>
      <c r="H71" s="32"/>
      <c r="I71" s="179"/>
      <c r="L71" s="118"/>
      <c r="M71" s="118"/>
    </row>
    <row r="72" spans="1:13" s="30" customFormat="1">
      <c r="A72" s="30">
        <v>2</v>
      </c>
      <c r="B72" s="116" t="s">
        <v>392</v>
      </c>
      <c r="C72" s="32"/>
      <c r="G72" s="32"/>
      <c r="H72" s="32"/>
      <c r="I72" s="179"/>
      <c r="L72" s="118"/>
      <c r="M72" s="118"/>
    </row>
    <row r="73" spans="1:13" s="30" customFormat="1">
      <c r="B73" s="120">
        <v>1</v>
      </c>
      <c r="C73" s="119" t="str">
        <f>VLOOKUP(B73,A71:B72,2,FALSE)</f>
        <v>Niet van toepassing</v>
      </c>
      <c r="G73" s="32"/>
      <c r="H73" s="32"/>
      <c r="I73" s="179"/>
      <c r="L73" s="118"/>
      <c r="M73" s="118"/>
    </row>
    <row r="74" spans="1:13" s="30" customFormat="1">
      <c r="B74" s="26" t="s">
        <v>246</v>
      </c>
      <c r="C74" s="115" t="str">
        <f>Hulpblad!C69&amp;" "&amp;Hulpblad!C73&amp;""</f>
        <v>Geen bodemisolatie Niet van toepassing</v>
      </c>
      <c r="G74" s="32"/>
      <c r="H74" s="32"/>
      <c r="I74" s="179"/>
      <c r="L74" s="118"/>
      <c r="M74" s="118"/>
    </row>
    <row r="75" spans="1:13" s="30" customFormat="1">
      <c r="B75" s="32"/>
      <c r="C75" s="32"/>
      <c r="G75" s="32"/>
      <c r="H75" s="32"/>
      <c r="I75" s="179"/>
      <c r="L75" s="118"/>
      <c r="M75" s="118"/>
    </row>
    <row r="76" spans="1:13" s="30" customFormat="1">
      <c r="D76" s="118"/>
    </row>
    <row r="77" spans="1:13" s="30" customFormat="1">
      <c r="B77" s="26" t="s">
        <v>80</v>
      </c>
      <c r="C77" s="115"/>
      <c r="D77" s="118"/>
      <c r="E77" s="118"/>
      <c r="F77" s="118"/>
    </row>
    <row r="78" spans="1:13" s="30" customFormat="1">
      <c r="B78" s="115" t="b">
        <v>0</v>
      </c>
      <c r="C78" s="115" t="s">
        <v>81</v>
      </c>
      <c r="D78" s="118"/>
      <c r="E78" s="118"/>
      <c r="F78" s="118"/>
    </row>
    <row r="79" spans="1:13" s="30" customFormat="1">
      <c r="B79" s="115" t="b">
        <v>0</v>
      </c>
      <c r="C79" s="115" t="s">
        <v>254</v>
      </c>
      <c r="D79" s="118"/>
      <c r="E79" s="118"/>
      <c r="F79" s="118"/>
    </row>
    <row r="80" spans="1:13" s="30" customFormat="1">
      <c r="B80" s="115" t="b">
        <v>0</v>
      </c>
      <c r="C80" s="115" t="s">
        <v>82</v>
      </c>
      <c r="D80" s="118"/>
      <c r="E80" s="118"/>
      <c r="F80" s="118"/>
    </row>
    <row r="81" spans="1:6" s="30" customFormat="1">
      <c r="B81" s="115" t="b">
        <v>0</v>
      </c>
      <c r="C81" s="115" t="s">
        <v>83</v>
      </c>
      <c r="D81" s="118"/>
      <c r="E81" s="118"/>
      <c r="F81" s="118"/>
    </row>
    <row r="82" spans="1:6" s="30" customFormat="1">
      <c r="B82" s="115" t="b">
        <v>0</v>
      </c>
      <c r="C82" s="115" t="s">
        <v>84</v>
      </c>
      <c r="D82" s="118"/>
      <c r="E82" s="118"/>
      <c r="F82" s="118"/>
    </row>
    <row r="83" spans="1:6" s="30" customFormat="1">
      <c r="B83" s="115" t="b">
        <v>0</v>
      </c>
      <c r="C83" s="115" t="s">
        <v>255</v>
      </c>
      <c r="D83" s="118"/>
      <c r="E83" s="118"/>
      <c r="F83" s="118"/>
    </row>
    <row r="84" spans="1:6" s="30" customFormat="1">
      <c r="B84" s="26" t="s">
        <v>7</v>
      </c>
      <c r="C84" s="32"/>
      <c r="F84" s="118"/>
    </row>
    <row r="85" spans="1:6" s="30" customFormat="1">
      <c r="A85" s="30">
        <v>1</v>
      </c>
      <c r="B85" s="32" t="s">
        <v>44</v>
      </c>
      <c r="C85" s="32"/>
      <c r="F85" s="118"/>
    </row>
    <row r="86" spans="1:6" s="30" customFormat="1">
      <c r="A86" s="30">
        <v>2</v>
      </c>
      <c r="B86" s="32" t="s">
        <v>313</v>
      </c>
      <c r="C86" s="32"/>
      <c r="F86" s="118"/>
    </row>
    <row r="87" spans="1:6" s="30" customFormat="1">
      <c r="B87" s="115">
        <v>1</v>
      </c>
      <c r="C87" s="115" t="str">
        <f>VLOOKUP(B87,A85:B86,2,FALSE)</f>
        <v>Geen glasisolatie</v>
      </c>
      <c r="F87" s="118"/>
    </row>
    <row r="88" spans="1:6" s="30" customFormat="1">
      <c r="B88" s="26" t="s">
        <v>276</v>
      </c>
      <c r="C88" s="32"/>
      <c r="F88" s="118"/>
    </row>
    <row r="89" spans="1:6" s="30" customFormat="1">
      <c r="A89" s="30">
        <v>1</v>
      </c>
      <c r="B89" s="32" t="s">
        <v>274</v>
      </c>
      <c r="C89" s="32"/>
      <c r="F89" s="118"/>
    </row>
    <row r="90" spans="1:6" s="30" customFormat="1">
      <c r="A90" s="30">
        <v>2</v>
      </c>
      <c r="B90" s="32" t="s">
        <v>133</v>
      </c>
      <c r="C90" s="32"/>
      <c r="F90" s="118"/>
    </row>
    <row r="91" spans="1:6" s="30" customFormat="1">
      <c r="B91" s="115">
        <v>1</v>
      </c>
      <c r="C91" s="115" t="str">
        <f>VLOOKUP(B91,A89:B90,2,FALSE)</f>
        <v>Geen Triple glas</v>
      </c>
      <c r="F91" s="118"/>
    </row>
    <row r="92" spans="1:6" s="30" customFormat="1">
      <c r="B92" s="27" t="s">
        <v>277</v>
      </c>
      <c r="C92" s="32"/>
      <c r="F92" s="118"/>
    </row>
    <row r="93" spans="1:6" s="30" customFormat="1">
      <c r="A93" s="30">
        <v>1</v>
      </c>
      <c r="B93" s="116" t="s">
        <v>389</v>
      </c>
      <c r="C93" s="115" t="b">
        <v>0</v>
      </c>
      <c r="D93" s="119" t="b">
        <f>IF(C93=TRUE,B93,C93)</f>
        <v>0</v>
      </c>
      <c r="F93" s="118"/>
    </row>
    <row r="94" spans="1:6" s="30" customFormat="1">
      <c r="A94" s="30">
        <v>2</v>
      </c>
      <c r="B94" s="116" t="s">
        <v>388</v>
      </c>
      <c r="C94" s="115" t="b">
        <v>0</v>
      </c>
      <c r="D94" s="119" t="b">
        <f>IF(C94=TRUE,B94,C94)</f>
        <v>0</v>
      </c>
      <c r="F94" s="118"/>
    </row>
    <row r="95" spans="1:6" s="30" customFormat="1">
      <c r="B95" s="114"/>
      <c r="C95" s="32"/>
      <c r="F95" s="118"/>
    </row>
    <row r="96" spans="1:6" s="30" customFormat="1">
      <c r="B96" s="26" t="s">
        <v>278</v>
      </c>
      <c r="C96" s="32"/>
      <c r="F96" s="118"/>
    </row>
    <row r="97" spans="1:6" s="30" customFormat="1">
      <c r="A97" s="30">
        <v>1</v>
      </c>
      <c r="B97" s="116" t="s">
        <v>389</v>
      </c>
      <c r="C97" s="115" t="str">
        <f>Hulpblad!C91&amp;" "&amp;Hulpblad!D93&amp;""</f>
        <v>Geen Triple glas ONWAAR</v>
      </c>
      <c r="E97" s="30" t="s">
        <v>597</v>
      </c>
      <c r="F97" s="118"/>
    </row>
    <row r="98" spans="1:6" s="30" customFormat="1">
      <c r="A98" s="30">
        <v>2</v>
      </c>
      <c r="B98" s="116" t="s">
        <v>388</v>
      </c>
      <c r="C98" s="115" t="str">
        <f>Hulpblad!C91&amp;" "&amp;Hulpblad!D94&amp;""</f>
        <v>Geen Triple glas ONWAAR</v>
      </c>
      <c r="F98" s="118"/>
    </row>
    <row r="99" spans="1:6" s="30" customFormat="1">
      <c r="B99" s="26"/>
      <c r="C99" s="32"/>
      <c r="F99" s="118"/>
    </row>
    <row r="100" spans="1:6" s="30" customFormat="1">
      <c r="B100" s="26" t="s">
        <v>266</v>
      </c>
      <c r="C100" s="32"/>
      <c r="F100" s="118"/>
    </row>
    <row r="101" spans="1:6" s="30" customFormat="1">
      <c r="A101" s="30">
        <v>1</v>
      </c>
      <c r="B101" s="32" t="s">
        <v>268</v>
      </c>
      <c r="C101" s="32"/>
      <c r="F101" s="118"/>
    </row>
    <row r="102" spans="1:6" s="30" customFormat="1">
      <c r="A102" s="30">
        <v>2</v>
      </c>
      <c r="B102" s="32" t="s">
        <v>132</v>
      </c>
      <c r="C102" s="32"/>
      <c r="F102" s="118"/>
    </row>
    <row r="103" spans="1:6" s="30" customFormat="1">
      <c r="B103" s="115">
        <v>1</v>
      </c>
      <c r="C103" s="115" t="str">
        <f>VLOOKUP(B103,A101:B102,2,FALSE)</f>
        <v>Geen HR++ glas</v>
      </c>
      <c r="F103" s="118"/>
    </row>
    <row r="104" spans="1:6" s="30" customFormat="1">
      <c r="B104" s="27" t="s">
        <v>267</v>
      </c>
      <c r="C104" s="32"/>
      <c r="F104" s="118"/>
    </row>
    <row r="105" spans="1:6" s="30" customFormat="1">
      <c r="A105" s="30">
        <v>1</v>
      </c>
      <c r="B105" s="116" t="s">
        <v>389</v>
      </c>
      <c r="C105" s="115" t="b">
        <v>0</v>
      </c>
      <c r="D105" s="119" t="b">
        <f>IF(C105=TRUE,B105,C105)</f>
        <v>0</v>
      </c>
      <c r="F105" s="118"/>
    </row>
    <row r="106" spans="1:6" s="30" customFormat="1">
      <c r="A106" s="30">
        <v>2</v>
      </c>
      <c r="B106" s="116" t="s">
        <v>388</v>
      </c>
      <c r="C106" s="115" t="b">
        <v>0</v>
      </c>
      <c r="D106" s="119" t="b">
        <f>IF(C106=TRUE,B106,C106)</f>
        <v>0</v>
      </c>
      <c r="F106" s="118"/>
    </row>
    <row r="107" spans="1:6" s="30" customFormat="1">
      <c r="B107" s="114"/>
      <c r="C107" s="32"/>
      <c r="F107" s="118"/>
    </row>
    <row r="108" spans="1:6" s="30" customFormat="1">
      <c r="B108" s="26" t="s">
        <v>269</v>
      </c>
      <c r="C108" s="32"/>
      <c r="F108" s="118"/>
    </row>
    <row r="109" spans="1:6" s="30" customFormat="1">
      <c r="A109" s="30">
        <v>1</v>
      </c>
      <c r="B109" s="116" t="s">
        <v>389</v>
      </c>
      <c r="C109" s="115" t="str">
        <f>Hulpblad!C103&amp;" "&amp;Hulpblad!D105&amp;""</f>
        <v>Geen HR++ glas ONWAAR</v>
      </c>
      <c r="F109" s="118"/>
    </row>
    <row r="110" spans="1:6" s="30" customFormat="1">
      <c r="A110" s="30">
        <v>2</v>
      </c>
      <c r="B110" s="116" t="s">
        <v>388</v>
      </c>
      <c r="C110" s="115" t="str">
        <f>Hulpblad!C103&amp;" "&amp;Hulpblad!D106&amp;""</f>
        <v>Geen HR++ glas ONWAAR</v>
      </c>
      <c r="F110" s="118"/>
    </row>
    <row r="111" spans="1:6" s="30" customFormat="1">
      <c r="B111" s="26"/>
      <c r="C111" s="32"/>
      <c r="F111" s="118"/>
    </row>
    <row r="112" spans="1:6" s="30" customFormat="1">
      <c r="B112" s="26" t="s">
        <v>327</v>
      </c>
      <c r="C112" s="32"/>
      <c r="F112" s="118"/>
    </row>
    <row r="113" spans="1:6" s="30" customFormat="1">
      <c r="A113" s="30">
        <v>1</v>
      </c>
      <c r="B113" s="32" t="s">
        <v>333</v>
      </c>
      <c r="C113" s="32"/>
      <c r="F113" s="118"/>
    </row>
    <row r="114" spans="1:6" s="30" customFormat="1">
      <c r="A114" s="30">
        <v>2</v>
      </c>
      <c r="B114" s="32" t="s">
        <v>334</v>
      </c>
      <c r="C114" s="32"/>
      <c r="F114" s="118"/>
    </row>
    <row r="115" spans="1:6" s="30" customFormat="1">
      <c r="B115" s="115">
        <v>1</v>
      </c>
      <c r="C115" s="115" t="str">
        <f>VLOOKUP(B115,A113:B114,2,FALSE)</f>
        <v>Geen HR-glas of voor-of achterzetbeglazing U ≤ 2,0 W/m2K</v>
      </c>
      <c r="F115" s="118"/>
    </row>
    <row r="116" spans="1:6" s="30" customFormat="1">
      <c r="B116" s="27" t="s">
        <v>328</v>
      </c>
      <c r="C116" s="32"/>
      <c r="F116" s="118"/>
    </row>
    <row r="117" spans="1:6" s="30" customFormat="1">
      <c r="A117" s="30">
        <v>1</v>
      </c>
      <c r="B117" s="116" t="s">
        <v>389</v>
      </c>
      <c r="C117" s="115" t="b">
        <v>0</v>
      </c>
      <c r="D117" s="119" t="b">
        <f>IF(C117=TRUE,B117,C117)</f>
        <v>0</v>
      </c>
      <c r="F117" s="118"/>
    </row>
    <row r="118" spans="1:6" s="30" customFormat="1">
      <c r="A118" s="30">
        <v>2</v>
      </c>
      <c r="B118" s="116" t="s">
        <v>388</v>
      </c>
      <c r="C118" s="115" t="b">
        <v>0</v>
      </c>
      <c r="D118" s="119" t="b">
        <f>IF(C118=TRUE,B118,C118)</f>
        <v>0</v>
      </c>
      <c r="F118" s="118"/>
    </row>
    <row r="119" spans="1:6" s="30" customFormat="1">
      <c r="B119" s="114"/>
      <c r="C119" s="32"/>
      <c r="F119" s="118"/>
    </row>
    <row r="120" spans="1:6" s="30" customFormat="1">
      <c r="B120" s="26" t="s">
        <v>329</v>
      </c>
      <c r="C120" s="32"/>
      <c r="F120" s="118"/>
    </row>
    <row r="121" spans="1:6" s="30" customFormat="1">
      <c r="A121" s="30">
        <v>1</v>
      </c>
      <c r="B121" s="116" t="s">
        <v>389</v>
      </c>
      <c r="C121" s="115" t="str">
        <f>Hulpblad!C115&amp;" "&amp;Hulpblad!D117&amp;""</f>
        <v>Geen HR-glas of voor-of achterzetbeglazing U ≤ 2,0 W/m2K ONWAAR</v>
      </c>
      <c r="F121" s="118"/>
    </row>
    <row r="122" spans="1:6" s="30" customFormat="1">
      <c r="A122" s="30">
        <v>2</v>
      </c>
      <c r="B122" s="116" t="s">
        <v>388</v>
      </c>
      <c r="C122" s="115" t="str">
        <f>Hulpblad!C115&amp;" "&amp;Hulpblad!D118&amp;""</f>
        <v>Geen HR-glas of voor-of achterzetbeglazing U ≤ 2,0 W/m2K ONWAAR</v>
      </c>
      <c r="F122" s="118"/>
    </row>
    <row r="123" spans="1:6" s="30" customFormat="1">
      <c r="B123" s="26"/>
      <c r="C123" s="32"/>
      <c r="F123" s="118"/>
    </row>
    <row r="124" spans="1:6" s="30" customFormat="1">
      <c r="B124" s="26" t="s">
        <v>330</v>
      </c>
      <c r="C124" s="32"/>
      <c r="F124" s="118"/>
    </row>
    <row r="125" spans="1:6" s="30" customFormat="1">
      <c r="A125" s="30">
        <v>1</v>
      </c>
      <c r="B125" s="32" t="s">
        <v>335</v>
      </c>
      <c r="C125" s="32"/>
      <c r="F125" s="118"/>
    </row>
    <row r="126" spans="1:6" s="30" customFormat="1">
      <c r="A126" s="30">
        <v>2</v>
      </c>
      <c r="B126" s="32" t="s">
        <v>336</v>
      </c>
      <c r="C126" s="32"/>
      <c r="F126" s="118"/>
    </row>
    <row r="127" spans="1:6" s="30" customFormat="1">
      <c r="B127" s="115">
        <v>1</v>
      </c>
      <c r="C127" s="115" t="str">
        <f>VLOOKUP(B127,A125:B126,2,FALSE)</f>
        <v>Geen HR-glas of voor-of achterzetbeglazing U ≤ 3,0 W/m2K</v>
      </c>
      <c r="F127" s="118"/>
    </row>
    <row r="128" spans="1:6" s="30" customFormat="1">
      <c r="B128" s="27" t="s">
        <v>331</v>
      </c>
      <c r="C128" s="32"/>
      <c r="F128" s="118"/>
    </row>
    <row r="129" spans="1:6" s="30" customFormat="1">
      <c r="A129" s="30">
        <v>1</v>
      </c>
      <c r="B129" s="116" t="s">
        <v>389</v>
      </c>
      <c r="C129" s="115" t="b">
        <v>0</v>
      </c>
      <c r="D129" s="119" t="b">
        <f>IF(C129=TRUE,B129,C129)</f>
        <v>0</v>
      </c>
      <c r="F129" s="118"/>
    </row>
    <row r="130" spans="1:6" s="30" customFormat="1">
      <c r="A130" s="30">
        <v>2</v>
      </c>
      <c r="B130" s="116" t="s">
        <v>388</v>
      </c>
      <c r="C130" s="115" t="b">
        <v>0</v>
      </c>
      <c r="D130" s="119" t="b">
        <f>IF(C130=TRUE,B130,C130)</f>
        <v>0</v>
      </c>
      <c r="F130" s="118"/>
    </row>
    <row r="131" spans="1:6" s="30" customFormat="1">
      <c r="B131" s="114"/>
      <c r="C131" s="32"/>
      <c r="F131" s="118"/>
    </row>
    <row r="132" spans="1:6" s="30" customFormat="1">
      <c r="B132" s="26" t="s">
        <v>332</v>
      </c>
      <c r="C132" s="32"/>
      <c r="F132" s="118"/>
    </row>
    <row r="133" spans="1:6" s="30" customFormat="1">
      <c r="A133" s="30">
        <v>1</v>
      </c>
      <c r="B133" s="116" t="s">
        <v>389</v>
      </c>
      <c r="C133" s="115" t="str">
        <f>Hulpblad!C127&amp;" "&amp;Hulpblad!D129&amp;""</f>
        <v>Geen HR-glas of voor-of achterzetbeglazing U ≤ 3,0 W/m2K ONWAAR</v>
      </c>
      <c r="F133" s="118"/>
    </row>
    <row r="134" spans="1:6" s="30" customFormat="1">
      <c r="A134" s="30">
        <v>2</v>
      </c>
      <c r="B134" s="116" t="s">
        <v>388</v>
      </c>
      <c r="C134" s="115" t="str">
        <f>Hulpblad!C127&amp;" "&amp;Hulpblad!D130&amp;""</f>
        <v>Geen HR-glas of voor-of achterzetbeglazing U ≤ 3,0 W/m2K ONWAAR</v>
      </c>
      <c r="F134" s="118"/>
    </row>
    <row r="135" spans="1:6" s="30" customFormat="1">
      <c r="B135" s="116"/>
      <c r="C135" s="115"/>
      <c r="F135" s="118"/>
    </row>
    <row r="136" spans="1:6" s="30" customFormat="1">
      <c r="B136" s="26" t="s">
        <v>589</v>
      </c>
      <c r="C136" s="32"/>
      <c r="F136" s="118"/>
    </row>
    <row r="137" spans="1:6" s="30" customFormat="1">
      <c r="A137" s="30">
        <v>1</v>
      </c>
      <c r="B137" s="32" t="s">
        <v>590</v>
      </c>
      <c r="C137" s="32"/>
      <c r="F137" s="118"/>
    </row>
    <row r="138" spans="1:6" s="30" customFormat="1">
      <c r="A138" s="30">
        <v>2</v>
      </c>
      <c r="B138" s="32" t="s">
        <v>381</v>
      </c>
      <c r="C138" s="32"/>
      <c r="F138" s="118"/>
    </row>
    <row r="139" spans="1:6" s="30" customFormat="1">
      <c r="B139" s="115">
        <v>1</v>
      </c>
      <c r="C139" s="115" t="str">
        <f>VLOOKUP(B139,A137:B138,2,FALSE)</f>
        <v>Geen voor-of achterzetbeglazing U ≤ 5,8 W/m2K</v>
      </c>
      <c r="F139" s="118"/>
    </row>
    <row r="140" spans="1:6" s="30" customFormat="1">
      <c r="B140" s="27" t="s">
        <v>591</v>
      </c>
      <c r="C140" s="32"/>
      <c r="F140" s="118"/>
    </row>
    <row r="141" spans="1:6" s="30" customFormat="1">
      <c r="A141" s="30">
        <v>1</v>
      </c>
      <c r="B141" s="116">
        <v>2026</v>
      </c>
      <c r="C141" s="115" t="b">
        <v>0</v>
      </c>
      <c r="D141" s="119" t="b">
        <f>IF(C141=TRUE,B141,C141)</f>
        <v>0</v>
      </c>
      <c r="F141" s="118"/>
    </row>
    <row r="142" spans="1:6" s="30" customFormat="1">
      <c r="B142" s="114"/>
      <c r="C142" s="32"/>
      <c r="F142" s="118"/>
    </row>
    <row r="143" spans="1:6" s="30" customFormat="1">
      <c r="B143" s="26" t="s">
        <v>592</v>
      </c>
      <c r="C143" s="32"/>
      <c r="F143" s="118"/>
    </row>
    <row r="144" spans="1:6" s="30" customFormat="1">
      <c r="A144" s="30">
        <v>1</v>
      </c>
      <c r="B144" s="116">
        <v>2026</v>
      </c>
      <c r="C144" s="115" t="str">
        <f>Hulpblad!C139&amp;" "&amp;Hulpblad!D141&amp;""</f>
        <v>Geen voor-of achterzetbeglazing U ≤ 5,8 W/m2K ONWAAR</v>
      </c>
      <c r="F144" s="118"/>
    </row>
    <row r="145" spans="1:6" s="30" customFormat="1">
      <c r="B145" s="26"/>
      <c r="C145" s="32"/>
      <c r="F145" s="118"/>
    </row>
    <row r="146" spans="1:6" s="30" customFormat="1">
      <c r="B146" s="26" t="s">
        <v>292</v>
      </c>
      <c r="C146" s="32"/>
      <c r="F146" s="118"/>
    </row>
    <row r="147" spans="1:6" s="30" customFormat="1">
      <c r="A147" s="30">
        <v>1</v>
      </c>
      <c r="B147" s="32" t="s">
        <v>293</v>
      </c>
      <c r="C147" s="32"/>
      <c r="F147" s="118"/>
    </row>
    <row r="148" spans="1:6" s="30" customFormat="1">
      <c r="A148" s="30">
        <v>2</v>
      </c>
      <c r="B148" s="32" t="s">
        <v>294</v>
      </c>
      <c r="C148" s="32"/>
      <c r="F148" s="118"/>
    </row>
    <row r="149" spans="1:6" s="30" customFormat="1">
      <c r="B149" s="115">
        <v>1</v>
      </c>
      <c r="C149" s="115" t="str">
        <f>VLOOKUP(B149,A147:B148,2,FALSE)</f>
        <v>Geen Isolerende panelen, U ≤ 0,7 W/m2K</v>
      </c>
      <c r="F149" s="118"/>
    </row>
    <row r="150" spans="1:6" s="30" customFormat="1">
      <c r="B150" s="27" t="s">
        <v>295</v>
      </c>
      <c r="C150" s="32"/>
      <c r="F150" s="118"/>
    </row>
    <row r="151" spans="1:6" s="30" customFormat="1">
      <c r="A151" s="30">
        <v>1</v>
      </c>
      <c r="B151" s="116" t="s">
        <v>392</v>
      </c>
      <c r="C151" s="115" t="b">
        <v>0</v>
      </c>
      <c r="D151" s="119" t="b">
        <f>IF(C151=TRUE,B151,C151)</f>
        <v>0</v>
      </c>
      <c r="F151" s="118"/>
    </row>
    <row r="152" spans="1:6" s="30" customFormat="1">
      <c r="B152" s="114"/>
      <c r="C152" s="32"/>
      <c r="F152" s="118"/>
    </row>
    <row r="153" spans="1:6" s="30" customFormat="1">
      <c r="B153" s="26" t="s">
        <v>296</v>
      </c>
      <c r="C153" s="32"/>
      <c r="F153" s="118"/>
    </row>
    <row r="154" spans="1:6" s="30" customFormat="1">
      <c r="A154" s="30">
        <v>1</v>
      </c>
      <c r="B154" s="116" t="s">
        <v>392</v>
      </c>
      <c r="C154" s="115" t="str">
        <f>Hulpblad!C149&amp;" "&amp;Hulpblad!D151&amp;""</f>
        <v>Geen Isolerende panelen, U ≤ 0,7 W/m2K ONWAAR</v>
      </c>
      <c r="F154" s="118"/>
    </row>
    <row r="155" spans="1:6" s="30" customFormat="1"/>
    <row r="156" spans="1:6" s="30" customFormat="1">
      <c r="B156" s="26" t="s">
        <v>286</v>
      </c>
      <c r="C156" s="32"/>
      <c r="F156" s="118"/>
    </row>
    <row r="157" spans="1:6" s="30" customFormat="1">
      <c r="A157" s="30">
        <v>1</v>
      </c>
      <c r="B157" s="32" t="s">
        <v>284</v>
      </c>
      <c r="C157" s="32"/>
      <c r="F157" s="118"/>
    </row>
    <row r="158" spans="1:6" s="30" customFormat="1">
      <c r="A158" s="30">
        <v>2</v>
      </c>
      <c r="B158" s="32" t="s">
        <v>285</v>
      </c>
      <c r="C158" s="32"/>
      <c r="F158" s="118"/>
    </row>
    <row r="159" spans="1:6" s="30" customFormat="1">
      <c r="B159" s="115">
        <v>1</v>
      </c>
      <c r="C159" s="115" t="str">
        <f>VLOOKUP(B159,A157:B158,2,FALSE)</f>
        <v>Geen Isolerende panelen, U ≤ 1,2 W/m2K</v>
      </c>
      <c r="F159" s="118"/>
    </row>
    <row r="160" spans="1:6" s="30" customFormat="1">
      <c r="B160" s="27" t="s">
        <v>287</v>
      </c>
      <c r="C160" s="32"/>
      <c r="F160" s="118"/>
    </row>
    <row r="161" spans="1:6" s="30" customFormat="1">
      <c r="A161" s="30">
        <v>1</v>
      </c>
      <c r="B161" s="116" t="s">
        <v>392</v>
      </c>
      <c r="C161" s="115" t="b">
        <v>0</v>
      </c>
      <c r="D161" s="119" t="b">
        <f>IF(C161=TRUE,B161,C161)</f>
        <v>0</v>
      </c>
      <c r="F161" s="118"/>
    </row>
    <row r="162" spans="1:6" s="30" customFormat="1">
      <c r="B162" s="114"/>
      <c r="C162" s="32"/>
      <c r="F162" s="118"/>
    </row>
    <row r="163" spans="1:6" s="30" customFormat="1">
      <c r="B163" s="26" t="s">
        <v>297</v>
      </c>
      <c r="C163" s="32"/>
      <c r="F163" s="118"/>
    </row>
    <row r="164" spans="1:6" s="30" customFormat="1">
      <c r="A164" s="30">
        <v>1</v>
      </c>
      <c r="B164" s="116" t="s">
        <v>392</v>
      </c>
      <c r="C164" s="115" t="str">
        <f>Hulpblad!C159&amp;" "&amp;Hulpblad!D161&amp;""</f>
        <v>Geen Isolerende panelen, U ≤ 1,2 W/m2K ONWAAR</v>
      </c>
      <c r="F164" s="118"/>
    </row>
    <row r="165" spans="1:6" s="30" customFormat="1">
      <c r="B165" s="116"/>
      <c r="C165" s="115"/>
      <c r="F165" s="118"/>
    </row>
    <row r="166" spans="1:6" s="30" customFormat="1">
      <c r="B166" s="26" t="s">
        <v>337</v>
      </c>
      <c r="C166" s="32"/>
    </row>
    <row r="167" spans="1:6" s="30" customFormat="1">
      <c r="A167" s="30">
        <v>1</v>
      </c>
      <c r="B167" s="32" t="s">
        <v>338</v>
      </c>
      <c r="C167" s="32"/>
    </row>
    <row r="168" spans="1:6" s="30" customFormat="1">
      <c r="A168" s="30">
        <v>2</v>
      </c>
      <c r="B168" s="32" t="s">
        <v>339</v>
      </c>
      <c r="C168" s="32"/>
    </row>
    <row r="169" spans="1:6" s="30" customFormat="1">
      <c r="B169" s="115">
        <v>1</v>
      </c>
      <c r="C169" s="115" t="str">
        <f>VLOOKUP(B169,A167:B168,2,FALSE)</f>
        <v>Geen Isolerende panelen, U ≤ 2,0 W/m2K</v>
      </c>
    </row>
    <row r="170" spans="1:6" s="30" customFormat="1">
      <c r="B170" s="27" t="s">
        <v>340</v>
      </c>
      <c r="C170" s="32"/>
    </row>
    <row r="171" spans="1:6" s="30" customFormat="1">
      <c r="A171" s="30">
        <v>1</v>
      </c>
      <c r="B171" s="116" t="s">
        <v>392</v>
      </c>
      <c r="C171" s="115" t="b">
        <v>0</v>
      </c>
      <c r="D171" s="119" t="b">
        <f>IF(C171=TRUE,B171,C171)</f>
        <v>0</v>
      </c>
    </row>
    <row r="172" spans="1:6" s="30" customFormat="1">
      <c r="B172" s="114"/>
      <c r="C172" s="32"/>
    </row>
    <row r="173" spans="1:6" s="30" customFormat="1">
      <c r="B173" s="26" t="s">
        <v>341</v>
      </c>
      <c r="C173" s="32"/>
    </row>
    <row r="174" spans="1:6" s="30" customFormat="1">
      <c r="A174" s="30">
        <v>1</v>
      </c>
      <c r="B174" s="116" t="s">
        <v>392</v>
      </c>
      <c r="C174" s="115" t="str">
        <f>Hulpblad!C169&amp;" "&amp;Hulpblad!D171&amp;""</f>
        <v>Geen Isolerende panelen, U ≤ 2,0 W/m2K ONWAAR</v>
      </c>
    </row>
    <row r="175" spans="1:6" s="30" customFormat="1">
      <c r="B175" s="116"/>
      <c r="C175" s="115"/>
      <c r="F175" s="118"/>
    </row>
    <row r="176" spans="1:6" s="30" customFormat="1">
      <c r="B176" s="26" t="s">
        <v>342</v>
      </c>
      <c r="C176" s="32"/>
    </row>
    <row r="177" spans="1:6" s="30" customFormat="1">
      <c r="A177" s="30">
        <v>1</v>
      </c>
      <c r="B177" s="32" t="s">
        <v>345</v>
      </c>
      <c r="C177" s="32"/>
    </row>
    <row r="178" spans="1:6" s="30" customFormat="1">
      <c r="A178" s="30">
        <v>2</v>
      </c>
      <c r="B178" s="32" t="s">
        <v>346</v>
      </c>
      <c r="C178" s="32"/>
    </row>
    <row r="179" spans="1:6" s="30" customFormat="1">
      <c r="B179" s="115">
        <v>1</v>
      </c>
      <c r="C179" s="115" t="str">
        <f>VLOOKUP(B179,A177:B178,2,FALSE)</f>
        <v>Geen Isolerende panelen, U ≤ 3,0 W/m2K</v>
      </c>
    </row>
    <row r="180" spans="1:6" s="30" customFormat="1">
      <c r="B180" s="27" t="s">
        <v>343</v>
      </c>
      <c r="C180" s="32"/>
    </row>
    <row r="181" spans="1:6" s="30" customFormat="1">
      <c r="A181" s="30">
        <v>1</v>
      </c>
      <c r="B181" s="116" t="s">
        <v>392</v>
      </c>
      <c r="C181" s="115" t="b">
        <v>0</v>
      </c>
      <c r="D181" s="119" t="b">
        <f>IF(C181=TRUE,B181,C181)</f>
        <v>0</v>
      </c>
    </row>
    <row r="182" spans="1:6" s="30" customFormat="1">
      <c r="B182" s="114"/>
      <c r="C182" s="32"/>
    </row>
    <row r="183" spans="1:6" s="30" customFormat="1">
      <c r="B183" s="26" t="s">
        <v>344</v>
      </c>
      <c r="C183" s="32"/>
    </row>
    <row r="184" spans="1:6" s="30" customFormat="1">
      <c r="A184" s="30">
        <v>1</v>
      </c>
      <c r="B184" s="116" t="s">
        <v>392</v>
      </c>
      <c r="C184" s="115" t="str">
        <f>Hulpblad!C179&amp;" "&amp;Hulpblad!D181&amp;""</f>
        <v>Geen Isolerende panelen, U ≤ 3,0 W/m2K ONWAAR</v>
      </c>
    </row>
    <row r="185" spans="1:6" s="30" customFormat="1">
      <c r="B185" s="116"/>
      <c r="C185" s="115"/>
      <c r="F185" s="118"/>
    </row>
    <row r="186" spans="1:6" s="30" customFormat="1">
      <c r="B186" s="26" t="s">
        <v>302</v>
      </c>
      <c r="C186" s="32"/>
      <c r="F186" s="118"/>
    </row>
    <row r="187" spans="1:6" s="30" customFormat="1">
      <c r="A187" s="30">
        <v>1</v>
      </c>
      <c r="B187" s="32" t="s">
        <v>298</v>
      </c>
      <c r="C187" s="32"/>
      <c r="F187" s="118"/>
    </row>
    <row r="188" spans="1:6" s="30" customFormat="1">
      <c r="A188" s="30">
        <v>2</v>
      </c>
      <c r="B188" s="32" t="s">
        <v>301</v>
      </c>
      <c r="C188" s="32"/>
      <c r="F188" s="118"/>
    </row>
    <row r="189" spans="1:6" s="30" customFormat="1">
      <c r="B189" s="115">
        <v>1</v>
      </c>
      <c r="C189" s="115" t="str">
        <f>VLOOKUP(B189,A187:B188,2,FALSE)</f>
        <v>Geen Isolerende deuren, U ≤ 1,0 W/m2K</v>
      </c>
      <c r="F189" s="118"/>
    </row>
    <row r="190" spans="1:6" s="30" customFormat="1">
      <c r="B190" s="27" t="s">
        <v>305</v>
      </c>
      <c r="C190" s="32"/>
      <c r="F190" s="118"/>
    </row>
    <row r="191" spans="1:6" s="30" customFormat="1">
      <c r="A191" s="30">
        <v>1</v>
      </c>
      <c r="B191" s="116" t="s">
        <v>389</v>
      </c>
      <c r="C191" s="115" t="b">
        <v>0</v>
      </c>
      <c r="D191" s="119" t="b">
        <f>IF(C191=TRUE,B191,C191)</f>
        <v>0</v>
      </c>
      <c r="F191" s="118"/>
    </row>
    <row r="192" spans="1:6" s="30" customFormat="1">
      <c r="A192" s="30">
        <v>2</v>
      </c>
      <c r="B192" s="116" t="s">
        <v>388</v>
      </c>
      <c r="C192" s="115" t="b">
        <v>0</v>
      </c>
      <c r="D192" s="119" t="b">
        <f>IF(C192=TRUE,B192,C192)</f>
        <v>0</v>
      </c>
      <c r="F192" s="118"/>
    </row>
    <row r="193" spans="1:6" s="30" customFormat="1">
      <c r="B193" s="114"/>
      <c r="C193" s="32"/>
      <c r="F193" s="118"/>
    </row>
    <row r="194" spans="1:6" s="30" customFormat="1">
      <c r="B194" s="26" t="s">
        <v>304</v>
      </c>
      <c r="C194" s="32"/>
      <c r="F194" s="118"/>
    </row>
    <row r="195" spans="1:6" s="30" customFormat="1">
      <c r="A195" s="30">
        <v>1</v>
      </c>
      <c r="B195" s="116" t="s">
        <v>389</v>
      </c>
      <c r="C195" s="115" t="str">
        <f>Hulpblad!C189&amp;" "&amp;Hulpblad!D191&amp;""</f>
        <v>Geen Isolerende deuren, U ≤ 1,0 W/m2K ONWAAR</v>
      </c>
      <c r="F195" s="118"/>
    </row>
    <row r="196" spans="1:6" s="30" customFormat="1">
      <c r="A196" s="30">
        <v>2</v>
      </c>
      <c r="B196" s="116" t="s">
        <v>388</v>
      </c>
      <c r="C196" s="115" t="str">
        <f>Hulpblad!C189&amp;" "&amp;Hulpblad!D192&amp;""</f>
        <v>Geen Isolerende deuren, U ≤ 1,0 W/m2K ONWAAR</v>
      </c>
      <c r="F196" s="118"/>
    </row>
    <row r="197" spans="1:6" s="30" customFormat="1">
      <c r="B197" s="116"/>
      <c r="C197" s="115"/>
      <c r="F197" s="118"/>
    </row>
    <row r="198" spans="1:6" s="30" customFormat="1">
      <c r="B198" s="26" t="s">
        <v>347</v>
      </c>
      <c r="C198" s="32"/>
      <c r="F198" s="118"/>
    </row>
    <row r="199" spans="1:6" s="30" customFormat="1">
      <c r="A199" s="30">
        <v>1</v>
      </c>
      <c r="B199" s="32" t="s">
        <v>300</v>
      </c>
      <c r="C199" s="32"/>
      <c r="F199" s="118"/>
    </row>
    <row r="200" spans="1:6" s="30" customFormat="1">
      <c r="A200" s="30">
        <v>2</v>
      </c>
      <c r="B200" s="32" t="s">
        <v>299</v>
      </c>
      <c r="C200" s="32"/>
      <c r="F200" s="118"/>
    </row>
    <row r="201" spans="1:6" s="30" customFormat="1">
      <c r="B201" s="115">
        <v>1</v>
      </c>
      <c r="C201" s="115" t="str">
        <f>VLOOKUP(B201,A199:B200,2,FALSE)</f>
        <v>Geen Isolerende deuren, U ≤ 1,5 W/m2K</v>
      </c>
      <c r="F201" s="118"/>
    </row>
    <row r="202" spans="1:6" s="30" customFormat="1">
      <c r="B202" s="27" t="s">
        <v>306</v>
      </c>
      <c r="C202" s="32"/>
      <c r="F202" s="118"/>
    </row>
    <row r="203" spans="1:6" s="30" customFormat="1">
      <c r="A203" s="30">
        <v>1</v>
      </c>
      <c r="B203" s="116" t="s">
        <v>389</v>
      </c>
      <c r="C203" s="115" t="b">
        <v>0</v>
      </c>
      <c r="D203" s="119" t="b">
        <f>IF(C203=TRUE,B203,C203)</f>
        <v>0</v>
      </c>
      <c r="F203" s="118"/>
    </row>
    <row r="204" spans="1:6" s="30" customFormat="1">
      <c r="A204" s="30">
        <v>2</v>
      </c>
      <c r="B204" s="116" t="s">
        <v>388</v>
      </c>
      <c r="C204" s="115" t="b">
        <v>0</v>
      </c>
      <c r="D204" s="119" t="b">
        <f>IF(C204=TRUE,B204,C204)</f>
        <v>0</v>
      </c>
      <c r="F204" s="118"/>
    </row>
    <row r="205" spans="1:6" s="30" customFormat="1">
      <c r="B205" s="114"/>
      <c r="C205" s="32"/>
      <c r="F205" s="118"/>
    </row>
    <row r="206" spans="1:6" s="30" customFormat="1">
      <c r="B206" s="26" t="s">
        <v>303</v>
      </c>
      <c r="C206" s="32"/>
      <c r="F206" s="118"/>
    </row>
    <row r="207" spans="1:6" s="30" customFormat="1">
      <c r="A207" s="30">
        <v>1</v>
      </c>
      <c r="B207" s="116" t="s">
        <v>389</v>
      </c>
      <c r="C207" s="115" t="str">
        <f>Hulpblad!C201&amp;" "&amp;Hulpblad!D203&amp;""</f>
        <v>Geen Isolerende deuren, U ≤ 1,5 W/m2K ONWAAR</v>
      </c>
      <c r="F207" s="118"/>
    </row>
    <row r="208" spans="1:6" s="30" customFormat="1">
      <c r="A208" s="30">
        <v>2</v>
      </c>
      <c r="B208" s="116" t="s">
        <v>388</v>
      </c>
      <c r="C208" s="115" t="str">
        <f>Hulpblad!C201&amp;" "&amp;Hulpblad!D204&amp;""</f>
        <v>Geen Isolerende deuren, U ≤ 1,5 W/m2K ONWAAR</v>
      </c>
      <c r="F208" s="118"/>
    </row>
    <row r="209" spans="1:13" s="30" customFormat="1">
      <c r="B209" s="116"/>
      <c r="C209" s="115"/>
      <c r="F209" s="118"/>
    </row>
    <row r="210" spans="1:13" s="30" customFormat="1">
      <c r="B210" s="26" t="s">
        <v>348</v>
      </c>
      <c r="C210" s="32"/>
    </row>
    <row r="211" spans="1:13" s="30" customFormat="1">
      <c r="A211" s="30">
        <v>1</v>
      </c>
      <c r="B211" s="32" t="s">
        <v>350</v>
      </c>
      <c r="C211" s="32"/>
    </row>
    <row r="212" spans="1:13" s="30" customFormat="1">
      <c r="A212" s="30">
        <v>2</v>
      </c>
      <c r="B212" s="32" t="s">
        <v>351</v>
      </c>
      <c r="C212" s="32"/>
    </row>
    <row r="213" spans="1:13" s="30" customFormat="1">
      <c r="B213" s="115">
        <v>1</v>
      </c>
      <c r="C213" s="115" t="str">
        <f>VLOOKUP(B213,A211:B212,2,FALSE)</f>
        <v>Geen Isolerende deuren, U ≤ 2,0 W/m2K</v>
      </c>
    </row>
    <row r="214" spans="1:13" s="30" customFormat="1">
      <c r="B214" s="27" t="s">
        <v>349</v>
      </c>
      <c r="C214" s="32"/>
    </row>
    <row r="215" spans="1:13" s="30" customFormat="1">
      <c r="A215" s="30">
        <v>1</v>
      </c>
      <c r="B215" s="116" t="s">
        <v>389</v>
      </c>
      <c r="C215" s="115" t="b">
        <v>0</v>
      </c>
      <c r="D215" s="119" t="b">
        <f>IF(C215=TRUE,B215,C215)</f>
        <v>0</v>
      </c>
    </row>
    <row r="216" spans="1:13" s="30" customFormat="1">
      <c r="A216" s="30">
        <v>2</v>
      </c>
      <c r="B216" s="116" t="s">
        <v>388</v>
      </c>
      <c r="C216" s="115" t="b">
        <v>0</v>
      </c>
      <c r="D216" s="119" t="b">
        <f>IF(C216=TRUE,B216,C216)</f>
        <v>0</v>
      </c>
    </row>
    <row r="217" spans="1:13" s="30" customFormat="1">
      <c r="B217" s="114"/>
      <c r="C217" s="32"/>
    </row>
    <row r="218" spans="1:13" s="30" customFormat="1">
      <c r="B218" s="26" t="s">
        <v>352</v>
      </c>
      <c r="C218" s="32"/>
    </row>
    <row r="219" spans="1:13" s="30" customFormat="1">
      <c r="A219" s="30">
        <v>1</v>
      </c>
      <c r="B219" s="116" t="s">
        <v>389</v>
      </c>
      <c r="C219" s="115" t="str">
        <f>Hulpblad!C213&amp;" "&amp;Hulpblad!D215&amp;""</f>
        <v>Geen Isolerende deuren, U ≤ 2,0 W/m2K ONWAAR</v>
      </c>
    </row>
    <row r="220" spans="1:13" s="30" customFormat="1">
      <c r="A220" s="30">
        <v>2</v>
      </c>
      <c r="B220" s="116" t="s">
        <v>388</v>
      </c>
      <c r="C220" s="115" t="str">
        <f>Hulpblad!C213&amp;" "&amp;Hulpblad!D216&amp;""</f>
        <v>Geen Isolerende deuren, U ≤ 2,0 W/m2K ONWAAR</v>
      </c>
    </row>
    <row r="221" spans="1:13" s="30" customFormat="1">
      <c r="B221" s="116"/>
      <c r="C221" s="115"/>
    </row>
    <row r="222" spans="1:13" s="30" customFormat="1">
      <c r="B222" s="116"/>
      <c r="C222" s="115"/>
      <c r="F222" s="118"/>
    </row>
    <row r="223" spans="1:13" s="30" customFormat="1" ht="15" customHeight="1">
      <c r="B223" s="26" t="s">
        <v>283</v>
      </c>
      <c r="C223" s="26"/>
      <c r="E223" s="32"/>
      <c r="F223" s="27"/>
      <c r="G223" s="26"/>
      <c r="I223" s="26"/>
      <c r="J223" s="26"/>
      <c r="K223" s="115"/>
      <c r="L223" s="115"/>
      <c r="M223" s="126"/>
    </row>
    <row r="224" spans="1:13" s="30" customFormat="1">
      <c r="A224" s="30">
        <v>1</v>
      </c>
      <c r="B224" s="30" t="str">
        <f>IF($C$87="Geen glasisolatie","Niet van toepassing","Kiest u voor Triple glas, U ≤ 0,7 W/m2K?")</f>
        <v>Niet van toepassing</v>
      </c>
      <c r="C224" s="32"/>
      <c r="D224" s="115"/>
      <c r="E224" s="32"/>
      <c r="G224" s="118"/>
      <c r="H224" s="115"/>
      <c r="K224" s="118"/>
      <c r="L224" s="115"/>
      <c r="M224" s="115"/>
    </row>
    <row r="225" spans="1:13" s="30" customFormat="1">
      <c r="A225" s="30">
        <v>2</v>
      </c>
      <c r="B225" s="30" t="str">
        <f>IF($C$87="Geen glasisolatie","Niet van toepassing","Kiest u voor HR++ glas, U ≤ 1,2 W/m2K?")</f>
        <v>Niet van toepassing</v>
      </c>
      <c r="C225" s="115"/>
      <c r="D225" s="115"/>
      <c r="E225" s="32"/>
      <c r="G225" s="115"/>
      <c r="H225" s="115"/>
      <c r="I225" s="32"/>
      <c r="K225" s="118"/>
      <c r="L225" s="115"/>
      <c r="M225" s="115"/>
    </row>
    <row r="226" spans="1:13" s="30" customFormat="1">
      <c r="A226" s="30">
        <v>3</v>
      </c>
      <c r="B226" s="30" t="str">
        <f>IF($C$87="Geen glasisolatie","Niet van toepassing","Kiest u voor HR-glas of voor-of achterzetbeglazing U ≤ 2,0 W/m2K?")</f>
        <v>Niet van toepassing</v>
      </c>
    </row>
    <row r="227" spans="1:13" s="30" customFormat="1">
      <c r="A227" s="30">
        <v>4</v>
      </c>
      <c r="B227" s="30" t="str">
        <f>IF($C$87="Geen glasisolatie","Niet van toepassing","Kiest u voor HR-glas of voor-of achterzetbeglazing U ≤ 3,0 W/m2K?")</f>
        <v>Niet van toepassing</v>
      </c>
      <c r="C227" s="32"/>
      <c r="D227" s="115"/>
      <c r="E227" s="32"/>
      <c r="G227" s="118"/>
      <c r="H227" s="115"/>
      <c r="K227" s="118"/>
      <c r="L227" s="115"/>
      <c r="M227" s="115"/>
    </row>
    <row r="228" spans="1:13" s="30" customFormat="1">
      <c r="A228" s="30">
        <v>5</v>
      </c>
      <c r="B228" s="30" t="str">
        <f>IF($C$87="Geen glasisolatie","Niet van toepassing","Kiest u voor Voor-of achterzetbeglazing U ≤ 5,8 W/m2K?")</f>
        <v>Niet van toepassing</v>
      </c>
      <c r="C228" s="32"/>
      <c r="D228" s="115"/>
      <c r="E228" s="32"/>
      <c r="G228" s="118"/>
      <c r="H228" s="115"/>
      <c r="K228" s="118"/>
      <c r="L228" s="115"/>
      <c r="M228" s="115"/>
    </row>
    <row r="229" spans="1:13" s="30" customFormat="1">
      <c r="A229" s="30">
        <v>6</v>
      </c>
      <c r="B229" s="30"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panelen in kozijnen, U ≤ 0,7 W/m2K?","Niet van toepassing")</f>
        <v>Niet van toepassing</v>
      </c>
      <c r="C229" s="32"/>
      <c r="D229" s="115"/>
      <c r="E229" s="32"/>
      <c r="G229" s="118"/>
      <c r="H229" s="115"/>
      <c r="K229" s="118"/>
      <c r="L229" s="115"/>
      <c r="M229" s="115"/>
    </row>
    <row r="230" spans="1:13" s="30" customFormat="1">
      <c r="A230" s="30">
        <v>7</v>
      </c>
      <c r="B230" s="30"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panelen in kozijnen, U ≤ 1,2 W/m2K?","Niet van toepassing")</f>
        <v>Niet van toepassing</v>
      </c>
      <c r="C230" s="32"/>
      <c r="D230" s="115"/>
      <c r="E230" s="32"/>
      <c r="F230" s="116"/>
      <c r="G230" s="118"/>
      <c r="H230" s="115"/>
      <c r="K230" s="118"/>
      <c r="L230" s="115"/>
      <c r="M230" s="115"/>
    </row>
    <row r="231" spans="1:13" s="30" customFormat="1">
      <c r="A231" s="30">
        <v>8</v>
      </c>
      <c r="B231" s="30"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panelen in kozijnen, U ≤ 2,0 W/m2K?","Niet van toepassing")</f>
        <v>Niet van toepassing</v>
      </c>
    </row>
    <row r="232" spans="1:13" s="30" customFormat="1">
      <c r="A232" s="30">
        <v>9</v>
      </c>
      <c r="B232" s="30"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panelen in kozijnen, U ≤ 3,0 W/m2K?","Niet van toepassing")</f>
        <v>Niet van toepassing</v>
      </c>
      <c r="C232" s="32"/>
      <c r="D232" s="115"/>
      <c r="E232" s="32"/>
      <c r="G232" s="118"/>
      <c r="H232" s="115"/>
      <c r="K232" s="118"/>
      <c r="L232" s="115"/>
      <c r="M232" s="115"/>
    </row>
    <row r="233" spans="1:13" s="30" customFormat="1">
      <c r="A233" s="30">
        <v>10</v>
      </c>
      <c r="B233" s="30"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deuren, U ≤ 1,0 W/m2K?","Niet van toepassing")</f>
        <v>Niet van toepassing</v>
      </c>
      <c r="C233" s="32"/>
      <c r="D233" s="115"/>
      <c r="E233" s="32"/>
      <c r="G233" s="118"/>
      <c r="H233" s="115"/>
      <c r="K233" s="118"/>
      <c r="L233" s="115"/>
      <c r="M233" s="115"/>
    </row>
    <row r="234" spans="1:13" s="30" customFormat="1">
      <c r="A234" s="30">
        <v>11</v>
      </c>
      <c r="B234" s="30"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deuren, U ≤ 1,5 W/m2K?","Niet van toepassing")</f>
        <v>Niet van toepassing</v>
      </c>
      <c r="C234" s="115"/>
      <c r="D234" s="115"/>
      <c r="E234" s="32"/>
      <c r="G234" s="118"/>
      <c r="H234" s="115"/>
      <c r="I234" s="32"/>
      <c r="K234" s="118"/>
      <c r="L234" s="115"/>
      <c r="M234" s="115"/>
    </row>
    <row r="235" spans="1:13" s="30" customFormat="1">
      <c r="A235" s="30">
        <v>12</v>
      </c>
      <c r="B235" s="30" t="str">
        <f>IF(OR(
AND($B$87=2,$B$91=2,$C$93=TRUE,'Keuzeblad maatregelen'!$K$80&gt;0),
AND($B$87=2,$B$91=2,$C$94=TRUE,'Keuzeblad maatregelen'!$K$81&gt;0),
AND($B$87=2,$B$103=2,$C$105=TRUE,'Keuzeblad maatregelen'!$K$84&gt;0),
AND($B$87=2,$B$103=2,$C$106=TRUE,'Keuzeblad maatregelen'!$K$85&gt;0),
AND($B$87=2,$B$115=2,$C$117=TRUE,'Keuzeblad maatregelen'!$K$88&gt;0),
AND($B$87=2,$B$115=2,$C$118=TRUE,'Keuzeblad maatregelen'!$K$89&gt;0),
AND($B$87=2,$B$127=2,$C$129=TRUE,'Keuzeblad maatregelen'!$K$92&gt;0),
AND($B$87=2,$B$127=2,$C$130=TRUE,'Keuzeblad maatregelen'!$K$93&gt;0),
AND($B$87=2,$B$139=2,$C$141=TRUE,'Keuzeblad maatregelen'!$K$96&gt;0)
),"Kiest u ook voor Isolerende deuren, U ≤ 2,0 W/m2K?","Niet van toepassing")</f>
        <v>Niet van toepassing</v>
      </c>
    </row>
    <row r="236" spans="1:13" s="30" customFormat="1">
      <c r="C236" s="32"/>
      <c r="D236" s="115"/>
      <c r="E236" s="32"/>
      <c r="G236" s="118"/>
      <c r="H236" s="115"/>
      <c r="K236" s="118"/>
      <c r="L236" s="115"/>
      <c r="M236" s="115"/>
    </row>
    <row r="237" spans="1:13" s="30" customFormat="1">
      <c r="C237" s="32"/>
      <c r="D237" s="32"/>
      <c r="E237" s="32"/>
      <c r="F237" s="118"/>
    </row>
    <row r="238" spans="1:13" s="30" customFormat="1">
      <c r="B238" s="27" t="s">
        <v>60</v>
      </c>
      <c r="C238" s="32"/>
      <c r="D238" s="28" t="s">
        <v>593</v>
      </c>
      <c r="E238" s="28"/>
      <c r="F238" s="28"/>
    </row>
    <row r="239" spans="1:13" s="30" customFormat="1">
      <c r="B239" s="115">
        <f>IF(B9=3,1,0)</f>
        <v>0</v>
      </c>
      <c r="C239" s="32" t="s">
        <v>147</v>
      </c>
      <c r="D239" s="118">
        <f>IF(AND($B$91=2,C93=TRUE,'Keuzeblad maatregelen'!K80&gt;0),'Keuzeblad maatregelen'!K80,0)</f>
        <v>0</v>
      </c>
      <c r="E239" s="32"/>
      <c r="F239" s="32"/>
      <c r="H239" s="116"/>
    </row>
    <row r="240" spans="1:13" s="30" customFormat="1">
      <c r="B240" s="115">
        <f>IF(OR(AND(B16&gt;1,B21&gt;1),AND(B27&gt;1,B31&gt;1)),IF('Keuzeblad maatregelen'!K30+'Keuzeblad maatregelen'!K35&gt;=20,1,0),0)</f>
        <v>0</v>
      </c>
      <c r="C240" s="32" t="s">
        <v>256</v>
      </c>
      <c r="D240" s="118">
        <f>IF(AND($B$91=2,C94=TRUE,'Keuzeblad maatregelen'!K81&gt;0),'Keuzeblad maatregelen'!K81,0)</f>
        <v>0</v>
      </c>
      <c r="E240" s="32"/>
      <c r="F240" s="32"/>
      <c r="H240" s="116"/>
    </row>
    <row r="241" spans="2:8" s="30" customFormat="1">
      <c r="B241" s="115">
        <f>IF(AND(B37&gt;1,B42&gt;1,'Keuzeblad maatregelen'!K39&gt;=10),1,0)</f>
        <v>0</v>
      </c>
      <c r="C241" s="32" t="s">
        <v>5</v>
      </c>
      <c r="D241" s="118">
        <f>IF(AND($B$103=2,C105=TRUE,'Keuzeblad maatregelen'!K84&gt;0),'Keuzeblad maatregelen'!K84,0)</f>
        <v>0</v>
      </c>
      <c r="E241" s="32"/>
      <c r="F241" s="32"/>
      <c r="H241" s="116"/>
    </row>
    <row r="242" spans="2:8" s="30" customFormat="1">
      <c r="B242" s="115">
        <f>IF(AND(B48&gt;1,B53&gt;1,'Keuzeblad maatregelen'!K44&gt;=10),1,0)</f>
        <v>0</v>
      </c>
      <c r="C242" s="32" t="s">
        <v>6</v>
      </c>
      <c r="D242" s="118">
        <f>IF(AND($B$103=2,C106=TRUE,'Keuzeblad maatregelen'!K85&gt;0),'Keuzeblad maatregelen'!K85,0)</f>
        <v>0</v>
      </c>
      <c r="E242" s="32"/>
      <c r="F242" s="32"/>
      <c r="H242" s="116"/>
    </row>
    <row r="243" spans="2:8" s="30" customFormat="1">
      <c r="B243" s="115">
        <f>IF(OR(AND(B59&gt;1,B63&gt;1),AND(B69&gt;1,B73&gt;1)),IF('Keuzeblad maatregelen'!K49+'Keuzeblad maatregelen'!K53&gt;=20,1,0),0)</f>
        <v>0</v>
      </c>
      <c r="C243" s="32" t="s">
        <v>257</v>
      </c>
      <c r="D243" s="118">
        <f>IF(AND($B$115=2,C117=TRUE,'Keuzeblad maatregelen'!K88&gt;0),'Keuzeblad maatregelen'!K88,0)</f>
        <v>0</v>
      </c>
      <c r="E243" s="32"/>
      <c r="F243" s="32"/>
      <c r="H243" s="116"/>
    </row>
    <row r="244" spans="2:8" s="30" customFormat="1">
      <c r="B244" s="115">
        <f>IF(D258&gt;=3,1,0)</f>
        <v>0</v>
      </c>
      <c r="C244" s="32" t="s">
        <v>7</v>
      </c>
      <c r="D244" s="118">
        <f>IF(AND($B$115=2,C118=TRUE,'Keuzeblad maatregelen'!K89&gt;0),'Keuzeblad maatregelen'!K89,0)</f>
        <v>0</v>
      </c>
      <c r="E244" s="32"/>
      <c r="F244" s="32"/>
      <c r="H244" s="116"/>
    </row>
    <row r="245" spans="2:8" s="30" customFormat="1">
      <c r="B245" s="115">
        <f>IF(OR('Keuzeblad maatregelen'!O156&gt;0,'Keuzeblad maatregelen'!O187&gt;0),1,0)</f>
        <v>0</v>
      </c>
      <c r="C245" s="32" t="s">
        <v>135</v>
      </c>
      <c r="D245" s="118">
        <f>IF(AND($B$127=2,C129=TRUE,'Keuzeblad maatregelen'!K92&gt;0),'Keuzeblad maatregelen'!K92,0)</f>
        <v>0</v>
      </c>
      <c r="E245" s="32"/>
      <c r="F245" s="32"/>
      <c r="H245" s="116"/>
    </row>
    <row r="246" spans="2:8" s="30" customFormat="1">
      <c r="B246" s="115">
        <f>IF('Keuzeblad maatregelen'!O220&gt;0,1,0)</f>
        <v>0</v>
      </c>
      <c r="C246" s="32" t="s">
        <v>9</v>
      </c>
      <c r="D246" s="118">
        <f>IF(AND($B$127=2,C130=TRUE,'Keuzeblad maatregelen'!K93&gt;0),'Keuzeblad maatregelen'!K93,0)</f>
        <v>0</v>
      </c>
      <c r="E246" s="32"/>
      <c r="F246" s="32"/>
      <c r="H246" s="116"/>
    </row>
    <row r="247" spans="2:8" s="30" customFormat="1">
      <c r="B247" s="115">
        <f>IF('Keuzeblad maatregelen'!O233&gt;0,1,0)</f>
        <v>0</v>
      </c>
      <c r="C247" s="32" t="s">
        <v>22</v>
      </c>
      <c r="D247" s="118">
        <f>IF(AND($B$139=2,C141=TRUE,'Keuzeblad maatregelen'!K96&gt;0),'Keuzeblad maatregelen'!K96,0)</f>
        <v>0</v>
      </c>
      <c r="E247" s="32"/>
      <c r="F247" s="32"/>
      <c r="H247" s="116"/>
    </row>
    <row r="248" spans="2:8" s="30" customFormat="1">
      <c r="B248" s="27" t="s">
        <v>148</v>
      </c>
      <c r="C248" s="119">
        <f>SUM(B239:B247)</f>
        <v>0</v>
      </c>
      <c r="D248" s="118">
        <f>IF(AND($B$149=2,C151=TRUE,'Keuzeblad maatregelen'!K100&gt;0),'Keuzeblad maatregelen'!K100,0)</f>
        <v>0</v>
      </c>
      <c r="E248" s="32"/>
      <c r="F248" s="32"/>
      <c r="H248" s="116"/>
    </row>
    <row r="249" spans="2:8" s="30" customFormat="1">
      <c r="B249" s="27"/>
      <c r="C249" s="119"/>
      <c r="D249" s="118">
        <f>IF(AND($B$159=2,C161=TRUE,'Keuzeblad maatregelen'!K104&gt;0),'Keuzeblad maatregelen'!K104,0)</f>
        <v>0</v>
      </c>
      <c r="E249" s="32"/>
      <c r="F249" s="32"/>
      <c r="H249" s="116"/>
    </row>
    <row r="250" spans="2:8" s="30" customFormat="1" ht="15" customHeight="1">
      <c r="B250" s="27"/>
      <c r="C250" s="119"/>
      <c r="D250" s="118">
        <f>IF(AND($B$169=2,C171=TRUE,'Keuzeblad maatregelen'!K108&gt;0),'Keuzeblad maatregelen'!K108,0)</f>
        <v>0</v>
      </c>
      <c r="E250" s="32"/>
      <c r="F250" s="32"/>
      <c r="H250" s="116"/>
    </row>
    <row r="251" spans="2:8" s="30" customFormat="1" ht="15" customHeight="1">
      <c r="B251" s="27"/>
      <c r="D251" s="118">
        <f>IF(AND($B$179=2,C181=TRUE,'Keuzeblad maatregelen'!K112&gt;0),'Keuzeblad maatregelen'!K112,0)</f>
        <v>0</v>
      </c>
      <c r="E251" s="32"/>
      <c r="F251" s="122"/>
      <c r="H251" s="116"/>
    </row>
    <row r="252" spans="2:8" s="30" customFormat="1" ht="15" customHeight="1">
      <c r="B252" s="27"/>
      <c r="D252" s="118">
        <f>IF(AND($B$189=2,C191=TRUE,'Keuzeblad maatregelen'!K116&gt;0),'Keuzeblad maatregelen'!K116,0)</f>
        <v>0</v>
      </c>
      <c r="E252" s="32"/>
      <c r="F252" s="122"/>
      <c r="H252" s="116"/>
    </row>
    <row r="253" spans="2:8" s="30" customFormat="1" ht="15" customHeight="1">
      <c r="B253" s="27"/>
      <c r="D253" s="118">
        <f>IF(AND($B$189=2,C192=TRUE,'Keuzeblad maatregelen'!K117&gt;0),'Keuzeblad maatregelen'!K117,0)</f>
        <v>0</v>
      </c>
      <c r="E253" s="32"/>
      <c r="F253" s="122"/>
      <c r="H253" s="116"/>
    </row>
    <row r="254" spans="2:8" s="30" customFormat="1" ht="15" customHeight="1">
      <c r="B254" s="27"/>
      <c r="D254" s="118">
        <f>IF(AND($B$201=2,C203=TRUE,'Keuzeblad maatregelen'!K120&gt;0),'Keuzeblad maatregelen'!K120,0)</f>
        <v>0</v>
      </c>
      <c r="E254" s="32"/>
      <c r="F254" s="122"/>
      <c r="H254" s="116"/>
    </row>
    <row r="255" spans="2:8" s="30" customFormat="1" ht="15" customHeight="1">
      <c r="B255" s="27"/>
      <c r="D255" s="118">
        <f>IF(AND($B$201=2,C204=TRUE,'Keuzeblad maatregelen'!K121&gt;0),'Keuzeblad maatregelen'!K121,0)</f>
        <v>0</v>
      </c>
      <c r="E255" s="32"/>
      <c r="F255" s="122"/>
      <c r="H255" s="116"/>
    </row>
    <row r="256" spans="2:8" s="30" customFormat="1" ht="15" customHeight="1">
      <c r="B256" s="27"/>
      <c r="D256" s="118">
        <f>IF(AND($B$213=2,C215=TRUE,'Keuzeblad maatregelen'!K124&gt;0),'Keuzeblad maatregelen'!K124,0)</f>
        <v>0</v>
      </c>
      <c r="E256" s="32"/>
      <c r="F256" s="122"/>
      <c r="H256" s="116"/>
    </row>
    <row r="257" spans="1:8" s="30" customFormat="1" ht="15" customHeight="1">
      <c r="B257" s="27"/>
      <c r="D257" s="118">
        <f>IF(AND($B$213=2,C216=TRUE,'Keuzeblad maatregelen'!K125&gt;0),'Keuzeblad maatregelen'!K125,0)</f>
        <v>0</v>
      </c>
      <c r="E257" s="32"/>
      <c r="F257" s="122"/>
      <c r="H257" s="116"/>
    </row>
    <row r="258" spans="1:8" s="30" customFormat="1" ht="15" customHeight="1">
      <c r="B258" s="27"/>
      <c r="D258" s="156">
        <f>SUM(D239:D257)</f>
        <v>0</v>
      </c>
      <c r="E258" s="32"/>
      <c r="F258" s="122"/>
      <c r="H258" s="116"/>
    </row>
    <row r="259" spans="1:8" s="30" customFormat="1" ht="18.75">
      <c r="B259" s="27"/>
      <c r="D259" s="121"/>
      <c r="E259" s="122"/>
      <c r="F259" s="122"/>
    </row>
    <row r="260" spans="1:8" s="30" customFormat="1" ht="18.75">
      <c r="B260" s="122" t="s">
        <v>432</v>
      </c>
      <c r="D260" s="121"/>
      <c r="E260" s="122"/>
      <c r="F260" s="122"/>
    </row>
    <row r="261" spans="1:8" s="30" customFormat="1" ht="15" customHeight="1">
      <c r="A261" s="30">
        <v>1</v>
      </c>
      <c r="B261" s="30" t="s">
        <v>433</v>
      </c>
      <c r="D261" s="121"/>
      <c r="E261" s="122"/>
      <c r="F261" s="122"/>
    </row>
    <row r="262" spans="1:8" s="30" customFormat="1" ht="15" customHeight="1">
      <c r="A262" s="30">
        <v>2</v>
      </c>
      <c r="B262" s="30" t="s">
        <v>434</v>
      </c>
      <c r="D262" s="121"/>
      <c r="E262" s="122"/>
      <c r="F262" s="122"/>
    </row>
    <row r="263" spans="1:8" s="30" customFormat="1" ht="15" customHeight="1">
      <c r="B263" s="115">
        <v>1</v>
      </c>
      <c r="C263" s="115" t="str">
        <f>VLOOKUP(B263,A261:B262,2,FALSE)</f>
        <v>Geen energiezuinige ventilatie</v>
      </c>
      <c r="D263" s="121"/>
      <c r="E263" s="122"/>
      <c r="F263" s="122"/>
    </row>
    <row r="264" spans="1:8" s="30" customFormat="1" ht="15" customHeight="1">
      <c r="B264" s="27" t="s">
        <v>435</v>
      </c>
      <c r="D264" s="121"/>
      <c r="E264" s="122"/>
      <c r="F264" s="122"/>
    </row>
    <row r="265" spans="1:8" s="30" customFormat="1" ht="15" customHeight="1">
      <c r="A265" s="30">
        <v>1</v>
      </c>
      <c r="B265" s="30" t="s">
        <v>48</v>
      </c>
      <c r="D265" s="121"/>
      <c r="E265" s="122"/>
      <c r="F265" s="122"/>
    </row>
    <row r="266" spans="1:8" s="30" customFormat="1" ht="15" customHeight="1">
      <c r="A266" s="30">
        <v>2</v>
      </c>
      <c r="B266" s="116">
        <v>2026</v>
      </c>
      <c r="D266" s="121"/>
      <c r="E266" s="122"/>
      <c r="F266" s="122"/>
    </row>
    <row r="267" spans="1:8" s="30" customFormat="1" ht="15" customHeight="1">
      <c r="B267" s="120">
        <v>1</v>
      </c>
      <c r="C267" s="119" t="str">
        <f>VLOOKUP(B267,A265:B266,2,FALSE)</f>
        <v>Niet van toepassing</v>
      </c>
      <c r="D267" s="121"/>
      <c r="E267" s="122"/>
      <c r="F267" s="122"/>
    </row>
    <row r="268" spans="1:8" s="30" customFormat="1" ht="15" customHeight="1">
      <c r="B268" s="187" t="s">
        <v>436</v>
      </c>
      <c r="C268" s="115" t="str">
        <f>Hulpblad!C263&amp;" "&amp;Hulpblad!C267&amp;""</f>
        <v>Geen energiezuinige ventilatie Niet van toepassing</v>
      </c>
      <c r="D268" s="121"/>
      <c r="E268" s="122"/>
      <c r="F268" s="122"/>
    </row>
    <row r="269" spans="1:8" s="30" customFormat="1" ht="15" customHeight="1">
      <c r="B269" s="187"/>
      <c r="C269" s="115"/>
      <c r="D269" s="121"/>
      <c r="E269" s="122"/>
      <c r="F269" s="122"/>
    </row>
    <row r="270" spans="1:8" s="30" customFormat="1" ht="15" customHeight="1">
      <c r="B270" s="187" t="s">
        <v>437</v>
      </c>
      <c r="C270" s="115"/>
      <c r="D270" s="121"/>
      <c r="E270" s="122"/>
      <c r="F270" s="122"/>
    </row>
    <row r="271" spans="1:8" s="30" customFormat="1" ht="15" customHeight="1">
      <c r="A271" s="30">
        <v>1</v>
      </c>
      <c r="B271" s="114" t="s">
        <v>438</v>
      </c>
      <c r="C271" s="119"/>
      <c r="D271" s="121"/>
      <c r="E271" s="122"/>
      <c r="F271" s="122"/>
    </row>
    <row r="272" spans="1:8" s="30" customFormat="1" ht="15" customHeight="1">
      <c r="A272" s="30">
        <v>2</v>
      </c>
      <c r="B272" s="114" t="s">
        <v>439</v>
      </c>
      <c r="C272" s="119"/>
      <c r="D272" s="121"/>
      <c r="E272" s="122"/>
      <c r="F272" s="122"/>
    </row>
    <row r="273" spans="1:6" s="30" customFormat="1" ht="15" customHeight="1">
      <c r="B273" s="120">
        <v>1</v>
      </c>
      <c r="C273" s="119" t="str">
        <f>VLOOKUP(B273,A271:B272,2,FALSE)</f>
        <v>Niet van toepassing of &gt; 24 maanden geleden</v>
      </c>
      <c r="D273" s="121"/>
      <c r="E273" s="122"/>
      <c r="F273" s="122"/>
    </row>
    <row r="274" spans="1:6" s="30" customFormat="1" ht="18.75">
      <c r="B274" s="27"/>
      <c r="D274" s="121"/>
      <c r="E274" s="122"/>
      <c r="F274" s="122"/>
    </row>
    <row r="275" spans="1:6" s="30" customFormat="1" ht="15" customHeight="1">
      <c r="B275" s="195" t="s">
        <v>646</v>
      </c>
      <c r="C275" s="119"/>
      <c r="D275" s="121"/>
      <c r="E275" s="122"/>
      <c r="F275" s="122"/>
    </row>
    <row r="276" spans="1:6" s="30" customFormat="1" ht="15" customHeight="1">
      <c r="A276" s="30">
        <v>1</v>
      </c>
      <c r="B276" s="114" t="s">
        <v>65</v>
      </c>
      <c r="C276" s="119"/>
      <c r="D276" s="121"/>
      <c r="E276" s="122"/>
      <c r="F276" s="122"/>
    </row>
    <row r="277" spans="1:6" s="30" customFormat="1" ht="15" customHeight="1">
      <c r="A277" s="30">
        <v>2</v>
      </c>
      <c r="B277" s="30" t="s">
        <v>647</v>
      </c>
      <c r="C277" s="119"/>
      <c r="D277" s="121"/>
      <c r="E277" s="122"/>
      <c r="F277" s="122"/>
    </row>
    <row r="278" spans="1:6" s="30" customFormat="1" ht="15" customHeight="1">
      <c r="A278" s="30">
        <v>3</v>
      </c>
      <c r="B278" s="30" t="s">
        <v>648</v>
      </c>
      <c r="C278" s="119"/>
      <c r="D278" s="121"/>
      <c r="E278" s="122"/>
      <c r="F278" s="122"/>
    </row>
    <row r="279" spans="1:6" s="30" customFormat="1" ht="15" customHeight="1">
      <c r="A279" s="30">
        <v>4</v>
      </c>
      <c r="B279" s="30" t="s">
        <v>649</v>
      </c>
      <c r="D279" s="121"/>
      <c r="E279" s="122"/>
      <c r="F279" s="122"/>
    </row>
    <row r="280" spans="1:6" s="30" customFormat="1" ht="15" customHeight="1">
      <c r="A280" s="30">
        <v>5</v>
      </c>
      <c r="B280" s="30" t="s">
        <v>648</v>
      </c>
      <c r="D280" s="121"/>
      <c r="E280" s="122"/>
      <c r="F280" s="122"/>
    </row>
    <row r="281" spans="1:6" s="30" customFormat="1" ht="15" customHeight="1">
      <c r="B281" s="115">
        <v>1</v>
      </c>
      <c r="C281" s="115" t="str">
        <f>VLOOKUP(B281,A276:B280,2,FALSE)</f>
        <v>Nee</v>
      </c>
      <c r="D281" s="121"/>
      <c r="E281" s="122"/>
      <c r="F281" s="122"/>
    </row>
    <row r="282" spans="1:6" s="30" customFormat="1">
      <c r="B282" s="27"/>
    </row>
    <row r="283" spans="1:6" s="30" customFormat="1" ht="18.75">
      <c r="B283" s="121" t="s">
        <v>450</v>
      </c>
      <c r="C283" s="29" t="s">
        <v>264</v>
      </c>
      <c r="D283" s="29" t="s">
        <v>262</v>
      </c>
      <c r="E283" s="29" t="s">
        <v>263</v>
      </c>
    </row>
    <row r="284" spans="1:6" s="30" customFormat="1">
      <c r="A284" s="30">
        <v>1</v>
      </c>
      <c r="B284" s="32" t="s">
        <v>29</v>
      </c>
      <c r="C284" s="30">
        <v>0</v>
      </c>
    </row>
    <row r="285" spans="1:6" s="30" customFormat="1">
      <c r="A285" s="30">
        <v>2</v>
      </c>
      <c r="B285" s="30" t="s">
        <v>12</v>
      </c>
      <c r="C285" s="30">
        <v>0</v>
      </c>
    </row>
    <row r="286" spans="1:6" s="30" customFormat="1">
      <c r="A286" s="30">
        <v>3</v>
      </c>
      <c r="B286" s="30" t="s">
        <v>576</v>
      </c>
      <c r="C286" s="30">
        <v>1</v>
      </c>
      <c r="D286" s="30">
        <v>1</v>
      </c>
      <c r="E286" s="30">
        <v>70</v>
      </c>
    </row>
    <row r="287" spans="1:6" s="30" customFormat="1">
      <c r="A287" s="30">
        <v>4</v>
      </c>
      <c r="B287" s="30" t="s">
        <v>577</v>
      </c>
      <c r="C287" s="30">
        <v>1</v>
      </c>
      <c r="D287" s="30">
        <v>71</v>
      </c>
      <c r="E287" s="30">
        <v>400</v>
      </c>
    </row>
    <row r="288" spans="1:6" s="30" customFormat="1">
      <c r="A288" s="30">
        <v>5</v>
      </c>
      <c r="B288" s="30" t="s">
        <v>13</v>
      </c>
      <c r="C288" s="30">
        <v>0</v>
      </c>
    </row>
    <row r="289" spans="1:5" s="30" customFormat="1">
      <c r="A289" s="30">
        <v>6</v>
      </c>
      <c r="B289" s="30" t="s">
        <v>14</v>
      </c>
      <c r="C289" s="30">
        <v>0</v>
      </c>
    </row>
    <row r="290" spans="1:5" s="30" customFormat="1">
      <c r="A290" s="30">
        <v>7</v>
      </c>
      <c r="B290" s="30" t="s">
        <v>578</v>
      </c>
      <c r="C290" s="30">
        <v>1</v>
      </c>
      <c r="D290" s="30">
        <v>10</v>
      </c>
      <c r="E290" s="30">
        <v>70</v>
      </c>
    </row>
    <row r="291" spans="1:5" s="30" customFormat="1">
      <c r="A291" s="30">
        <v>8</v>
      </c>
      <c r="B291" s="30" t="s">
        <v>579</v>
      </c>
      <c r="C291" s="30">
        <v>1</v>
      </c>
      <c r="D291" s="30">
        <v>71</v>
      </c>
      <c r="E291" s="30">
        <v>400</v>
      </c>
    </row>
    <row r="292" spans="1:5" s="30" customFormat="1">
      <c r="A292" s="30">
        <v>9</v>
      </c>
      <c r="B292" s="30" t="s">
        <v>15</v>
      </c>
      <c r="C292" s="30">
        <v>0</v>
      </c>
    </row>
    <row r="293" spans="1:5" s="30" customFormat="1">
      <c r="A293" s="30">
        <v>10</v>
      </c>
      <c r="B293" s="30" t="s">
        <v>16</v>
      </c>
      <c r="C293" s="30">
        <v>0</v>
      </c>
    </row>
    <row r="294" spans="1:5" s="30" customFormat="1">
      <c r="A294" s="30">
        <v>11</v>
      </c>
      <c r="B294" s="30" t="s">
        <v>580</v>
      </c>
      <c r="C294" s="30">
        <v>1</v>
      </c>
      <c r="D294" s="30">
        <v>10</v>
      </c>
      <c r="E294" s="30">
        <v>70</v>
      </c>
    </row>
    <row r="295" spans="1:5" s="30" customFormat="1">
      <c r="A295" s="30">
        <v>12</v>
      </c>
      <c r="B295" s="30" t="s">
        <v>581</v>
      </c>
      <c r="C295" s="30">
        <v>1</v>
      </c>
      <c r="D295" s="30">
        <v>71</v>
      </c>
      <c r="E295" s="30">
        <v>400</v>
      </c>
    </row>
    <row r="296" spans="1:5" s="30" customFormat="1">
      <c r="B296" s="115">
        <v>1</v>
      </c>
      <c r="C296" s="115" t="str">
        <f>VLOOKUP(B296,A284:B295,2,FALSE)</f>
        <v>Geen warmtepomp</v>
      </c>
    </row>
    <row r="297" spans="1:5" s="30" customFormat="1">
      <c r="B297" s="115"/>
    </row>
    <row r="298" spans="1:5" s="30" customFormat="1">
      <c r="B298" s="26" t="s">
        <v>50</v>
      </c>
      <c r="C298" s="27"/>
      <c r="D298" s="27"/>
      <c r="E298" s="27"/>
    </row>
    <row r="299" spans="1:5" s="30" customFormat="1">
      <c r="A299" s="30">
        <v>1</v>
      </c>
      <c r="B299" s="32" t="s">
        <v>48</v>
      </c>
      <c r="C299" s="27"/>
    </row>
    <row r="300" spans="1:5" s="30" customFormat="1">
      <c r="A300" s="30">
        <v>2</v>
      </c>
      <c r="B300" s="30" t="s">
        <v>100</v>
      </c>
    </row>
    <row r="301" spans="1:5" s="30" customFormat="1">
      <c r="A301" s="30">
        <v>3</v>
      </c>
      <c r="B301" s="30" t="s">
        <v>101</v>
      </c>
    </row>
    <row r="302" spans="1:5" s="30" customFormat="1">
      <c r="A302" s="30">
        <v>4</v>
      </c>
      <c r="B302" s="30" t="s">
        <v>102</v>
      </c>
    </row>
    <row r="303" spans="1:5" s="30" customFormat="1">
      <c r="A303" s="30">
        <v>5</v>
      </c>
      <c r="B303" s="30" t="str">
        <f>IF(OR($C$296="Geen warmtepomp",$C$296="Lucht-water ≥ 70 kW en ≤ 400 kW",$C$296="Grond-water ≥ 70 kW en ≤ 400 kW",$C$296="Water-water ≥ 70 kW en ≤ 400 kW" ),"Niet van toepassing","Energieklasse A t/m G")</f>
        <v>Niet van toepassing</v>
      </c>
    </row>
    <row r="304" spans="1:5" s="30" customFormat="1">
      <c r="B304" s="115">
        <v>1</v>
      </c>
      <c r="C304" s="115" t="str">
        <f>VLOOKUP(B304,A299:B303,2,FALSE)</f>
        <v>Niet van toepassing</v>
      </c>
      <c r="E304" s="115"/>
    </row>
    <row r="305" spans="1:4" s="30" customFormat="1">
      <c r="B305" s="115"/>
      <c r="C305" s="115"/>
      <c r="D305" s="115"/>
    </row>
    <row r="306" spans="1:4" s="30" customFormat="1">
      <c r="B306" s="26" t="s">
        <v>103</v>
      </c>
      <c r="C306" s="115"/>
      <c r="D306" s="115"/>
    </row>
    <row r="307" spans="1:4" s="30" customFormat="1">
      <c r="A307" s="30">
        <v>1</v>
      </c>
      <c r="B307" s="32" t="s">
        <v>48</v>
      </c>
      <c r="C307" s="115"/>
      <c r="D307" s="115"/>
    </row>
    <row r="308" spans="1:4" s="30" customFormat="1">
      <c r="A308" s="30">
        <v>2</v>
      </c>
      <c r="B308" s="32" t="s">
        <v>451</v>
      </c>
      <c r="C308" s="115"/>
      <c r="D308" s="115"/>
    </row>
    <row r="309" spans="1:4" s="30" customFormat="1">
      <c r="A309" s="30">
        <v>3</v>
      </c>
      <c r="B309" s="114">
        <v>2025</v>
      </c>
      <c r="C309" s="115"/>
      <c r="D309" s="115"/>
    </row>
    <row r="310" spans="1:4" s="30" customFormat="1">
      <c r="A310" s="30">
        <v>4</v>
      </c>
      <c r="B310" s="114">
        <v>2026</v>
      </c>
      <c r="C310" s="115"/>
      <c r="D310" s="115"/>
    </row>
    <row r="311" spans="1:4" s="30" customFormat="1">
      <c r="B311" s="115">
        <v>1</v>
      </c>
      <c r="C311" s="119" t="str">
        <f>VLOOKUP(B311,A307:B310,2,FALSE)</f>
        <v>Niet van toepassing</v>
      </c>
      <c r="D311" s="115"/>
    </row>
    <row r="312" spans="1:4" s="30" customFormat="1">
      <c r="B312" s="26" t="s">
        <v>214</v>
      </c>
      <c r="C312" s="119" t="str">
        <f>IF(AND(B311&gt;=3,B296=3,'Keuzeblad maatregelen'!C178&lt;13),'Keuzeblad maatregelen'!E164,
IF(AND(B311&gt;=3,B296=3,'Keuzeblad maatregelen'!C178&gt;=13),C311,
IF(AND(B311=4,B296=4),"Eerste warmtepomp","")))</f>
        <v/>
      </c>
      <c r="D312" s="115"/>
    </row>
    <row r="313" spans="1:4" s="30" customFormat="1">
      <c r="B313" s="26"/>
      <c r="C313" s="115"/>
      <c r="D313" s="115"/>
    </row>
    <row r="314" spans="1:4" s="30" customFormat="1">
      <c r="B314" s="115"/>
      <c r="C314" s="115"/>
      <c r="D314" s="115"/>
    </row>
    <row r="315" spans="1:4" s="30" customFormat="1">
      <c r="B315" s="26" t="s">
        <v>104</v>
      </c>
      <c r="C315" s="115" t="str">
        <f>Hulpblad!C296&amp;" "&amp;Hulpblad!C304&amp;" "&amp;Hulpblad!C311&amp;""&amp;C312&amp;""</f>
        <v>Geen warmtepomp Niet van toepassing Niet van toepassing</v>
      </c>
      <c r="D315" s="115"/>
    </row>
    <row r="316" spans="1:4" s="30" customFormat="1"/>
    <row r="317" spans="1:4" s="30" customFormat="1">
      <c r="B317" s="27" t="s">
        <v>35</v>
      </c>
    </row>
    <row r="318" spans="1:4" s="30" customFormat="1">
      <c r="B318" s="30" t="s">
        <v>51</v>
      </c>
      <c r="C318" s="115">
        <f>VLOOKUP(C296,B284:E295,3,FALSE)</f>
        <v>0</v>
      </c>
    </row>
    <row r="319" spans="1:4" s="30" customFormat="1">
      <c r="B319" s="30" t="s">
        <v>52</v>
      </c>
      <c r="C319" s="115">
        <f>VLOOKUP(C296,B284:E295,4,FALSE)</f>
        <v>0</v>
      </c>
    </row>
    <row r="320" spans="1:4" s="30" customFormat="1">
      <c r="C320" s="115"/>
    </row>
    <row r="321" spans="1:5" s="30" customFormat="1">
      <c r="B321" s="27" t="s">
        <v>582</v>
      </c>
      <c r="C321" s="115"/>
    </row>
    <row r="322" spans="1:5" s="30" customFormat="1">
      <c r="B322" s="30" t="s">
        <v>51</v>
      </c>
      <c r="C322" s="115">
        <v>2024</v>
      </c>
    </row>
    <row r="323" spans="1:5" s="30" customFormat="1">
      <c r="B323" s="30" t="s">
        <v>52</v>
      </c>
      <c r="C323" s="115">
        <f>IF(C311=2025,2025,2026)</f>
        <v>2026</v>
      </c>
    </row>
    <row r="324" spans="1:5" s="30" customFormat="1">
      <c r="C324" s="115"/>
    </row>
    <row r="325" spans="1:5" s="30" customFormat="1" ht="18.75">
      <c r="B325" s="121" t="s">
        <v>449</v>
      </c>
      <c r="C325" s="29" t="s">
        <v>264</v>
      </c>
      <c r="D325" s="29" t="s">
        <v>262</v>
      </c>
      <c r="E325" s="29" t="s">
        <v>263</v>
      </c>
    </row>
    <row r="326" spans="1:5" s="30" customFormat="1">
      <c r="A326" s="30">
        <v>1</v>
      </c>
      <c r="B326" s="32" t="s">
        <v>29</v>
      </c>
      <c r="C326" s="30">
        <v>0</v>
      </c>
    </row>
    <row r="327" spans="1:5" s="30" customFormat="1">
      <c r="A327" s="30">
        <v>2</v>
      </c>
      <c r="B327" s="30" t="s">
        <v>12</v>
      </c>
      <c r="C327" s="30">
        <v>0</v>
      </c>
    </row>
    <row r="328" spans="1:5" s="30" customFormat="1">
      <c r="A328" s="30">
        <v>3</v>
      </c>
      <c r="B328" s="30" t="s">
        <v>576</v>
      </c>
      <c r="C328" s="30">
        <v>1</v>
      </c>
      <c r="D328" s="30">
        <v>1</v>
      </c>
      <c r="E328" s="30">
        <v>70</v>
      </c>
    </row>
    <row r="329" spans="1:5" s="30" customFormat="1">
      <c r="A329" s="30">
        <v>4</v>
      </c>
      <c r="B329" s="30" t="s">
        <v>577</v>
      </c>
      <c r="C329" s="30">
        <v>1</v>
      </c>
      <c r="D329" s="30">
        <v>71</v>
      </c>
      <c r="E329" s="30">
        <v>400</v>
      </c>
    </row>
    <row r="330" spans="1:5" s="30" customFormat="1">
      <c r="A330" s="30">
        <v>5</v>
      </c>
      <c r="B330" s="30" t="s">
        <v>13</v>
      </c>
      <c r="C330" s="30">
        <v>0</v>
      </c>
    </row>
    <row r="331" spans="1:5" s="30" customFormat="1">
      <c r="A331" s="30">
        <v>6</v>
      </c>
      <c r="B331" s="30" t="s">
        <v>14</v>
      </c>
      <c r="C331" s="30">
        <v>0</v>
      </c>
    </row>
    <row r="332" spans="1:5" s="30" customFormat="1">
      <c r="A332" s="30">
        <v>7</v>
      </c>
      <c r="B332" s="30" t="s">
        <v>578</v>
      </c>
      <c r="C332" s="30">
        <v>1</v>
      </c>
      <c r="D332" s="30">
        <v>10</v>
      </c>
      <c r="E332" s="30">
        <v>70</v>
      </c>
    </row>
    <row r="333" spans="1:5" s="30" customFormat="1">
      <c r="A333" s="30">
        <v>8</v>
      </c>
      <c r="B333" s="30" t="s">
        <v>579</v>
      </c>
      <c r="C333" s="30">
        <v>1</v>
      </c>
      <c r="D333" s="30">
        <v>71</v>
      </c>
      <c r="E333" s="30">
        <v>400</v>
      </c>
    </row>
    <row r="334" spans="1:5" s="30" customFormat="1">
      <c r="A334" s="30">
        <v>9</v>
      </c>
      <c r="B334" s="30" t="s">
        <v>15</v>
      </c>
      <c r="C334" s="30">
        <v>0</v>
      </c>
    </row>
    <row r="335" spans="1:5" s="30" customFormat="1">
      <c r="A335" s="30">
        <v>10</v>
      </c>
      <c r="B335" s="30" t="s">
        <v>16</v>
      </c>
      <c r="C335" s="30">
        <v>0</v>
      </c>
    </row>
    <row r="336" spans="1:5" s="30" customFormat="1">
      <c r="A336" s="30">
        <v>11</v>
      </c>
      <c r="B336" s="30" t="s">
        <v>580</v>
      </c>
      <c r="C336" s="30">
        <v>1</v>
      </c>
      <c r="D336" s="30">
        <v>10</v>
      </c>
      <c r="E336" s="30">
        <v>70</v>
      </c>
    </row>
    <row r="337" spans="1:5" s="30" customFormat="1">
      <c r="A337" s="30">
        <v>12</v>
      </c>
      <c r="B337" s="30" t="s">
        <v>581</v>
      </c>
      <c r="C337" s="30">
        <v>1</v>
      </c>
      <c r="D337" s="30">
        <v>71</v>
      </c>
      <c r="E337" s="30">
        <v>400</v>
      </c>
    </row>
    <row r="338" spans="1:5" s="30" customFormat="1">
      <c r="B338" s="115">
        <v>1</v>
      </c>
      <c r="C338" s="115" t="str">
        <f>VLOOKUP(B338,A326:B337,2,FALSE)</f>
        <v>Geen warmtepomp</v>
      </c>
    </row>
    <row r="339" spans="1:5" s="30" customFormat="1">
      <c r="B339" s="115"/>
    </row>
    <row r="340" spans="1:5" s="30" customFormat="1">
      <c r="B340" s="26" t="s">
        <v>50</v>
      </c>
      <c r="C340" s="27"/>
      <c r="D340" s="27"/>
      <c r="E340" s="27"/>
    </row>
    <row r="341" spans="1:5" s="30" customFormat="1">
      <c r="A341" s="30">
        <v>1</v>
      </c>
      <c r="B341" s="32" t="s">
        <v>48</v>
      </c>
      <c r="C341" s="27"/>
    </row>
    <row r="342" spans="1:5" s="30" customFormat="1">
      <c r="A342" s="30">
        <v>2</v>
      </c>
      <c r="B342" s="30" t="s">
        <v>100</v>
      </c>
    </row>
    <row r="343" spans="1:5" s="30" customFormat="1">
      <c r="A343" s="30">
        <v>3</v>
      </c>
      <c r="B343" s="30" t="s">
        <v>101</v>
      </c>
    </row>
    <row r="344" spans="1:5" s="30" customFormat="1">
      <c r="A344" s="30">
        <v>4</v>
      </c>
      <c r="B344" s="30" t="s">
        <v>102</v>
      </c>
    </row>
    <row r="345" spans="1:5" s="30" customFormat="1">
      <c r="A345" s="30">
        <v>5</v>
      </c>
      <c r="B345" s="30" t="str">
        <f>IF(OR($C$296="Geen warmtepomp",$C$296="Lucht-water ≥ 70 kW en ≤ 400 kW",$C$296="Grond-water ≥ 70 kW en ≤ 400 kW",$C$296="Water-water ≥ 70 kW en ≤ 400 kW" ),"Niet van toepassing","Energieklasse A t/m G")</f>
        <v>Niet van toepassing</v>
      </c>
    </row>
    <row r="346" spans="1:5" s="30" customFormat="1">
      <c r="B346" s="115">
        <v>1</v>
      </c>
      <c r="C346" s="115" t="str">
        <f>VLOOKUP(B346,A341:B345,2,FALSE)</f>
        <v>Niet van toepassing</v>
      </c>
      <c r="E346" s="115"/>
    </row>
    <row r="347" spans="1:5" s="30" customFormat="1">
      <c r="B347" s="115"/>
      <c r="C347" s="115"/>
      <c r="D347" s="115"/>
    </row>
    <row r="348" spans="1:5" s="30" customFormat="1">
      <c r="B348" s="26" t="s">
        <v>103</v>
      </c>
      <c r="C348" s="115"/>
      <c r="D348" s="115"/>
    </row>
    <row r="349" spans="1:5" s="30" customFormat="1">
      <c r="A349" s="30">
        <v>1</v>
      </c>
      <c r="B349" s="32" t="s">
        <v>48</v>
      </c>
      <c r="C349" s="115"/>
      <c r="D349" s="115"/>
    </row>
    <row r="350" spans="1:5" s="30" customFormat="1">
      <c r="A350" s="30">
        <v>2</v>
      </c>
      <c r="B350" s="32" t="s">
        <v>451</v>
      </c>
      <c r="C350" s="115"/>
      <c r="D350" s="115"/>
    </row>
    <row r="351" spans="1:5" s="30" customFormat="1">
      <c r="A351" s="30">
        <v>3</v>
      </c>
      <c r="B351" s="114">
        <v>2025</v>
      </c>
      <c r="C351" s="115"/>
      <c r="D351" s="115"/>
    </row>
    <row r="352" spans="1:5" s="30" customFormat="1">
      <c r="A352" s="30">
        <v>4</v>
      </c>
      <c r="B352" s="114">
        <v>2026</v>
      </c>
      <c r="C352" s="115"/>
      <c r="D352" s="115"/>
    </row>
    <row r="353" spans="2:4" s="30" customFormat="1">
      <c r="B353" s="115">
        <v>1</v>
      </c>
      <c r="C353" s="119" t="str">
        <f>VLOOKUP(B353,A349:B352,2,FALSE)</f>
        <v>Niet van toepassing</v>
      </c>
      <c r="D353" s="115"/>
    </row>
    <row r="354" spans="2:4" s="30" customFormat="1">
      <c r="B354" s="26" t="s">
        <v>214</v>
      </c>
      <c r="C354" s="119" t="str">
        <f>IF(AND(B353=3,B338=3,'Keuzeblad maatregelen'!C209&lt;13),'Keuzeblad maatregelen'!E195,
IF(AND(B353=3,B338=3,'Keuzeblad maatregelen'!C209&gt;=13),2025,""))</f>
        <v/>
      </c>
      <c r="D354" s="115"/>
    </row>
    <row r="355" spans="2:4" s="30" customFormat="1">
      <c r="B355" s="26"/>
      <c r="C355" s="115"/>
      <c r="D355" s="115"/>
    </row>
    <row r="356" spans="2:4" s="30" customFormat="1">
      <c r="B356" s="115"/>
      <c r="C356" s="115"/>
      <c r="D356" s="115"/>
    </row>
    <row r="357" spans="2:4" s="30" customFormat="1">
      <c r="B357" s="26" t="s">
        <v>104</v>
      </c>
      <c r="C357" s="115" t="str">
        <f>Hulpblad!C338&amp;" "&amp;Hulpblad!C346&amp;" "&amp;Hulpblad!C353&amp;""&amp;C354&amp;""</f>
        <v>Geen warmtepomp Niet van toepassing Niet van toepassing</v>
      </c>
      <c r="D357" s="115"/>
    </row>
    <row r="358" spans="2:4" s="30" customFormat="1"/>
    <row r="359" spans="2:4" s="30" customFormat="1">
      <c r="B359" s="27" t="s">
        <v>35</v>
      </c>
    </row>
    <row r="360" spans="2:4" s="30" customFormat="1">
      <c r="B360" s="30" t="s">
        <v>51</v>
      </c>
      <c r="C360" s="115">
        <f>VLOOKUP(C338,B326:E337,3,FALSE)</f>
        <v>0</v>
      </c>
    </row>
    <row r="361" spans="2:4" s="30" customFormat="1">
      <c r="B361" s="30" t="s">
        <v>52</v>
      </c>
      <c r="C361" s="115">
        <f>VLOOKUP(C338,B326:E337,4,FALSE)</f>
        <v>0</v>
      </c>
    </row>
    <row r="362" spans="2:4" s="30" customFormat="1">
      <c r="C362" s="115"/>
    </row>
    <row r="363" spans="2:4" s="30" customFormat="1">
      <c r="B363" s="27" t="s">
        <v>582</v>
      </c>
      <c r="C363" s="115"/>
    </row>
    <row r="364" spans="2:4" s="30" customFormat="1">
      <c r="B364" s="30" t="s">
        <v>51</v>
      </c>
      <c r="C364" s="115">
        <v>2024</v>
      </c>
    </row>
    <row r="365" spans="2:4" s="30" customFormat="1">
      <c r="B365" s="30" t="s">
        <v>52</v>
      </c>
      <c r="C365" s="115">
        <f>IF(C353=2025,2025,2026)</f>
        <v>2026</v>
      </c>
    </row>
    <row r="366" spans="2:4" s="30" customFormat="1">
      <c r="C366" s="115"/>
    </row>
    <row r="367" spans="2:4" s="30" customFormat="1"/>
    <row r="368" spans="2:4" s="30" customFormat="1" ht="18.75">
      <c r="B368" s="122" t="s">
        <v>32</v>
      </c>
    </row>
    <row r="369" spans="1:4" s="30" customFormat="1">
      <c r="A369" s="30">
        <v>1</v>
      </c>
      <c r="B369" s="30" t="s">
        <v>33</v>
      </c>
    </row>
    <row r="370" spans="1:4" s="30" customFormat="1" ht="17.25">
      <c r="A370" s="30">
        <v>2</v>
      </c>
      <c r="B370" s="30" t="s">
        <v>18</v>
      </c>
    </row>
    <row r="371" spans="1:4" s="30" customFormat="1" ht="17.25">
      <c r="A371" s="30">
        <v>3</v>
      </c>
      <c r="B371" s="30" t="s">
        <v>19</v>
      </c>
    </row>
    <row r="372" spans="1:4" s="30" customFormat="1" ht="17.25">
      <c r="A372" s="30">
        <v>4</v>
      </c>
      <c r="B372" s="30" t="s">
        <v>20</v>
      </c>
    </row>
    <row r="373" spans="1:4" s="30" customFormat="1" ht="17.25">
      <c r="A373" s="30">
        <v>5</v>
      </c>
      <c r="B373" s="30" t="s">
        <v>21</v>
      </c>
    </row>
    <row r="374" spans="1:4" s="30" customFormat="1">
      <c r="B374" s="115">
        <v>1</v>
      </c>
      <c r="C374" s="115" t="str">
        <f>VLOOKUP(B374,A369:B373,2,FALSE)</f>
        <v>Geen zonneboiler</v>
      </c>
    </row>
    <row r="375" spans="1:4" s="30" customFormat="1">
      <c r="B375" s="115"/>
      <c r="C375" s="115"/>
    </row>
    <row r="376" spans="1:4" s="30" customFormat="1">
      <c r="B376" s="26" t="s">
        <v>110</v>
      </c>
      <c r="C376" s="115"/>
    </row>
    <row r="377" spans="1:4" s="30" customFormat="1">
      <c r="A377" s="30">
        <v>1</v>
      </c>
      <c r="B377" s="32" t="s">
        <v>48</v>
      </c>
      <c r="C377" s="115"/>
    </row>
    <row r="378" spans="1:4" s="30" customFormat="1">
      <c r="A378" s="30">
        <v>2</v>
      </c>
      <c r="B378" s="32" t="s">
        <v>426</v>
      </c>
      <c r="C378" s="115"/>
    </row>
    <row r="379" spans="1:4" s="30" customFormat="1">
      <c r="B379" s="115">
        <v>1</v>
      </c>
      <c r="C379" s="115" t="str">
        <f>VLOOKUP(B379,A377:B378,2,FALSE)</f>
        <v>Niet van toepassing</v>
      </c>
    </row>
    <row r="380" spans="1:4" s="30" customFormat="1">
      <c r="B380" s="115"/>
      <c r="C380" s="115"/>
    </row>
    <row r="381" spans="1:4" s="30" customFormat="1">
      <c r="B381" s="26" t="s">
        <v>111</v>
      </c>
      <c r="C381" s="115" t="str">
        <f>Hulpblad!C374&amp;" "&amp;Hulpblad!C379&amp;""</f>
        <v>Geen zonneboiler Niet van toepassing</v>
      </c>
    </row>
    <row r="382" spans="1:4" s="30" customFormat="1">
      <c r="B382" s="27"/>
    </row>
    <row r="383" spans="1:4" s="30" customFormat="1" ht="18.75">
      <c r="B383" s="122" t="s">
        <v>34</v>
      </c>
    </row>
    <row r="384" spans="1:4" s="30" customFormat="1">
      <c r="A384" s="30">
        <v>1</v>
      </c>
      <c r="B384" s="30" t="s">
        <v>107</v>
      </c>
      <c r="C384" s="30" t="s">
        <v>48</v>
      </c>
      <c r="D384" s="30" t="str">
        <f>""</f>
        <v/>
      </c>
    </row>
    <row r="385" spans="1:12" s="30" customFormat="1">
      <c r="A385" s="30">
        <v>2</v>
      </c>
      <c r="B385" s="30" t="s">
        <v>106</v>
      </c>
      <c r="C385" s="30" t="s">
        <v>48</v>
      </c>
      <c r="D385" s="30" t="str">
        <f>""</f>
        <v/>
      </c>
    </row>
    <row r="386" spans="1:12" s="30" customFormat="1">
      <c r="B386" s="115">
        <v>1</v>
      </c>
      <c r="C386" s="115" t="str">
        <f>VLOOKUP(B386,A384:B385,2,FALSE)</f>
        <v>Geen aansluiting op een warmtenet</v>
      </c>
    </row>
    <row r="387" spans="1:12" s="30" customFormat="1">
      <c r="B387" s="26" t="s">
        <v>109</v>
      </c>
      <c r="C387" s="115"/>
    </row>
    <row r="388" spans="1:12" s="30" customFormat="1">
      <c r="A388" s="30">
        <v>1</v>
      </c>
      <c r="B388" s="32" t="s">
        <v>48</v>
      </c>
      <c r="C388" s="115"/>
    </row>
    <row r="389" spans="1:12" s="30" customFormat="1">
      <c r="A389" s="30">
        <v>2</v>
      </c>
      <c r="B389" s="32" t="s">
        <v>426</v>
      </c>
      <c r="C389" s="115"/>
    </row>
    <row r="390" spans="1:12" s="30" customFormat="1">
      <c r="B390" s="115">
        <v>1</v>
      </c>
      <c r="C390" s="115" t="str">
        <f>VLOOKUP(B390,A388:B389,2,FALSE)</f>
        <v>Niet van toepassing</v>
      </c>
    </row>
    <row r="391" spans="1:12" s="30" customFormat="1">
      <c r="B391" s="32"/>
    </row>
    <row r="392" spans="1:12" s="30" customFormat="1">
      <c r="B392" s="26" t="s">
        <v>104</v>
      </c>
      <c r="C392" s="115" t="str">
        <f>Hulpblad!C386&amp;" "&amp;Hulpblad!C390&amp;""</f>
        <v>Geen aansluiting op een warmtenet Niet van toepassing</v>
      </c>
    </row>
    <row r="393" spans="1:12" s="30" customFormat="1">
      <c r="B393" s="32"/>
    </row>
    <row r="394" spans="1:12" s="30" customFormat="1" ht="18.75">
      <c r="B394" s="122" t="s">
        <v>74</v>
      </c>
    </row>
    <row r="395" spans="1:12" s="30" customFormat="1" ht="45.75" customHeight="1">
      <c r="B395" s="30" t="s">
        <v>79</v>
      </c>
      <c r="E395" s="30" t="s">
        <v>75</v>
      </c>
      <c r="H395" s="126" t="s">
        <v>72</v>
      </c>
      <c r="K395" s="126" t="s">
        <v>76</v>
      </c>
    </row>
    <row r="396" spans="1:12" s="30" customFormat="1">
      <c r="A396" s="30">
        <v>1</v>
      </c>
      <c r="B396" s="30" t="s">
        <v>65</v>
      </c>
      <c r="D396" s="30">
        <v>1</v>
      </c>
      <c r="E396" s="30" t="str">
        <f>IF(C398="Nee","Niet van toepassing","Nee")</f>
        <v>Niet van toepassing</v>
      </c>
      <c r="G396" s="30">
        <v>1</v>
      </c>
      <c r="H396" s="32" t="str">
        <f>IF(OR(C398="Nee",F398="Nee"),"Niet van toepassing","Nee")</f>
        <v>Niet van toepassing</v>
      </c>
      <c r="J396" s="30">
        <v>1</v>
      </c>
      <c r="K396" s="30" t="str">
        <f>IF(OR(C398="Nee",F398="Nee",I398="Ja"),"Niet van toepassing","Nee")</f>
        <v>Niet van toepassing</v>
      </c>
    </row>
    <row r="397" spans="1:12" s="30" customFormat="1">
      <c r="A397" s="30">
        <v>2</v>
      </c>
      <c r="B397" s="30" t="s">
        <v>64</v>
      </c>
      <c r="D397" s="30">
        <v>2</v>
      </c>
      <c r="E397" s="30" t="str">
        <f>IF(C398="Nee","","Ja")</f>
        <v/>
      </c>
      <c r="G397" s="30">
        <v>2</v>
      </c>
      <c r="H397" s="32" t="str">
        <f>IF(OR(C398="Nee",F398="Nee"),"","Ja")</f>
        <v/>
      </c>
      <c r="J397" s="30">
        <v>2</v>
      </c>
      <c r="K397" s="30" t="str">
        <f>IF(OR(C398="Nee",F398="Nee",I398="Ja"),"","Ja")</f>
        <v/>
      </c>
    </row>
    <row r="398" spans="1:12" s="30" customFormat="1">
      <c r="B398" s="115">
        <v>1</v>
      </c>
      <c r="C398" s="115" t="str">
        <f>VLOOKUP(B398,A396:B397,2,FALSE)</f>
        <v>Nee</v>
      </c>
      <c r="E398" s="115">
        <v>1</v>
      </c>
      <c r="F398" s="115" t="str">
        <f>VLOOKUP(E398,D396:E397,2,FALSE)</f>
        <v>Niet van toepassing</v>
      </c>
      <c r="H398" s="115">
        <v>1</v>
      </c>
      <c r="I398" s="115" t="str">
        <f>VLOOKUP(H398,G396:H397,2,FALSE)</f>
        <v>Niet van toepassing</v>
      </c>
      <c r="K398" s="115">
        <v>1</v>
      </c>
      <c r="L398" s="115" t="str">
        <f>VLOOKUP(K398,J396:K397,2,FALSE)</f>
        <v>Niet van toepassing</v>
      </c>
    </row>
    <row r="399" spans="1:12" s="30" customFormat="1">
      <c r="B399" s="115"/>
      <c r="C399" s="115"/>
    </row>
    <row r="400" spans="1:12" s="30" customFormat="1">
      <c r="B400" s="115"/>
      <c r="C400" s="115"/>
    </row>
    <row r="401" spans="1:9" s="192" customFormat="1">
      <c r="C401" s="193"/>
    </row>
    <row r="402" spans="1:9" s="192" customFormat="1">
      <c r="C402" s="193"/>
    </row>
    <row r="403" spans="1:9" s="30" customFormat="1">
      <c r="B403" s="115"/>
      <c r="C403" s="115"/>
    </row>
    <row r="404" spans="1:9" s="30" customFormat="1" ht="18.75">
      <c r="A404" s="122" t="s">
        <v>53</v>
      </c>
      <c r="B404" s="115"/>
      <c r="C404" s="115"/>
    </row>
    <row r="405" spans="1:9" s="30" customFormat="1" ht="18.75">
      <c r="A405" s="122"/>
      <c r="B405" s="115"/>
      <c r="C405" s="115"/>
    </row>
    <row r="406" spans="1:9" s="30" customFormat="1" ht="18.75">
      <c r="A406" s="122"/>
      <c r="B406" s="26" t="s">
        <v>270</v>
      </c>
      <c r="C406" s="115"/>
    </row>
    <row r="407" spans="1:9" s="30" customFormat="1" ht="18.75">
      <c r="A407" s="122"/>
      <c r="B407" s="115"/>
      <c r="C407" s="115"/>
    </row>
    <row r="408" spans="1:9" s="30" customFormat="1" ht="15" customHeight="1">
      <c r="B408" s="27" t="s">
        <v>275</v>
      </c>
      <c r="C408" s="27" t="s">
        <v>232</v>
      </c>
      <c r="D408" s="113" t="s">
        <v>272</v>
      </c>
      <c r="E408" s="138" t="s">
        <v>25</v>
      </c>
      <c r="F408" s="138" t="s">
        <v>26</v>
      </c>
      <c r="G408" s="135"/>
      <c r="H408" s="29" t="s">
        <v>230</v>
      </c>
      <c r="I408" s="29" t="s">
        <v>231</v>
      </c>
    </row>
    <row r="409" spans="1:9" s="30" customFormat="1" ht="15" customHeight="1">
      <c r="B409" s="30" t="s">
        <v>28</v>
      </c>
      <c r="C409" s="30" t="s">
        <v>280</v>
      </c>
      <c r="D409" s="32">
        <v>0</v>
      </c>
      <c r="H409" s="30">
        <v>0</v>
      </c>
      <c r="I409" s="30">
        <v>0</v>
      </c>
    </row>
    <row r="410" spans="1:9" s="30" customFormat="1" ht="15" customHeight="1">
      <c r="B410" s="30" t="s">
        <v>28</v>
      </c>
      <c r="C410" s="30" t="s">
        <v>279</v>
      </c>
      <c r="D410" s="32">
        <v>0</v>
      </c>
      <c r="H410" s="30">
        <v>0</v>
      </c>
      <c r="I410" s="30">
        <v>0</v>
      </c>
    </row>
    <row r="411" spans="1:9" s="30" customFormat="1" ht="15" customHeight="1">
      <c r="B411" s="30" t="s">
        <v>28</v>
      </c>
      <c r="C411" s="30" t="s">
        <v>359</v>
      </c>
      <c r="D411" s="32">
        <v>0</v>
      </c>
      <c r="H411" s="30">
        <v>0</v>
      </c>
      <c r="I411" s="30">
        <v>0</v>
      </c>
    </row>
    <row r="412" spans="1:9" s="30" customFormat="1" ht="15" customHeight="1">
      <c r="B412" s="30" t="s">
        <v>28</v>
      </c>
      <c r="C412" s="30" t="s">
        <v>360</v>
      </c>
      <c r="D412" s="32">
        <v>0</v>
      </c>
      <c r="H412" s="30">
        <v>0</v>
      </c>
      <c r="I412" s="30">
        <v>0</v>
      </c>
    </row>
    <row r="413" spans="1:9" s="30" customFormat="1" ht="15" customHeight="1">
      <c r="B413" s="30" t="s">
        <v>28</v>
      </c>
      <c r="C413" s="30" t="s">
        <v>595</v>
      </c>
      <c r="D413" s="32">
        <v>0</v>
      </c>
      <c r="H413" s="30">
        <v>0</v>
      </c>
      <c r="I413" s="30">
        <v>0</v>
      </c>
    </row>
    <row r="414" spans="1:9" s="30" customFormat="1" ht="15" customHeight="1">
      <c r="B414" s="30" t="s">
        <v>28</v>
      </c>
      <c r="C414" s="30" t="s">
        <v>289</v>
      </c>
      <c r="D414" s="32">
        <v>0</v>
      </c>
      <c r="H414" s="30">
        <v>0</v>
      </c>
      <c r="I414" s="30">
        <v>0</v>
      </c>
    </row>
    <row r="415" spans="1:9" s="30" customFormat="1" ht="15" customHeight="1">
      <c r="B415" s="30" t="s">
        <v>28</v>
      </c>
      <c r="C415" s="30" t="s">
        <v>288</v>
      </c>
      <c r="D415" s="32">
        <v>0</v>
      </c>
      <c r="H415" s="30">
        <v>0</v>
      </c>
      <c r="I415" s="30">
        <v>0</v>
      </c>
    </row>
    <row r="416" spans="1:9" s="30" customFormat="1" ht="15" customHeight="1">
      <c r="B416" s="30" t="s">
        <v>28</v>
      </c>
      <c r="C416" s="30" t="s">
        <v>353</v>
      </c>
      <c r="D416" s="32">
        <v>0</v>
      </c>
      <c r="H416" s="30">
        <v>0</v>
      </c>
      <c r="I416" s="30">
        <v>0</v>
      </c>
    </row>
    <row r="417" spans="2:9" s="30" customFormat="1" ht="15" customHeight="1">
      <c r="B417" s="30" t="s">
        <v>28</v>
      </c>
      <c r="C417" s="30" t="s">
        <v>354</v>
      </c>
      <c r="D417" s="32">
        <v>0</v>
      </c>
      <c r="H417" s="30">
        <v>0</v>
      </c>
      <c r="I417" s="30">
        <v>0</v>
      </c>
    </row>
    <row r="418" spans="2:9" s="30" customFormat="1" ht="15" customHeight="1">
      <c r="B418" s="30" t="s">
        <v>28</v>
      </c>
      <c r="C418" s="30" t="s">
        <v>308</v>
      </c>
      <c r="D418" s="32">
        <v>0</v>
      </c>
      <c r="H418" s="30">
        <v>0</v>
      </c>
      <c r="I418" s="30">
        <v>0</v>
      </c>
    </row>
    <row r="419" spans="2:9" s="30" customFormat="1" ht="15" customHeight="1">
      <c r="B419" s="30" t="s">
        <v>28</v>
      </c>
      <c r="C419" s="30" t="s">
        <v>307</v>
      </c>
      <c r="D419" s="32">
        <v>0</v>
      </c>
      <c r="H419" s="30">
        <v>0</v>
      </c>
      <c r="I419" s="30">
        <v>0</v>
      </c>
    </row>
    <row r="420" spans="2:9" s="30" customFormat="1">
      <c r="B420" s="30" t="s">
        <v>28</v>
      </c>
      <c r="C420" s="30" t="s">
        <v>355</v>
      </c>
      <c r="D420" s="32">
        <v>0</v>
      </c>
      <c r="H420" s="30">
        <v>0</v>
      </c>
      <c r="I420" s="30">
        <v>0</v>
      </c>
    </row>
    <row r="421" spans="2:9" s="30" customFormat="1">
      <c r="D421" s="32"/>
    </row>
    <row r="422" spans="2:9" s="30" customFormat="1" ht="15" customHeight="1">
      <c r="B422" s="30" t="s">
        <v>28</v>
      </c>
      <c r="C422" s="30" t="s">
        <v>282</v>
      </c>
      <c r="D422" s="32">
        <v>0</v>
      </c>
      <c r="H422" s="30">
        <v>0</v>
      </c>
      <c r="I422" s="30">
        <v>0</v>
      </c>
    </row>
    <row r="423" spans="2:9" s="30" customFormat="1" ht="15" customHeight="1">
      <c r="B423" s="30" t="s">
        <v>28</v>
      </c>
      <c r="C423" s="30" t="s">
        <v>281</v>
      </c>
      <c r="D423" s="32">
        <v>0</v>
      </c>
      <c r="H423" s="30">
        <v>0</v>
      </c>
      <c r="I423" s="30">
        <v>0</v>
      </c>
    </row>
    <row r="424" spans="2:9" s="30" customFormat="1" ht="15" customHeight="1">
      <c r="B424" s="30" t="s">
        <v>28</v>
      </c>
      <c r="C424" s="30" t="s">
        <v>363</v>
      </c>
      <c r="D424" s="32">
        <v>0</v>
      </c>
      <c r="H424" s="30">
        <v>0</v>
      </c>
      <c r="I424" s="30">
        <v>0</v>
      </c>
    </row>
    <row r="425" spans="2:9" s="30" customFormat="1" ht="15" customHeight="1">
      <c r="B425" s="30" t="s">
        <v>28</v>
      </c>
      <c r="C425" s="30" t="s">
        <v>361</v>
      </c>
      <c r="D425" s="32">
        <v>0</v>
      </c>
      <c r="H425" s="30">
        <v>0</v>
      </c>
      <c r="I425" s="30">
        <v>0</v>
      </c>
    </row>
    <row r="426" spans="2:9" s="30" customFormat="1" ht="15" customHeight="1">
      <c r="B426" s="30" t="s">
        <v>28</v>
      </c>
      <c r="C426" s="30" t="s">
        <v>596</v>
      </c>
      <c r="D426" s="32">
        <v>0</v>
      </c>
      <c r="H426" s="30">
        <v>0</v>
      </c>
      <c r="I426" s="30">
        <v>0</v>
      </c>
    </row>
    <row r="427" spans="2:9" s="30" customFormat="1" ht="15" customHeight="1">
      <c r="B427" s="30" t="s">
        <v>28</v>
      </c>
      <c r="C427" s="30" t="s">
        <v>291</v>
      </c>
      <c r="D427" s="32">
        <v>0</v>
      </c>
      <c r="H427" s="30">
        <v>0</v>
      </c>
      <c r="I427" s="30">
        <v>0</v>
      </c>
    </row>
    <row r="428" spans="2:9" s="30" customFormat="1" ht="15" customHeight="1">
      <c r="B428" s="30" t="s">
        <v>28</v>
      </c>
      <c r="C428" s="30" t="s">
        <v>290</v>
      </c>
      <c r="D428" s="32">
        <v>0</v>
      </c>
      <c r="H428" s="30">
        <v>0</v>
      </c>
      <c r="I428" s="30">
        <v>0</v>
      </c>
    </row>
    <row r="429" spans="2:9" s="30" customFormat="1" ht="15" customHeight="1">
      <c r="B429" s="30" t="s">
        <v>28</v>
      </c>
      <c r="C429" s="30" t="s">
        <v>356</v>
      </c>
      <c r="D429" s="32">
        <v>0</v>
      </c>
      <c r="H429" s="30">
        <v>0</v>
      </c>
      <c r="I429" s="30">
        <v>0</v>
      </c>
    </row>
    <row r="430" spans="2:9" s="30" customFormat="1" ht="15" customHeight="1">
      <c r="B430" s="30" t="s">
        <v>28</v>
      </c>
      <c r="C430" s="30" t="s">
        <v>357</v>
      </c>
      <c r="D430" s="32">
        <v>0</v>
      </c>
      <c r="H430" s="30">
        <v>0</v>
      </c>
      <c r="I430" s="30">
        <v>0</v>
      </c>
    </row>
    <row r="431" spans="2:9" s="30" customFormat="1" ht="15" customHeight="1">
      <c r="B431" s="30" t="s">
        <v>28</v>
      </c>
      <c r="C431" s="30" t="s">
        <v>310</v>
      </c>
      <c r="D431" s="32">
        <v>0</v>
      </c>
      <c r="H431" s="30">
        <v>0</v>
      </c>
      <c r="I431" s="30">
        <v>0</v>
      </c>
    </row>
    <row r="432" spans="2:9" s="30" customFormat="1" ht="15" customHeight="1">
      <c r="B432" s="30" t="s">
        <v>28</v>
      </c>
      <c r="C432" s="30" t="s">
        <v>309</v>
      </c>
      <c r="D432" s="32">
        <v>0</v>
      </c>
      <c r="H432" s="30">
        <v>0</v>
      </c>
      <c r="I432" s="30">
        <v>0</v>
      </c>
    </row>
    <row r="433" spans="2:9" s="30" customFormat="1">
      <c r="B433" s="30" t="s">
        <v>28</v>
      </c>
      <c r="C433" s="30" t="s">
        <v>358</v>
      </c>
      <c r="D433" s="32">
        <v>0</v>
      </c>
      <c r="H433" s="30">
        <v>0</v>
      </c>
      <c r="I433" s="30">
        <v>0</v>
      </c>
    </row>
    <row r="434" spans="2:9" s="30" customFormat="1" ht="15" customHeight="1">
      <c r="D434" s="32"/>
    </row>
    <row r="435" spans="2:9" s="30" customFormat="1" ht="15" customHeight="1">
      <c r="B435" s="27" t="s">
        <v>598</v>
      </c>
      <c r="C435" s="27" t="s">
        <v>599</v>
      </c>
      <c r="D435" s="113" t="s">
        <v>600</v>
      </c>
      <c r="H435" s="29" t="s">
        <v>230</v>
      </c>
      <c r="I435" s="29" t="s">
        <v>231</v>
      </c>
    </row>
    <row r="436" spans="2:9" s="30" customFormat="1" ht="15" customHeight="1">
      <c r="B436" s="30" t="s">
        <v>28</v>
      </c>
      <c r="C436" s="30" t="s">
        <v>601</v>
      </c>
      <c r="D436" s="32">
        <v>0</v>
      </c>
      <c r="E436" s="31"/>
      <c r="H436" s="30">
        <v>0</v>
      </c>
      <c r="I436" s="30">
        <v>0</v>
      </c>
    </row>
    <row r="437" spans="2:9" s="30" customFormat="1" ht="15" customHeight="1">
      <c r="B437" s="30" t="s">
        <v>28</v>
      </c>
      <c r="C437" s="30" t="s">
        <v>602</v>
      </c>
      <c r="D437" s="32">
        <v>0</v>
      </c>
      <c r="H437" s="30">
        <v>0</v>
      </c>
      <c r="I437" s="30">
        <v>0</v>
      </c>
    </row>
    <row r="438" spans="2:9" s="30" customFormat="1" ht="15" customHeight="1">
      <c r="B438" s="30" t="s">
        <v>28</v>
      </c>
      <c r="C438" s="30" t="s">
        <v>603</v>
      </c>
      <c r="D438" s="32">
        <v>0</v>
      </c>
      <c r="H438" s="30">
        <v>0</v>
      </c>
      <c r="I438" s="30">
        <v>0</v>
      </c>
    </row>
    <row r="439" spans="2:9" s="30" customFormat="1" ht="15" customHeight="1">
      <c r="B439" s="30" t="s">
        <v>28</v>
      </c>
      <c r="C439" s="30" t="s">
        <v>604</v>
      </c>
      <c r="D439" s="32">
        <v>0</v>
      </c>
      <c r="H439" s="30">
        <v>0</v>
      </c>
      <c r="I439" s="30">
        <v>0</v>
      </c>
    </row>
    <row r="440" spans="2:9" s="30" customFormat="1" ht="15" customHeight="1">
      <c r="B440" s="30" t="s">
        <v>28</v>
      </c>
      <c r="C440" s="30" t="s">
        <v>605</v>
      </c>
      <c r="D440" s="32">
        <v>0</v>
      </c>
      <c r="E440" s="31"/>
      <c r="H440" s="30">
        <v>0</v>
      </c>
      <c r="I440" s="30">
        <v>0</v>
      </c>
    </row>
    <row r="441" spans="2:9" s="30" customFormat="1" ht="15" customHeight="1">
      <c r="B441" s="30" t="s">
        <v>28</v>
      </c>
      <c r="C441" s="30" t="s">
        <v>606</v>
      </c>
      <c r="D441" s="32">
        <v>0</v>
      </c>
    </row>
    <row r="442" spans="2:9" s="30" customFormat="1" ht="15" customHeight="1">
      <c r="B442" s="30" t="s">
        <v>28</v>
      </c>
      <c r="C442" s="30" t="s">
        <v>607</v>
      </c>
      <c r="D442" s="32">
        <v>0</v>
      </c>
      <c r="H442" s="30">
        <v>0</v>
      </c>
      <c r="I442" s="30">
        <v>0</v>
      </c>
    </row>
    <row r="443" spans="2:9" s="30" customFormat="1" ht="15" customHeight="1">
      <c r="D443" s="32"/>
    </row>
    <row r="444" spans="2:9" s="30" customFormat="1" ht="15" customHeight="1">
      <c r="B444" s="30" t="s">
        <v>28</v>
      </c>
      <c r="C444" s="30" t="s">
        <v>597</v>
      </c>
      <c r="D444" s="32">
        <v>65.5</v>
      </c>
      <c r="E444" s="31" t="s">
        <v>362</v>
      </c>
      <c r="F444" s="30">
        <v>45</v>
      </c>
      <c r="H444" s="118">
        <f>IF(AND($C$248=1,$B$91=1),0,
IF(AND($C$248=1,$B$91&gt;1),1,
IF($C$248&gt;1,2,0)))</f>
        <v>0</v>
      </c>
      <c r="I444" s="118">
        <f>D444*H444</f>
        <v>0</v>
      </c>
    </row>
    <row r="445" spans="2:9" s="30" customFormat="1" ht="15" customHeight="1">
      <c r="B445" s="30" t="s">
        <v>28</v>
      </c>
      <c r="C445" s="30" t="s">
        <v>608</v>
      </c>
      <c r="D445" s="32">
        <v>42.5</v>
      </c>
      <c r="E445" s="30">
        <v>3</v>
      </c>
      <c r="F445" s="30">
        <v>45</v>
      </c>
      <c r="H445" s="118">
        <f>IF(AND($C$248=1,$B$103=1),0,
IF(AND($C$248=1,$B$103&gt;1),1,
IF($C$248&gt;1,2,0)))</f>
        <v>0</v>
      </c>
      <c r="I445" s="118">
        <f>D445*H445</f>
        <v>0</v>
      </c>
    </row>
    <row r="446" spans="2:9" s="30" customFormat="1" ht="15" customHeight="1">
      <c r="B446" s="30" t="s">
        <v>28</v>
      </c>
      <c r="C446" s="30" t="s">
        <v>609</v>
      </c>
      <c r="D446" s="32">
        <v>42.5</v>
      </c>
      <c r="E446" s="30">
        <v>3</v>
      </c>
      <c r="F446" s="30">
        <v>45</v>
      </c>
      <c r="H446" s="118">
        <f>IF(AND($C$248=1,$B$115=1),0,
IF(AND($C$248=1,$B$115&gt;1),1,
IF($C$248&gt;1,2,0)))</f>
        <v>0</v>
      </c>
      <c r="I446" s="118">
        <f t="shared" ref="I446:I450" si="0">D446*H446</f>
        <v>0</v>
      </c>
    </row>
    <row r="447" spans="2:9" s="30" customFormat="1" ht="15" customHeight="1">
      <c r="B447" s="30" t="s">
        <v>28</v>
      </c>
      <c r="C447" s="30" t="s">
        <v>610</v>
      </c>
      <c r="D447" s="32">
        <v>23</v>
      </c>
      <c r="E447" s="30">
        <v>3</v>
      </c>
      <c r="F447" s="30">
        <v>45</v>
      </c>
      <c r="H447" s="118">
        <f>IF(AND($C$248=1,$B$127=1),0,
IF(AND($C$248=1,$B$127&gt;1),1,
IF($C$248&gt;1,2,0)))</f>
        <v>0</v>
      </c>
      <c r="I447" s="118">
        <f t="shared" si="0"/>
        <v>0</v>
      </c>
    </row>
    <row r="448" spans="2:9" s="30" customFormat="1" ht="15" customHeight="1">
      <c r="B448" s="30" t="s">
        <v>28</v>
      </c>
      <c r="C448" s="30" t="s">
        <v>611</v>
      </c>
      <c r="D448" s="32">
        <v>65.5</v>
      </c>
      <c r="E448" s="31" t="s">
        <v>362</v>
      </c>
      <c r="F448" s="30">
        <v>45</v>
      </c>
      <c r="H448" s="118">
        <f>IF(AND($C$248=1,$B$189=1),0,
IF(AND($C$248=1,$B$189&gt;1),1,
IF($C$248&gt;1,2,0)))</f>
        <v>0</v>
      </c>
      <c r="I448" s="118">
        <f t="shared" si="0"/>
        <v>0</v>
      </c>
    </row>
    <row r="449" spans="2:9" s="30" customFormat="1">
      <c r="B449" s="30" t="s">
        <v>28</v>
      </c>
      <c r="C449" s="30" t="s">
        <v>612</v>
      </c>
      <c r="D449" s="30">
        <v>42.5</v>
      </c>
      <c r="E449" s="30">
        <v>3</v>
      </c>
      <c r="F449" s="30">
        <v>45</v>
      </c>
      <c r="H449" s="118">
        <f>IF(AND($C$248=1,$B$201=1),0,
IF(AND($C$248=1,$B$201&gt;1),1,
IF($C$248&gt;1,2,0)))</f>
        <v>0</v>
      </c>
      <c r="I449" s="118">
        <f>D449*H449</f>
        <v>0</v>
      </c>
    </row>
    <row r="450" spans="2:9" s="30" customFormat="1" ht="15" customHeight="1">
      <c r="B450" s="30" t="s">
        <v>28</v>
      </c>
      <c r="C450" s="30" t="s">
        <v>613</v>
      </c>
      <c r="D450" s="32">
        <v>23</v>
      </c>
      <c r="E450" s="30">
        <v>3</v>
      </c>
      <c r="F450" s="30">
        <v>45</v>
      </c>
      <c r="H450" s="118">
        <f>IF(AND($C$248=1,$B$213=1),0,
IF(AND($C$248=1,$B$213&gt;1),1,
IF($C$248&gt;1,2,0)))</f>
        <v>0</v>
      </c>
      <c r="I450" s="118">
        <f t="shared" si="0"/>
        <v>0</v>
      </c>
    </row>
    <row r="451" spans="2:9" s="30" customFormat="1" ht="15" customHeight="1">
      <c r="D451" s="32"/>
    </row>
    <row r="452" spans="2:9" s="30" customFormat="1" ht="15" customHeight="1">
      <c r="B452" s="27" t="s">
        <v>614</v>
      </c>
      <c r="C452" s="27" t="s">
        <v>413</v>
      </c>
      <c r="D452" s="28" t="s">
        <v>615</v>
      </c>
      <c r="H452" s="29" t="s">
        <v>230</v>
      </c>
      <c r="I452" s="29" t="s">
        <v>231</v>
      </c>
    </row>
    <row r="453" spans="2:9" s="30" customFormat="1" ht="15" customHeight="1">
      <c r="B453" s="30" t="s">
        <v>28</v>
      </c>
      <c r="C453" s="30" t="s">
        <v>616</v>
      </c>
      <c r="D453" s="32">
        <v>0</v>
      </c>
      <c r="E453" s="31"/>
      <c r="H453" s="30">
        <v>0</v>
      </c>
      <c r="I453" s="30">
        <v>0</v>
      </c>
    </row>
    <row r="454" spans="2:9" s="30" customFormat="1" ht="15" customHeight="1">
      <c r="B454" s="30" t="s">
        <v>28</v>
      </c>
      <c r="C454" s="30" t="s">
        <v>617</v>
      </c>
      <c r="D454" s="32">
        <v>0</v>
      </c>
    </row>
    <row r="455" spans="2:9" s="30" customFormat="1" ht="15" customHeight="1">
      <c r="B455" s="30" t="s">
        <v>28</v>
      </c>
      <c r="C455" s="30" t="s">
        <v>621</v>
      </c>
      <c r="D455" s="30">
        <v>0</v>
      </c>
      <c r="H455" s="30">
        <v>0</v>
      </c>
      <c r="I455" s="30">
        <v>0</v>
      </c>
    </row>
    <row r="456" spans="2:9" s="30" customFormat="1" ht="15" customHeight="1">
      <c r="B456" s="30" t="s">
        <v>28</v>
      </c>
      <c r="C456" s="30" t="s">
        <v>622</v>
      </c>
      <c r="D456" s="30">
        <v>0</v>
      </c>
      <c r="H456" s="30">
        <v>0</v>
      </c>
      <c r="I456" s="30">
        <v>0</v>
      </c>
    </row>
    <row r="457" spans="2:9" s="30" customFormat="1" ht="15" customHeight="1"/>
    <row r="458" spans="2:9" s="30" customFormat="1" ht="15" customHeight="1">
      <c r="B458" s="30" t="s">
        <v>28</v>
      </c>
      <c r="C458" s="30" t="s">
        <v>618</v>
      </c>
      <c r="D458" s="32">
        <v>45</v>
      </c>
      <c r="E458" s="31" t="s">
        <v>362</v>
      </c>
      <c r="F458" s="30">
        <v>45</v>
      </c>
      <c r="H458" s="118">
        <f>IF(AND($C$248=1,$B$149=1),0,
IF(AND($C$248=1,$B$149&gt;1),1,
IF($C$248&gt;1,2,0)))</f>
        <v>0</v>
      </c>
      <c r="I458" s="118">
        <f>D458*H458</f>
        <v>0</v>
      </c>
    </row>
    <row r="459" spans="2:9" s="30" customFormat="1">
      <c r="B459" s="30" t="s">
        <v>28</v>
      </c>
      <c r="C459" s="30" t="s">
        <v>623</v>
      </c>
      <c r="D459" s="30">
        <v>20</v>
      </c>
      <c r="E459" s="30">
        <v>3</v>
      </c>
      <c r="F459" s="30">
        <v>45</v>
      </c>
      <c r="H459" s="118">
        <f>IF(AND($C$248=1,$B$159=1),0,
IF(AND($C$248=1,$B$159&gt;1),1,
IF($C$248&gt;1,2,0)))</f>
        <v>0</v>
      </c>
      <c r="I459" s="118">
        <f>D459*H459</f>
        <v>0</v>
      </c>
    </row>
    <row r="460" spans="2:9" s="30" customFormat="1" ht="15" customHeight="1">
      <c r="B460" s="30" t="s">
        <v>28</v>
      </c>
      <c r="C460" s="30" t="s">
        <v>619</v>
      </c>
      <c r="D460" s="30">
        <v>20</v>
      </c>
      <c r="E460" s="30">
        <v>3</v>
      </c>
      <c r="F460" s="30">
        <v>45</v>
      </c>
      <c r="H460" s="118">
        <f>IF(AND($C$248=1,$B$169=1),0,
IF(AND($C$248=1,$B$169&gt;1),1,
IF($C$248&gt;1,2,0)))</f>
        <v>0</v>
      </c>
      <c r="I460" s="118">
        <f>D460*H460</f>
        <v>0</v>
      </c>
    </row>
    <row r="461" spans="2:9" s="30" customFormat="1" ht="15" customHeight="1">
      <c r="B461" s="30" t="s">
        <v>28</v>
      </c>
      <c r="C461" s="30" t="s">
        <v>620</v>
      </c>
      <c r="D461" s="30">
        <v>10</v>
      </c>
      <c r="E461" s="30">
        <v>3</v>
      </c>
      <c r="F461" s="30">
        <v>45</v>
      </c>
      <c r="H461" s="118">
        <f>IF(AND($C$248=1,$B$179=1),0,
IF(AND($C$248=1,$B$179&gt;1),1,
IF($C$248&gt;1,2,0)))</f>
        <v>0</v>
      </c>
      <c r="I461" s="118">
        <f>D461*H461</f>
        <v>0</v>
      </c>
    </row>
    <row r="462" spans="2:9" s="30" customFormat="1" ht="15" customHeight="1">
      <c r="D462" s="32"/>
    </row>
    <row r="463" spans="2:9" s="30" customFormat="1" ht="15" customHeight="1">
      <c r="B463" s="27" t="s">
        <v>624</v>
      </c>
      <c r="C463" s="27" t="s">
        <v>405</v>
      </c>
      <c r="D463" s="34" t="s">
        <v>625</v>
      </c>
      <c r="H463" s="29" t="s">
        <v>230</v>
      </c>
      <c r="I463" s="29" t="s">
        <v>231</v>
      </c>
    </row>
    <row r="464" spans="2:9" s="30" customFormat="1" ht="15" customHeight="1">
      <c r="B464" s="30" t="s">
        <v>28</v>
      </c>
      <c r="C464" s="30" t="s">
        <v>626</v>
      </c>
      <c r="D464" s="30">
        <v>0</v>
      </c>
      <c r="H464" s="30">
        <v>0</v>
      </c>
      <c r="I464" s="30">
        <v>0</v>
      </c>
    </row>
    <row r="465" spans="2:9" s="30" customFormat="1" ht="15" customHeight="1">
      <c r="B465" s="30" t="s">
        <v>28</v>
      </c>
      <c r="C465" s="30" t="s">
        <v>627</v>
      </c>
      <c r="D465" s="30">
        <v>0</v>
      </c>
      <c r="H465" s="30">
        <v>0</v>
      </c>
      <c r="I465" s="30">
        <v>0</v>
      </c>
    </row>
    <row r="466" spans="2:9" s="30" customFormat="1" ht="15" customHeight="1">
      <c r="B466" s="30" t="s">
        <v>28</v>
      </c>
      <c r="C466" s="30" t="s">
        <v>628</v>
      </c>
      <c r="D466" s="30">
        <v>0</v>
      </c>
      <c r="H466" s="30">
        <v>0</v>
      </c>
      <c r="I466" s="30">
        <v>0</v>
      </c>
    </row>
    <row r="467" spans="2:9" s="30" customFormat="1" ht="15" customHeight="1">
      <c r="B467" s="30" t="s">
        <v>28</v>
      </c>
      <c r="C467" s="30" t="s">
        <v>629</v>
      </c>
      <c r="D467" s="30">
        <v>0</v>
      </c>
      <c r="H467" s="30">
        <v>0</v>
      </c>
      <c r="I467" s="30">
        <v>0</v>
      </c>
    </row>
    <row r="468" spans="2:9" s="30" customFormat="1" ht="15" customHeight="1">
      <c r="B468" s="30" t="s">
        <v>28</v>
      </c>
      <c r="C468" s="30" t="s">
        <v>637</v>
      </c>
      <c r="D468" s="30">
        <v>0</v>
      </c>
      <c r="H468" s="30">
        <v>0</v>
      </c>
      <c r="I468" s="30">
        <v>0</v>
      </c>
    </row>
    <row r="469" spans="2:9" s="30" customFormat="1" ht="15" customHeight="1">
      <c r="B469" s="30" t="s">
        <v>28</v>
      </c>
      <c r="C469" s="30" t="s">
        <v>638</v>
      </c>
      <c r="D469" s="30">
        <v>0</v>
      </c>
      <c r="E469" s="32"/>
      <c r="H469" s="30">
        <v>0</v>
      </c>
      <c r="I469" s="30">
        <v>0</v>
      </c>
    </row>
    <row r="470" spans="2:9" s="30" customFormat="1" ht="15" customHeight="1">
      <c r="B470" s="30" t="s">
        <v>28</v>
      </c>
      <c r="C470" s="30" t="s">
        <v>639</v>
      </c>
      <c r="D470" s="30">
        <v>0</v>
      </c>
    </row>
    <row r="471" spans="2:9" s="30" customFormat="1" ht="15" customHeight="1">
      <c r="B471" s="27"/>
      <c r="C471" s="27"/>
      <c r="D471" s="34"/>
      <c r="H471" s="29"/>
      <c r="I471" s="29"/>
    </row>
    <row r="472" spans="2:9" s="30" customFormat="1" ht="15" customHeight="1">
      <c r="B472" s="30" t="s">
        <v>28</v>
      </c>
      <c r="C472" s="30" t="s">
        <v>630</v>
      </c>
      <c r="D472" s="30">
        <v>111</v>
      </c>
      <c r="E472" s="30">
        <v>3</v>
      </c>
      <c r="F472" s="30">
        <v>45</v>
      </c>
      <c r="H472" s="118">
        <f>IF(AND($C$248=1,$B$91=1),0,
IF(AND($C$248=1,$B$91&gt;1),1,
IF($C$248&gt;1,2,0)))</f>
        <v>0</v>
      </c>
      <c r="I472" s="118">
        <f>D472*H472</f>
        <v>0</v>
      </c>
    </row>
    <row r="473" spans="2:9" s="30" customFormat="1" ht="15" customHeight="1">
      <c r="B473" s="30" t="s">
        <v>28</v>
      </c>
      <c r="C473" s="30" t="s">
        <v>631</v>
      </c>
      <c r="D473" s="30">
        <v>46</v>
      </c>
      <c r="E473" s="30">
        <v>3</v>
      </c>
      <c r="F473" s="30">
        <v>45</v>
      </c>
      <c r="H473" s="118">
        <f>IF(AND($C$248=1,$B$103=1),0,
IF(AND($C$248=1,$B$103&gt;1),1,
IF($C$248&gt;1,2,0)))</f>
        <v>0</v>
      </c>
      <c r="I473" s="118">
        <f t="shared" ref="I473:I478" si="1">D473*H473</f>
        <v>0</v>
      </c>
    </row>
    <row r="474" spans="2:9" s="30" customFormat="1" ht="15" customHeight="1">
      <c r="B474" s="30" t="s">
        <v>28</v>
      </c>
      <c r="C474" s="30" t="s">
        <v>632</v>
      </c>
      <c r="D474" s="30">
        <v>46</v>
      </c>
      <c r="E474" s="30">
        <v>3</v>
      </c>
      <c r="F474" s="30">
        <v>45</v>
      </c>
      <c r="H474" s="118">
        <f>IF(AND($C$248=1,$B$115=1),0,
IF(AND($C$248=1,$B$115&gt;1),1,
IF($C$248&gt;1,2,0)))</f>
        <v>0</v>
      </c>
      <c r="I474" s="118">
        <f t="shared" si="1"/>
        <v>0</v>
      </c>
    </row>
    <row r="475" spans="2:9" s="30" customFormat="1" ht="15" customHeight="1">
      <c r="B475" s="30" t="s">
        <v>28</v>
      </c>
      <c r="C475" s="30" t="s">
        <v>633</v>
      </c>
      <c r="D475" s="30">
        <v>25</v>
      </c>
      <c r="E475" s="30">
        <v>3</v>
      </c>
      <c r="F475" s="30">
        <v>45</v>
      </c>
      <c r="H475" s="118">
        <f>IF(AND($C$248=1,$B$127=1),0,
IF(AND($C$248=1,$B$127&gt;1),1,
IF($C$248&gt;1,2,0)))</f>
        <v>0</v>
      </c>
      <c r="I475" s="118">
        <f t="shared" si="1"/>
        <v>0</v>
      </c>
    </row>
    <row r="476" spans="2:9" s="30" customFormat="1" ht="15" customHeight="1">
      <c r="B476" s="30" t="s">
        <v>28</v>
      </c>
      <c r="C476" s="30" t="s">
        <v>640</v>
      </c>
      <c r="D476" s="30">
        <v>111</v>
      </c>
      <c r="E476" s="30">
        <v>3</v>
      </c>
      <c r="F476" s="30">
        <v>45</v>
      </c>
      <c r="H476" s="118">
        <f>IF(AND($C$248=1,$B$189=1),0,
IF(AND($C$248=1,$B$189&gt;1),1,
IF($C$248&gt;1,2,0)))</f>
        <v>0</v>
      </c>
      <c r="I476" s="118">
        <f t="shared" si="1"/>
        <v>0</v>
      </c>
    </row>
    <row r="477" spans="2:9" s="30" customFormat="1" ht="15" customHeight="1">
      <c r="B477" s="30" t="s">
        <v>28</v>
      </c>
      <c r="C477" s="30" t="s">
        <v>641</v>
      </c>
      <c r="D477" s="30">
        <v>46</v>
      </c>
      <c r="E477" s="32">
        <v>3</v>
      </c>
      <c r="F477" s="30">
        <v>45</v>
      </c>
      <c r="H477" s="118">
        <f>IF(AND($C$248=1,$B$201=1),0,
IF(AND($C$248=1,$B$201&gt;1),1,
IF($C$248&gt;1,2,0)))</f>
        <v>0</v>
      </c>
      <c r="I477" s="118">
        <f t="shared" si="1"/>
        <v>0</v>
      </c>
    </row>
    <row r="478" spans="2:9" s="30" customFormat="1" ht="15" customHeight="1">
      <c r="B478" s="30" t="s">
        <v>28</v>
      </c>
      <c r="C478" s="30" t="s">
        <v>642</v>
      </c>
      <c r="D478" s="32">
        <v>25</v>
      </c>
      <c r="E478" s="32">
        <v>3</v>
      </c>
      <c r="F478" s="30">
        <v>45</v>
      </c>
      <c r="H478" s="118">
        <f>IF(AND($C$248=1,$B$213=1),0,
IF(AND($C$248=1,$B$213&gt;1),1,
IF($C$248&gt;1,2,0)))</f>
        <v>0</v>
      </c>
      <c r="I478" s="118">
        <f t="shared" si="1"/>
        <v>0</v>
      </c>
    </row>
    <row r="479" spans="2:9" s="30" customFormat="1" ht="15" customHeight="1">
      <c r="D479" s="32"/>
      <c r="E479" s="32"/>
      <c r="H479" s="118"/>
      <c r="I479" s="118"/>
    </row>
    <row r="480" spans="2:9" s="30" customFormat="1" ht="15" customHeight="1">
      <c r="B480" s="27" t="s">
        <v>634</v>
      </c>
      <c r="C480" s="27" t="s">
        <v>441</v>
      </c>
      <c r="D480" s="34" t="s">
        <v>273</v>
      </c>
      <c r="H480" s="29" t="s">
        <v>230</v>
      </c>
      <c r="I480" s="29" t="s">
        <v>231</v>
      </c>
    </row>
    <row r="481" spans="2:9" s="30" customFormat="1" ht="15" customHeight="1">
      <c r="B481" s="30" t="s">
        <v>28</v>
      </c>
      <c r="C481" s="30" t="s">
        <v>635</v>
      </c>
      <c r="D481" s="32">
        <v>0</v>
      </c>
      <c r="H481" s="30">
        <v>0</v>
      </c>
      <c r="I481" s="32">
        <v>0</v>
      </c>
    </row>
    <row r="482" spans="2:9" s="30" customFormat="1" ht="15" customHeight="1">
      <c r="B482" s="27"/>
      <c r="C482" s="27"/>
      <c r="D482" s="34"/>
      <c r="H482" s="29"/>
      <c r="I482" s="29"/>
    </row>
    <row r="483" spans="2:9" s="30" customFormat="1" ht="15" customHeight="1">
      <c r="B483" s="30" t="s">
        <v>28</v>
      </c>
      <c r="C483" s="30" t="s">
        <v>636</v>
      </c>
      <c r="D483" s="32">
        <v>25</v>
      </c>
      <c r="H483" s="118">
        <f>IF(AND($C$248=1,$B$139=1),0,
IF(AND($C$248=1,$B$139&gt;1),1,
IF($C$248&gt;1,2,0)))</f>
        <v>0</v>
      </c>
      <c r="I483" s="118">
        <f t="shared" ref="I483" si="2">D483*H483</f>
        <v>0</v>
      </c>
    </row>
    <row r="484" spans="2:9" s="30" customFormat="1" ht="15" customHeight="1">
      <c r="D484" s="32"/>
      <c r="E484" s="32"/>
    </row>
    <row r="485" spans="2:9" s="30" customFormat="1" ht="15" customHeight="1">
      <c r="B485" s="27" t="s">
        <v>245</v>
      </c>
      <c r="C485" s="27" t="s">
        <v>232</v>
      </c>
      <c r="D485" s="174" t="s">
        <v>271</v>
      </c>
      <c r="E485" s="34" t="s">
        <v>206</v>
      </c>
      <c r="F485" s="31" t="s">
        <v>208</v>
      </c>
      <c r="G485" s="113" t="s">
        <v>207</v>
      </c>
      <c r="H485" s="29" t="s">
        <v>230</v>
      </c>
      <c r="I485" s="29" t="s">
        <v>231</v>
      </c>
    </row>
    <row r="486" spans="2:9" s="30" customFormat="1" ht="15" customHeight="1">
      <c r="B486" s="30" t="s">
        <v>4</v>
      </c>
      <c r="C486" s="30" t="s">
        <v>237</v>
      </c>
      <c r="D486" s="32">
        <v>0</v>
      </c>
      <c r="G486" s="30">
        <v>0</v>
      </c>
      <c r="H486" s="30">
        <v>0</v>
      </c>
      <c r="I486" s="30">
        <v>0</v>
      </c>
    </row>
    <row r="487" spans="2:9" s="30" customFormat="1" ht="15" customHeight="1">
      <c r="B487" s="30" t="s">
        <v>4</v>
      </c>
      <c r="C487" s="30" t="s">
        <v>238</v>
      </c>
      <c r="D487" s="32">
        <v>0</v>
      </c>
      <c r="G487" s="30">
        <v>0</v>
      </c>
      <c r="H487" s="30">
        <v>0</v>
      </c>
      <c r="I487" s="30">
        <v>0</v>
      </c>
    </row>
    <row r="488" spans="2:9" s="30" customFormat="1" ht="15" customHeight="1">
      <c r="B488" s="30" t="s">
        <v>5</v>
      </c>
      <c r="C488" s="30" t="s">
        <v>239</v>
      </c>
      <c r="D488" s="32">
        <v>0</v>
      </c>
      <c r="G488" s="30">
        <v>0</v>
      </c>
      <c r="H488" s="30">
        <v>0</v>
      </c>
      <c r="I488" s="30">
        <v>0</v>
      </c>
    </row>
    <row r="489" spans="2:9" s="30" customFormat="1" ht="15" customHeight="1">
      <c r="B489" s="30" t="s">
        <v>6</v>
      </c>
      <c r="C489" s="30" t="s">
        <v>240</v>
      </c>
      <c r="D489" s="32">
        <v>0</v>
      </c>
      <c r="G489" s="30">
        <v>0</v>
      </c>
      <c r="H489" s="30">
        <v>0</v>
      </c>
      <c r="I489" s="30">
        <v>0</v>
      </c>
    </row>
    <row r="490" spans="2:9" s="30" customFormat="1" ht="15" customHeight="1">
      <c r="B490" s="30" t="s">
        <v>8</v>
      </c>
      <c r="C490" s="30" t="s">
        <v>241</v>
      </c>
      <c r="D490" s="32">
        <v>0</v>
      </c>
      <c r="G490" s="30">
        <v>0</v>
      </c>
      <c r="H490" s="30">
        <v>0</v>
      </c>
      <c r="I490" s="30">
        <v>0</v>
      </c>
    </row>
    <row r="491" spans="2:9" s="30" customFormat="1" ht="15" customHeight="1">
      <c r="B491" s="30" t="s">
        <v>8</v>
      </c>
      <c r="C491" s="30" t="s">
        <v>236</v>
      </c>
      <c r="D491" s="32">
        <v>0</v>
      </c>
      <c r="G491" s="30">
        <v>0</v>
      </c>
      <c r="H491" s="30">
        <v>0</v>
      </c>
      <c r="I491" s="30">
        <v>0</v>
      </c>
    </row>
    <row r="492" spans="2:9" s="30" customFormat="1" ht="15" customHeight="1">
      <c r="D492" s="32"/>
    </row>
    <row r="493" spans="2:9" s="30" customFormat="1" ht="15" customHeight="1">
      <c r="B493" s="30" t="s">
        <v>4</v>
      </c>
      <c r="C493" s="30" t="s">
        <v>393</v>
      </c>
      <c r="D493" s="32">
        <v>0</v>
      </c>
      <c r="E493" s="30">
        <v>20</v>
      </c>
      <c r="F493" s="30">
        <v>200</v>
      </c>
      <c r="G493" s="30">
        <v>0</v>
      </c>
      <c r="H493" s="30">
        <v>0</v>
      </c>
      <c r="I493" s="118">
        <v>0</v>
      </c>
    </row>
    <row r="494" spans="2:9" s="30" customFormat="1" ht="15" customHeight="1">
      <c r="B494" s="30" t="s">
        <v>4</v>
      </c>
      <c r="C494" s="30" t="s">
        <v>394</v>
      </c>
      <c r="D494" s="32">
        <v>0</v>
      </c>
      <c r="E494" s="32">
        <v>20</v>
      </c>
      <c r="F494" s="30">
        <v>130</v>
      </c>
      <c r="G494" s="30">
        <v>0</v>
      </c>
      <c r="H494" s="30">
        <v>0</v>
      </c>
      <c r="I494" s="118">
        <v>0</v>
      </c>
    </row>
    <row r="495" spans="2:9" s="30" customFormat="1" ht="15" customHeight="1">
      <c r="B495" s="30" t="s">
        <v>5</v>
      </c>
      <c r="C495" s="30" t="s">
        <v>395</v>
      </c>
      <c r="D495" s="32">
        <v>0</v>
      </c>
      <c r="E495" s="32">
        <v>10</v>
      </c>
      <c r="F495" s="30">
        <v>170</v>
      </c>
      <c r="G495" s="30">
        <v>0</v>
      </c>
      <c r="H495" s="30">
        <v>0</v>
      </c>
      <c r="I495" s="118">
        <v>0</v>
      </c>
    </row>
    <row r="496" spans="2:9" s="30" customFormat="1" ht="15" customHeight="1">
      <c r="B496" s="30" t="s">
        <v>6</v>
      </c>
      <c r="C496" s="30" t="s">
        <v>233</v>
      </c>
      <c r="D496" s="32">
        <v>0</v>
      </c>
      <c r="E496" s="32">
        <v>10</v>
      </c>
      <c r="F496" s="30">
        <v>170</v>
      </c>
      <c r="G496" s="30">
        <v>0</v>
      </c>
      <c r="H496" s="30">
        <v>0</v>
      </c>
      <c r="I496" s="118">
        <v>0</v>
      </c>
    </row>
    <row r="497" spans="2:9" s="30" customFormat="1" ht="15" customHeight="1">
      <c r="B497" s="30" t="s">
        <v>8</v>
      </c>
      <c r="C497" s="30" t="s">
        <v>234</v>
      </c>
      <c r="D497" s="32">
        <v>0</v>
      </c>
      <c r="E497" s="32">
        <v>20</v>
      </c>
      <c r="F497" s="30">
        <v>130</v>
      </c>
      <c r="G497" s="30">
        <v>0</v>
      </c>
      <c r="H497" s="30">
        <v>0</v>
      </c>
      <c r="I497" s="118">
        <v>0</v>
      </c>
    </row>
    <row r="498" spans="2:9" s="30" customFormat="1" ht="15" customHeight="1">
      <c r="B498" s="30" t="s">
        <v>8</v>
      </c>
      <c r="C498" s="30" t="s">
        <v>235</v>
      </c>
      <c r="D498" s="32">
        <v>0</v>
      </c>
      <c r="E498" s="32">
        <v>20</v>
      </c>
      <c r="F498" s="30">
        <v>130</v>
      </c>
      <c r="G498" s="30">
        <v>0</v>
      </c>
      <c r="H498" s="30">
        <v>0</v>
      </c>
      <c r="I498" s="118">
        <v>0</v>
      </c>
    </row>
    <row r="499" spans="2:9" s="30" customFormat="1" ht="15" customHeight="1">
      <c r="D499" s="32"/>
      <c r="E499" s="32"/>
    </row>
    <row r="500" spans="2:9" s="30" customFormat="1" ht="15" customHeight="1">
      <c r="B500" s="27" t="s">
        <v>401</v>
      </c>
      <c r="C500" s="27" t="s">
        <v>397</v>
      </c>
      <c r="D500" s="174" t="s">
        <v>209</v>
      </c>
      <c r="E500" s="34" t="s">
        <v>206</v>
      </c>
      <c r="F500" s="31" t="s">
        <v>208</v>
      </c>
      <c r="G500" s="175" t="s">
        <v>207</v>
      </c>
      <c r="H500" s="31" t="s">
        <v>230</v>
      </c>
      <c r="I500" s="31" t="s">
        <v>231</v>
      </c>
    </row>
    <row r="501" spans="2:9" s="30" customFormat="1" ht="15" customHeight="1">
      <c r="B501" s="30" t="s">
        <v>4</v>
      </c>
      <c r="C501" s="30" t="s">
        <v>396</v>
      </c>
      <c r="D501" s="117">
        <v>0</v>
      </c>
      <c r="E501" s="34"/>
      <c r="F501" s="31"/>
      <c r="G501" s="175">
        <v>0</v>
      </c>
      <c r="H501" s="30">
        <v>0</v>
      </c>
      <c r="I501" s="115">
        <f t="shared" ref="I501:I503" si="3">D501*H501</f>
        <v>0</v>
      </c>
    </row>
    <row r="502" spans="2:9" s="30" customFormat="1" ht="15" customHeight="1">
      <c r="B502" s="30" t="s">
        <v>5</v>
      </c>
      <c r="C502" s="30" t="s">
        <v>398</v>
      </c>
      <c r="D502" s="32">
        <v>0</v>
      </c>
      <c r="G502" s="30">
        <v>0</v>
      </c>
      <c r="H502" s="30">
        <v>0</v>
      </c>
      <c r="I502" s="115">
        <f t="shared" si="3"/>
        <v>0</v>
      </c>
    </row>
    <row r="503" spans="2:9" s="30" customFormat="1" ht="15" customHeight="1">
      <c r="B503" s="30" t="s">
        <v>6</v>
      </c>
      <c r="C503" s="30" t="s">
        <v>399</v>
      </c>
      <c r="D503" s="32">
        <v>0</v>
      </c>
      <c r="G503" s="30">
        <v>0</v>
      </c>
      <c r="H503" s="30">
        <v>0</v>
      </c>
      <c r="I503" s="115">
        <f t="shared" si="3"/>
        <v>0</v>
      </c>
    </row>
    <row r="504" spans="2:9" s="30" customFormat="1" ht="15" customHeight="1">
      <c r="D504" s="117"/>
      <c r="E504" s="34"/>
      <c r="F504" s="31"/>
      <c r="G504" s="113"/>
      <c r="I504" s="115"/>
    </row>
    <row r="505" spans="2:9" s="30" customFormat="1" ht="15" customHeight="1">
      <c r="B505" s="30" t="s">
        <v>4</v>
      </c>
      <c r="C505" s="30" t="s">
        <v>402</v>
      </c>
      <c r="D505" s="117">
        <v>15</v>
      </c>
      <c r="E505" s="34">
        <v>20</v>
      </c>
      <c r="F505" s="31">
        <v>200</v>
      </c>
      <c r="G505" s="113">
        <v>5</v>
      </c>
      <c r="H505" s="115">
        <f>IF(AND($C$248=1,$B$21=1),0,
IF(AND($C$248=1,$B$21&gt;1),1,
IF($C$248&gt;1,2,0)))</f>
        <v>0</v>
      </c>
      <c r="I505" s="115">
        <f t="shared" ref="I505:I526" si="4">D505*H505</f>
        <v>0</v>
      </c>
    </row>
    <row r="506" spans="2:9" s="30" customFormat="1" ht="15" customHeight="1">
      <c r="B506" s="30" t="s">
        <v>5</v>
      </c>
      <c r="C506" s="30" t="s">
        <v>403</v>
      </c>
      <c r="D506" s="32">
        <v>19</v>
      </c>
      <c r="E506" s="30">
        <v>10</v>
      </c>
      <c r="F506" s="30">
        <v>170</v>
      </c>
      <c r="G506" s="30">
        <v>6</v>
      </c>
      <c r="H506" s="115">
        <f>IF(AND($C$248=1,$B$42=1),0,
IF(AND($C$248=1,$B$42&gt;1),1,
IF($C$248&gt;1,2,0)))</f>
        <v>0</v>
      </c>
      <c r="I506" s="115">
        <f t="shared" si="4"/>
        <v>0</v>
      </c>
    </row>
    <row r="507" spans="2:9" s="30" customFormat="1" ht="15" customHeight="1">
      <c r="B507" s="30" t="s">
        <v>6</v>
      </c>
      <c r="C507" s="30" t="s">
        <v>400</v>
      </c>
      <c r="D507" s="32">
        <v>4</v>
      </c>
      <c r="E507" s="30">
        <v>10</v>
      </c>
      <c r="F507" s="30">
        <v>170</v>
      </c>
      <c r="G507" s="30">
        <v>1.5</v>
      </c>
      <c r="H507" s="115">
        <f>IF(AND($C$248=1,$B$53=1),0,
IF(AND($C$248=1,$B$53&gt;1),1,
IF($C$248&gt;1,2,0)))</f>
        <v>0</v>
      </c>
      <c r="I507" s="115">
        <f t="shared" si="4"/>
        <v>0</v>
      </c>
    </row>
    <row r="508" spans="2:9" s="30" customFormat="1" ht="15" customHeight="1">
      <c r="D508" s="32"/>
      <c r="E508" s="32"/>
      <c r="I508" s="115"/>
    </row>
    <row r="509" spans="2:9" s="30" customFormat="1" ht="15" customHeight="1">
      <c r="B509" s="27" t="s">
        <v>404</v>
      </c>
      <c r="C509" s="27" t="s">
        <v>405</v>
      </c>
      <c r="D509" s="174" t="s">
        <v>210</v>
      </c>
      <c r="E509" s="34" t="s">
        <v>206</v>
      </c>
      <c r="F509" s="31" t="s">
        <v>208</v>
      </c>
      <c r="G509" s="175" t="s">
        <v>207</v>
      </c>
      <c r="H509" s="31" t="s">
        <v>230</v>
      </c>
      <c r="I509" s="31" t="s">
        <v>231</v>
      </c>
    </row>
    <row r="510" spans="2:9" s="30" customFormat="1" ht="15" customHeight="1">
      <c r="B510" s="30" t="s">
        <v>4</v>
      </c>
      <c r="C510" s="30" t="s">
        <v>406</v>
      </c>
      <c r="D510" s="117">
        <v>0</v>
      </c>
      <c r="E510" s="34"/>
      <c r="F510" s="31"/>
      <c r="G510" s="113">
        <v>0</v>
      </c>
      <c r="H510" s="32">
        <v>0</v>
      </c>
      <c r="I510" s="115">
        <f t="shared" ref="I510:I522" si="5">D510*H510</f>
        <v>0</v>
      </c>
    </row>
    <row r="511" spans="2:9" s="30" customFormat="1" ht="15" customHeight="1">
      <c r="B511" s="30" t="s">
        <v>5</v>
      </c>
      <c r="C511" s="30" t="s">
        <v>407</v>
      </c>
      <c r="D511" s="32">
        <v>0</v>
      </c>
      <c r="G511" s="30">
        <v>0</v>
      </c>
      <c r="H511" s="32">
        <v>0</v>
      </c>
      <c r="I511" s="115">
        <f t="shared" si="5"/>
        <v>0</v>
      </c>
    </row>
    <row r="512" spans="2:9" s="30" customFormat="1" ht="15" customHeight="1">
      <c r="B512" s="30" t="s">
        <v>6</v>
      </c>
      <c r="C512" s="30" t="s">
        <v>408</v>
      </c>
      <c r="D512" s="32">
        <v>0</v>
      </c>
      <c r="G512" s="30">
        <v>0</v>
      </c>
      <c r="H512" s="32">
        <v>0</v>
      </c>
      <c r="I512" s="115">
        <f t="shared" si="5"/>
        <v>0</v>
      </c>
    </row>
    <row r="513" spans="2:9" s="30" customFormat="1" ht="15" customHeight="1">
      <c r="D513" s="32"/>
      <c r="H513" s="32"/>
      <c r="I513" s="115"/>
    </row>
    <row r="514" spans="2:9" s="30" customFormat="1" ht="15" customHeight="1">
      <c r="B514" s="30" t="s">
        <v>4</v>
      </c>
      <c r="C514" s="30" t="s">
        <v>409</v>
      </c>
      <c r="D514" s="117">
        <v>16.25</v>
      </c>
      <c r="E514" s="34">
        <v>20</v>
      </c>
      <c r="F514" s="31">
        <v>200</v>
      </c>
      <c r="G514" s="113">
        <v>5</v>
      </c>
      <c r="H514" s="115">
        <f>IF(AND($C$248=1,$B$21=1),0,
IF(AND($C$248=1,$B$21&gt;1),1,
IF($C$248&gt;1,2,0)))</f>
        <v>0</v>
      </c>
      <c r="I514" s="115">
        <f>D514*H514</f>
        <v>0</v>
      </c>
    </row>
    <row r="515" spans="2:9" s="30" customFormat="1" ht="15" customHeight="1">
      <c r="B515" s="30" t="s">
        <v>5</v>
      </c>
      <c r="C515" s="30" t="s">
        <v>410</v>
      </c>
      <c r="D515" s="32">
        <v>20.25</v>
      </c>
      <c r="E515" s="30">
        <v>10</v>
      </c>
      <c r="F515" s="30">
        <v>170</v>
      </c>
      <c r="G515" s="30">
        <v>6</v>
      </c>
      <c r="H515" s="115">
        <f>IF(AND($C$248=1,$B$42=1),0,
IF(AND($C$248=1,$B$42&gt;1),1,
IF($C$248&gt;1,2,0)))</f>
        <v>0</v>
      </c>
      <c r="I515" s="115">
        <f>D515*H515</f>
        <v>0</v>
      </c>
    </row>
    <row r="516" spans="2:9" s="30" customFormat="1" ht="15" customHeight="1">
      <c r="B516" s="30" t="s">
        <v>6</v>
      </c>
      <c r="C516" s="30" t="s">
        <v>411</v>
      </c>
      <c r="D516" s="32">
        <v>5.25</v>
      </c>
      <c r="E516" s="30">
        <v>10</v>
      </c>
      <c r="F516" s="30">
        <v>170</v>
      </c>
      <c r="G516" s="30">
        <v>1.5</v>
      </c>
      <c r="H516" s="115">
        <f>IF(AND($C$248=1,$B$53=1),0,
IF(AND($C$248=1,$B$53&gt;1),1,
IF($C$248&gt;1,2,0)))</f>
        <v>0</v>
      </c>
      <c r="I516" s="115">
        <f>D516*H516</f>
        <v>0</v>
      </c>
    </row>
    <row r="517" spans="2:9" s="30" customFormat="1" ht="15" customHeight="1">
      <c r="D517" s="32"/>
      <c r="H517" s="32"/>
      <c r="I517" s="115"/>
    </row>
    <row r="518" spans="2:9" s="30" customFormat="1" ht="15" customHeight="1">
      <c r="D518" s="32"/>
      <c r="H518" s="32"/>
      <c r="I518" s="115"/>
    </row>
    <row r="519" spans="2:9" s="30" customFormat="1" ht="15" customHeight="1">
      <c r="B519" s="27" t="s">
        <v>412</v>
      </c>
      <c r="C519" s="27" t="s">
        <v>413</v>
      </c>
      <c r="D519" s="174" t="s">
        <v>210</v>
      </c>
      <c r="E519" s="34" t="s">
        <v>206</v>
      </c>
      <c r="F519" s="31" t="s">
        <v>208</v>
      </c>
      <c r="G519" s="175" t="s">
        <v>207</v>
      </c>
      <c r="H519" s="31" t="s">
        <v>230</v>
      </c>
      <c r="I519" s="31" t="s">
        <v>231</v>
      </c>
    </row>
    <row r="520" spans="2:9" s="30" customFormat="1" ht="15" customHeight="1">
      <c r="B520" s="30" t="s">
        <v>4</v>
      </c>
      <c r="C520" s="30" t="s">
        <v>419</v>
      </c>
      <c r="D520" s="32">
        <v>0</v>
      </c>
      <c r="G520" s="30">
        <v>0</v>
      </c>
      <c r="H520" s="32">
        <v>0</v>
      </c>
      <c r="I520" s="115">
        <f>D520*H520</f>
        <v>0</v>
      </c>
    </row>
    <row r="521" spans="2:9" s="30" customFormat="1" ht="15" customHeight="1">
      <c r="B521" s="30" t="s">
        <v>8</v>
      </c>
      <c r="C521" s="30" t="s">
        <v>414</v>
      </c>
      <c r="D521" s="32">
        <v>0</v>
      </c>
      <c r="G521" s="30">
        <v>0</v>
      </c>
      <c r="H521" s="32">
        <v>0</v>
      </c>
      <c r="I521" s="115">
        <f t="shared" si="5"/>
        <v>0</v>
      </c>
    </row>
    <row r="522" spans="2:9" s="30" customFormat="1" ht="15" customHeight="1">
      <c r="B522" s="30" t="s">
        <v>8</v>
      </c>
      <c r="C522" s="30" t="s">
        <v>415</v>
      </c>
      <c r="D522" s="32">
        <v>0</v>
      </c>
      <c r="G522" s="30">
        <v>0</v>
      </c>
      <c r="H522" s="32">
        <v>0</v>
      </c>
      <c r="I522" s="115">
        <f t="shared" si="5"/>
        <v>0</v>
      </c>
    </row>
    <row r="523" spans="2:9" s="30" customFormat="1" ht="15" customHeight="1">
      <c r="D523" s="117"/>
      <c r="E523" s="34"/>
      <c r="F523" s="31"/>
      <c r="G523" s="113"/>
      <c r="I523" s="115"/>
    </row>
    <row r="524" spans="2:9" s="30" customFormat="1" ht="15" customHeight="1">
      <c r="B524" s="30" t="s">
        <v>4</v>
      </c>
      <c r="C524" s="30" t="s">
        <v>420</v>
      </c>
      <c r="D524" s="117">
        <v>4</v>
      </c>
      <c r="E524" s="30">
        <v>20</v>
      </c>
      <c r="F524" s="30">
        <v>130</v>
      </c>
      <c r="G524" s="175">
        <v>1.5</v>
      </c>
      <c r="H524" s="115">
        <f>IF(AND($C$248=1,$B$31=1),0,
IF(AND($C$248=1,$B$31&gt;1),1,
IF($C$248&gt;1,2,0)))</f>
        <v>0</v>
      </c>
      <c r="I524" s="115">
        <f t="shared" si="4"/>
        <v>0</v>
      </c>
    </row>
    <row r="525" spans="2:9" s="30" customFormat="1" ht="15" customHeight="1">
      <c r="B525" s="30" t="s">
        <v>8</v>
      </c>
      <c r="C525" s="30" t="s">
        <v>416</v>
      </c>
      <c r="D525" s="32">
        <v>5.5</v>
      </c>
      <c r="E525" s="30">
        <v>20</v>
      </c>
      <c r="F525" s="30">
        <v>130</v>
      </c>
      <c r="G525" s="30">
        <v>2</v>
      </c>
      <c r="H525" s="115">
        <f>IF(AND($C$248=1,$B$63=1),0,
IF(AND($C$248=1,$B$63&gt;1),1,
IF($C$248&gt;1,2,0)))</f>
        <v>0</v>
      </c>
      <c r="I525" s="115">
        <f t="shared" si="4"/>
        <v>0</v>
      </c>
    </row>
    <row r="526" spans="2:9" s="30" customFormat="1" ht="15" customHeight="1">
      <c r="B526" s="30" t="s">
        <v>8</v>
      </c>
      <c r="C526" s="30" t="s">
        <v>417</v>
      </c>
      <c r="D526" s="32">
        <v>3</v>
      </c>
      <c r="E526" s="30">
        <v>20</v>
      </c>
      <c r="F526" s="30">
        <v>130</v>
      </c>
      <c r="G526" s="30">
        <v>1</v>
      </c>
      <c r="H526" s="115">
        <f>IF(AND($C$248=1,$B$73=1),0,
IF(AND($C$248=1,$B$73&gt;1),1,
IF($C$248&gt;1,2,0)))</f>
        <v>0</v>
      </c>
      <c r="I526" s="115">
        <f t="shared" si="4"/>
        <v>0</v>
      </c>
    </row>
    <row r="527" spans="2:9" s="30" customFormat="1" ht="15" customHeight="1">
      <c r="D527" s="32"/>
      <c r="E527" s="32"/>
    </row>
    <row r="528" spans="2:9" s="30" customFormat="1" ht="15" customHeight="1">
      <c r="D528" s="32"/>
      <c r="E528" s="32"/>
    </row>
    <row r="529" spans="2:9" s="30" customFormat="1" ht="15" customHeight="1">
      <c r="B529" s="27" t="s">
        <v>440</v>
      </c>
      <c r="C529" s="27" t="s">
        <v>441</v>
      </c>
      <c r="D529" s="28" t="s">
        <v>442</v>
      </c>
      <c r="E529" s="32"/>
      <c r="I529" s="115"/>
    </row>
    <row r="530" spans="2:9" s="30" customFormat="1" ht="15" customHeight="1">
      <c r="B530" s="30" t="s">
        <v>433</v>
      </c>
      <c r="C530" s="30" t="s">
        <v>443</v>
      </c>
      <c r="D530" s="32">
        <v>0</v>
      </c>
      <c r="E530" s="32"/>
      <c r="I530" s="115"/>
    </row>
    <row r="531" spans="2:9" s="30" customFormat="1" ht="15" customHeight="1">
      <c r="B531" s="30" t="s">
        <v>433</v>
      </c>
      <c r="C531" s="30" t="s">
        <v>444</v>
      </c>
      <c r="D531" s="32">
        <v>0</v>
      </c>
      <c r="E531" s="32"/>
      <c r="I531" s="115"/>
    </row>
    <row r="532" spans="2:9" s="30" customFormat="1" ht="15" customHeight="1">
      <c r="B532" s="30" t="s">
        <v>434</v>
      </c>
      <c r="C532" s="30" t="s">
        <v>445</v>
      </c>
      <c r="D532" s="32">
        <v>0</v>
      </c>
      <c r="E532" s="32"/>
      <c r="I532" s="115"/>
    </row>
    <row r="533" spans="2:9" s="30" customFormat="1" ht="15" customHeight="1">
      <c r="B533" s="30" t="s">
        <v>434</v>
      </c>
      <c r="C533" s="30" t="s">
        <v>440</v>
      </c>
      <c r="D533" s="32">
        <v>400</v>
      </c>
      <c r="E533" s="32"/>
      <c r="I533" s="115"/>
    </row>
    <row r="534" spans="2:9" s="30" customFormat="1" ht="15" customHeight="1">
      <c r="D534" s="32"/>
      <c r="E534" s="32"/>
    </row>
    <row r="535" spans="2:9" s="30" customFormat="1" ht="15" customHeight="1">
      <c r="B535" s="26" t="s">
        <v>88</v>
      </c>
      <c r="C535" s="27" t="s">
        <v>154</v>
      </c>
      <c r="D535" s="28" t="s">
        <v>89</v>
      </c>
      <c r="E535" s="29" t="s">
        <v>90</v>
      </c>
      <c r="F535" s="29" t="s">
        <v>91</v>
      </c>
      <c r="G535" s="29" t="s">
        <v>92</v>
      </c>
      <c r="I535" s="30" t="str">
        <f>""</f>
        <v/>
      </c>
    </row>
    <row r="536" spans="2:9" s="30" customFormat="1" ht="15" customHeight="1">
      <c r="B536" s="30" t="s">
        <v>29</v>
      </c>
      <c r="C536" s="30" t="s">
        <v>29</v>
      </c>
      <c r="D536" s="31">
        <v>0</v>
      </c>
      <c r="E536" s="29">
        <v>0</v>
      </c>
      <c r="F536" s="29">
        <v>0</v>
      </c>
      <c r="G536" s="29">
        <v>0</v>
      </c>
      <c r="I536" s="30" t="str">
        <f>""</f>
        <v/>
      </c>
    </row>
    <row r="537" spans="2:9" s="30" customFormat="1" ht="15" customHeight="1">
      <c r="D537" s="31"/>
      <c r="E537" s="29"/>
      <c r="F537" s="29"/>
      <c r="G537" s="29"/>
      <c r="I537" s="30" t="str">
        <f>""</f>
        <v/>
      </c>
    </row>
    <row r="538" spans="2:9" s="30" customFormat="1" ht="15" customHeight="1">
      <c r="B538" s="30" t="s">
        <v>12</v>
      </c>
      <c r="C538" s="30" t="s">
        <v>452</v>
      </c>
      <c r="D538" s="31">
        <v>500</v>
      </c>
      <c r="E538" s="31">
        <v>450</v>
      </c>
      <c r="F538" s="32">
        <f>D538+E538</f>
        <v>950</v>
      </c>
      <c r="G538" s="31">
        <v>0</v>
      </c>
      <c r="I538" s="30" t="str">
        <f>""</f>
        <v/>
      </c>
    </row>
    <row r="539" spans="2:9" s="30" customFormat="1" ht="15" customHeight="1">
      <c r="B539" s="30" t="s">
        <v>12</v>
      </c>
      <c r="C539" s="30" t="s">
        <v>453</v>
      </c>
      <c r="D539" s="32">
        <v>500</v>
      </c>
      <c r="E539" s="32">
        <v>450</v>
      </c>
      <c r="F539" s="32">
        <f>D539+E539</f>
        <v>950</v>
      </c>
      <c r="G539" s="32">
        <v>0</v>
      </c>
      <c r="I539" s="30" t="str">
        <f>""</f>
        <v/>
      </c>
    </row>
    <row r="540" spans="2:9" s="30" customFormat="1" ht="15" customHeight="1">
      <c r="B540" s="30" t="s">
        <v>12</v>
      </c>
      <c r="C540" s="30" t="s">
        <v>454</v>
      </c>
      <c r="D540" s="32">
        <v>500</v>
      </c>
      <c r="E540" s="32">
        <v>225</v>
      </c>
      <c r="F540" s="32">
        <f t="shared" ref="F540:F594" si="6">D540+E540</f>
        <v>725</v>
      </c>
      <c r="G540" s="32">
        <v>0</v>
      </c>
      <c r="I540" s="30" t="str">
        <f>""</f>
        <v/>
      </c>
    </row>
    <row r="541" spans="2:9" s="30" customFormat="1" ht="15" customHeight="1">
      <c r="B541" s="30" t="s">
        <v>12</v>
      </c>
      <c r="C541" s="30" t="s">
        <v>455</v>
      </c>
      <c r="D541" s="32">
        <v>500</v>
      </c>
      <c r="E541" s="32">
        <v>0</v>
      </c>
      <c r="F541" s="32">
        <f t="shared" si="6"/>
        <v>500</v>
      </c>
      <c r="G541" s="32">
        <v>0</v>
      </c>
      <c r="I541" s="30" t="str">
        <f>""</f>
        <v/>
      </c>
    </row>
    <row r="542" spans="2:9" s="30" customFormat="1" ht="15" customHeight="1">
      <c r="D542" s="32"/>
      <c r="E542" s="32"/>
      <c r="F542" s="32"/>
      <c r="G542" s="32"/>
      <c r="I542" s="30" t="str">
        <f>""</f>
        <v/>
      </c>
    </row>
    <row r="543" spans="2:9" s="30" customFormat="1" ht="15" customHeight="1">
      <c r="B543" s="30" t="s">
        <v>93</v>
      </c>
      <c r="C543" s="30" t="s">
        <v>456</v>
      </c>
      <c r="D543" s="32">
        <v>2100</v>
      </c>
      <c r="E543" s="32">
        <v>225</v>
      </c>
      <c r="F543" s="32">
        <f t="shared" si="6"/>
        <v>2325</v>
      </c>
      <c r="G543" s="32">
        <v>150</v>
      </c>
      <c r="H543" s="30" t="s">
        <v>24</v>
      </c>
      <c r="I543" s="30" t="str">
        <f>""</f>
        <v/>
      </c>
    </row>
    <row r="544" spans="2:9" s="30" customFormat="1" ht="15" customHeight="1">
      <c r="B544" s="30" t="s">
        <v>93</v>
      </c>
      <c r="C544" s="30" t="s">
        <v>457</v>
      </c>
      <c r="D544" s="32">
        <v>2100</v>
      </c>
      <c r="E544" s="32">
        <v>0</v>
      </c>
      <c r="F544" s="32">
        <f t="shared" si="6"/>
        <v>2100</v>
      </c>
      <c r="G544" s="32">
        <v>150</v>
      </c>
      <c r="H544" s="30" t="s">
        <v>24</v>
      </c>
      <c r="I544" s="30" t="str">
        <f>""</f>
        <v/>
      </c>
    </row>
    <row r="545" spans="2:9" s="30" customFormat="1" ht="15" customHeight="1">
      <c r="B545" s="30" t="s">
        <v>93</v>
      </c>
      <c r="C545" s="30" t="s">
        <v>458</v>
      </c>
      <c r="D545" s="32">
        <v>0</v>
      </c>
      <c r="E545" s="32">
        <v>0</v>
      </c>
      <c r="F545" s="32">
        <f t="shared" si="6"/>
        <v>0</v>
      </c>
      <c r="G545" s="32">
        <v>0</v>
      </c>
      <c r="I545" s="30" t="s">
        <v>112</v>
      </c>
    </row>
    <row r="546" spans="2:9" s="30" customFormat="1" ht="15" customHeight="1">
      <c r="B546" s="30" t="s">
        <v>93</v>
      </c>
      <c r="C546" s="30" t="s">
        <v>459</v>
      </c>
      <c r="D546" s="32">
        <v>0</v>
      </c>
      <c r="E546" s="32">
        <v>0</v>
      </c>
      <c r="F546" s="32">
        <f t="shared" si="6"/>
        <v>0</v>
      </c>
      <c r="G546" s="32">
        <v>0</v>
      </c>
      <c r="I546" s="30" t="s">
        <v>112</v>
      </c>
    </row>
    <row r="547" spans="2:9" s="30" customFormat="1" ht="15" customHeight="1">
      <c r="D547" s="32"/>
      <c r="E547" s="32"/>
      <c r="F547" s="32"/>
      <c r="G547" s="32"/>
      <c r="I547" s="30" t="str">
        <f>""</f>
        <v/>
      </c>
    </row>
    <row r="548" spans="2:9" s="30" customFormat="1" ht="15" customHeight="1">
      <c r="B548" s="32" t="s">
        <v>94</v>
      </c>
      <c r="C548" s="30" t="s">
        <v>460</v>
      </c>
      <c r="D548" s="32">
        <f>1650+(71-1)*150</f>
        <v>12150</v>
      </c>
      <c r="E548" s="32">
        <v>0</v>
      </c>
      <c r="F548" s="32">
        <f t="shared" si="6"/>
        <v>12150</v>
      </c>
      <c r="G548" s="32">
        <v>150</v>
      </c>
      <c r="H548" s="32" t="s">
        <v>99</v>
      </c>
    </row>
    <row r="549" spans="2:9" s="30" customFormat="1" ht="15" customHeight="1">
      <c r="B549" s="32" t="s">
        <v>94</v>
      </c>
      <c r="C549" s="30" t="s">
        <v>461</v>
      </c>
      <c r="D549" s="32">
        <f>1650+(71-1)*150</f>
        <v>12150</v>
      </c>
      <c r="E549" s="32">
        <v>0</v>
      </c>
      <c r="F549" s="32">
        <f t="shared" si="6"/>
        <v>12150</v>
      </c>
      <c r="G549" s="32">
        <v>150</v>
      </c>
      <c r="H549" s="32" t="s">
        <v>99</v>
      </c>
      <c r="I549" s="30" t="str">
        <f>""</f>
        <v/>
      </c>
    </row>
    <row r="550" spans="2:9" s="30" customFormat="1" ht="15" customHeight="1">
      <c r="B550" s="32" t="s">
        <v>94</v>
      </c>
      <c r="C550" s="30" t="s">
        <v>462</v>
      </c>
      <c r="D550" s="32">
        <f t="shared" ref="D550:D552" si="7">1650+(71-1)*150</f>
        <v>12150</v>
      </c>
      <c r="E550" s="32">
        <v>0</v>
      </c>
      <c r="F550" s="32">
        <f t="shared" si="6"/>
        <v>12150</v>
      </c>
      <c r="G550" s="32">
        <v>150</v>
      </c>
      <c r="H550" s="32" t="s">
        <v>99</v>
      </c>
      <c r="I550" s="30" t="str">
        <f>""</f>
        <v/>
      </c>
    </row>
    <row r="551" spans="2:9" s="30" customFormat="1" ht="15" customHeight="1">
      <c r="B551" s="32" t="s">
        <v>94</v>
      </c>
      <c r="C551" s="30" t="s">
        <v>463</v>
      </c>
      <c r="D551" s="32">
        <f t="shared" si="7"/>
        <v>12150</v>
      </c>
      <c r="E551" s="32">
        <v>0</v>
      </c>
      <c r="F551" s="32">
        <f t="shared" si="6"/>
        <v>12150</v>
      </c>
      <c r="G551" s="32">
        <v>150</v>
      </c>
      <c r="H551" s="32" t="s">
        <v>99</v>
      </c>
      <c r="I551" s="30" t="str">
        <f>""</f>
        <v/>
      </c>
    </row>
    <row r="552" spans="2:9" s="30" customFormat="1" ht="15" customHeight="1">
      <c r="B552" s="32" t="s">
        <v>94</v>
      </c>
      <c r="C552" s="30" t="s">
        <v>464</v>
      </c>
      <c r="D552" s="32">
        <f t="shared" si="7"/>
        <v>12150</v>
      </c>
      <c r="E552" s="32">
        <v>0</v>
      </c>
      <c r="F552" s="32">
        <f t="shared" si="6"/>
        <v>12150</v>
      </c>
      <c r="G552" s="32">
        <v>150</v>
      </c>
      <c r="H552" s="32" t="s">
        <v>99</v>
      </c>
      <c r="I552" s="30" t="str">
        <f>""</f>
        <v/>
      </c>
    </row>
    <row r="553" spans="2:9" s="30" customFormat="1" ht="15" customHeight="1">
      <c r="B553" s="32"/>
      <c r="D553" s="32"/>
      <c r="E553" s="32"/>
      <c r="F553" s="32"/>
      <c r="G553" s="32"/>
      <c r="H553" s="32"/>
      <c r="I553" s="30" t="str">
        <f>""</f>
        <v/>
      </c>
    </row>
    <row r="554" spans="2:9" s="30" customFormat="1" ht="15" customHeight="1">
      <c r="B554" s="30" t="s">
        <v>13</v>
      </c>
      <c r="C554" s="30" t="s">
        <v>465</v>
      </c>
      <c r="D554" s="32">
        <v>500</v>
      </c>
      <c r="E554" s="32">
        <v>450</v>
      </c>
      <c r="F554" s="32">
        <f t="shared" si="6"/>
        <v>950</v>
      </c>
      <c r="G554" s="32">
        <v>0</v>
      </c>
      <c r="H554" s="32"/>
      <c r="I554" s="30" t="str">
        <f>""</f>
        <v/>
      </c>
    </row>
    <row r="555" spans="2:9" s="30" customFormat="1" ht="15" customHeight="1">
      <c r="B555" s="30" t="s">
        <v>13</v>
      </c>
      <c r="C555" s="30" t="s">
        <v>466</v>
      </c>
      <c r="D555" s="32">
        <v>500</v>
      </c>
      <c r="E555" s="32">
        <v>450</v>
      </c>
      <c r="F555" s="32">
        <f t="shared" si="6"/>
        <v>950</v>
      </c>
      <c r="G555" s="32">
        <v>0</v>
      </c>
      <c r="I555" s="30" t="str">
        <f>""</f>
        <v/>
      </c>
    </row>
    <row r="556" spans="2:9" s="30" customFormat="1" ht="15" customHeight="1">
      <c r="B556" s="30" t="s">
        <v>13</v>
      </c>
      <c r="C556" s="30" t="s">
        <v>467</v>
      </c>
      <c r="D556" s="32">
        <v>500</v>
      </c>
      <c r="E556" s="32">
        <v>225</v>
      </c>
      <c r="F556" s="32">
        <f t="shared" si="6"/>
        <v>725</v>
      </c>
      <c r="G556" s="32">
        <v>0</v>
      </c>
      <c r="I556" s="30" t="str">
        <f>""</f>
        <v/>
      </c>
    </row>
    <row r="557" spans="2:9" s="30" customFormat="1" ht="15" customHeight="1">
      <c r="B557" s="30" t="s">
        <v>13</v>
      </c>
      <c r="C557" s="30" t="s">
        <v>468</v>
      </c>
      <c r="D557" s="32">
        <v>500</v>
      </c>
      <c r="E557" s="32">
        <v>0</v>
      </c>
      <c r="F557" s="32">
        <f t="shared" si="6"/>
        <v>500</v>
      </c>
      <c r="G557" s="32">
        <v>0</v>
      </c>
      <c r="I557" s="30" t="str">
        <f>""</f>
        <v/>
      </c>
    </row>
    <row r="558" spans="2:9" s="30" customFormat="1" ht="15" customHeight="1">
      <c r="D558" s="32"/>
      <c r="E558" s="32"/>
      <c r="F558" s="32"/>
      <c r="G558" s="32"/>
      <c r="I558" s="30" t="str">
        <f>""</f>
        <v/>
      </c>
    </row>
    <row r="559" spans="2:9" s="30" customFormat="1" ht="15" customHeight="1">
      <c r="B559" s="30" t="s">
        <v>14</v>
      </c>
      <c r="C559" s="30" t="s">
        <v>469</v>
      </c>
      <c r="D559" s="32">
        <v>4200</v>
      </c>
      <c r="E559" s="32">
        <v>225</v>
      </c>
      <c r="F559" s="32">
        <f t="shared" si="6"/>
        <v>4425</v>
      </c>
      <c r="G559" s="32">
        <v>0</v>
      </c>
      <c r="I559" s="30" t="str">
        <f>""</f>
        <v/>
      </c>
    </row>
    <row r="560" spans="2:9" s="30" customFormat="1" ht="15" customHeight="1">
      <c r="B560" s="30" t="s">
        <v>14</v>
      </c>
      <c r="C560" s="30" t="s">
        <v>470</v>
      </c>
      <c r="D560" s="32">
        <v>4200</v>
      </c>
      <c r="E560" s="32">
        <v>0</v>
      </c>
      <c r="F560" s="32">
        <f t="shared" si="6"/>
        <v>4200</v>
      </c>
      <c r="G560" s="32">
        <v>0</v>
      </c>
      <c r="I560" s="30" t="str">
        <f>""</f>
        <v/>
      </c>
    </row>
    <row r="561" spans="2:9" s="30" customFormat="1" ht="15" customHeight="1">
      <c r="B561" s="30" t="s">
        <v>14</v>
      </c>
      <c r="C561" s="30" t="s">
        <v>471</v>
      </c>
      <c r="D561" s="32">
        <v>0</v>
      </c>
      <c r="E561" s="32">
        <v>0</v>
      </c>
      <c r="F561" s="32">
        <f t="shared" si="6"/>
        <v>0</v>
      </c>
      <c r="G561" s="32">
        <v>0</v>
      </c>
      <c r="I561" s="30" t="s">
        <v>112</v>
      </c>
    </row>
    <row r="562" spans="2:9" s="30" customFormat="1" ht="15" customHeight="1">
      <c r="B562" s="30" t="s">
        <v>14</v>
      </c>
      <c r="C562" s="30" t="s">
        <v>472</v>
      </c>
      <c r="D562" s="32">
        <v>0</v>
      </c>
      <c r="E562" s="32">
        <v>0</v>
      </c>
      <c r="F562" s="32">
        <f t="shared" si="6"/>
        <v>0</v>
      </c>
      <c r="G562" s="32">
        <v>0</v>
      </c>
      <c r="I562" s="30" t="s">
        <v>112</v>
      </c>
    </row>
    <row r="563" spans="2:9" s="30" customFormat="1" ht="15" customHeight="1">
      <c r="D563" s="32"/>
      <c r="E563" s="32"/>
      <c r="F563" s="32"/>
      <c r="G563" s="32"/>
      <c r="I563" s="30" t="str">
        <f>""</f>
        <v/>
      </c>
    </row>
    <row r="564" spans="2:9" s="30" customFormat="1" ht="15" customHeight="1">
      <c r="B564" s="30" t="s">
        <v>97</v>
      </c>
      <c r="C564" s="30" t="s">
        <v>473</v>
      </c>
      <c r="D564" s="32">
        <v>4200</v>
      </c>
      <c r="E564" s="32">
        <v>225</v>
      </c>
      <c r="F564" s="32">
        <f t="shared" si="6"/>
        <v>4425</v>
      </c>
      <c r="G564" s="32">
        <v>150</v>
      </c>
      <c r="H564" s="32" t="s">
        <v>23</v>
      </c>
      <c r="I564" s="30" t="str">
        <f>""</f>
        <v/>
      </c>
    </row>
    <row r="565" spans="2:9" s="30" customFormat="1" ht="15" customHeight="1">
      <c r="B565" s="30" t="s">
        <v>97</v>
      </c>
      <c r="C565" s="30" t="s">
        <v>474</v>
      </c>
      <c r="D565" s="32">
        <v>4200</v>
      </c>
      <c r="E565" s="32">
        <v>0</v>
      </c>
      <c r="F565" s="32">
        <f t="shared" si="6"/>
        <v>4200</v>
      </c>
      <c r="G565" s="32">
        <v>150</v>
      </c>
      <c r="H565" s="32" t="s">
        <v>23</v>
      </c>
      <c r="I565" s="30" t="str">
        <f>""</f>
        <v/>
      </c>
    </row>
    <row r="566" spans="2:9" s="30" customFormat="1" ht="15" customHeight="1">
      <c r="B566" s="30" t="s">
        <v>97</v>
      </c>
      <c r="C566" s="30" t="s">
        <v>475</v>
      </c>
      <c r="D566" s="32">
        <v>0</v>
      </c>
      <c r="E566" s="32">
        <v>0</v>
      </c>
      <c r="F566" s="32">
        <f t="shared" si="6"/>
        <v>0</v>
      </c>
      <c r="G566" s="32">
        <v>0</v>
      </c>
      <c r="H566" s="32"/>
      <c r="I566" s="30" t="s">
        <v>112</v>
      </c>
    </row>
    <row r="567" spans="2:9" s="30" customFormat="1" ht="15" customHeight="1">
      <c r="B567" s="30" t="s">
        <v>97</v>
      </c>
      <c r="C567" s="30" t="s">
        <v>476</v>
      </c>
      <c r="D567" s="32">
        <v>0</v>
      </c>
      <c r="E567" s="32">
        <v>0</v>
      </c>
      <c r="F567" s="32">
        <f t="shared" si="6"/>
        <v>0</v>
      </c>
      <c r="G567" s="32">
        <v>0</v>
      </c>
      <c r="H567" s="32"/>
      <c r="I567" s="30" t="s">
        <v>112</v>
      </c>
    </row>
    <row r="568" spans="2:9" s="30" customFormat="1" ht="15" customHeight="1">
      <c r="D568" s="32"/>
      <c r="E568" s="32"/>
      <c r="F568" s="32"/>
      <c r="G568" s="32"/>
      <c r="H568" s="32"/>
      <c r="I568" s="30" t="str">
        <f>""</f>
        <v/>
      </c>
    </row>
    <row r="569" spans="2:9" s="30" customFormat="1" ht="15" customHeight="1">
      <c r="B569" s="32" t="s">
        <v>98</v>
      </c>
      <c r="C569" s="30" t="s">
        <v>477</v>
      </c>
      <c r="D569" s="32">
        <f>3750+(71-10)*150</f>
        <v>12900</v>
      </c>
      <c r="E569" s="32">
        <v>0</v>
      </c>
      <c r="F569" s="32">
        <f t="shared" si="6"/>
        <v>12900</v>
      </c>
      <c r="G569" s="32">
        <v>150</v>
      </c>
      <c r="H569" s="32" t="s">
        <v>99</v>
      </c>
    </row>
    <row r="570" spans="2:9" s="30" customFormat="1" ht="15" customHeight="1">
      <c r="B570" s="32" t="s">
        <v>98</v>
      </c>
      <c r="C570" s="30" t="s">
        <v>478</v>
      </c>
      <c r="D570" s="32">
        <f>3750+(71-10)*150</f>
        <v>12900</v>
      </c>
      <c r="E570" s="32">
        <v>0</v>
      </c>
      <c r="F570" s="32">
        <f t="shared" si="6"/>
        <v>12900</v>
      </c>
      <c r="G570" s="32">
        <v>150</v>
      </c>
      <c r="H570" s="32" t="s">
        <v>99</v>
      </c>
      <c r="I570" s="30" t="str">
        <f>""</f>
        <v/>
      </c>
    </row>
    <row r="571" spans="2:9" s="30" customFormat="1" ht="15" customHeight="1">
      <c r="B571" s="32" t="s">
        <v>98</v>
      </c>
      <c r="C571" s="30" t="s">
        <v>479</v>
      </c>
      <c r="D571" s="32">
        <f t="shared" ref="D571:D573" si="8">3750+(71-10)*150</f>
        <v>12900</v>
      </c>
      <c r="E571" s="32">
        <v>0</v>
      </c>
      <c r="F571" s="32">
        <f t="shared" si="6"/>
        <v>12900</v>
      </c>
      <c r="G571" s="32">
        <v>150</v>
      </c>
      <c r="H571" s="32" t="s">
        <v>99</v>
      </c>
      <c r="I571" s="30" t="str">
        <f>""</f>
        <v/>
      </c>
    </row>
    <row r="572" spans="2:9" s="30" customFormat="1" ht="15.75" customHeight="1">
      <c r="B572" s="32" t="s">
        <v>98</v>
      </c>
      <c r="C572" s="30" t="s">
        <v>480</v>
      </c>
      <c r="D572" s="32">
        <f t="shared" si="8"/>
        <v>12900</v>
      </c>
      <c r="E572" s="32">
        <v>0</v>
      </c>
      <c r="F572" s="32">
        <f t="shared" si="6"/>
        <v>12900</v>
      </c>
      <c r="G572" s="32">
        <v>150</v>
      </c>
      <c r="H572" s="32" t="s">
        <v>99</v>
      </c>
      <c r="I572" s="30" t="str">
        <f>""</f>
        <v/>
      </c>
    </row>
    <row r="573" spans="2:9" s="30" customFormat="1" ht="15" customHeight="1">
      <c r="B573" s="32" t="s">
        <v>98</v>
      </c>
      <c r="C573" s="30" t="s">
        <v>481</v>
      </c>
      <c r="D573" s="32">
        <f t="shared" si="8"/>
        <v>12900</v>
      </c>
      <c r="E573" s="32">
        <v>0</v>
      </c>
      <c r="F573" s="32">
        <f t="shared" si="6"/>
        <v>12900</v>
      </c>
      <c r="G573" s="32">
        <v>150</v>
      </c>
      <c r="H573" s="32" t="s">
        <v>99</v>
      </c>
      <c r="I573" s="30" t="str">
        <f>""</f>
        <v/>
      </c>
    </row>
    <row r="574" spans="2:9" s="30" customFormat="1" ht="15" customHeight="1">
      <c r="B574" s="32"/>
      <c r="C574" s="32"/>
      <c r="D574" s="32"/>
      <c r="E574" s="32"/>
      <c r="F574" s="32"/>
      <c r="G574" s="32"/>
      <c r="H574" s="32"/>
      <c r="I574" s="30" t="str">
        <f>""</f>
        <v/>
      </c>
    </row>
    <row r="575" spans="2:9" s="30" customFormat="1" ht="15" customHeight="1">
      <c r="B575" s="30" t="s">
        <v>15</v>
      </c>
      <c r="C575" s="30" t="s">
        <v>482</v>
      </c>
      <c r="D575" s="32">
        <v>500</v>
      </c>
      <c r="E575" s="32">
        <v>450</v>
      </c>
      <c r="F575" s="32">
        <f t="shared" si="6"/>
        <v>950</v>
      </c>
      <c r="G575" s="32">
        <v>0</v>
      </c>
      <c r="H575" s="32"/>
      <c r="I575" s="30" t="str">
        <f>""</f>
        <v/>
      </c>
    </row>
    <row r="576" spans="2:9" s="30" customFormat="1" ht="15" customHeight="1">
      <c r="B576" s="30" t="s">
        <v>15</v>
      </c>
      <c r="C576" s="30" t="s">
        <v>483</v>
      </c>
      <c r="D576" s="32">
        <v>500</v>
      </c>
      <c r="E576" s="32">
        <v>450</v>
      </c>
      <c r="F576" s="32">
        <f t="shared" si="6"/>
        <v>950</v>
      </c>
      <c r="G576" s="32">
        <v>0</v>
      </c>
      <c r="I576" s="30" t="str">
        <f>""</f>
        <v/>
      </c>
    </row>
    <row r="577" spans="2:9" s="30" customFormat="1" ht="15" customHeight="1">
      <c r="B577" s="30" t="s">
        <v>15</v>
      </c>
      <c r="C577" s="30" t="s">
        <v>484</v>
      </c>
      <c r="D577" s="32">
        <v>500</v>
      </c>
      <c r="E577" s="32">
        <v>225</v>
      </c>
      <c r="F577" s="32">
        <f t="shared" si="6"/>
        <v>725</v>
      </c>
      <c r="G577" s="32">
        <v>0</v>
      </c>
      <c r="I577" s="30" t="str">
        <f>""</f>
        <v/>
      </c>
    </row>
    <row r="578" spans="2:9" s="30" customFormat="1" ht="15" customHeight="1">
      <c r="B578" s="30" t="s">
        <v>15</v>
      </c>
      <c r="C578" s="30" t="s">
        <v>485</v>
      </c>
      <c r="D578" s="32">
        <v>500</v>
      </c>
      <c r="E578" s="32"/>
      <c r="F578" s="32">
        <f t="shared" si="6"/>
        <v>500</v>
      </c>
      <c r="G578" s="32">
        <v>0</v>
      </c>
      <c r="I578" s="30" t="str">
        <f>""</f>
        <v/>
      </c>
    </row>
    <row r="579" spans="2:9" s="30" customFormat="1" ht="15" customHeight="1">
      <c r="D579" s="32"/>
      <c r="E579" s="32"/>
      <c r="F579" s="32"/>
      <c r="G579" s="32"/>
      <c r="I579" s="30" t="str">
        <f>""</f>
        <v/>
      </c>
    </row>
    <row r="580" spans="2:9" s="30" customFormat="1" ht="15" customHeight="1">
      <c r="B580" s="30" t="s">
        <v>16</v>
      </c>
      <c r="C580" s="30" t="s">
        <v>486</v>
      </c>
      <c r="D580" s="32">
        <v>4200</v>
      </c>
      <c r="E580" s="32">
        <v>225</v>
      </c>
      <c r="F580" s="32">
        <f t="shared" si="6"/>
        <v>4425</v>
      </c>
      <c r="G580" s="32">
        <v>0</v>
      </c>
      <c r="I580" s="30" t="str">
        <f>""</f>
        <v/>
      </c>
    </row>
    <row r="581" spans="2:9" s="30" customFormat="1" ht="15" customHeight="1">
      <c r="B581" s="30" t="s">
        <v>16</v>
      </c>
      <c r="C581" s="30" t="s">
        <v>487</v>
      </c>
      <c r="D581" s="32">
        <v>4200</v>
      </c>
      <c r="E581" s="32">
        <v>0</v>
      </c>
      <c r="F581" s="32">
        <f t="shared" si="6"/>
        <v>4200</v>
      </c>
      <c r="G581" s="32">
        <v>0</v>
      </c>
      <c r="I581" s="30" t="str">
        <f>""</f>
        <v/>
      </c>
    </row>
    <row r="582" spans="2:9" s="30" customFormat="1" ht="15" customHeight="1">
      <c r="B582" s="30" t="s">
        <v>16</v>
      </c>
      <c r="C582" s="30" t="s">
        <v>488</v>
      </c>
      <c r="D582" s="32">
        <v>0</v>
      </c>
      <c r="E582" s="32">
        <v>0</v>
      </c>
      <c r="F582" s="32">
        <f t="shared" si="6"/>
        <v>0</v>
      </c>
      <c r="G582" s="32">
        <v>0</v>
      </c>
      <c r="I582" s="30" t="s">
        <v>112</v>
      </c>
    </row>
    <row r="583" spans="2:9" s="30" customFormat="1" ht="15" customHeight="1">
      <c r="B583" s="30" t="s">
        <v>16</v>
      </c>
      <c r="C583" s="30" t="s">
        <v>489</v>
      </c>
      <c r="D583" s="32">
        <v>0</v>
      </c>
      <c r="E583" s="32">
        <v>0</v>
      </c>
      <c r="F583" s="32">
        <f t="shared" si="6"/>
        <v>0</v>
      </c>
      <c r="G583" s="32">
        <v>0</v>
      </c>
      <c r="I583" s="30" t="s">
        <v>112</v>
      </c>
    </row>
    <row r="584" spans="2:9" s="30" customFormat="1" ht="15" customHeight="1">
      <c r="D584" s="32"/>
      <c r="E584" s="32"/>
      <c r="F584" s="32"/>
      <c r="G584" s="32"/>
      <c r="I584" s="30" t="str">
        <f>""</f>
        <v/>
      </c>
    </row>
    <row r="585" spans="2:9" s="30" customFormat="1" ht="15" customHeight="1">
      <c r="B585" s="30" t="s">
        <v>96</v>
      </c>
      <c r="C585" s="30" t="s">
        <v>490</v>
      </c>
      <c r="D585" s="32">
        <v>4200</v>
      </c>
      <c r="E585" s="32">
        <v>225</v>
      </c>
      <c r="F585" s="32">
        <f t="shared" si="6"/>
        <v>4425</v>
      </c>
      <c r="G585" s="32">
        <v>150</v>
      </c>
      <c r="H585" s="32" t="s">
        <v>23</v>
      </c>
      <c r="I585" s="30" t="str">
        <f>""</f>
        <v/>
      </c>
    </row>
    <row r="586" spans="2:9" s="30" customFormat="1" ht="15" customHeight="1">
      <c r="B586" s="30" t="s">
        <v>96</v>
      </c>
      <c r="C586" s="30" t="s">
        <v>491</v>
      </c>
      <c r="D586" s="32">
        <v>4200</v>
      </c>
      <c r="E586" s="32">
        <v>0</v>
      </c>
      <c r="F586" s="32">
        <f t="shared" si="6"/>
        <v>4200</v>
      </c>
      <c r="G586" s="32">
        <v>150</v>
      </c>
      <c r="H586" s="32" t="s">
        <v>23</v>
      </c>
      <c r="I586" s="30" t="str">
        <f>""</f>
        <v/>
      </c>
    </row>
    <row r="587" spans="2:9" s="30" customFormat="1" ht="15" customHeight="1">
      <c r="B587" s="30" t="s">
        <v>96</v>
      </c>
      <c r="C587" s="30" t="s">
        <v>492</v>
      </c>
      <c r="D587" s="32">
        <v>0</v>
      </c>
      <c r="E587" s="32">
        <v>0</v>
      </c>
      <c r="F587" s="32">
        <f t="shared" si="6"/>
        <v>0</v>
      </c>
      <c r="G587" s="32">
        <v>0</v>
      </c>
      <c r="H587" s="32" t="s">
        <v>23</v>
      </c>
      <c r="I587" s="30" t="s">
        <v>112</v>
      </c>
    </row>
    <row r="588" spans="2:9" s="30" customFormat="1" ht="15" customHeight="1">
      <c r="B588" s="30" t="s">
        <v>96</v>
      </c>
      <c r="C588" s="30" t="s">
        <v>493</v>
      </c>
      <c r="D588" s="32">
        <v>0</v>
      </c>
      <c r="E588" s="32">
        <v>0</v>
      </c>
      <c r="F588" s="32">
        <f t="shared" si="6"/>
        <v>0</v>
      </c>
      <c r="G588" s="32">
        <v>0</v>
      </c>
      <c r="H588" s="32" t="s">
        <v>23</v>
      </c>
      <c r="I588" s="30" t="s">
        <v>112</v>
      </c>
    </row>
    <row r="589" spans="2:9" s="30" customFormat="1" ht="15" customHeight="1">
      <c r="D589" s="32"/>
      <c r="E589" s="32"/>
      <c r="F589" s="32"/>
      <c r="G589" s="32"/>
      <c r="H589" s="32"/>
      <c r="I589" s="30" t="str">
        <f>""</f>
        <v/>
      </c>
    </row>
    <row r="590" spans="2:9" s="30" customFormat="1" ht="15" customHeight="1">
      <c r="B590" s="32" t="s">
        <v>95</v>
      </c>
      <c r="C590" s="30" t="s">
        <v>494</v>
      </c>
      <c r="D590" s="32">
        <f>3750+(71-10)*150</f>
        <v>12900</v>
      </c>
      <c r="E590" s="32">
        <v>0</v>
      </c>
      <c r="F590" s="32">
        <f t="shared" si="6"/>
        <v>12900</v>
      </c>
      <c r="G590" s="32">
        <v>150</v>
      </c>
      <c r="H590" s="32" t="s">
        <v>99</v>
      </c>
    </row>
    <row r="591" spans="2:9" s="30" customFormat="1" ht="15" customHeight="1">
      <c r="B591" s="32" t="s">
        <v>95</v>
      </c>
      <c r="C591" s="30" t="s">
        <v>495</v>
      </c>
      <c r="D591" s="32">
        <f>3750+(71-10)*150</f>
        <v>12900</v>
      </c>
      <c r="E591" s="32">
        <v>0</v>
      </c>
      <c r="F591" s="32">
        <f t="shared" si="6"/>
        <v>12900</v>
      </c>
      <c r="G591" s="32">
        <v>150</v>
      </c>
      <c r="H591" s="32" t="s">
        <v>99</v>
      </c>
      <c r="I591" s="30" t="str">
        <f>""</f>
        <v/>
      </c>
    </row>
    <row r="592" spans="2:9" s="30" customFormat="1" ht="15" customHeight="1">
      <c r="B592" s="32" t="s">
        <v>95</v>
      </c>
      <c r="C592" s="30" t="s">
        <v>496</v>
      </c>
      <c r="D592" s="32">
        <f t="shared" ref="D592:D594" si="9">3750+(71-10)*150</f>
        <v>12900</v>
      </c>
      <c r="E592" s="32">
        <v>0</v>
      </c>
      <c r="F592" s="32">
        <f t="shared" si="6"/>
        <v>12900</v>
      </c>
      <c r="G592" s="32">
        <v>150</v>
      </c>
      <c r="H592" s="32" t="s">
        <v>99</v>
      </c>
      <c r="I592" s="30" t="str">
        <f>""</f>
        <v/>
      </c>
    </row>
    <row r="593" spans="2:9" s="30" customFormat="1" ht="15" customHeight="1">
      <c r="B593" s="32" t="s">
        <v>95</v>
      </c>
      <c r="C593" s="30" t="s">
        <v>497</v>
      </c>
      <c r="D593" s="32">
        <f t="shared" si="9"/>
        <v>12900</v>
      </c>
      <c r="E593" s="32">
        <v>0</v>
      </c>
      <c r="F593" s="32">
        <f t="shared" si="6"/>
        <v>12900</v>
      </c>
      <c r="G593" s="32">
        <v>150</v>
      </c>
      <c r="H593" s="32" t="s">
        <v>99</v>
      </c>
      <c r="I593" s="30" t="str">
        <f>""</f>
        <v/>
      </c>
    </row>
    <row r="594" spans="2:9" s="30" customFormat="1" ht="15" customHeight="1">
      <c r="B594" s="32" t="s">
        <v>95</v>
      </c>
      <c r="C594" s="30" t="s">
        <v>498</v>
      </c>
      <c r="D594" s="32">
        <f t="shared" si="9"/>
        <v>12900</v>
      </c>
      <c r="E594" s="32">
        <v>0</v>
      </c>
      <c r="F594" s="32">
        <f t="shared" si="6"/>
        <v>12900</v>
      </c>
      <c r="G594" s="32">
        <v>150</v>
      </c>
      <c r="H594" s="32" t="s">
        <v>99</v>
      </c>
      <c r="I594" s="30" t="str">
        <f>""</f>
        <v/>
      </c>
    </row>
    <row r="595" spans="2:9" s="30" customFormat="1" ht="15" customHeight="1">
      <c r="B595" s="32"/>
      <c r="D595" s="32"/>
      <c r="E595" s="32"/>
      <c r="F595" s="32"/>
      <c r="G595" s="32"/>
      <c r="H595" s="32"/>
    </row>
    <row r="596" spans="2:9" s="30" customFormat="1" ht="15" customHeight="1">
      <c r="B596" s="32"/>
      <c r="D596" s="32"/>
      <c r="E596" s="32"/>
      <c r="F596" s="32"/>
      <c r="G596" s="32"/>
      <c r="H596" s="32"/>
    </row>
    <row r="597" spans="2:9" s="30" customFormat="1" ht="15" customHeight="1">
      <c r="B597" s="26" t="s">
        <v>217</v>
      </c>
      <c r="C597" s="27" t="s">
        <v>218</v>
      </c>
      <c r="D597" s="28" t="s">
        <v>89</v>
      </c>
      <c r="E597" s="29" t="s">
        <v>90</v>
      </c>
      <c r="F597" s="29" t="s">
        <v>91</v>
      </c>
      <c r="G597" s="29" t="s">
        <v>92</v>
      </c>
      <c r="I597" s="30" t="str">
        <f>""</f>
        <v/>
      </c>
    </row>
    <row r="598" spans="2:9" s="30" customFormat="1" ht="15" customHeight="1">
      <c r="B598" s="30" t="s">
        <v>29</v>
      </c>
      <c r="C598" s="30" t="s">
        <v>29</v>
      </c>
      <c r="D598" s="31">
        <v>0</v>
      </c>
      <c r="E598" s="29">
        <v>0</v>
      </c>
      <c r="F598" s="29">
        <v>0</v>
      </c>
      <c r="G598" s="29">
        <v>0</v>
      </c>
      <c r="I598" s="30" t="str">
        <f>""</f>
        <v/>
      </c>
    </row>
    <row r="599" spans="2:9" s="30" customFormat="1" ht="15" customHeight="1">
      <c r="D599" s="31"/>
      <c r="E599" s="29"/>
      <c r="F599" s="29"/>
      <c r="G599" s="29"/>
      <c r="I599" s="30" t="str">
        <f>""</f>
        <v/>
      </c>
    </row>
    <row r="600" spans="2:9" s="30" customFormat="1" ht="15" customHeight="1">
      <c r="B600" s="30" t="s">
        <v>93</v>
      </c>
      <c r="C600" s="30" t="s">
        <v>198</v>
      </c>
      <c r="D600" s="32">
        <v>2100</v>
      </c>
      <c r="E600" s="32">
        <v>225</v>
      </c>
      <c r="F600" s="32">
        <f t="shared" ref="F600:F603" si="10">D600+E600</f>
        <v>2325</v>
      </c>
      <c r="G600" s="32">
        <v>150</v>
      </c>
      <c r="H600" s="30" t="s">
        <v>24</v>
      </c>
      <c r="I600" s="30" t="str">
        <f>""</f>
        <v/>
      </c>
    </row>
    <row r="601" spans="2:9" s="30" customFormat="1" ht="15" customHeight="1">
      <c r="B601" s="30" t="s">
        <v>93</v>
      </c>
      <c r="C601" s="30" t="s">
        <v>199</v>
      </c>
      <c r="D601" s="32">
        <v>2100</v>
      </c>
      <c r="E601" s="32">
        <v>0</v>
      </c>
      <c r="F601" s="32">
        <f t="shared" si="10"/>
        <v>2100</v>
      </c>
      <c r="G601" s="32">
        <v>150</v>
      </c>
      <c r="H601" s="30" t="s">
        <v>24</v>
      </c>
      <c r="I601" s="30" t="str">
        <f>""</f>
        <v/>
      </c>
    </row>
    <row r="602" spans="2:9" s="30" customFormat="1" ht="15" customHeight="1">
      <c r="B602" s="30" t="s">
        <v>93</v>
      </c>
      <c r="C602" s="30" t="s">
        <v>200</v>
      </c>
      <c r="D602" s="32">
        <v>0</v>
      </c>
      <c r="E602" s="32">
        <v>0</v>
      </c>
      <c r="F602" s="32">
        <f t="shared" si="10"/>
        <v>0</v>
      </c>
      <c r="G602" s="32">
        <v>0</v>
      </c>
      <c r="I602" s="30" t="s">
        <v>112</v>
      </c>
    </row>
    <row r="603" spans="2:9" s="30" customFormat="1" ht="15" customHeight="1">
      <c r="B603" s="30" t="s">
        <v>93</v>
      </c>
      <c r="C603" s="30" t="s">
        <v>201</v>
      </c>
      <c r="D603" s="32">
        <v>0</v>
      </c>
      <c r="E603" s="32">
        <v>0</v>
      </c>
      <c r="F603" s="32">
        <f t="shared" si="10"/>
        <v>0</v>
      </c>
      <c r="G603" s="32">
        <v>0</v>
      </c>
      <c r="I603" s="30" t="s">
        <v>112</v>
      </c>
    </row>
    <row r="604" spans="2:9" s="30" customFormat="1" ht="15" customHeight="1">
      <c r="D604" s="32"/>
      <c r="E604" s="32"/>
      <c r="F604" s="32"/>
      <c r="G604" s="32"/>
      <c r="I604" s="30" t="str">
        <f>""</f>
        <v/>
      </c>
    </row>
    <row r="605" spans="2:9" s="30" customFormat="1" ht="15" customHeight="1">
      <c r="B605" s="32"/>
      <c r="D605" s="32"/>
      <c r="E605" s="32"/>
      <c r="F605" s="32"/>
      <c r="G605" s="32"/>
      <c r="H605" s="32"/>
    </row>
    <row r="606" spans="2:9" s="30" customFormat="1" ht="15" customHeight="1">
      <c r="B606" s="26" t="s">
        <v>149</v>
      </c>
      <c r="C606" s="27" t="s">
        <v>219</v>
      </c>
      <c r="D606" s="28" t="s">
        <v>150</v>
      </c>
      <c r="E606" s="29" t="s">
        <v>151</v>
      </c>
      <c r="F606" s="29" t="s">
        <v>152</v>
      </c>
      <c r="G606" s="29" t="s">
        <v>153</v>
      </c>
      <c r="I606" s="30" t="str">
        <f>""</f>
        <v/>
      </c>
    </row>
    <row r="607" spans="2:9" s="30" customFormat="1" ht="15" customHeight="1">
      <c r="B607" s="30" t="s">
        <v>29</v>
      </c>
      <c r="C607" s="30" t="s">
        <v>29</v>
      </c>
      <c r="D607" s="31">
        <v>0</v>
      </c>
      <c r="E607" s="29">
        <v>0</v>
      </c>
      <c r="F607" s="29">
        <v>0</v>
      </c>
      <c r="G607" s="29">
        <v>0</v>
      </c>
      <c r="I607" s="30" t="str">
        <f>""</f>
        <v/>
      </c>
    </row>
    <row r="608" spans="2:9" s="30" customFormat="1" ht="15" customHeight="1">
      <c r="D608" s="31"/>
      <c r="E608" s="29"/>
      <c r="F608" s="29"/>
      <c r="G608" s="29"/>
      <c r="I608" s="30" t="str">
        <f>""</f>
        <v/>
      </c>
    </row>
    <row r="609" spans="2:9" s="30" customFormat="1" ht="15" customHeight="1">
      <c r="B609" s="30" t="s">
        <v>12</v>
      </c>
      <c r="C609" s="30" t="s">
        <v>155</v>
      </c>
      <c r="D609" s="31">
        <v>500</v>
      </c>
      <c r="E609" s="31">
        <v>450</v>
      </c>
      <c r="F609" s="32">
        <f>D609+E609</f>
        <v>950</v>
      </c>
      <c r="G609" s="31">
        <v>0</v>
      </c>
      <c r="I609" s="30" t="str">
        <f>""</f>
        <v/>
      </c>
    </row>
    <row r="610" spans="2:9" s="30" customFormat="1" ht="15" customHeight="1">
      <c r="B610" s="30" t="s">
        <v>12</v>
      </c>
      <c r="C610" s="30" t="s">
        <v>156</v>
      </c>
      <c r="D610" s="32">
        <v>500</v>
      </c>
      <c r="E610" s="32">
        <v>450</v>
      </c>
      <c r="F610" s="32">
        <f>D610+E610</f>
        <v>950</v>
      </c>
      <c r="G610" s="32">
        <v>0</v>
      </c>
      <c r="I610" s="30" t="str">
        <f>""</f>
        <v/>
      </c>
    </row>
    <row r="611" spans="2:9" s="30" customFormat="1" ht="15" customHeight="1">
      <c r="B611" s="30" t="s">
        <v>12</v>
      </c>
      <c r="C611" s="30" t="s">
        <v>157</v>
      </c>
      <c r="D611" s="32">
        <v>500</v>
      </c>
      <c r="E611" s="32">
        <v>225</v>
      </c>
      <c r="F611" s="32">
        <f t="shared" ref="F611:F612" si="11">D611+E611</f>
        <v>725</v>
      </c>
      <c r="G611" s="32">
        <v>0</v>
      </c>
      <c r="I611" s="30" t="str">
        <f>""</f>
        <v/>
      </c>
    </row>
    <row r="612" spans="2:9" s="30" customFormat="1" ht="15" customHeight="1">
      <c r="B612" s="30" t="s">
        <v>12</v>
      </c>
      <c r="C612" s="30" t="s">
        <v>158</v>
      </c>
      <c r="D612" s="32">
        <v>500</v>
      </c>
      <c r="E612" s="32">
        <v>0</v>
      </c>
      <c r="F612" s="32">
        <f t="shared" si="11"/>
        <v>500</v>
      </c>
      <c r="G612" s="32">
        <v>0</v>
      </c>
      <c r="I612" s="30" t="str">
        <f>""</f>
        <v/>
      </c>
    </row>
    <row r="613" spans="2:9" s="30" customFormat="1" ht="15" customHeight="1">
      <c r="D613" s="32"/>
      <c r="E613" s="32"/>
      <c r="F613" s="32"/>
      <c r="G613" s="32"/>
      <c r="I613" s="30" t="str">
        <f>""</f>
        <v/>
      </c>
    </row>
    <row r="614" spans="2:9" s="30" customFormat="1" ht="15" customHeight="1">
      <c r="B614" s="30" t="s">
        <v>93</v>
      </c>
      <c r="C614" s="30" t="s">
        <v>202</v>
      </c>
      <c r="D614" s="32">
        <v>1250</v>
      </c>
      <c r="E614" s="32">
        <v>200</v>
      </c>
      <c r="F614" s="32">
        <f t="shared" ref="F614:F617" si="12">D614+E614</f>
        <v>1450</v>
      </c>
      <c r="G614" s="32">
        <v>225</v>
      </c>
      <c r="H614" s="30" t="s">
        <v>24</v>
      </c>
      <c r="I614" s="30" t="str">
        <f>""</f>
        <v/>
      </c>
    </row>
    <row r="615" spans="2:9" s="30" customFormat="1" ht="15" customHeight="1">
      <c r="B615" s="30" t="s">
        <v>93</v>
      </c>
      <c r="C615" s="30" t="s">
        <v>203</v>
      </c>
      <c r="D615" s="32">
        <v>1250</v>
      </c>
      <c r="E615" s="32">
        <v>0</v>
      </c>
      <c r="F615" s="32">
        <f t="shared" si="12"/>
        <v>1250</v>
      </c>
      <c r="G615" s="32">
        <v>225</v>
      </c>
      <c r="H615" s="30" t="s">
        <v>24</v>
      </c>
      <c r="I615" s="30" t="str">
        <f>""</f>
        <v/>
      </c>
    </row>
    <row r="616" spans="2:9" s="30" customFormat="1" ht="15" customHeight="1">
      <c r="B616" s="30" t="s">
        <v>93</v>
      </c>
      <c r="C616" s="30" t="s">
        <v>204</v>
      </c>
      <c r="D616" s="32">
        <v>0</v>
      </c>
      <c r="E616" s="32">
        <v>0</v>
      </c>
      <c r="F616" s="32">
        <f t="shared" si="12"/>
        <v>0</v>
      </c>
      <c r="G616" s="32">
        <v>0</v>
      </c>
      <c r="I616" s="30" t="s">
        <v>112</v>
      </c>
    </row>
    <row r="617" spans="2:9" s="30" customFormat="1" ht="15" customHeight="1">
      <c r="B617" s="30" t="s">
        <v>93</v>
      </c>
      <c r="C617" s="30" t="s">
        <v>205</v>
      </c>
      <c r="D617" s="32">
        <v>0</v>
      </c>
      <c r="E617" s="32">
        <v>0</v>
      </c>
      <c r="F617" s="32">
        <f t="shared" si="12"/>
        <v>0</v>
      </c>
      <c r="G617" s="32">
        <v>0</v>
      </c>
      <c r="I617" s="30" t="s">
        <v>112</v>
      </c>
    </row>
    <row r="618" spans="2:9" s="30" customFormat="1" ht="15" customHeight="1">
      <c r="D618" s="32"/>
      <c r="E618" s="32"/>
      <c r="F618" s="32"/>
      <c r="G618" s="32"/>
      <c r="I618" s="30" t="str">
        <f>""</f>
        <v/>
      </c>
    </row>
    <row r="619" spans="2:9" s="30" customFormat="1" ht="15" customHeight="1">
      <c r="B619" s="32" t="s">
        <v>94</v>
      </c>
      <c r="C619" s="30" t="s">
        <v>159</v>
      </c>
      <c r="D619" s="32">
        <f>1650+(71-1)*150</f>
        <v>12150</v>
      </c>
      <c r="E619" s="32">
        <v>0</v>
      </c>
      <c r="F619" s="32">
        <f t="shared" ref="F619:F623" si="13">D619+E619</f>
        <v>12150</v>
      </c>
      <c r="G619" s="32">
        <v>150</v>
      </c>
      <c r="H619" s="32" t="s">
        <v>99</v>
      </c>
    </row>
    <row r="620" spans="2:9" s="30" customFormat="1" ht="15" customHeight="1">
      <c r="B620" s="32" t="s">
        <v>94</v>
      </c>
      <c r="C620" s="30" t="s">
        <v>160</v>
      </c>
      <c r="D620" s="32">
        <f>1650+(71-1)*150</f>
        <v>12150</v>
      </c>
      <c r="E620" s="32">
        <v>0</v>
      </c>
      <c r="F620" s="32">
        <f t="shared" si="13"/>
        <v>12150</v>
      </c>
      <c r="G620" s="32">
        <v>150</v>
      </c>
      <c r="H620" s="32" t="s">
        <v>99</v>
      </c>
      <c r="I620" s="30" t="str">
        <f>""</f>
        <v/>
      </c>
    </row>
    <row r="621" spans="2:9" s="30" customFormat="1" ht="15" customHeight="1">
      <c r="B621" s="32" t="s">
        <v>94</v>
      </c>
      <c r="C621" s="30" t="s">
        <v>161</v>
      </c>
      <c r="D621" s="32">
        <f t="shared" ref="D621:D623" si="14">1650+(71-1)*150</f>
        <v>12150</v>
      </c>
      <c r="E621" s="32">
        <v>0</v>
      </c>
      <c r="F621" s="32">
        <f t="shared" si="13"/>
        <v>12150</v>
      </c>
      <c r="G621" s="32">
        <v>150</v>
      </c>
      <c r="H621" s="32" t="s">
        <v>99</v>
      </c>
      <c r="I621" s="30" t="str">
        <f>""</f>
        <v/>
      </c>
    </row>
    <row r="622" spans="2:9" s="30" customFormat="1" ht="15" customHeight="1">
      <c r="B622" s="32" t="s">
        <v>94</v>
      </c>
      <c r="C622" s="30" t="s">
        <v>162</v>
      </c>
      <c r="D622" s="32">
        <f t="shared" si="14"/>
        <v>12150</v>
      </c>
      <c r="E622" s="32">
        <v>0</v>
      </c>
      <c r="F622" s="32">
        <f t="shared" si="13"/>
        <v>12150</v>
      </c>
      <c r="G622" s="32">
        <v>150</v>
      </c>
      <c r="H622" s="32" t="s">
        <v>99</v>
      </c>
      <c r="I622" s="30" t="str">
        <f>""</f>
        <v/>
      </c>
    </row>
    <row r="623" spans="2:9" s="30" customFormat="1" ht="15" customHeight="1">
      <c r="B623" s="32" t="s">
        <v>94</v>
      </c>
      <c r="C623" s="30" t="s">
        <v>163</v>
      </c>
      <c r="D623" s="32">
        <f t="shared" si="14"/>
        <v>12150</v>
      </c>
      <c r="E623" s="32">
        <v>0</v>
      </c>
      <c r="F623" s="32">
        <f t="shared" si="13"/>
        <v>12150</v>
      </c>
      <c r="G623" s="32">
        <v>150</v>
      </c>
      <c r="H623" s="32" t="s">
        <v>99</v>
      </c>
      <c r="I623" s="30" t="str">
        <f>""</f>
        <v/>
      </c>
    </row>
    <row r="624" spans="2:9" s="30" customFormat="1" ht="15" customHeight="1">
      <c r="B624" s="32"/>
      <c r="D624" s="32"/>
      <c r="E624" s="32"/>
      <c r="F624" s="32"/>
      <c r="G624" s="32"/>
      <c r="H624" s="32"/>
      <c r="I624" s="30" t="str">
        <f>""</f>
        <v/>
      </c>
    </row>
    <row r="625" spans="2:9" s="30" customFormat="1" ht="15" customHeight="1">
      <c r="B625" s="30" t="s">
        <v>13</v>
      </c>
      <c r="C625" s="30" t="s">
        <v>164</v>
      </c>
      <c r="D625" s="32">
        <v>500</v>
      </c>
      <c r="E625" s="32">
        <v>450</v>
      </c>
      <c r="F625" s="32">
        <f t="shared" ref="F625:F628" si="15">D625+E625</f>
        <v>950</v>
      </c>
      <c r="G625" s="32">
        <v>0</v>
      </c>
      <c r="H625" s="32"/>
      <c r="I625" s="30" t="str">
        <f>""</f>
        <v/>
      </c>
    </row>
    <row r="626" spans="2:9" s="30" customFormat="1" ht="15" customHeight="1">
      <c r="B626" s="30" t="s">
        <v>13</v>
      </c>
      <c r="C626" s="30" t="s">
        <v>165</v>
      </c>
      <c r="D626" s="32">
        <v>500</v>
      </c>
      <c r="E626" s="32">
        <v>450</v>
      </c>
      <c r="F626" s="32">
        <f t="shared" si="15"/>
        <v>950</v>
      </c>
      <c r="G626" s="32">
        <v>0</v>
      </c>
      <c r="I626" s="30" t="str">
        <f>""</f>
        <v/>
      </c>
    </row>
    <row r="627" spans="2:9" s="30" customFormat="1" ht="15" customHeight="1">
      <c r="B627" s="30" t="s">
        <v>13</v>
      </c>
      <c r="C627" s="30" t="s">
        <v>166</v>
      </c>
      <c r="D627" s="32">
        <v>500</v>
      </c>
      <c r="E627" s="32">
        <v>225</v>
      </c>
      <c r="F627" s="32">
        <f t="shared" si="15"/>
        <v>725</v>
      </c>
      <c r="G627" s="32">
        <v>0</v>
      </c>
      <c r="I627" s="30" t="str">
        <f>""</f>
        <v/>
      </c>
    </row>
    <row r="628" spans="2:9" s="30" customFormat="1" ht="15" customHeight="1">
      <c r="B628" s="30" t="s">
        <v>13</v>
      </c>
      <c r="C628" s="30" t="s">
        <v>167</v>
      </c>
      <c r="D628" s="32">
        <v>500</v>
      </c>
      <c r="E628" s="32">
        <v>0</v>
      </c>
      <c r="F628" s="32">
        <f t="shared" si="15"/>
        <v>500</v>
      </c>
      <c r="G628" s="32">
        <v>0</v>
      </c>
      <c r="I628" s="30" t="str">
        <f>""</f>
        <v/>
      </c>
    </row>
    <row r="629" spans="2:9" s="30" customFormat="1" ht="15" customHeight="1">
      <c r="D629" s="32"/>
      <c r="E629" s="32"/>
      <c r="F629" s="32"/>
      <c r="G629" s="32"/>
      <c r="I629" s="30" t="str">
        <f>""</f>
        <v/>
      </c>
    </row>
    <row r="630" spans="2:9" s="30" customFormat="1" ht="15" customHeight="1">
      <c r="B630" s="30" t="s">
        <v>14</v>
      </c>
      <c r="C630" s="30" t="s">
        <v>168</v>
      </c>
      <c r="D630" s="32">
        <v>4200</v>
      </c>
      <c r="E630" s="32">
        <v>225</v>
      </c>
      <c r="F630" s="32">
        <f t="shared" ref="F630:F633" si="16">D630+E630</f>
        <v>4425</v>
      </c>
      <c r="G630" s="32">
        <v>0</v>
      </c>
      <c r="I630" s="30" t="str">
        <f>""</f>
        <v/>
      </c>
    </row>
    <row r="631" spans="2:9" s="30" customFormat="1" ht="15" customHeight="1">
      <c r="B631" s="30" t="s">
        <v>14</v>
      </c>
      <c r="C631" s="30" t="s">
        <v>169</v>
      </c>
      <c r="D631" s="32">
        <v>4200</v>
      </c>
      <c r="E631" s="32">
        <v>0</v>
      </c>
      <c r="F631" s="32">
        <f t="shared" si="16"/>
        <v>4200</v>
      </c>
      <c r="G631" s="32">
        <v>0</v>
      </c>
      <c r="I631" s="30" t="str">
        <f>""</f>
        <v/>
      </c>
    </row>
    <row r="632" spans="2:9" s="30" customFormat="1" ht="15" customHeight="1">
      <c r="B632" s="30" t="s">
        <v>14</v>
      </c>
      <c r="C632" s="30" t="s">
        <v>170</v>
      </c>
      <c r="D632" s="32">
        <v>0</v>
      </c>
      <c r="E632" s="32">
        <v>0</v>
      </c>
      <c r="F632" s="32">
        <f t="shared" si="16"/>
        <v>0</v>
      </c>
      <c r="G632" s="32">
        <v>0</v>
      </c>
      <c r="I632" s="30" t="s">
        <v>112</v>
      </c>
    </row>
    <row r="633" spans="2:9" s="30" customFormat="1" ht="15" customHeight="1">
      <c r="B633" s="30" t="s">
        <v>14</v>
      </c>
      <c r="C633" s="30" t="s">
        <v>171</v>
      </c>
      <c r="D633" s="32">
        <v>0</v>
      </c>
      <c r="E633" s="32">
        <v>0</v>
      </c>
      <c r="F633" s="32">
        <f t="shared" si="16"/>
        <v>0</v>
      </c>
      <c r="G633" s="32">
        <v>0</v>
      </c>
      <c r="I633" s="30" t="s">
        <v>112</v>
      </c>
    </row>
    <row r="634" spans="2:9" s="30" customFormat="1" ht="15" customHeight="1">
      <c r="D634" s="32"/>
      <c r="E634" s="32"/>
      <c r="F634" s="32"/>
      <c r="G634" s="32"/>
      <c r="I634" s="30" t="str">
        <f>""</f>
        <v/>
      </c>
    </row>
    <row r="635" spans="2:9" s="30" customFormat="1" ht="15" customHeight="1">
      <c r="B635" s="30" t="s">
        <v>97</v>
      </c>
      <c r="C635" s="30" t="s">
        <v>172</v>
      </c>
      <c r="D635" s="32">
        <v>4200</v>
      </c>
      <c r="E635" s="32">
        <v>225</v>
      </c>
      <c r="F635" s="32">
        <f t="shared" ref="F635:F638" si="17">D635+E635</f>
        <v>4425</v>
      </c>
      <c r="G635" s="32">
        <v>150</v>
      </c>
      <c r="H635" s="32" t="s">
        <v>23</v>
      </c>
      <c r="I635" s="30" t="str">
        <f>""</f>
        <v/>
      </c>
    </row>
    <row r="636" spans="2:9" s="30" customFormat="1" ht="15" customHeight="1">
      <c r="B636" s="30" t="s">
        <v>97</v>
      </c>
      <c r="C636" s="30" t="s">
        <v>173</v>
      </c>
      <c r="D636" s="32">
        <v>4200</v>
      </c>
      <c r="E636" s="32">
        <v>0</v>
      </c>
      <c r="F636" s="32">
        <f t="shared" si="17"/>
        <v>4200</v>
      </c>
      <c r="G636" s="32">
        <v>150</v>
      </c>
      <c r="H636" s="32" t="s">
        <v>23</v>
      </c>
      <c r="I636" s="30" t="str">
        <f>""</f>
        <v/>
      </c>
    </row>
    <row r="637" spans="2:9" s="30" customFormat="1" ht="15" customHeight="1">
      <c r="B637" s="30" t="s">
        <v>97</v>
      </c>
      <c r="C637" s="30" t="s">
        <v>174</v>
      </c>
      <c r="D637" s="32">
        <v>0</v>
      </c>
      <c r="E637" s="32">
        <v>0</v>
      </c>
      <c r="F637" s="32">
        <f t="shared" si="17"/>
        <v>0</v>
      </c>
      <c r="G637" s="32">
        <v>0</v>
      </c>
      <c r="H637" s="32"/>
      <c r="I637" s="30" t="s">
        <v>112</v>
      </c>
    </row>
    <row r="638" spans="2:9" s="30" customFormat="1" ht="15" customHeight="1">
      <c r="B638" s="30" t="s">
        <v>97</v>
      </c>
      <c r="C638" s="30" t="s">
        <v>175</v>
      </c>
      <c r="D638" s="32">
        <v>0</v>
      </c>
      <c r="E638" s="32">
        <v>0</v>
      </c>
      <c r="F638" s="32">
        <f t="shared" si="17"/>
        <v>0</v>
      </c>
      <c r="G638" s="32">
        <v>0</v>
      </c>
      <c r="H638" s="32"/>
      <c r="I638" s="30" t="s">
        <v>112</v>
      </c>
    </row>
    <row r="639" spans="2:9" s="30" customFormat="1" ht="15" customHeight="1">
      <c r="D639" s="32"/>
      <c r="E639" s="32"/>
      <c r="F639" s="32"/>
      <c r="G639" s="32"/>
      <c r="H639" s="32"/>
      <c r="I639" s="30" t="str">
        <f>""</f>
        <v/>
      </c>
    </row>
    <row r="640" spans="2:9" s="30" customFormat="1" ht="15" customHeight="1">
      <c r="B640" s="32" t="s">
        <v>98</v>
      </c>
      <c r="C640" s="30" t="s">
        <v>176</v>
      </c>
      <c r="D640" s="32">
        <f>3750+(71-10)*150</f>
        <v>12900</v>
      </c>
      <c r="E640" s="32">
        <v>0</v>
      </c>
      <c r="F640" s="32">
        <f t="shared" ref="F640:F644" si="18">D640+E640</f>
        <v>12900</v>
      </c>
      <c r="G640" s="32">
        <v>150</v>
      </c>
      <c r="H640" s="32" t="s">
        <v>99</v>
      </c>
    </row>
    <row r="641" spans="2:9" s="30" customFormat="1" ht="15" customHeight="1">
      <c r="B641" s="32" t="s">
        <v>98</v>
      </c>
      <c r="C641" s="30" t="s">
        <v>177</v>
      </c>
      <c r="D641" s="32">
        <f>3750+(71-10)*150</f>
        <v>12900</v>
      </c>
      <c r="E641" s="32">
        <v>0</v>
      </c>
      <c r="F641" s="32">
        <f t="shared" si="18"/>
        <v>12900</v>
      </c>
      <c r="G641" s="32">
        <v>150</v>
      </c>
      <c r="H641" s="32" t="s">
        <v>99</v>
      </c>
      <c r="I641" s="30" t="str">
        <f>""</f>
        <v/>
      </c>
    </row>
    <row r="642" spans="2:9" s="30" customFormat="1" ht="15" customHeight="1">
      <c r="B642" s="32" t="s">
        <v>98</v>
      </c>
      <c r="C642" s="30" t="s">
        <v>178</v>
      </c>
      <c r="D642" s="32">
        <f t="shared" ref="D642:D644" si="19">3750+(71-10)*150</f>
        <v>12900</v>
      </c>
      <c r="E642" s="32">
        <v>0</v>
      </c>
      <c r="F642" s="32">
        <f t="shared" si="18"/>
        <v>12900</v>
      </c>
      <c r="G642" s="32">
        <v>150</v>
      </c>
      <c r="H642" s="32" t="s">
        <v>99</v>
      </c>
      <c r="I642" s="30" t="str">
        <f>""</f>
        <v/>
      </c>
    </row>
    <row r="643" spans="2:9" s="30" customFormat="1" ht="15" customHeight="1">
      <c r="B643" s="32" t="s">
        <v>98</v>
      </c>
      <c r="C643" s="30" t="s">
        <v>179</v>
      </c>
      <c r="D643" s="32">
        <f t="shared" si="19"/>
        <v>12900</v>
      </c>
      <c r="E643" s="32">
        <v>0</v>
      </c>
      <c r="F643" s="32">
        <f t="shared" si="18"/>
        <v>12900</v>
      </c>
      <c r="G643" s="32">
        <v>150</v>
      </c>
      <c r="H643" s="32" t="s">
        <v>99</v>
      </c>
      <c r="I643" s="30" t="str">
        <f>""</f>
        <v/>
      </c>
    </row>
    <row r="644" spans="2:9" s="30" customFormat="1" ht="15" customHeight="1">
      <c r="B644" s="32" t="s">
        <v>98</v>
      </c>
      <c r="C644" s="30" t="s">
        <v>180</v>
      </c>
      <c r="D644" s="32">
        <f t="shared" si="19"/>
        <v>12900</v>
      </c>
      <c r="E644" s="32">
        <v>0</v>
      </c>
      <c r="F644" s="32">
        <f t="shared" si="18"/>
        <v>12900</v>
      </c>
      <c r="G644" s="32">
        <v>150</v>
      </c>
      <c r="H644" s="32" t="s">
        <v>99</v>
      </c>
      <c r="I644" s="30" t="str">
        <f>""</f>
        <v/>
      </c>
    </row>
    <row r="645" spans="2:9" s="30" customFormat="1" ht="15" customHeight="1">
      <c r="B645" s="32"/>
      <c r="C645" s="32"/>
      <c r="D645" s="32"/>
      <c r="E645" s="32"/>
      <c r="F645" s="32"/>
      <c r="G645" s="32"/>
      <c r="H645" s="32"/>
      <c r="I645" s="30" t="str">
        <f>""</f>
        <v/>
      </c>
    </row>
    <row r="646" spans="2:9" s="30" customFormat="1" ht="15" customHeight="1">
      <c r="B646" s="30" t="s">
        <v>15</v>
      </c>
      <c r="C646" s="30" t="s">
        <v>181</v>
      </c>
      <c r="D646" s="32">
        <v>500</v>
      </c>
      <c r="E646" s="32">
        <v>450</v>
      </c>
      <c r="F646" s="32">
        <f t="shared" ref="F646:F649" si="20">D646+E646</f>
        <v>950</v>
      </c>
      <c r="G646" s="32">
        <v>0</v>
      </c>
      <c r="H646" s="32"/>
      <c r="I646" s="30" t="str">
        <f>""</f>
        <v/>
      </c>
    </row>
    <row r="647" spans="2:9" s="30" customFormat="1" ht="15" customHeight="1">
      <c r="B647" s="30" t="s">
        <v>15</v>
      </c>
      <c r="C647" s="30" t="s">
        <v>182</v>
      </c>
      <c r="D647" s="32">
        <v>500</v>
      </c>
      <c r="E647" s="32">
        <v>450</v>
      </c>
      <c r="F647" s="32">
        <f t="shared" si="20"/>
        <v>950</v>
      </c>
      <c r="G647" s="32">
        <v>0</v>
      </c>
      <c r="I647" s="30" t="str">
        <f>""</f>
        <v/>
      </c>
    </row>
    <row r="648" spans="2:9" s="30" customFormat="1" ht="15" customHeight="1">
      <c r="B648" s="30" t="s">
        <v>15</v>
      </c>
      <c r="C648" s="30" t="s">
        <v>183</v>
      </c>
      <c r="D648" s="32">
        <v>500</v>
      </c>
      <c r="E648" s="32">
        <v>225</v>
      </c>
      <c r="F648" s="32">
        <f t="shared" si="20"/>
        <v>725</v>
      </c>
      <c r="G648" s="32">
        <v>0</v>
      </c>
      <c r="I648" s="30" t="str">
        <f>""</f>
        <v/>
      </c>
    </row>
    <row r="649" spans="2:9" s="30" customFormat="1" ht="15" customHeight="1">
      <c r="B649" s="30" t="s">
        <v>15</v>
      </c>
      <c r="C649" s="30" t="s">
        <v>184</v>
      </c>
      <c r="D649" s="32">
        <v>500</v>
      </c>
      <c r="E649" s="32"/>
      <c r="F649" s="32">
        <f t="shared" si="20"/>
        <v>500</v>
      </c>
      <c r="G649" s="32">
        <v>0</v>
      </c>
      <c r="I649" s="30" t="str">
        <f>""</f>
        <v/>
      </c>
    </row>
    <row r="650" spans="2:9" s="30" customFormat="1" ht="15" customHeight="1">
      <c r="D650" s="32"/>
      <c r="E650" s="32"/>
      <c r="F650" s="32"/>
      <c r="G650" s="32"/>
      <c r="I650" s="30" t="str">
        <f>""</f>
        <v/>
      </c>
    </row>
    <row r="651" spans="2:9" s="30" customFormat="1" ht="15" customHeight="1">
      <c r="B651" s="30" t="s">
        <v>16</v>
      </c>
      <c r="C651" s="30" t="s">
        <v>185</v>
      </c>
      <c r="D651" s="32">
        <v>4200</v>
      </c>
      <c r="E651" s="32">
        <v>225</v>
      </c>
      <c r="F651" s="32">
        <f t="shared" ref="F651:F654" si="21">D651+E651</f>
        <v>4425</v>
      </c>
      <c r="G651" s="32">
        <v>0</v>
      </c>
      <c r="I651" s="30" t="str">
        <f>""</f>
        <v/>
      </c>
    </row>
    <row r="652" spans="2:9" s="30" customFormat="1" ht="15" customHeight="1">
      <c r="B652" s="30" t="s">
        <v>16</v>
      </c>
      <c r="C652" s="30" t="s">
        <v>186</v>
      </c>
      <c r="D652" s="32">
        <v>4200</v>
      </c>
      <c r="E652" s="32">
        <v>0</v>
      </c>
      <c r="F652" s="32">
        <f t="shared" si="21"/>
        <v>4200</v>
      </c>
      <c r="G652" s="32">
        <v>0</v>
      </c>
      <c r="I652" s="30" t="str">
        <f>""</f>
        <v/>
      </c>
    </row>
    <row r="653" spans="2:9" s="30" customFormat="1" ht="15" customHeight="1">
      <c r="B653" s="30" t="s">
        <v>16</v>
      </c>
      <c r="C653" s="30" t="s">
        <v>187</v>
      </c>
      <c r="D653" s="32">
        <v>0</v>
      </c>
      <c r="E653" s="32">
        <v>0</v>
      </c>
      <c r="F653" s="32">
        <f t="shared" si="21"/>
        <v>0</v>
      </c>
      <c r="G653" s="32">
        <v>0</v>
      </c>
      <c r="I653" s="30" t="s">
        <v>112</v>
      </c>
    </row>
    <row r="654" spans="2:9" s="30" customFormat="1" ht="15" customHeight="1">
      <c r="B654" s="30" t="s">
        <v>16</v>
      </c>
      <c r="C654" s="30" t="s">
        <v>188</v>
      </c>
      <c r="D654" s="32">
        <v>0</v>
      </c>
      <c r="E654" s="32">
        <v>0</v>
      </c>
      <c r="F654" s="32">
        <f t="shared" si="21"/>
        <v>0</v>
      </c>
      <c r="G654" s="32">
        <v>0</v>
      </c>
      <c r="I654" s="30" t="s">
        <v>112</v>
      </c>
    </row>
    <row r="655" spans="2:9" s="30" customFormat="1" ht="15" customHeight="1">
      <c r="D655" s="32"/>
      <c r="E655" s="32"/>
      <c r="F655" s="32"/>
      <c r="G655" s="32"/>
      <c r="I655" s="30" t="str">
        <f>""</f>
        <v/>
      </c>
    </row>
    <row r="656" spans="2:9" s="30" customFormat="1" ht="15" customHeight="1">
      <c r="B656" s="30" t="s">
        <v>96</v>
      </c>
      <c r="C656" s="30" t="s">
        <v>189</v>
      </c>
      <c r="D656" s="32">
        <v>4200</v>
      </c>
      <c r="E656" s="32">
        <v>225</v>
      </c>
      <c r="F656" s="32">
        <f t="shared" ref="F656:F659" si="22">D656+E656</f>
        <v>4425</v>
      </c>
      <c r="G656" s="32">
        <v>150</v>
      </c>
      <c r="H656" s="32" t="s">
        <v>23</v>
      </c>
      <c r="I656" s="30" t="str">
        <f>""</f>
        <v/>
      </c>
    </row>
    <row r="657" spans="2:9" s="30" customFormat="1" ht="15" customHeight="1">
      <c r="B657" s="30" t="s">
        <v>96</v>
      </c>
      <c r="C657" s="30" t="s">
        <v>190</v>
      </c>
      <c r="D657" s="32">
        <v>4200</v>
      </c>
      <c r="E657" s="32">
        <v>0</v>
      </c>
      <c r="F657" s="32">
        <f t="shared" si="22"/>
        <v>4200</v>
      </c>
      <c r="G657" s="32">
        <v>150</v>
      </c>
      <c r="H657" s="32" t="s">
        <v>23</v>
      </c>
      <c r="I657" s="30" t="str">
        <f>""</f>
        <v/>
      </c>
    </row>
    <row r="658" spans="2:9" s="30" customFormat="1" ht="15" customHeight="1">
      <c r="B658" s="30" t="s">
        <v>96</v>
      </c>
      <c r="C658" s="30" t="s">
        <v>191</v>
      </c>
      <c r="D658" s="32">
        <v>0</v>
      </c>
      <c r="E658" s="32">
        <v>0</v>
      </c>
      <c r="F658" s="32">
        <f t="shared" si="22"/>
        <v>0</v>
      </c>
      <c r="G658" s="32">
        <v>0</v>
      </c>
      <c r="H658" s="32" t="s">
        <v>23</v>
      </c>
      <c r="I658" s="30" t="s">
        <v>112</v>
      </c>
    </row>
    <row r="659" spans="2:9" s="30" customFormat="1" ht="15" customHeight="1">
      <c r="B659" s="30" t="s">
        <v>96</v>
      </c>
      <c r="C659" s="30" t="s">
        <v>192</v>
      </c>
      <c r="D659" s="32">
        <v>0</v>
      </c>
      <c r="E659" s="32">
        <v>0</v>
      </c>
      <c r="F659" s="32">
        <f t="shared" si="22"/>
        <v>0</v>
      </c>
      <c r="G659" s="32">
        <v>0</v>
      </c>
      <c r="H659" s="32" t="s">
        <v>23</v>
      </c>
      <c r="I659" s="30" t="s">
        <v>112</v>
      </c>
    </row>
    <row r="660" spans="2:9" s="30" customFormat="1" ht="15" customHeight="1">
      <c r="D660" s="32"/>
      <c r="E660" s="32"/>
      <c r="F660" s="32"/>
      <c r="G660" s="32"/>
      <c r="H660" s="32"/>
      <c r="I660" s="30" t="str">
        <f>""</f>
        <v/>
      </c>
    </row>
    <row r="661" spans="2:9" s="30" customFormat="1" ht="15" customHeight="1">
      <c r="B661" s="32" t="s">
        <v>95</v>
      </c>
      <c r="C661" s="30" t="s">
        <v>193</v>
      </c>
      <c r="D661" s="32">
        <f>3750+(71-10)*150</f>
        <v>12900</v>
      </c>
      <c r="E661" s="32">
        <v>0</v>
      </c>
      <c r="F661" s="32">
        <f t="shared" ref="F661:F665" si="23">D661+E661</f>
        <v>12900</v>
      </c>
      <c r="G661" s="32">
        <v>150</v>
      </c>
      <c r="H661" s="32" t="s">
        <v>99</v>
      </c>
    </row>
    <row r="662" spans="2:9" s="30" customFormat="1" ht="15" customHeight="1">
      <c r="B662" s="32" t="s">
        <v>95</v>
      </c>
      <c r="C662" s="30" t="s">
        <v>194</v>
      </c>
      <c r="D662" s="32">
        <f>3750+(71-10)*150</f>
        <v>12900</v>
      </c>
      <c r="E662" s="32">
        <v>0</v>
      </c>
      <c r="F662" s="32">
        <f t="shared" si="23"/>
        <v>12900</v>
      </c>
      <c r="G662" s="32">
        <v>150</v>
      </c>
      <c r="H662" s="32" t="s">
        <v>99</v>
      </c>
      <c r="I662" s="30" t="str">
        <f>""</f>
        <v/>
      </c>
    </row>
    <row r="663" spans="2:9" s="30" customFormat="1" ht="15" customHeight="1">
      <c r="B663" s="32" t="s">
        <v>95</v>
      </c>
      <c r="C663" s="30" t="s">
        <v>195</v>
      </c>
      <c r="D663" s="32">
        <f t="shared" ref="D663:D665" si="24">3750+(71-10)*150</f>
        <v>12900</v>
      </c>
      <c r="E663" s="32">
        <v>0</v>
      </c>
      <c r="F663" s="32">
        <f t="shared" si="23"/>
        <v>12900</v>
      </c>
      <c r="G663" s="32">
        <v>150</v>
      </c>
      <c r="H663" s="32" t="s">
        <v>99</v>
      </c>
      <c r="I663" s="30" t="str">
        <f>""</f>
        <v/>
      </c>
    </row>
    <row r="664" spans="2:9" s="30" customFormat="1" ht="15" customHeight="1">
      <c r="B664" s="32" t="s">
        <v>95</v>
      </c>
      <c r="C664" s="30" t="s">
        <v>196</v>
      </c>
      <c r="D664" s="32">
        <f t="shared" si="24"/>
        <v>12900</v>
      </c>
      <c r="E664" s="32">
        <v>0</v>
      </c>
      <c r="F664" s="32">
        <f t="shared" si="23"/>
        <v>12900</v>
      </c>
      <c r="G664" s="32">
        <v>150</v>
      </c>
      <c r="H664" s="32" t="s">
        <v>99</v>
      </c>
      <c r="I664" s="30" t="str">
        <f>""</f>
        <v/>
      </c>
    </row>
    <row r="665" spans="2:9" s="30" customFormat="1" ht="15" customHeight="1">
      <c r="B665" s="32" t="s">
        <v>95</v>
      </c>
      <c r="C665" s="30" t="s">
        <v>197</v>
      </c>
      <c r="D665" s="32">
        <f t="shared" si="24"/>
        <v>12900</v>
      </c>
      <c r="E665" s="32">
        <v>0</v>
      </c>
      <c r="F665" s="32">
        <f t="shared" si="23"/>
        <v>12900</v>
      </c>
      <c r="G665" s="32">
        <v>150</v>
      </c>
      <c r="H665" s="32" t="s">
        <v>99</v>
      </c>
      <c r="I665" s="30" t="str">
        <f>""</f>
        <v/>
      </c>
    </row>
    <row r="666" spans="2:9" s="30" customFormat="1" ht="15" customHeight="1">
      <c r="B666" s="32"/>
      <c r="D666" s="32"/>
      <c r="E666" s="32"/>
      <c r="F666" s="32"/>
      <c r="G666" s="32"/>
      <c r="H666" s="32"/>
    </row>
    <row r="667" spans="2:9" s="30" customFormat="1" ht="15" customHeight="1">
      <c r="B667" s="32"/>
      <c r="D667" s="32"/>
      <c r="E667" s="32"/>
      <c r="F667" s="32"/>
      <c r="G667" s="32"/>
      <c r="H667" s="32"/>
    </row>
    <row r="668" spans="2:9" s="30" customFormat="1" ht="15" customHeight="1">
      <c r="B668" s="26" t="s">
        <v>499</v>
      </c>
      <c r="C668" s="27" t="s">
        <v>500</v>
      </c>
      <c r="D668" s="28" t="s">
        <v>89</v>
      </c>
      <c r="E668" s="29" t="s">
        <v>90</v>
      </c>
      <c r="F668" s="29" t="s">
        <v>91</v>
      </c>
      <c r="G668" s="29" t="s">
        <v>92</v>
      </c>
      <c r="I668" s="30" t="str">
        <f>""</f>
        <v/>
      </c>
    </row>
    <row r="669" spans="2:9" s="30" customFormat="1" ht="15" customHeight="1">
      <c r="B669" s="30" t="s">
        <v>29</v>
      </c>
      <c r="C669" s="30" t="s">
        <v>29</v>
      </c>
      <c r="D669" s="31">
        <v>0</v>
      </c>
      <c r="E669" s="29">
        <v>0</v>
      </c>
      <c r="F669" s="29">
        <v>0</v>
      </c>
      <c r="G669" s="29">
        <v>0</v>
      </c>
      <c r="I669" s="30" t="str">
        <f>""</f>
        <v/>
      </c>
    </row>
    <row r="670" spans="2:9" s="30" customFormat="1" ht="15" customHeight="1">
      <c r="D670" s="31"/>
      <c r="E670" s="29"/>
      <c r="F670" s="29"/>
      <c r="G670" s="29"/>
      <c r="I670" s="30" t="str">
        <f>""</f>
        <v/>
      </c>
    </row>
    <row r="671" spans="2:9" s="30" customFormat="1" ht="15" customHeight="1">
      <c r="B671" s="30" t="s">
        <v>93</v>
      </c>
      <c r="C671" s="30" t="s">
        <v>501</v>
      </c>
      <c r="D671" s="32">
        <v>2100</v>
      </c>
      <c r="E671" s="32">
        <v>225</v>
      </c>
      <c r="F671" s="32">
        <f t="shared" ref="F671:F674" si="25">D671+E671</f>
        <v>2325</v>
      </c>
      <c r="G671" s="32">
        <v>150</v>
      </c>
      <c r="H671" s="30" t="s">
        <v>24</v>
      </c>
      <c r="I671" s="30" t="str">
        <f>""</f>
        <v/>
      </c>
    </row>
    <row r="672" spans="2:9" s="30" customFormat="1" ht="15" customHeight="1">
      <c r="B672" s="30" t="s">
        <v>93</v>
      </c>
      <c r="C672" s="30" t="s">
        <v>502</v>
      </c>
      <c r="D672" s="32">
        <v>2100</v>
      </c>
      <c r="E672" s="32">
        <v>0</v>
      </c>
      <c r="F672" s="32">
        <f t="shared" si="25"/>
        <v>2100</v>
      </c>
      <c r="G672" s="32">
        <v>150</v>
      </c>
      <c r="H672" s="30" t="s">
        <v>24</v>
      </c>
      <c r="I672" s="30" t="str">
        <f>""</f>
        <v/>
      </c>
    </row>
    <row r="673" spans="2:9" s="30" customFormat="1" ht="15" customHeight="1">
      <c r="B673" s="30" t="s">
        <v>93</v>
      </c>
      <c r="C673" s="30" t="s">
        <v>503</v>
      </c>
      <c r="D673" s="32">
        <v>0</v>
      </c>
      <c r="E673" s="32">
        <v>0</v>
      </c>
      <c r="F673" s="32">
        <f t="shared" si="25"/>
        <v>0</v>
      </c>
      <c r="G673" s="32">
        <v>0</v>
      </c>
      <c r="I673" s="30" t="s">
        <v>112</v>
      </c>
    </row>
    <row r="674" spans="2:9" s="30" customFormat="1" ht="15" customHeight="1">
      <c r="B674" s="30" t="s">
        <v>93</v>
      </c>
      <c r="C674" s="30" t="s">
        <v>504</v>
      </c>
      <c r="D674" s="32">
        <v>0</v>
      </c>
      <c r="E674" s="32">
        <v>0</v>
      </c>
      <c r="F674" s="32">
        <f t="shared" si="25"/>
        <v>0</v>
      </c>
      <c r="G674" s="32">
        <v>0</v>
      </c>
      <c r="I674" s="30" t="s">
        <v>112</v>
      </c>
    </row>
    <row r="675" spans="2:9" s="30" customFormat="1" ht="15" customHeight="1">
      <c r="D675" s="32"/>
      <c r="E675" s="32"/>
      <c r="F675" s="32"/>
      <c r="G675" s="32"/>
    </row>
    <row r="676" spans="2:9" s="30" customFormat="1" ht="15" customHeight="1">
      <c r="B676" s="26" t="s">
        <v>505</v>
      </c>
      <c r="C676" s="27" t="s">
        <v>506</v>
      </c>
      <c r="D676" s="28" t="s">
        <v>150</v>
      </c>
      <c r="E676" s="29" t="s">
        <v>151</v>
      </c>
      <c r="F676" s="29" t="s">
        <v>152</v>
      </c>
      <c r="G676" s="29" t="s">
        <v>153</v>
      </c>
      <c r="I676" s="30" t="str">
        <f>""</f>
        <v/>
      </c>
    </row>
    <row r="677" spans="2:9" s="30" customFormat="1" ht="15" customHeight="1">
      <c r="B677" s="30" t="s">
        <v>93</v>
      </c>
      <c r="C677" s="30" t="s">
        <v>507</v>
      </c>
      <c r="D677" s="32">
        <v>1250</v>
      </c>
      <c r="E677" s="32">
        <v>200</v>
      </c>
      <c r="F677" s="32">
        <f t="shared" ref="F677:F680" si="26">D677+E677</f>
        <v>1450</v>
      </c>
      <c r="G677" s="32">
        <v>225</v>
      </c>
      <c r="H677" s="30" t="s">
        <v>24</v>
      </c>
      <c r="I677" s="30" t="str">
        <f>""</f>
        <v/>
      </c>
    </row>
    <row r="678" spans="2:9" s="30" customFormat="1" ht="15" customHeight="1">
      <c r="B678" s="30" t="s">
        <v>93</v>
      </c>
      <c r="C678" s="30" t="s">
        <v>508</v>
      </c>
      <c r="D678" s="32">
        <v>1250</v>
      </c>
      <c r="E678" s="32">
        <v>0</v>
      </c>
      <c r="F678" s="32">
        <f t="shared" si="26"/>
        <v>1250</v>
      </c>
      <c r="G678" s="32">
        <v>225</v>
      </c>
      <c r="H678" s="30" t="s">
        <v>24</v>
      </c>
      <c r="I678" s="30" t="str">
        <f>""</f>
        <v/>
      </c>
    </row>
    <row r="679" spans="2:9" s="30" customFormat="1" ht="15" customHeight="1">
      <c r="B679" s="30" t="s">
        <v>93</v>
      </c>
      <c r="C679" s="30" t="s">
        <v>509</v>
      </c>
      <c r="D679" s="32">
        <v>0</v>
      </c>
      <c r="E679" s="32">
        <v>0</v>
      </c>
      <c r="F679" s="32">
        <f t="shared" si="26"/>
        <v>0</v>
      </c>
      <c r="G679" s="32">
        <v>0</v>
      </c>
      <c r="I679" s="30" t="s">
        <v>112</v>
      </c>
    </row>
    <row r="680" spans="2:9" s="30" customFormat="1" ht="15" customHeight="1">
      <c r="B680" s="30" t="s">
        <v>93</v>
      </c>
      <c r="C680" s="30" t="s">
        <v>510</v>
      </c>
      <c r="D680" s="32">
        <v>0</v>
      </c>
      <c r="E680" s="32">
        <v>0</v>
      </c>
      <c r="F680" s="32">
        <f t="shared" si="26"/>
        <v>0</v>
      </c>
      <c r="G680" s="32">
        <v>0</v>
      </c>
      <c r="I680" s="30" t="s">
        <v>112</v>
      </c>
    </row>
    <row r="681" spans="2:9" s="30" customFormat="1" ht="15" customHeight="1">
      <c r="D681" s="32"/>
      <c r="E681" s="32"/>
      <c r="F681" s="32"/>
      <c r="G681" s="32"/>
    </row>
    <row r="682" spans="2:9" s="30" customFormat="1" ht="15" customHeight="1">
      <c r="B682" s="32"/>
      <c r="D682" s="32"/>
      <c r="E682" s="32"/>
      <c r="F682" s="32"/>
      <c r="G682" s="32"/>
      <c r="H682" s="32"/>
    </row>
    <row r="683" spans="2:9" s="30" customFormat="1" ht="15" customHeight="1">
      <c r="B683" s="26" t="s">
        <v>511</v>
      </c>
      <c r="C683" s="27" t="s">
        <v>512</v>
      </c>
      <c r="D683" s="28" t="s">
        <v>442</v>
      </c>
      <c r="E683" s="29" t="s">
        <v>513</v>
      </c>
      <c r="F683" s="29" t="s">
        <v>514</v>
      </c>
      <c r="G683" s="29" t="s">
        <v>515</v>
      </c>
      <c r="I683" s="30" t="str">
        <f>""</f>
        <v/>
      </c>
    </row>
    <row r="684" spans="2:9" s="30" customFormat="1" ht="15" customHeight="1">
      <c r="B684" s="30" t="s">
        <v>29</v>
      </c>
      <c r="C684" s="30" t="s">
        <v>29</v>
      </c>
      <c r="D684" s="31">
        <v>0</v>
      </c>
      <c r="E684" s="29">
        <v>0</v>
      </c>
      <c r="F684" s="29">
        <v>0</v>
      </c>
      <c r="G684" s="29">
        <v>0</v>
      </c>
      <c r="I684" s="30" t="str">
        <f>""</f>
        <v/>
      </c>
    </row>
    <row r="685" spans="2:9" s="30" customFormat="1" ht="15" customHeight="1">
      <c r="D685" s="31"/>
      <c r="E685" s="29"/>
      <c r="F685" s="29"/>
      <c r="G685" s="29"/>
      <c r="I685" s="30" t="str">
        <f>""</f>
        <v/>
      </c>
    </row>
    <row r="686" spans="2:9" s="30" customFormat="1" ht="15" customHeight="1">
      <c r="B686" s="30" t="s">
        <v>12</v>
      </c>
      <c r="C686" s="30" t="s">
        <v>516</v>
      </c>
      <c r="D686" s="31">
        <v>500</v>
      </c>
      <c r="E686" s="31">
        <v>450</v>
      </c>
      <c r="F686" s="32">
        <f>D686+E686</f>
        <v>950</v>
      </c>
      <c r="G686" s="31">
        <v>0</v>
      </c>
      <c r="I686" s="30" t="str">
        <f>""</f>
        <v/>
      </c>
    </row>
    <row r="687" spans="2:9" s="30" customFormat="1" ht="15" customHeight="1">
      <c r="B687" s="30" t="s">
        <v>12</v>
      </c>
      <c r="C687" s="30" t="s">
        <v>517</v>
      </c>
      <c r="D687" s="32">
        <v>500</v>
      </c>
      <c r="E687" s="32">
        <v>450</v>
      </c>
      <c r="F687" s="32">
        <f>D687+E687</f>
        <v>950</v>
      </c>
      <c r="G687" s="32">
        <v>0</v>
      </c>
      <c r="I687" s="30" t="str">
        <f>""</f>
        <v/>
      </c>
    </row>
    <row r="688" spans="2:9" s="30" customFormat="1" ht="15" customHeight="1">
      <c r="B688" s="30" t="s">
        <v>12</v>
      </c>
      <c r="C688" s="30" t="s">
        <v>518</v>
      </c>
      <c r="D688" s="32">
        <v>500</v>
      </c>
      <c r="E688" s="32">
        <v>225</v>
      </c>
      <c r="F688" s="32">
        <f t="shared" ref="F688:F689" si="27">D688+E688</f>
        <v>725</v>
      </c>
      <c r="G688" s="32">
        <v>0</v>
      </c>
      <c r="I688" s="30" t="str">
        <f>""</f>
        <v/>
      </c>
    </row>
    <row r="689" spans="2:9" s="30" customFormat="1" ht="15" customHeight="1">
      <c r="B689" s="30" t="s">
        <v>12</v>
      </c>
      <c r="C689" s="30" t="s">
        <v>519</v>
      </c>
      <c r="D689" s="32">
        <v>500</v>
      </c>
      <c r="E689" s="32">
        <v>0</v>
      </c>
      <c r="F689" s="32">
        <f t="shared" si="27"/>
        <v>500</v>
      </c>
      <c r="G689" s="32">
        <v>0</v>
      </c>
      <c r="I689" s="30" t="str">
        <f>""</f>
        <v/>
      </c>
    </row>
    <row r="690" spans="2:9" s="30" customFormat="1" ht="15" customHeight="1">
      <c r="D690" s="32"/>
      <c r="E690" s="32"/>
      <c r="F690" s="32"/>
      <c r="G690" s="32"/>
    </row>
    <row r="691" spans="2:9" s="30" customFormat="1" ht="15" customHeight="1">
      <c r="B691" s="30" t="s">
        <v>520</v>
      </c>
      <c r="C691" s="30" t="s">
        <v>521</v>
      </c>
      <c r="D691" s="32">
        <v>1250</v>
      </c>
      <c r="E691" s="32">
        <v>200</v>
      </c>
      <c r="F691" s="32">
        <f t="shared" ref="F691:F694" si="28">D691+E691</f>
        <v>1450</v>
      </c>
      <c r="G691" s="32">
        <v>225</v>
      </c>
      <c r="H691" s="30" t="s">
        <v>24</v>
      </c>
      <c r="I691" s="30" t="str">
        <f>""</f>
        <v/>
      </c>
    </row>
    <row r="692" spans="2:9" s="30" customFormat="1" ht="15" customHeight="1">
      <c r="B692" s="30" t="s">
        <v>520</v>
      </c>
      <c r="C692" s="30" t="s">
        <v>522</v>
      </c>
      <c r="D692" s="32">
        <v>1250</v>
      </c>
      <c r="E692" s="32">
        <v>0</v>
      </c>
      <c r="F692" s="32">
        <f t="shared" si="28"/>
        <v>1250</v>
      </c>
      <c r="G692" s="32">
        <v>225</v>
      </c>
      <c r="H692" s="30" t="s">
        <v>24</v>
      </c>
      <c r="I692" s="30" t="str">
        <f>""</f>
        <v/>
      </c>
    </row>
    <row r="693" spans="2:9" s="30" customFormat="1" ht="15" customHeight="1">
      <c r="B693" s="30" t="s">
        <v>520</v>
      </c>
      <c r="C693" s="30" t="s">
        <v>523</v>
      </c>
      <c r="D693" s="32">
        <v>0</v>
      </c>
      <c r="E693" s="32">
        <v>0</v>
      </c>
      <c r="F693" s="32">
        <f t="shared" si="28"/>
        <v>0</v>
      </c>
      <c r="G693" s="32">
        <v>0</v>
      </c>
      <c r="I693" s="30" t="s">
        <v>112</v>
      </c>
    </row>
    <row r="694" spans="2:9" s="30" customFormat="1" ht="15" customHeight="1">
      <c r="B694" s="30" t="s">
        <v>520</v>
      </c>
      <c r="C694" s="30" t="s">
        <v>524</v>
      </c>
      <c r="D694" s="32">
        <v>0</v>
      </c>
      <c r="E694" s="32">
        <v>0</v>
      </c>
      <c r="F694" s="32">
        <f t="shared" si="28"/>
        <v>0</v>
      </c>
      <c r="G694" s="32">
        <v>0</v>
      </c>
      <c r="I694" s="30" t="s">
        <v>112</v>
      </c>
    </row>
    <row r="695" spans="2:9" s="30" customFormat="1" ht="15" customHeight="1">
      <c r="D695" s="32"/>
      <c r="E695" s="32"/>
      <c r="F695" s="32"/>
      <c r="G695" s="32"/>
      <c r="I695" s="30" t="str">
        <f>""</f>
        <v/>
      </c>
    </row>
    <row r="696" spans="2:9" s="30" customFormat="1" ht="15" customHeight="1">
      <c r="B696" s="30" t="s">
        <v>525</v>
      </c>
      <c r="C696" s="30" t="s">
        <v>526</v>
      </c>
      <c r="D696" s="32">
        <v>1250</v>
      </c>
      <c r="E696" s="32">
        <v>200</v>
      </c>
      <c r="F696" s="32">
        <f t="shared" ref="F696:F699" si="29">D696+E696</f>
        <v>1450</v>
      </c>
      <c r="G696" s="32">
        <v>225</v>
      </c>
      <c r="H696" s="30" t="s">
        <v>24</v>
      </c>
      <c r="I696" s="30" t="str">
        <f>""</f>
        <v/>
      </c>
    </row>
    <row r="697" spans="2:9" s="30" customFormat="1" ht="15" customHeight="1">
      <c r="B697" s="30" t="s">
        <v>525</v>
      </c>
      <c r="C697" s="30" t="s">
        <v>527</v>
      </c>
      <c r="D697" s="32">
        <v>1250</v>
      </c>
      <c r="E697" s="32">
        <v>0</v>
      </c>
      <c r="F697" s="32">
        <f t="shared" si="29"/>
        <v>1250</v>
      </c>
      <c r="G697" s="32">
        <v>225</v>
      </c>
      <c r="H697" s="30" t="s">
        <v>24</v>
      </c>
      <c r="I697" s="30" t="str">
        <f>""</f>
        <v/>
      </c>
    </row>
    <row r="698" spans="2:9" s="30" customFormat="1" ht="15" customHeight="1">
      <c r="B698" s="30" t="s">
        <v>525</v>
      </c>
      <c r="C698" s="30" t="s">
        <v>528</v>
      </c>
      <c r="D698" s="32">
        <v>0</v>
      </c>
      <c r="E698" s="32">
        <v>0</v>
      </c>
      <c r="F698" s="32">
        <f t="shared" si="29"/>
        <v>0</v>
      </c>
      <c r="G698" s="32">
        <v>0</v>
      </c>
      <c r="I698" s="30" t="s">
        <v>112</v>
      </c>
    </row>
    <row r="699" spans="2:9" s="30" customFormat="1" ht="15" customHeight="1">
      <c r="B699" s="30" t="s">
        <v>525</v>
      </c>
      <c r="C699" s="30" t="s">
        <v>529</v>
      </c>
      <c r="D699" s="32">
        <v>0</v>
      </c>
      <c r="E699" s="32">
        <v>0</v>
      </c>
      <c r="F699" s="32">
        <f t="shared" si="29"/>
        <v>0</v>
      </c>
      <c r="G699" s="32">
        <v>0</v>
      </c>
      <c r="I699" s="30" t="s">
        <v>112</v>
      </c>
    </row>
    <row r="700" spans="2:9" s="30" customFormat="1" ht="15" customHeight="1">
      <c r="D700" s="32"/>
      <c r="E700" s="32"/>
      <c r="F700" s="32"/>
      <c r="G700" s="32"/>
      <c r="I700" s="30" t="str">
        <f>""</f>
        <v/>
      </c>
    </row>
    <row r="701" spans="2:9" s="30" customFormat="1" ht="15" customHeight="1">
      <c r="B701" s="32" t="s">
        <v>530</v>
      </c>
      <c r="C701" s="30" t="s">
        <v>531</v>
      </c>
      <c r="D701" s="32">
        <f>1500+10650</f>
        <v>12150</v>
      </c>
      <c r="E701" s="32">
        <v>0</v>
      </c>
      <c r="F701" s="32">
        <f>D701+E701</f>
        <v>12150</v>
      </c>
      <c r="G701" s="32">
        <v>150</v>
      </c>
      <c r="H701" s="32" t="s">
        <v>99</v>
      </c>
    </row>
    <row r="702" spans="2:9" s="30" customFormat="1" ht="15" customHeight="1">
      <c r="B702" s="32" t="s">
        <v>530</v>
      </c>
      <c r="C702" s="30" t="s">
        <v>532</v>
      </c>
      <c r="D702" s="32">
        <f t="shared" ref="D702:D705" si="30">1500+10650</f>
        <v>12150</v>
      </c>
      <c r="E702" s="32">
        <v>0</v>
      </c>
      <c r="F702" s="32">
        <f>D702+E702</f>
        <v>12150</v>
      </c>
      <c r="G702" s="32">
        <v>150</v>
      </c>
      <c r="H702" s="32" t="s">
        <v>99</v>
      </c>
      <c r="I702" s="30" t="str">
        <f>""</f>
        <v/>
      </c>
    </row>
    <row r="703" spans="2:9" s="30" customFormat="1" ht="15" customHeight="1">
      <c r="B703" s="32" t="s">
        <v>530</v>
      </c>
      <c r="C703" s="30" t="s">
        <v>533</v>
      </c>
      <c r="D703" s="32">
        <f t="shared" si="30"/>
        <v>12150</v>
      </c>
      <c r="E703" s="32">
        <v>0</v>
      </c>
      <c r="F703" s="32">
        <f>D703+E703</f>
        <v>12150</v>
      </c>
      <c r="G703" s="32">
        <v>150</v>
      </c>
      <c r="H703" s="32" t="s">
        <v>99</v>
      </c>
      <c r="I703" s="30" t="str">
        <f>""</f>
        <v/>
      </c>
    </row>
    <row r="704" spans="2:9" s="30" customFormat="1" ht="15" customHeight="1">
      <c r="B704" s="32" t="s">
        <v>530</v>
      </c>
      <c r="C704" s="30" t="s">
        <v>534</v>
      </c>
      <c r="D704" s="32">
        <f t="shared" si="30"/>
        <v>12150</v>
      </c>
      <c r="E704" s="32">
        <v>0</v>
      </c>
      <c r="F704" s="32">
        <f>D704+E704</f>
        <v>12150</v>
      </c>
      <c r="G704" s="32">
        <v>150</v>
      </c>
      <c r="H704" s="32" t="s">
        <v>99</v>
      </c>
      <c r="I704" s="30" t="str">
        <f>""</f>
        <v/>
      </c>
    </row>
    <row r="705" spans="2:9" s="30" customFormat="1" ht="15" customHeight="1">
      <c r="B705" s="32" t="s">
        <v>530</v>
      </c>
      <c r="C705" s="30" t="s">
        <v>535</v>
      </c>
      <c r="D705" s="32">
        <f t="shared" si="30"/>
        <v>12150</v>
      </c>
      <c r="E705" s="32">
        <v>0</v>
      </c>
      <c r="F705" s="32">
        <f>D705+E705</f>
        <v>12150</v>
      </c>
      <c r="G705" s="32">
        <v>150</v>
      </c>
      <c r="H705" s="32" t="s">
        <v>99</v>
      </c>
      <c r="I705" s="30" t="str">
        <f>""</f>
        <v/>
      </c>
    </row>
    <row r="706" spans="2:9" s="30" customFormat="1" ht="15" customHeight="1">
      <c r="B706" s="32"/>
      <c r="D706" s="32"/>
      <c r="E706" s="32"/>
      <c r="F706" s="32"/>
      <c r="G706" s="32"/>
      <c r="H706" s="32"/>
    </row>
    <row r="707" spans="2:9" s="30" customFormat="1" ht="15" customHeight="1">
      <c r="B707" s="32" t="s">
        <v>536</v>
      </c>
      <c r="C707" s="30" t="s">
        <v>537</v>
      </c>
      <c r="D707" s="32">
        <v>12150</v>
      </c>
      <c r="E707" s="32">
        <v>0</v>
      </c>
      <c r="F707" s="32">
        <f t="shared" ref="F707:F711" si="31">D707+E707</f>
        <v>12150</v>
      </c>
      <c r="G707" s="32">
        <v>150</v>
      </c>
      <c r="H707" s="32" t="s">
        <v>99</v>
      </c>
    </row>
    <row r="708" spans="2:9" s="30" customFormat="1" ht="15" customHeight="1">
      <c r="B708" s="32" t="s">
        <v>536</v>
      </c>
      <c r="C708" s="30" t="s">
        <v>538</v>
      </c>
      <c r="D708" s="32">
        <v>12150</v>
      </c>
      <c r="E708" s="32">
        <v>0</v>
      </c>
      <c r="F708" s="32">
        <f t="shared" si="31"/>
        <v>12150</v>
      </c>
      <c r="G708" s="32">
        <v>150</v>
      </c>
      <c r="H708" s="32" t="s">
        <v>99</v>
      </c>
      <c r="I708" s="30" t="str">
        <f>""</f>
        <v/>
      </c>
    </row>
    <row r="709" spans="2:9" s="30" customFormat="1" ht="15" customHeight="1">
      <c r="B709" s="32" t="s">
        <v>536</v>
      </c>
      <c r="C709" s="30" t="s">
        <v>539</v>
      </c>
      <c r="D709" s="32">
        <v>12150</v>
      </c>
      <c r="E709" s="32">
        <v>0</v>
      </c>
      <c r="F709" s="32">
        <f t="shared" si="31"/>
        <v>12150</v>
      </c>
      <c r="G709" s="32">
        <v>150</v>
      </c>
      <c r="H709" s="32" t="s">
        <v>99</v>
      </c>
      <c r="I709" s="30" t="str">
        <f>""</f>
        <v/>
      </c>
    </row>
    <row r="710" spans="2:9" s="30" customFormat="1" ht="15" customHeight="1">
      <c r="B710" s="32" t="s">
        <v>536</v>
      </c>
      <c r="C710" s="30" t="s">
        <v>540</v>
      </c>
      <c r="D710" s="32">
        <v>12150</v>
      </c>
      <c r="E710" s="32">
        <v>0</v>
      </c>
      <c r="F710" s="32">
        <f t="shared" si="31"/>
        <v>12150</v>
      </c>
      <c r="G710" s="32">
        <v>150</v>
      </c>
      <c r="H710" s="32" t="s">
        <v>99</v>
      </c>
      <c r="I710" s="30" t="str">
        <f>""</f>
        <v/>
      </c>
    </row>
    <row r="711" spans="2:9" s="30" customFormat="1" ht="15" customHeight="1">
      <c r="B711" s="32" t="s">
        <v>536</v>
      </c>
      <c r="C711" s="30" t="s">
        <v>541</v>
      </c>
      <c r="D711" s="32">
        <v>12150</v>
      </c>
      <c r="E711" s="32">
        <v>0</v>
      </c>
      <c r="F711" s="32">
        <f t="shared" si="31"/>
        <v>12150</v>
      </c>
      <c r="G711" s="32">
        <v>150</v>
      </c>
      <c r="H711" s="32" t="s">
        <v>99</v>
      </c>
      <c r="I711" s="30" t="str">
        <f>""</f>
        <v/>
      </c>
    </row>
    <row r="712" spans="2:9" s="30" customFormat="1" ht="15" customHeight="1">
      <c r="B712" s="32"/>
      <c r="D712" s="32"/>
      <c r="E712" s="32"/>
      <c r="F712" s="32"/>
      <c r="G712" s="32"/>
      <c r="H712" s="32"/>
      <c r="I712" s="30" t="str">
        <f>""</f>
        <v/>
      </c>
    </row>
    <row r="713" spans="2:9" s="30" customFormat="1" ht="15" customHeight="1">
      <c r="B713" s="30" t="s">
        <v>13</v>
      </c>
      <c r="C713" s="30" t="s">
        <v>542</v>
      </c>
      <c r="D713" s="32">
        <v>500</v>
      </c>
      <c r="E713" s="32">
        <v>450</v>
      </c>
      <c r="F713" s="32">
        <f t="shared" ref="F713:F716" si="32">D713+E713</f>
        <v>950</v>
      </c>
      <c r="G713" s="32">
        <v>0</v>
      </c>
      <c r="H713" s="32"/>
      <c r="I713" s="30" t="str">
        <f>""</f>
        <v/>
      </c>
    </row>
    <row r="714" spans="2:9" s="30" customFormat="1" ht="15" customHeight="1">
      <c r="B714" s="30" t="s">
        <v>13</v>
      </c>
      <c r="C714" s="30" t="s">
        <v>543</v>
      </c>
      <c r="D714" s="32">
        <v>500</v>
      </c>
      <c r="E714" s="32">
        <v>450</v>
      </c>
      <c r="F714" s="32">
        <f t="shared" si="32"/>
        <v>950</v>
      </c>
      <c r="G714" s="32">
        <v>0</v>
      </c>
      <c r="I714" s="30" t="str">
        <f>""</f>
        <v/>
      </c>
    </row>
    <row r="715" spans="2:9" s="30" customFormat="1" ht="15" customHeight="1">
      <c r="B715" s="30" t="s">
        <v>13</v>
      </c>
      <c r="C715" s="30" t="s">
        <v>544</v>
      </c>
      <c r="D715" s="32">
        <v>500</v>
      </c>
      <c r="E715" s="32">
        <v>225</v>
      </c>
      <c r="F715" s="32">
        <f t="shared" si="32"/>
        <v>725</v>
      </c>
      <c r="G715" s="32">
        <v>0</v>
      </c>
      <c r="I715" s="30" t="str">
        <f>""</f>
        <v/>
      </c>
    </row>
    <row r="716" spans="2:9" s="30" customFormat="1" ht="15" customHeight="1">
      <c r="B716" s="30" t="s">
        <v>13</v>
      </c>
      <c r="C716" s="30" t="s">
        <v>545</v>
      </c>
      <c r="D716" s="32">
        <v>500</v>
      </c>
      <c r="E716" s="32">
        <v>0</v>
      </c>
      <c r="F716" s="32">
        <f t="shared" si="32"/>
        <v>500</v>
      </c>
      <c r="G716" s="32">
        <v>0</v>
      </c>
      <c r="I716" s="30" t="str">
        <f>""</f>
        <v/>
      </c>
    </row>
    <row r="717" spans="2:9" s="30" customFormat="1" ht="15" customHeight="1">
      <c r="D717" s="32"/>
      <c r="E717" s="32"/>
      <c r="F717" s="32"/>
      <c r="G717" s="32"/>
      <c r="I717" s="30" t="str">
        <f>""</f>
        <v/>
      </c>
    </row>
    <row r="718" spans="2:9" s="30" customFormat="1" ht="15" customHeight="1">
      <c r="B718" s="30" t="s">
        <v>14</v>
      </c>
      <c r="C718" s="30" t="s">
        <v>546</v>
      </c>
      <c r="D718" s="32">
        <v>4200</v>
      </c>
      <c r="E718" s="32">
        <v>225</v>
      </c>
      <c r="F718" s="32">
        <f t="shared" ref="F718:F721" si="33">D718+E718</f>
        <v>4425</v>
      </c>
      <c r="G718" s="32">
        <v>0</v>
      </c>
      <c r="I718" s="30" t="str">
        <f>""</f>
        <v/>
      </c>
    </row>
    <row r="719" spans="2:9" s="30" customFormat="1" ht="15" customHeight="1">
      <c r="B719" s="30" t="s">
        <v>14</v>
      </c>
      <c r="C719" s="30" t="s">
        <v>547</v>
      </c>
      <c r="D719" s="32">
        <v>4200</v>
      </c>
      <c r="E719" s="32">
        <v>0</v>
      </c>
      <c r="F719" s="32">
        <f t="shared" si="33"/>
        <v>4200</v>
      </c>
      <c r="G719" s="32">
        <v>0</v>
      </c>
      <c r="I719" s="30" t="str">
        <f>""</f>
        <v/>
      </c>
    </row>
    <row r="720" spans="2:9" s="30" customFormat="1" ht="15" customHeight="1">
      <c r="B720" s="30" t="s">
        <v>14</v>
      </c>
      <c r="C720" s="30" t="s">
        <v>548</v>
      </c>
      <c r="D720" s="32">
        <v>0</v>
      </c>
      <c r="E720" s="32">
        <v>0</v>
      </c>
      <c r="F720" s="32">
        <f t="shared" si="33"/>
        <v>0</v>
      </c>
      <c r="G720" s="32">
        <v>0</v>
      </c>
      <c r="I720" s="30" t="s">
        <v>112</v>
      </c>
    </row>
    <row r="721" spans="2:9" s="30" customFormat="1" ht="15" customHeight="1">
      <c r="B721" s="30" t="s">
        <v>14</v>
      </c>
      <c r="C721" s="30" t="s">
        <v>549</v>
      </c>
      <c r="D721" s="32">
        <v>0</v>
      </c>
      <c r="E721" s="32">
        <v>0</v>
      </c>
      <c r="F721" s="32">
        <f t="shared" si="33"/>
        <v>0</v>
      </c>
      <c r="G721" s="32">
        <v>0</v>
      </c>
      <c r="I721" s="30" t="s">
        <v>112</v>
      </c>
    </row>
    <row r="722" spans="2:9" s="30" customFormat="1" ht="15" customHeight="1">
      <c r="D722" s="32"/>
      <c r="E722" s="32"/>
      <c r="F722" s="32"/>
      <c r="G722" s="32"/>
      <c r="I722" s="30" t="str">
        <f>""</f>
        <v/>
      </c>
    </row>
    <row r="723" spans="2:9" s="30" customFormat="1" ht="15" customHeight="1">
      <c r="B723" s="30" t="s">
        <v>97</v>
      </c>
      <c r="C723" s="30" t="s">
        <v>550</v>
      </c>
      <c r="D723" s="32">
        <v>4200</v>
      </c>
      <c r="E723" s="32">
        <v>225</v>
      </c>
      <c r="F723" s="32">
        <f t="shared" ref="F723:F726" si="34">D723+E723</f>
        <v>4425</v>
      </c>
      <c r="G723" s="32">
        <v>150</v>
      </c>
      <c r="H723" s="32" t="s">
        <v>23</v>
      </c>
      <c r="I723" s="30" t="str">
        <f>""</f>
        <v/>
      </c>
    </row>
    <row r="724" spans="2:9" s="30" customFormat="1" ht="15" customHeight="1">
      <c r="B724" s="30" t="s">
        <v>97</v>
      </c>
      <c r="C724" s="30" t="s">
        <v>551</v>
      </c>
      <c r="D724" s="32">
        <v>4200</v>
      </c>
      <c r="E724" s="32">
        <v>0</v>
      </c>
      <c r="F724" s="32">
        <f t="shared" si="34"/>
        <v>4200</v>
      </c>
      <c r="G724" s="32">
        <v>150</v>
      </c>
      <c r="H724" s="32" t="s">
        <v>23</v>
      </c>
      <c r="I724" s="30" t="str">
        <f>""</f>
        <v/>
      </c>
    </row>
    <row r="725" spans="2:9" s="30" customFormat="1" ht="15" customHeight="1">
      <c r="B725" s="30" t="s">
        <v>97</v>
      </c>
      <c r="C725" s="30" t="s">
        <v>552</v>
      </c>
      <c r="D725" s="32">
        <v>0</v>
      </c>
      <c r="E725" s="32">
        <v>0</v>
      </c>
      <c r="F725" s="32">
        <f t="shared" si="34"/>
        <v>0</v>
      </c>
      <c r="G725" s="32">
        <v>0</v>
      </c>
      <c r="H725" s="32"/>
      <c r="I725" s="30" t="s">
        <v>112</v>
      </c>
    </row>
    <row r="726" spans="2:9" s="30" customFormat="1" ht="15" customHeight="1">
      <c r="B726" s="30" t="s">
        <v>97</v>
      </c>
      <c r="C726" s="30" t="s">
        <v>553</v>
      </c>
      <c r="D726" s="32">
        <v>0</v>
      </c>
      <c r="E726" s="32">
        <v>0</v>
      </c>
      <c r="F726" s="32">
        <f t="shared" si="34"/>
        <v>0</v>
      </c>
      <c r="G726" s="32">
        <v>0</v>
      </c>
      <c r="H726" s="32"/>
      <c r="I726" s="30" t="s">
        <v>112</v>
      </c>
    </row>
    <row r="727" spans="2:9" s="30" customFormat="1" ht="15" customHeight="1">
      <c r="D727" s="32"/>
      <c r="E727" s="32"/>
      <c r="F727" s="32"/>
      <c r="G727" s="32"/>
      <c r="H727" s="32"/>
      <c r="I727" s="30" t="str">
        <f>""</f>
        <v/>
      </c>
    </row>
    <row r="728" spans="2:9" s="30" customFormat="1" ht="15" customHeight="1">
      <c r="B728" s="32" t="s">
        <v>98</v>
      </c>
      <c r="C728" s="30" t="s">
        <v>554</v>
      </c>
      <c r="D728" s="32">
        <f>3750+(71-10)*150</f>
        <v>12900</v>
      </c>
      <c r="E728" s="32">
        <v>0</v>
      </c>
      <c r="F728" s="32">
        <f t="shared" ref="F728:F732" si="35">D728+E728</f>
        <v>12900</v>
      </c>
      <c r="G728" s="32">
        <v>150</v>
      </c>
      <c r="H728" s="32" t="s">
        <v>99</v>
      </c>
    </row>
    <row r="729" spans="2:9" s="30" customFormat="1" ht="15" customHeight="1">
      <c r="B729" s="32" t="s">
        <v>98</v>
      </c>
      <c r="C729" s="30" t="s">
        <v>555</v>
      </c>
      <c r="D729" s="32">
        <f>3750+(71-10)*150</f>
        <v>12900</v>
      </c>
      <c r="E729" s="32">
        <v>0</v>
      </c>
      <c r="F729" s="32">
        <f t="shared" si="35"/>
        <v>12900</v>
      </c>
      <c r="G729" s="32">
        <v>150</v>
      </c>
      <c r="H729" s="32" t="s">
        <v>99</v>
      </c>
      <c r="I729" s="30" t="str">
        <f>""</f>
        <v/>
      </c>
    </row>
    <row r="730" spans="2:9" s="30" customFormat="1" ht="15" customHeight="1">
      <c r="B730" s="32" t="s">
        <v>98</v>
      </c>
      <c r="C730" s="30" t="s">
        <v>556</v>
      </c>
      <c r="D730" s="32">
        <f t="shared" ref="D730:D732" si="36">3750+(71-10)*150</f>
        <v>12900</v>
      </c>
      <c r="E730" s="32">
        <v>0</v>
      </c>
      <c r="F730" s="32">
        <f t="shared" si="35"/>
        <v>12900</v>
      </c>
      <c r="G730" s="32">
        <v>150</v>
      </c>
      <c r="H730" s="32" t="s">
        <v>99</v>
      </c>
      <c r="I730" s="30" t="str">
        <f>""</f>
        <v/>
      </c>
    </row>
    <row r="731" spans="2:9" s="30" customFormat="1" ht="15" customHeight="1">
      <c r="B731" s="32" t="s">
        <v>98</v>
      </c>
      <c r="C731" s="30" t="s">
        <v>557</v>
      </c>
      <c r="D731" s="32">
        <f t="shared" si="36"/>
        <v>12900</v>
      </c>
      <c r="E731" s="32">
        <v>0</v>
      </c>
      <c r="F731" s="32">
        <f t="shared" si="35"/>
        <v>12900</v>
      </c>
      <c r="G731" s="32">
        <v>150</v>
      </c>
      <c r="H731" s="32" t="s">
        <v>99</v>
      </c>
      <c r="I731" s="30" t="str">
        <f>""</f>
        <v/>
      </c>
    </row>
    <row r="732" spans="2:9" s="30" customFormat="1" ht="15" customHeight="1">
      <c r="B732" s="32" t="s">
        <v>98</v>
      </c>
      <c r="C732" s="30" t="s">
        <v>558</v>
      </c>
      <c r="D732" s="32">
        <f t="shared" si="36"/>
        <v>12900</v>
      </c>
      <c r="E732" s="32">
        <v>0</v>
      </c>
      <c r="F732" s="32">
        <f t="shared" si="35"/>
        <v>12900</v>
      </c>
      <c r="G732" s="32">
        <v>150</v>
      </c>
      <c r="H732" s="32" t="s">
        <v>99</v>
      </c>
      <c r="I732" s="30" t="str">
        <f>""</f>
        <v/>
      </c>
    </row>
    <row r="733" spans="2:9" s="30" customFormat="1" ht="15" customHeight="1">
      <c r="B733" s="32"/>
      <c r="C733" s="32"/>
      <c r="D733" s="32"/>
      <c r="E733" s="32"/>
      <c r="F733" s="32"/>
      <c r="G733" s="32"/>
      <c r="H733" s="32"/>
      <c r="I733" s="30" t="str">
        <f>""</f>
        <v/>
      </c>
    </row>
    <row r="734" spans="2:9" s="30" customFormat="1" ht="15" customHeight="1">
      <c r="B734" s="30" t="s">
        <v>15</v>
      </c>
      <c r="C734" s="30" t="s">
        <v>559</v>
      </c>
      <c r="D734" s="32">
        <v>500</v>
      </c>
      <c r="E734" s="32">
        <v>450</v>
      </c>
      <c r="F734" s="32">
        <f t="shared" ref="F734:F737" si="37">D734+E734</f>
        <v>950</v>
      </c>
      <c r="G734" s="32">
        <v>0</v>
      </c>
      <c r="H734" s="32"/>
      <c r="I734" s="30" t="str">
        <f>""</f>
        <v/>
      </c>
    </row>
    <row r="735" spans="2:9" s="30" customFormat="1" ht="15" customHeight="1">
      <c r="B735" s="30" t="s">
        <v>15</v>
      </c>
      <c r="C735" s="30" t="s">
        <v>560</v>
      </c>
      <c r="D735" s="32">
        <v>500</v>
      </c>
      <c r="E735" s="32">
        <v>450</v>
      </c>
      <c r="F735" s="32">
        <f t="shared" si="37"/>
        <v>950</v>
      </c>
      <c r="G735" s="32">
        <v>0</v>
      </c>
      <c r="I735" s="30" t="str">
        <f>""</f>
        <v/>
      </c>
    </row>
    <row r="736" spans="2:9" s="30" customFormat="1" ht="15" customHeight="1">
      <c r="B736" s="30" t="s">
        <v>15</v>
      </c>
      <c r="C736" s="30" t="s">
        <v>561</v>
      </c>
      <c r="D736" s="32">
        <v>500</v>
      </c>
      <c r="E736" s="32">
        <v>225</v>
      </c>
      <c r="F736" s="32">
        <f t="shared" si="37"/>
        <v>725</v>
      </c>
      <c r="G736" s="32">
        <v>0</v>
      </c>
      <c r="I736" s="30" t="str">
        <f>""</f>
        <v/>
      </c>
    </row>
    <row r="737" spans="2:9" s="30" customFormat="1" ht="15" customHeight="1">
      <c r="B737" s="30" t="s">
        <v>15</v>
      </c>
      <c r="C737" s="30" t="s">
        <v>562</v>
      </c>
      <c r="D737" s="32">
        <v>500</v>
      </c>
      <c r="E737" s="32"/>
      <c r="F737" s="32">
        <f t="shared" si="37"/>
        <v>500</v>
      </c>
      <c r="G737" s="32">
        <v>0</v>
      </c>
      <c r="I737" s="30" t="str">
        <f>""</f>
        <v/>
      </c>
    </row>
    <row r="738" spans="2:9" s="30" customFormat="1" ht="15" customHeight="1">
      <c r="D738" s="32"/>
      <c r="E738" s="32"/>
      <c r="F738" s="32"/>
      <c r="G738" s="32"/>
      <c r="I738" s="30" t="str">
        <f>""</f>
        <v/>
      </c>
    </row>
    <row r="739" spans="2:9" s="30" customFormat="1" ht="15" customHeight="1">
      <c r="B739" s="30" t="s">
        <v>16</v>
      </c>
      <c r="C739" s="30" t="s">
        <v>563</v>
      </c>
      <c r="D739" s="32">
        <v>4200</v>
      </c>
      <c r="E739" s="32">
        <v>225</v>
      </c>
      <c r="F739" s="32">
        <f t="shared" ref="F739:F742" si="38">D739+E739</f>
        <v>4425</v>
      </c>
      <c r="G739" s="32">
        <v>0</v>
      </c>
      <c r="I739" s="30" t="str">
        <f>""</f>
        <v/>
      </c>
    </row>
    <row r="740" spans="2:9" s="30" customFormat="1" ht="15" customHeight="1">
      <c r="B740" s="30" t="s">
        <v>16</v>
      </c>
      <c r="C740" s="30" t="s">
        <v>564</v>
      </c>
      <c r="D740" s="32">
        <v>4200</v>
      </c>
      <c r="E740" s="32">
        <v>0</v>
      </c>
      <c r="F740" s="32">
        <f t="shared" si="38"/>
        <v>4200</v>
      </c>
      <c r="G740" s="32">
        <v>0</v>
      </c>
      <c r="I740" s="30" t="str">
        <f>""</f>
        <v/>
      </c>
    </row>
    <row r="741" spans="2:9" s="30" customFormat="1" ht="15" customHeight="1">
      <c r="B741" s="30" t="s">
        <v>16</v>
      </c>
      <c r="C741" s="30" t="s">
        <v>565</v>
      </c>
      <c r="D741" s="32">
        <v>0</v>
      </c>
      <c r="E741" s="32">
        <v>0</v>
      </c>
      <c r="F741" s="32">
        <f t="shared" si="38"/>
        <v>0</v>
      </c>
      <c r="G741" s="32">
        <v>0</v>
      </c>
      <c r="I741" s="30" t="s">
        <v>112</v>
      </c>
    </row>
    <row r="742" spans="2:9" s="30" customFormat="1" ht="15" customHeight="1">
      <c r="B742" s="30" t="s">
        <v>16</v>
      </c>
      <c r="C742" s="30" t="s">
        <v>566</v>
      </c>
      <c r="D742" s="32">
        <v>0</v>
      </c>
      <c r="E742" s="32">
        <v>0</v>
      </c>
      <c r="F742" s="32">
        <f t="shared" si="38"/>
        <v>0</v>
      </c>
      <c r="G742" s="32">
        <v>0</v>
      </c>
      <c r="I742" s="30" t="s">
        <v>112</v>
      </c>
    </row>
    <row r="743" spans="2:9" s="30" customFormat="1" ht="15" customHeight="1">
      <c r="D743" s="32"/>
      <c r="E743" s="32"/>
      <c r="F743" s="32"/>
      <c r="G743" s="32"/>
      <c r="I743" s="30" t="str">
        <f>""</f>
        <v/>
      </c>
    </row>
    <row r="744" spans="2:9" s="30" customFormat="1" ht="15" customHeight="1">
      <c r="B744" s="30" t="s">
        <v>96</v>
      </c>
      <c r="C744" s="30" t="s">
        <v>567</v>
      </c>
      <c r="D744" s="32">
        <v>4200</v>
      </c>
      <c r="E744" s="32">
        <v>225</v>
      </c>
      <c r="F744" s="32">
        <f t="shared" ref="F744:F747" si="39">D744+E744</f>
        <v>4425</v>
      </c>
      <c r="G744" s="32">
        <v>150</v>
      </c>
      <c r="H744" s="32" t="s">
        <v>23</v>
      </c>
      <c r="I744" s="30" t="str">
        <f>""</f>
        <v/>
      </c>
    </row>
    <row r="745" spans="2:9" s="30" customFormat="1" ht="15" customHeight="1">
      <c r="B745" s="30" t="s">
        <v>96</v>
      </c>
      <c r="C745" s="30" t="s">
        <v>568</v>
      </c>
      <c r="D745" s="32">
        <v>4200</v>
      </c>
      <c r="E745" s="32">
        <v>0</v>
      </c>
      <c r="F745" s="32">
        <f t="shared" si="39"/>
        <v>4200</v>
      </c>
      <c r="G745" s="32">
        <v>150</v>
      </c>
      <c r="H745" s="32" t="s">
        <v>23</v>
      </c>
      <c r="I745" s="30" t="str">
        <f>""</f>
        <v/>
      </c>
    </row>
    <row r="746" spans="2:9" s="30" customFormat="1" ht="15" customHeight="1">
      <c r="B746" s="30" t="s">
        <v>96</v>
      </c>
      <c r="C746" s="30" t="s">
        <v>569</v>
      </c>
      <c r="D746" s="32">
        <v>0</v>
      </c>
      <c r="E746" s="32">
        <v>0</v>
      </c>
      <c r="F746" s="32">
        <f t="shared" si="39"/>
        <v>0</v>
      </c>
      <c r="G746" s="32">
        <v>0</v>
      </c>
      <c r="H746" s="32" t="s">
        <v>23</v>
      </c>
      <c r="I746" s="30" t="s">
        <v>112</v>
      </c>
    </row>
    <row r="747" spans="2:9" s="30" customFormat="1" ht="15" customHeight="1">
      <c r="B747" s="30" t="s">
        <v>96</v>
      </c>
      <c r="C747" s="30" t="s">
        <v>570</v>
      </c>
      <c r="D747" s="32">
        <v>0</v>
      </c>
      <c r="E747" s="32">
        <v>0</v>
      </c>
      <c r="F747" s="32">
        <f t="shared" si="39"/>
        <v>0</v>
      </c>
      <c r="G747" s="32">
        <v>0</v>
      </c>
      <c r="H747" s="32" t="s">
        <v>23</v>
      </c>
      <c r="I747" s="30" t="s">
        <v>112</v>
      </c>
    </row>
    <row r="748" spans="2:9" s="30" customFormat="1" ht="15" customHeight="1">
      <c r="D748" s="32"/>
      <c r="E748" s="32"/>
      <c r="F748" s="32"/>
      <c r="G748" s="32"/>
      <c r="H748" s="32"/>
      <c r="I748" s="30" t="str">
        <f>""</f>
        <v/>
      </c>
    </row>
    <row r="749" spans="2:9" s="30" customFormat="1" ht="15" customHeight="1">
      <c r="B749" s="32" t="s">
        <v>95</v>
      </c>
      <c r="C749" s="30" t="s">
        <v>571</v>
      </c>
      <c r="D749" s="32">
        <f>3750+(71-10)*150</f>
        <v>12900</v>
      </c>
      <c r="E749" s="32">
        <v>0</v>
      </c>
      <c r="F749" s="32">
        <f t="shared" ref="F749:F753" si="40">D749+E749</f>
        <v>12900</v>
      </c>
      <c r="G749" s="32">
        <v>150</v>
      </c>
      <c r="H749" s="32" t="s">
        <v>99</v>
      </c>
    </row>
    <row r="750" spans="2:9" s="30" customFormat="1" ht="15" customHeight="1">
      <c r="B750" s="32" t="s">
        <v>95</v>
      </c>
      <c r="C750" s="30" t="s">
        <v>572</v>
      </c>
      <c r="D750" s="32">
        <f>3750+(71-10)*150</f>
        <v>12900</v>
      </c>
      <c r="E750" s="32">
        <v>0</v>
      </c>
      <c r="F750" s="32">
        <f t="shared" si="40"/>
        <v>12900</v>
      </c>
      <c r="G750" s="32">
        <v>150</v>
      </c>
      <c r="H750" s="32" t="s">
        <v>99</v>
      </c>
      <c r="I750" s="30" t="str">
        <f>""</f>
        <v/>
      </c>
    </row>
    <row r="751" spans="2:9" s="30" customFormat="1" ht="15" customHeight="1">
      <c r="B751" s="32" t="s">
        <v>95</v>
      </c>
      <c r="C751" s="30" t="s">
        <v>573</v>
      </c>
      <c r="D751" s="32">
        <f t="shared" ref="D751:D753" si="41">3750+(71-10)*150</f>
        <v>12900</v>
      </c>
      <c r="E751" s="32">
        <v>0</v>
      </c>
      <c r="F751" s="32">
        <f t="shared" si="40"/>
        <v>12900</v>
      </c>
      <c r="G751" s="32">
        <v>150</v>
      </c>
      <c r="H751" s="32" t="s">
        <v>99</v>
      </c>
      <c r="I751" s="30" t="str">
        <f>""</f>
        <v/>
      </c>
    </row>
    <row r="752" spans="2:9" s="30" customFormat="1" ht="15" customHeight="1">
      <c r="B752" s="32" t="s">
        <v>95</v>
      </c>
      <c r="C752" s="30" t="s">
        <v>574</v>
      </c>
      <c r="D752" s="32">
        <f t="shared" si="41"/>
        <v>12900</v>
      </c>
      <c r="E752" s="32">
        <v>0</v>
      </c>
      <c r="F752" s="32">
        <f t="shared" si="40"/>
        <v>12900</v>
      </c>
      <c r="G752" s="32">
        <v>150</v>
      </c>
      <c r="H752" s="32" t="s">
        <v>99</v>
      </c>
      <c r="I752" s="30" t="str">
        <f>""</f>
        <v/>
      </c>
    </row>
    <row r="753" spans="2:9" s="30" customFormat="1" ht="15" customHeight="1">
      <c r="B753" s="32" t="s">
        <v>95</v>
      </c>
      <c r="C753" s="30" t="s">
        <v>575</v>
      </c>
      <c r="D753" s="32">
        <f t="shared" si="41"/>
        <v>12900</v>
      </c>
      <c r="E753" s="32">
        <v>0</v>
      </c>
      <c r="F753" s="32">
        <f t="shared" si="40"/>
        <v>12900</v>
      </c>
      <c r="G753" s="32">
        <v>150</v>
      </c>
      <c r="H753" s="32" t="s">
        <v>99</v>
      </c>
      <c r="I753" s="30" t="str">
        <f>""</f>
        <v/>
      </c>
    </row>
    <row r="754" spans="2:9" s="30" customFormat="1" ht="15" customHeight="1">
      <c r="B754" s="32"/>
      <c r="D754" s="32"/>
      <c r="E754" s="32"/>
      <c r="F754" s="32"/>
      <c r="G754" s="32"/>
      <c r="H754" s="32"/>
    </row>
    <row r="755" spans="2:9" s="30" customFormat="1" ht="15" customHeight="1">
      <c r="B755" s="32"/>
      <c r="D755" s="32"/>
      <c r="E755" s="32"/>
      <c r="F755" s="32"/>
      <c r="G755" s="32"/>
      <c r="H755" s="32"/>
    </row>
    <row r="756" spans="2:9" s="30" customFormat="1" ht="15" customHeight="1">
      <c r="B756" s="27" t="s">
        <v>9</v>
      </c>
      <c r="C756" s="27" t="s">
        <v>10</v>
      </c>
      <c r="D756" s="28" t="s">
        <v>11</v>
      </c>
      <c r="E756" s="32"/>
      <c r="F756" s="32"/>
      <c r="G756" s="32"/>
    </row>
    <row r="757" spans="2:9" s="30" customFormat="1" ht="15" customHeight="1">
      <c r="B757" s="30" t="s">
        <v>33</v>
      </c>
      <c r="C757" s="30" t="s">
        <v>33</v>
      </c>
      <c r="D757" s="34">
        <v>0</v>
      </c>
      <c r="E757" s="32"/>
      <c r="F757" s="32"/>
      <c r="G757" s="32"/>
    </row>
    <row r="758" spans="2:9" s="30" customFormat="1" ht="15" customHeight="1">
      <c r="B758" s="30" t="s">
        <v>9</v>
      </c>
      <c r="C758" s="30" t="s">
        <v>422</v>
      </c>
      <c r="D758" s="32">
        <v>1750</v>
      </c>
      <c r="F758" s="32"/>
      <c r="G758" s="32"/>
      <c r="H758" s="32" t="s">
        <v>27</v>
      </c>
    </row>
    <row r="759" spans="2:9" s="30" customFormat="1" ht="15" customHeight="1">
      <c r="B759" s="30" t="s">
        <v>9</v>
      </c>
      <c r="C759" s="30" t="s">
        <v>423</v>
      </c>
      <c r="D759" s="32">
        <v>2050</v>
      </c>
      <c r="E759" s="188"/>
      <c r="F759" s="32"/>
      <c r="G759" s="32"/>
      <c r="H759" s="32" t="s">
        <v>27</v>
      </c>
    </row>
    <row r="760" spans="2:9" s="30" customFormat="1" ht="15" customHeight="1">
      <c r="B760" s="30" t="s">
        <v>17</v>
      </c>
      <c r="C760" s="30" t="s">
        <v>424</v>
      </c>
      <c r="D760" s="32">
        <v>1950</v>
      </c>
      <c r="E760" s="115"/>
      <c r="F760" s="32"/>
      <c r="G760" s="32"/>
      <c r="H760" s="32" t="s">
        <v>27</v>
      </c>
    </row>
    <row r="761" spans="2:9" s="30" customFormat="1" ht="15" customHeight="1">
      <c r="B761" s="30" t="s">
        <v>17</v>
      </c>
      <c r="C761" s="30" t="s">
        <v>425</v>
      </c>
      <c r="D761" s="32">
        <v>1950</v>
      </c>
      <c r="E761" s="115"/>
      <c r="F761" s="32"/>
      <c r="G761" s="32"/>
      <c r="H761" s="32" t="s">
        <v>27</v>
      </c>
    </row>
    <row r="762" spans="2:9" s="30" customFormat="1" ht="15" customHeight="1"/>
    <row r="763" spans="2:9" s="30" customFormat="1" ht="15" customHeight="1">
      <c r="B763" s="27" t="s">
        <v>22</v>
      </c>
      <c r="C763" s="27" t="s">
        <v>10</v>
      </c>
      <c r="D763" s="29" t="s">
        <v>11</v>
      </c>
    </row>
    <row r="764" spans="2:9" s="30" customFormat="1" ht="15" customHeight="1">
      <c r="B764" s="30" t="s">
        <v>105</v>
      </c>
      <c r="C764" s="30" t="s">
        <v>105</v>
      </c>
      <c r="D764" s="31">
        <v>0</v>
      </c>
    </row>
    <row r="765" spans="2:9" s="30" customFormat="1" ht="15" customHeight="1">
      <c r="B765" s="30" t="s">
        <v>108</v>
      </c>
      <c r="C765" s="30" t="s">
        <v>427</v>
      </c>
      <c r="D765" s="30">
        <v>3775</v>
      </c>
    </row>
    <row r="766" spans="2:9" s="30" customFormat="1" ht="15" customHeight="1"/>
    <row r="767" spans="2:9" s="30" customFormat="1" ht="15" customHeight="1">
      <c r="B767" s="27" t="s">
        <v>46</v>
      </c>
      <c r="C767" s="27" t="s">
        <v>10</v>
      </c>
      <c r="H767" s="30" t="s">
        <v>47</v>
      </c>
    </row>
    <row r="768" spans="2:9" s="30" customFormat="1">
      <c r="B768" s="30" t="s">
        <v>45</v>
      </c>
      <c r="C768" s="30" t="s">
        <v>45</v>
      </c>
      <c r="D768" s="30">
        <v>0</v>
      </c>
    </row>
    <row r="769" spans="2:4" s="30" customFormat="1">
      <c r="B769" s="30" t="s">
        <v>46</v>
      </c>
      <c r="C769" s="30" t="s">
        <v>46</v>
      </c>
      <c r="D769" s="30">
        <v>400</v>
      </c>
    </row>
    <row r="771" spans="2:4">
      <c r="C771" s="25"/>
    </row>
    <row r="787" spans="2:2">
      <c r="B787" s="2"/>
    </row>
  </sheetData>
  <mergeCells count="2">
    <mergeCell ref="M4:M13"/>
    <mergeCell ref="N10:N13"/>
  </mergeCells>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47DEB-4156-4C55-B6C0-A13DDC1D786B}">
  <dimension ref="A1:J49"/>
  <sheetViews>
    <sheetView workbookViewId="0">
      <selection activeCell="G31" sqref="G31"/>
    </sheetView>
  </sheetViews>
  <sheetFormatPr defaultRowHeight="15"/>
  <cols>
    <col min="1" max="1" width="53.5703125" customWidth="1"/>
    <col min="2" max="2" width="15.7109375" customWidth="1"/>
    <col min="3" max="3" width="18.42578125" customWidth="1"/>
    <col min="4" max="4" width="17" customWidth="1"/>
    <col min="5" max="5" width="28.5703125" customWidth="1"/>
    <col min="6" max="6" width="36.28515625" customWidth="1"/>
    <col min="7" max="7" width="21.28515625" customWidth="1"/>
    <col min="8" max="8" width="16.7109375" customWidth="1"/>
  </cols>
  <sheetData>
    <row r="1" spans="1:10" ht="23.25">
      <c r="A1" s="141" t="s">
        <v>643</v>
      </c>
      <c r="G1" s="143"/>
    </row>
    <row r="2" spans="1:10">
      <c r="A2" s="142"/>
      <c r="G2" s="143"/>
    </row>
    <row r="3" spans="1:10">
      <c r="A3" s="1" t="s">
        <v>314</v>
      </c>
      <c r="B3" s="1"/>
      <c r="C3" s="1">
        <v>2024</v>
      </c>
      <c r="D3" s="144">
        <v>2025</v>
      </c>
      <c r="E3" s="1">
        <v>2026</v>
      </c>
      <c r="F3" s="226" t="s">
        <v>326</v>
      </c>
      <c r="G3" s="217"/>
      <c r="H3" s="217"/>
      <c r="I3" s="217"/>
    </row>
    <row r="4" spans="1:10">
      <c r="A4" s="142" t="s">
        <v>315</v>
      </c>
      <c r="C4">
        <v>65.5</v>
      </c>
      <c r="D4" s="172">
        <v>111</v>
      </c>
      <c r="E4" s="172">
        <v>111</v>
      </c>
      <c r="F4" s="146" t="s">
        <v>382</v>
      </c>
      <c r="G4" s="147" t="s">
        <v>388</v>
      </c>
    </row>
    <row r="5" spans="1:10">
      <c r="A5" s="142" t="s">
        <v>325</v>
      </c>
      <c r="C5">
        <v>42.5</v>
      </c>
      <c r="D5" s="155">
        <v>46</v>
      </c>
      <c r="E5" s="155">
        <v>46</v>
      </c>
      <c r="F5" s="146" t="s">
        <v>382</v>
      </c>
      <c r="G5" s="147" t="s">
        <v>388</v>
      </c>
      <c r="J5" s="2"/>
    </row>
    <row r="6" spans="1:10">
      <c r="A6" s="142" t="s">
        <v>316</v>
      </c>
      <c r="C6">
        <v>42.5</v>
      </c>
      <c r="D6" s="172">
        <v>46</v>
      </c>
      <c r="E6" s="172">
        <v>46</v>
      </c>
      <c r="F6" s="146" t="s">
        <v>382</v>
      </c>
      <c r="G6" s="147" t="s">
        <v>388</v>
      </c>
    </row>
    <row r="7" spans="1:10">
      <c r="A7" s="168" t="s">
        <v>317</v>
      </c>
      <c r="C7">
        <v>23</v>
      </c>
      <c r="D7" s="172">
        <v>25</v>
      </c>
      <c r="E7" s="172">
        <v>25</v>
      </c>
      <c r="F7" s="146" t="s">
        <v>382</v>
      </c>
      <c r="G7" s="147" t="s">
        <v>388</v>
      </c>
    </row>
    <row r="8" spans="1:10">
      <c r="A8" s="168" t="s">
        <v>381</v>
      </c>
      <c r="C8">
        <v>0</v>
      </c>
      <c r="D8">
        <v>0</v>
      </c>
      <c r="E8" s="143">
        <v>25</v>
      </c>
      <c r="G8" s="143"/>
      <c r="H8" s="145">
        <v>2026</v>
      </c>
    </row>
    <row r="9" spans="1:10">
      <c r="G9" s="143"/>
    </row>
    <row r="10" spans="1:10">
      <c r="A10" s="142" t="s">
        <v>318</v>
      </c>
      <c r="C10" s="172">
        <v>45</v>
      </c>
      <c r="D10" s="155">
        <v>45</v>
      </c>
      <c r="E10" s="155">
        <v>45</v>
      </c>
      <c r="F10" s="146" t="s">
        <v>382</v>
      </c>
      <c r="G10" s="147" t="s">
        <v>388</v>
      </c>
    </row>
    <row r="11" spans="1:10">
      <c r="A11" s="142" t="s">
        <v>319</v>
      </c>
      <c r="C11" s="155">
        <v>20</v>
      </c>
      <c r="D11" s="155">
        <v>20</v>
      </c>
      <c r="E11" s="155">
        <v>20</v>
      </c>
      <c r="F11" s="146" t="s">
        <v>382</v>
      </c>
      <c r="G11" s="147" t="s">
        <v>388</v>
      </c>
      <c r="J11" s="2"/>
    </row>
    <row r="12" spans="1:10">
      <c r="A12" s="142" t="s">
        <v>320</v>
      </c>
      <c r="C12" s="155">
        <v>20</v>
      </c>
      <c r="D12" s="155">
        <v>20</v>
      </c>
      <c r="E12" s="155">
        <v>20</v>
      </c>
      <c r="F12" s="146" t="s">
        <v>382</v>
      </c>
      <c r="G12" s="147" t="s">
        <v>388</v>
      </c>
    </row>
    <row r="13" spans="1:10">
      <c r="A13" s="142" t="s">
        <v>321</v>
      </c>
      <c r="C13" s="155">
        <v>10</v>
      </c>
      <c r="D13" s="155">
        <v>10</v>
      </c>
      <c r="E13" s="155">
        <v>10</v>
      </c>
      <c r="F13" s="146" t="s">
        <v>382</v>
      </c>
      <c r="G13" s="147" t="s">
        <v>388</v>
      </c>
      <c r="J13" s="2"/>
    </row>
    <row r="14" spans="1:10">
      <c r="G14" s="143"/>
    </row>
    <row r="15" spans="1:10">
      <c r="A15" s="142" t="s">
        <v>322</v>
      </c>
      <c r="C15">
        <v>65.5</v>
      </c>
      <c r="D15" s="172">
        <v>111</v>
      </c>
      <c r="E15" s="172">
        <v>111</v>
      </c>
      <c r="F15" s="146" t="s">
        <v>382</v>
      </c>
      <c r="G15" s="147" t="s">
        <v>388</v>
      </c>
    </row>
    <row r="16" spans="1:10">
      <c r="A16" s="142" t="s">
        <v>323</v>
      </c>
      <c r="C16">
        <v>42.5</v>
      </c>
      <c r="D16" s="172">
        <v>46</v>
      </c>
      <c r="E16" s="172">
        <v>46</v>
      </c>
      <c r="F16" s="146" t="s">
        <v>382</v>
      </c>
      <c r="G16" s="147" t="s">
        <v>388</v>
      </c>
    </row>
    <row r="17" spans="1:7">
      <c r="A17" s="142" t="s">
        <v>324</v>
      </c>
      <c r="C17">
        <v>23</v>
      </c>
      <c r="D17" s="172">
        <v>25</v>
      </c>
      <c r="E17" s="172">
        <v>25</v>
      </c>
      <c r="F17" s="146" t="s">
        <v>382</v>
      </c>
      <c r="G17" s="147" t="s">
        <v>388</v>
      </c>
    </row>
    <row r="18" spans="1:7">
      <c r="A18" s="142"/>
      <c r="G18" s="143"/>
    </row>
    <row r="19" spans="1:7">
      <c r="A19" s="142"/>
      <c r="G19" s="143"/>
    </row>
    <row r="20" spans="1:7">
      <c r="A20" s="1" t="s">
        <v>594</v>
      </c>
      <c r="B20" s="149" t="s">
        <v>370</v>
      </c>
      <c r="C20" s="1"/>
      <c r="D20" s="144" t="s">
        <v>367</v>
      </c>
      <c r="E20" s="144" t="s">
        <v>368</v>
      </c>
    </row>
    <row r="21" spans="1:7">
      <c r="A21" s="153" t="s">
        <v>315</v>
      </c>
      <c r="B21" s="31" t="s">
        <v>388</v>
      </c>
      <c r="C21" s="30"/>
      <c r="D21" s="154">
        <v>1</v>
      </c>
      <c r="E21" s="117">
        <v>111</v>
      </c>
    </row>
    <row r="22" spans="1:7">
      <c r="A22" s="153" t="s">
        <v>322</v>
      </c>
      <c r="B22" s="31" t="s">
        <v>388</v>
      </c>
      <c r="C22" s="30"/>
      <c r="D22" s="154">
        <v>2</v>
      </c>
      <c r="E22" s="117">
        <v>111</v>
      </c>
    </row>
    <row r="23" spans="1:7">
      <c r="A23" s="153" t="s">
        <v>315</v>
      </c>
      <c r="B23" s="30">
        <v>2024</v>
      </c>
      <c r="C23" s="30"/>
      <c r="D23" s="154">
        <v>3</v>
      </c>
      <c r="E23" s="117">
        <v>65.5</v>
      </c>
    </row>
    <row r="24" spans="1:7">
      <c r="A24" s="153" t="s">
        <v>322</v>
      </c>
      <c r="B24" s="30">
        <v>2024</v>
      </c>
      <c r="C24" s="30"/>
      <c r="D24" s="154">
        <v>4</v>
      </c>
      <c r="E24" s="117">
        <v>65.5</v>
      </c>
    </row>
    <row r="25" spans="1:7">
      <c r="A25" s="153" t="s">
        <v>325</v>
      </c>
      <c r="B25" s="31" t="s">
        <v>388</v>
      </c>
      <c r="C25" s="30"/>
      <c r="D25" s="154">
        <v>5</v>
      </c>
      <c r="E25" s="117">
        <v>46</v>
      </c>
    </row>
    <row r="26" spans="1:7">
      <c r="A26" s="153" t="s">
        <v>316</v>
      </c>
      <c r="B26" s="31" t="s">
        <v>388</v>
      </c>
      <c r="C26" s="30"/>
      <c r="D26" s="154">
        <v>6</v>
      </c>
      <c r="E26" s="117">
        <v>46</v>
      </c>
    </row>
    <row r="27" spans="1:7">
      <c r="A27" s="153" t="s">
        <v>323</v>
      </c>
      <c r="B27" s="31" t="s">
        <v>388</v>
      </c>
      <c r="C27" s="30"/>
      <c r="D27" s="154">
        <v>7</v>
      </c>
      <c r="E27" s="117">
        <v>46</v>
      </c>
    </row>
    <row r="28" spans="1:7">
      <c r="A28" s="153" t="s">
        <v>369</v>
      </c>
      <c r="B28" s="116" t="s">
        <v>87</v>
      </c>
      <c r="C28" s="30"/>
      <c r="D28" s="154">
        <v>8</v>
      </c>
      <c r="E28" s="117">
        <v>45</v>
      </c>
    </row>
    <row r="29" spans="1:7">
      <c r="A29" s="153" t="s">
        <v>325</v>
      </c>
      <c r="B29" s="31">
        <v>2024</v>
      </c>
      <c r="C29" s="30"/>
      <c r="D29" s="154">
        <v>9</v>
      </c>
      <c r="E29" s="117">
        <v>42.5</v>
      </c>
    </row>
    <row r="30" spans="1:7">
      <c r="A30" s="153" t="s">
        <v>316</v>
      </c>
      <c r="B30" s="31">
        <v>2024</v>
      </c>
      <c r="C30" s="30"/>
      <c r="D30" s="154">
        <v>10</v>
      </c>
      <c r="E30" s="117">
        <v>42.5</v>
      </c>
    </row>
    <row r="31" spans="1:7">
      <c r="A31" s="153" t="s">
        <v>323</v>
      </c>
      <c r="B31" s="30">
        <v>2024</v>
      </c>
      <c r="C31" s="30"/>
      <c r="D31" s="154">
        <v>11</v>
      </c>
      <c r="E31" s="117">
        <v>42.5</v>
      </c>
    </row>
    <row r="32" spans="1:7">
      <c r="A32" s="153" t="s">
        <v>317</v>
      </c>
      <c r="B32" s="31" t="s">
        <v>388</v>
      </c>
      <c r="C32" s="30"/>
      <c r="D32" s="154">
        <v>12</v>
      </c>
      <c r="E32" s="117">
        <v>25</v>
      </c>
    </row>
    <row r="33" spans="1:5">
      <c r="A33" s="153" t="s">
        <v>324</v>
      </c>
      <c r="B33" s="31" t="s">
        <v>388</v>
      </c>
      <c r="C33" s="30"/>
      <c r="D33" s="154">
        <v>13</v>
      </c>
      <c r="E33" s="117">
        <v>25</v>
      </c>
    </row>
    <row r="34" spans="1:5">
      <c r="A34" s="153" t="s">
        <v>381</v>
      </c>
      <c r="B34" s="31">
        <v>2026</v>
      </c>
      <c r="C34" s="30"/>
      <c r="D34" s="31">
        <v>14</v>
      </c>
      <c r="E34" s="117">
        <v>25</v>
      </c>
    </row>
    <row r="35" spans="1:5">
      <c r="A35" s="153" t="s">
        <v>317</v>
      </c>
      <c r="B35" s="31">
        <v>2024</v>
      </c>
      <c r="C35" s="30"/>
      <c r="D35" s="31">
        <v>15</v>
      </c>
      <c r="E35" s="117">
        <v>23</v>
      </c>
    </row>
    <row r="36" spans="1:5">
      <c r="A36" s="153" t="s">
        <v>324</v>
      </c>
      <c r="B36" s="31">
        <v>2024</v>
      </c>
      <c r="C36" s="30"/>
      <c r="D36" s="31">
        <v>16</v>
      </c>
      <c r="E36" s="117">
        <v>23</v>
      </c>
    </row>
    <row r="37" spans="1:5">
      <c r="A37" s="171" t="s">
        <v>319</v>
      </c>
      <c r="B37" s="30" t="s">
        <v>87</v>
      </c>
      <c r="C37" s="30"/>
      <c r="D37" s="31">
        <v>17</v>
      </c>
      <c r="E37" s="31">
        <v>20</v>
      </c>
    </row>
    <row r="38" spans="1:5">
      <c r="A38" s="153" t="s">
        <v>320</v>
      </c>
      <c r="B38" s="191" t="s">
        <v>87</v>
      </c>
      <c r="C38" s="30"/>
      <c r="D38" s="31">
        <v>18</v>
      </c>
      <c r="E38" s="30">
        <v>20</v>
      </c>
    </row>
    <row r="39" spans="1:5">
      <c r="A39" s="153" t="s">
        <v>321</v>
      </c>
      <c r="B39" s="116" t="s">
        <v>87</v>
      </c>
      <c r="C39" s="30"/>
      <c r="D39" s="31">
        <v>19</v>
      </c>
      <c r="E39" s="31">
        <v>10</v>
      </c>
    </row>
    <row r="40" spans="1:5">
      <c r="E40" s="143"/>
    </row>
    <row r="41" spans="1:5">
      <c r="E41" s="143"/>
    </row>
    <row r="42" spans="1:5">
      <c r="A42" s="1" t="s">
        <v>372</v>
      </c>
      <c r="D42" s="143"/>
      <c r="E42" s="143"/>
    </row>
    <row r="43" spans="1:5">
      <c r="A43" s="150" t="s">
        <v>371</v>
      </c>
      <c r="D43" s="143"/>
    </row>
    <row r="44" spans="1:5">
      <c r="D44" s="143"/>
    </row>
    <row r="45" spans="1:5">
      <c r="D45" s="143"/>
    </row>
    <row r="46" spans="1:5">
      <c r="D46" s="143"/>
    </row>
    <row r="47" spans="1:5">
      <c r="D47" s="143"/>
    </row>
    <row r="48" spans="1:5">
      <c r="D48" s="143"/>
    </row>
    <row r="49" spans="4:4">
      <c r="D49" s="143"/>
    </row>
  </sheetData>
  <mergeCells count="1">
    <mergeCell ref="F3:I3"/>
  </mergeCells>
  <phoneticPr fontId="1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94700-14D5-4F0E-B020-CF1E7234D85B}">
  <dimension ref="A1:E15"/>
  <sheetViews>
    <sheetView workbookViewId="0">
      <selection activeCell="A2" sqref="A2"/>
    </sheetView>
  </sheetViews>
  <sheetFormatPr defaultRowHeight="15"/>
  <cols>
    <col min="1" max="1" width="38" bestFit="1" customWidth="1"/>
    <col min="2" max="2" width="14.85546875" customWidth="1"/>
    <col min="3" max="3" width="12.140625" customWidth="1"/>
    <col min="4" max="4" width="12.5703125" customWidth="1"/>
  </cols>
  <sheetData>
    <row r="1" spans="1:5" ht="23.25">
      <c r="A1" s="141" t="s">
        <v>644</v>
      </c>
    </row>
    <row r="3" spans="1:5">
      <c r="A3" s="1" t="s">
        <v>373</v>
      </c>
      <c r="B3" s="169"/>
      <c r="C3" s="1">
        <v>2024</v>
      </c>
      <c r="D3" s="1">
        <v>2025</v>
      </c>
      <c r="E3" s="1">
        <v>2026</v>
      </c>
    </row>
    <row r="4" spans="1:5" ht="15.75">
      <c r="A4" s="152" t="s">
        <v>374</v>
      </c>
      <c r="B4" s="170"/>
      <c r="C4" s="30">
        <v>15</v>
      </c>
      <c r="D4" s="30">
        <v>16.25</v>
      </c>
      <c r="E4" s="30">
        <v>16.25</v>
      </c>
    </row>
    <row r="5" spans="1:5" ht="15.75">
      <c r="A5" s="152" t="s">
        <v>375</v>
      </c>
      <c r="B5" s="170"/>
      <c r="C5" s="30">
        <v>4</v>
      </c>
      <c r="D5" s="30">
        <v>4</v>
      </c>
      <c r="E5" s="30">
        <v>4</v>
      </c>
    </row>
    <row r="6" spans="1:5">
      <c r="A6" s="151"/>
      <c r="B6" s="167"/>
    </row>
    <row r="7" spans="1:5" ht="15.75">
      <c r="A7" s="152" t="s">
        <v>376</v>
      </c>
      <c r="B7" s="170"/>
      <c r="C7" s="30">
        <v>19</v>
      </c>
      <c r="D7" s="30">
        <v>20.25</v>
      </c>
      <c r="E7" s="30">
        <v>20.25</v>
      </c>
    </row>
    <row r="8" spans="1:5">
      <c r="A8" s="151"/>
      <c r="B8" s="167"/>
    </row>
    <row r="9" spans="1:5" ht="15.75">
      <c r="A9" s="151" t="s">
        <v>377</v>
      </c>
      <c r="B9" s="167"/>
      <c r="C9">
        <v>4</v>
      </c>
      <c r="D9">
        <v>5.25</v>
      </c>
      <c r="E9">
        <v>5.25</v>
      </c>
    </row>
    <row r="10" spans="1:5">
      <c r="A10" s="151"/>
      <c r="B10" s="167"/>
    </row>
    <row r="11" spans="1:5" ht="15.75">
      <c r="A11" s="151" t="s">
        <v>378</v>
      </c>
      <c r="B11" s="167"/>
      <c r="C11">
        <v>5.5</v>
      </c>
      <c r="D11">
        <v>5.5</v>
      </c>
      <c r="E11">
        <v>5.5</v>
      </c>
    </row>
    <row r="12" spans="1:5" ht="15.75">
      <c r="A12" s="151" t="s">
        <v>379</v>
      </c>
      <c r="B12" s="167"/>
      <c r="C12">
        <v>3</v>
      </c>
      <c r="D12">
        <v>3</v>
      </c>
      <c r="E12">
        <v>3</v>
      </c>
    </row>
    <row r="15" spans="1:5">
      <c r="A15" s="30"/>
      <c r="B15" t="str">
        <f xml:space="preserve"> "= Wijkt af van niet-monumenten woningen"</f>
        <v>= Wijkt af van niet-monumenten woningen</v>
      </c>
    </row>
  </sheetData>
  <pageMargins left="0.7" right="0.7" top="0.75" bottom="0.75" header="0.3" footer="0.3"/>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Keuzeblad maatregelen</vt:lpstr>
      <vt:lpstr>Afdrukoverzicht subsidiebedrag</vt:lpstr>
      <vt:lpstr>Hulpblad</vt:lpstr>
      <vt:lpstr>Glastarieven per jaar</vt:lpstr>
      <vt:lpstr>Isolatietarieven per jaar</vt:lpstr>
      <vt:lpstr>'Afdrukoverzicht subsidiebedrag'!Afdrukbereik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Rekentool ISDE voor woningeigenaren</dc:title>
  <dc:creator>RVO</dc:creator>
  <cp:lastModifiedBy>RVO</cp:lastModifiedBy>
  <cp:lastPrinted>2023-11-27T15:40:11Z</cp:lastPrinted>
  <dcterms:created xsi:type="dcterms:W3CDTF">2022-12-13T15:32:06Z</dcterms:created>
  <dcterms:modified xsi:type="dcterms:W3CDTF">2026-02-16T13:38:27Z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2023-01-10T14:01:25Z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fbfdfdd3-89c4-4a30-bc4e-0c20dc78271d</vt:lpwstr>
  </property>
  <property fmtid="{D5CDD505-2E9C-101B-9397-08002B2CF9AE}" pid="8" name="MSIP_Label_4bde8109-f994-4a60-a1d3-5c95e2ff3620_ContentBits">
    <vt:lpwstr>0</vt:lpwstr>
  </property>
</Properties>
</file>