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PROF_P_CW_odc.cicwp.nl\userdata_cifs_p_cw_odc_001\ToetenelS\Desktop\"/>
    </mc:Choice>
  </mc:AlternateContent>
  <xr:revisionPtr revIDLastSave="0" documentId="8_{75324684-78E9-4DC6-8F8D-F47E2A6973BD}" xr6:coauthVersionLast="47" xr6:coauthVersionMax="47" xr10:uidLastSave="{00000000-0000-0000-0000-000000000000}"/>
  <workbookProtection workbookAlgorithmName="SHA-512" workbookHashValue="ULp0AtKBPj4sakcQxLQ0BAP3tEsIu9IjUz8lA+hYxpYKEvt2RGtsCIUKkrtgs+2f+nSs+GckNWmX6Q2IIWMs7w==" workbookSaltValue="/m/f5NCGx7/77DDXR7FQ3w==" workbookSpinCount="100000" lockStructure="1"/>
  <bookViews>
    <workbookView xWindow="-108" yWindow="-108" windowWidth="31992" windowHeight="15240" tabRatio="853" firstSheet="1" activeTab="1" xr2:uid="{00000000-000D-0000-FFFF-FFFF00000000}"/>
  </bookViews>
  <sheets>
    <sheet name="Categorie H2 Vtg." sheetId="28" state="hidden" r:id="rId1"/>
    <sheet name="Voorblad" sheetId="1" r:id="rId2"/>
    <sheet name="Toelichting " sheetId="2" r:id="rId3"/>
    <sheet name="Score" sheetId="3" state="hidden" r:id="rId4"/>
    <sheet name="Overzicht - Voertuigen " sheetId="68" state="hidden" r:id="rId5"/>
    <sheet name="Subsidieberekening" sheetId="4" state="hidden" r:id="rId6"/>
    <sheet name="Totaaloverzicht" sheetId="6" r:id="rId7"/>
    <sheet name="Uitleg posten tankstation" sheetId="5" r:id="rId8"/>
    <sheet name="Deelnemer 1 tankstation" sheetId="40" r:id="rId9"/>
    <sheet name="Deelnemer 2 vtg" sheetId="8" r:id="rId10"/>
    <sheet name="Deelnemer 3 vtg" sheetId="41" r:id="rId11"/>
    <sheet name="Deelnemer 4 vtg" sheetId="42" r:id="rId12"/>
    <sheet name="Deelnemer 5 vtg" sheetId="43" r:id="rId13"/>
    <sheet name="Deelnemer 6 vtg" sheetId="44" r:id="rId14"/>
    <sheet name="Deelnemer 7 vtg" sheetId="45" r:id="rId15"/>
    <sheet name="Deelnemer 8 vtg" sheetId="46" r:id="rId16"/>
    <sheet name="Deelnemer 9 vtg" sheetId="47" r:id="rId17"/>
    <sheet name="Deelnemer 10 vtg" sheetId="48" r:id="rId18"/>
    <sheet name="Deelnemer 11 vtg" sheetId="49" r:id="rId19"/>
    <sheet name="Deelnemer 12 vtg" sheetId="50" r:id="rId20"/>
    <sheet name="Deelnemer 13 vtg" sheetId="51" r:id="rId21"/>
    <sheet name="Deelnemer 14 vtg" sheetId="52" r:id="rId22"/>
    <sheet name="Deelnemer 15 vtg" sheetId="53" r:id="rId23"/>
    <sheet name="Deelnemer 16 vtg" sheetId="54" r:id="rId24"/>
    <sheet name="Deelnemer 17 vtg" sheetId="55" r:id="rId25"/>
    <sheet name="Deelnemer 18 vtg" sheetId="56" r:id="rId26"/>
    <sheet name="Deelnemer 19 vtg" sheetId="57" r:id="rId27"/>
    <sheet name="Deelnemer 20 vtg" sheetId="58" r:id="rId28"/>
    <sheet name="Deelnemer 21 vtg" sheetId="59" r:id="rId29"/>
    <sheet name="Deelnemer 22 vtg" sheetId="60" r:id="rId30"/>
    <sheet name="Deelnemer 23 vtg" sheetId="61" r:id="rId31"/>
    <sheet name="Deelnemer 24 vtg" sheetId="62" r:id="rId32"/>
    <sheet name="Deelnemer 25 vtg" sheetId="63" r:id="rId33"/>
    <sheet name="Deelnemer 26 tankstation" sheetId="69" r:id="rId34"/>
  </sheets>
  <definedNames>
    <definedName name="_xlnm._FilterDatabase" localSheetId="4" hidden="1">'Overzicht - Voertuigen '!$D$94:$Q$455</definedName>
    <definedName name="aantal_kwartalen_met_betaling" localSheetId="8">#REF!</definedName>
    <definedName name="aantal_kwartalen_met_betaling" localSheetId="4">#REF!</definedName>
    <definedName name="aantal_kwartalen_met_betaling">#REF!</definedName>
    <definedName name="_xlnm.Print_Area" localSheetId="5">Subsidieberekening!$A$3:$L$54</definedName>
    <definedName name="berekening_lijst_aanvragers" localSheetId="8">#REF!</definedName>
    <definedName name="berekening_lijst_aanvragers">#REF!</definedName>
    <definedName name="berekening_lijst_aanvragers_sponsoren">#REF!</definedName>
    <definedName name="BTW">#REF!</definedName>
    <definedName name="Kostensystematiek">#REF!</definedName>
    <definedName name="lijst_aanvragers" localSheetId="8">OFFSET(#REF!,0,0,COUNTA('Deelnemer 1 tankstation'!berekening_lijst_aanvragers)-COUNTIF('Deelnemer 1 tankstation'!berekening_lijst_aanvragers,""),1)</definedName>
    <definedName name="lijst_aanvragers" localSheetId="4">OFFSET(#REF!,0,0,COUNTA(berekening_lijst_aanvragers)-COUNTIF(berekening_lijst_aanvragers,""),1)</definedName>
    <definedName name="lijst_aanvragers" localSheetId="2">OFFSET(#REF!,0,0,COUNTA(berekening_lijst_aanvragers)-COUNTIF(berekening_lijst_aanvragers,""),1)</definedName>
    <definedName name="lijst_aanvragers" localSheetId="7">OFFSET(#REF!,0,0,COUNTA(berekening_lijst_aanvragers)-COUNTIF(berekening_lijst_aanvragers,""),1)</definedName>
    <definedName name="lijst_aanvragers">OFFSET(#REF!,0,0,COUNTA(berekening_lijst_aanvragers)-COUNTIF(berekening_lijst_aanvragers,""),1)</definedName>
    <definedName name="lijst_aanvragers_en_sponsoren" localSheetId="8">OFFSET(#REF!,0,0,COUNTA(berekening_lijst_aanvragers_sponsoren)-COUNTIF(berekening_lijst_aanvragers_sponsoren,""),1)</definedName>
    <definedName name="lijst_aanvragers_en_sponsoren" localSheetId="4">OFFSET(#REF!,0,0,COUNTA(berekening_lijst_aanvragers_sponsoren)-COUNTIF(berekening_lijst_aanvragers_sponsoren,""),1)</definedName>
    <definedName name="lijst_aanvragers_en_sponsoren" localSheetId="2">OFFSET(#REF!,0,0,COUNTA(berekening_lijst_aanvragers_sponsoren)-COUNTIF(berekening_lijst_aanvragers_sponsoren,""),1)</definedName>
    <definedName name="lijst_aanvragers_en_sponsoren" localSheetId="7">OFFSET(#REF!,0,0,COUNTA(berekening_lijst_aanvragers_sponsoren)-COUNTIF(berekening_lijst_aanvragers_sponsoren,""),1)</definedName>
    <definedName name="lijst_aanvragers_en_sponsoren">OFFSET(#REF!,0,0,COUNTA(berekening_lijst_aanvragers_sponsoren)-COUNTIF(berekening_lijst_aanvragers_sponsoren,""),1)</definedName>
    <definedName name="maximale_subsidie_per_project">#REF!</definedName>
    <definedName name="namen_aanvragers">#REF!</definedName>
    <definedName name="namen_aanvragers_en_sponsoren">#REF!</definedName>
    <definedName name="openstellingsdatum_regeling">#REF!</definedName>
    <definedName name="penvoerder_naam">#REF!</definedName>
    <definedName name="Project_einddatum">#REF!</definedName>
    <definedName name="project_looptijd_in_kwartalen">#REF!</definedName>
    <definedName name="Project_nummer">#REF!</definedName>
    <definedName name="Project_startdatum">#REF!</definedName>
    <definedName name="project_titel">#REF!</definedName>
    <definedName name="Projectnummer">#REF!</definedName>
    <definedName name="Typeinvesteri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7" roundtripDataChecksum="i+dXV+Em0SeG8PM8kmXaquKeW560mEtxsVQIgzErBJw="/>
    </ext>
  </extLst>
</workbook>
</file>

<file path=xl/calcChain.xml><?xml version="1.0" encoding="utf-8"?>
<calcChain xmlns="http://schemas.openxmlformats.org/spreadsheetml/2006/main">
  <c r="D33" i="6" l="1"/>
  <c r="F33" i="6" s="1"/>
  <c r="U130" i="40" l="1"/>
  <c r="D45" i="41"/>
  <c r="Z128" i="40"/>
  <c r="Z129" i="40"/>
  <c r="V19" i="8"/>
  <c r="V20" i="8"/>
  <c r="V21" i="8"/>
  <c r="V22" i="8"/>
  <c r="V23" i="8"/>
  <c r="V24" i="8"/>
  <c r="V25" i="8"/>
  <c r="V26" i="8"/>
  <c r="V27" i="8"/>
  <c r="V28" i="8"/>
  <c r="V19" i="42"/>
  <c r="V20" i="42"/>
  <c r="V21" i="42"/>
  <c r="V22" i="42"/>
  <c r="V23" i="42"/>
  <c r="V24" i="42"/>
  <c r="V25" i="42"/>
  <c r="V26" i="42"/>
  <c r="V27" i="42"/>
  <c r="V28" i="42"/>
  <c r="V19" i="43"/>
  <c r="V20" i="43"/>
  <c r="V21" i="43"/>
  <c r="V22" i="43"/>
  <c r="V23" i="43"/>
  <c r="V24" i="43"/>
  <c r="V25" i="43"/>
  <c r="V26" i="43"/>
  <c r="V27" i="43"/>
  <c r="V28" i="43"/>
  <c r="V19" i="44"/>
  <c r="V20" i="44"/>
  <c r="V21" i="44"/>
  <c r="V22" i="44"/>
  <c r="V23" i="44"/>
  <c r="V24" i="44"/>
  <c r="V25" i="44"/>
  <c r="V26" i="44"/>
  <c r="V27" i="44"/>
  <c r="V28" i="44"/>
  <c r="V19" i="45"/>
  <c r="V20" i="45"/>
  <c r="V21" i="45"/>
  <c r="V22" i="45"/>
  <c r="V23" i="45"/>
  <c r="V24" i="45"/>
  <c r="V25" i="45"/>
  <c r="V26" i="45"/>
  <c r="V27" i="45"/>
  <c r="V28" i="45"/>
  <c r="V19" i="46"/>
  <c r="V20" i="46"/>
  <c r="V21" i="46"/>
  <c r="V22" i="46"/>
  <c r="V23" i="46"/>
  <c r="V24" i="46"/>
  <c r="V25" i="46"/>
  <c r="V26" i="46"/>
  <c r="V27" i="46"/>
  <c r="V28" i="46"/>
  <c r="V19" i="47"/>
  <c r="V20" i="47"/>
  <c r="V21" i="47"/>
  <c r="V22" i="47"/>
  <c r="V23" i="47"/>
  <c r="V24" i="47"/>
  <c r="V25" i="47"/>
  <c r="V26" i="47"/>
  <c r="V27" i="47"/>
  <c r="V28" i="47"/>
  <c r="V19" i="48"/>
  <c r="V20" i="48"/>
  <c r="V21" i="48"/>
  <c r="V22" i="48"/>
  <c r="V23" i="48"/>
  <c r="V24" i="48"/>
  <c r="V25" i="48"/>
  <c r="V26" i="48"/>
  <c r="V27" i="48"/>
  <c r="V28" i="48"/>
  <c r="V19" i="49"/>
  <c r="V20" i="49"/>
  <c r="V21" i="49"/>
  <c r="V22" i="49"/>
  <c r="V23" i="49"/>
  <c r="V24" i="49"/>
  <c r="V25" i="49"/>
  <c r="V26" i="49"/>
  <c r="V27" i="49"/>
  <c r="V28" i="49"/>
  <c r="V19" i="50"/>
  <c r="V20" i="50"/>
  <c r="V21" i="50"/>
  <c r="V22" i="50"/>
  <c r="V23" i="50"/>
  <c r="V24" i="50"/>
  <c r="V25" i="50"/>
  <c r="V26" i="50"/>
  <c r="V27" i="50"/>
  <c r="V28" i="50"/>
  <c r="V19" i="51"/>
  <c r="V20" i="51"/>
  <c r="V21" i="51"/>
  <c r="V22" i="51"/>
  <c r="V23" i="51"/>
  <c r="V24" i="51"/>
  <c r="V25" i="51"/>
  <c r="V26" i="51"/>
  <c r="V27" i="51"/>
  <c r="V28" i="51"/>
  <c r="V19" i="52"/>
  <c r="V20" i="52"/>
  <c r="V21" i="52"/>
  <c r="V22" i="52"/>
  <c r="V23" i="52"/>
  <c r="V24" i="52"/>
  <c r="V25" i="52"/>
  <c r="V26" i="52"/>
  <c r="V27" i="52"/>
  <c r="V28" i="52"/>
  <c r="V19" i="53"/>
  <c r="V20" i="53"/>
  <c r="V21" i="53"/>
  <c r="V22" i="53"/>
  <c r="V23" i="53"/>
  <c r="V24" i="53"/>
  <c r="V25" i="53"/>
  <c r="V26" i="53"/>
  <c r="V27" i="53"/>
  <c r="V28" i="53"/>
  <c r="V19" i="54"/>
  <c r="V20" i="54"/>
  <c r="V21" i="54"/>
  <c r="V22" i="54"/>
  <c r="V23" i="54"/>
  <c r="V24" i="54"/>
  <c r="V25" i="54"/>
  <c r="V26" i="54"/>
  <c r="V27" i="54"/>
  <c r="V28" i="54"/>
  <c r="V19" i="55"/>
  <c r="V20" i="55"/>
  <c r="V21" i="55"/>
  <c r="V22" i="55"/>
  <c r="V23" i="55"/>
  <c r="V24" i="55"/>
  <c r="V25" i="55"/>
  <c r="V26" i="55"/>
  <c r="V27" i="55"/>
  <c r="V28" i="55"/>
  <c r="V19" i="56"/>
  <c r="V20" i="56"/>
  <c r="V21" i="56"/>
  <c r="V22" i="56"/>
  <c r="V23" i="56"/>
  <c r="V24" i="56"/>
  <c r="V25" i="56"/>
  <c r="V26" i="56"/>
  <c r="V27" i="56"/>
  <c r="V28" i="56"/>
  <c r="V19" i="57"/>
  <c r="V20" i="57"/>
  <c r="V21" i="57"/>
  <c r="V22" i="57"/>
  <c r="V23" i="57"/>
  <c r="V24" i="57"/>
  <c r="V25" i="57"/>
  <c r="V26" i="57"/>
  <c r="V27" i="57"/>
  <c r="V28" i="57"/>
  <c r="V19" i="58"/>
  <c r="V20" i="58"/>
  <c r="V21" i="58"/>
  <c r="V22" i="58"/>
  <c r="V23" i="58"/>
  <c r="V24" i="58"/>
  <c r="V25" i="58"/>
  <c r="V26" i="58"/>
  <c r="V27" i="58"/>
  <c r="V28" i="58"/>
  <c r="V19" i="59"/>
  <c r="V20" i="59"/>
  <c r="V21" i="59"/>
  <c r="V22" i="59"/>
  <c r="V23" i="59"/>
  <c r="V24" i="59"/>
  <c r="V25" i="59"/>
  <c r="V26" i="59"/>
  <c r="V27" i="59"/>
  <c r="V28" i="59"/>
  <c r="V19" i="60"/>
  <c r="V20" i="60"/>
  <c r="V21" i="60"/>
  <c r="V22" i="60"/>
  <c r="V23" i="60"/>
  <c r="V24" i="60"/>
  <c r="V25" i="60"/>
  <c r="V26" i="60"/>
  <c r="V27" i="60"/>
  <c r="V28" i="60"/>
  <c r="V19" i="61"/>
  <c r="V20" i="61"/>
  <c r="V21" i="61"/>
  <c r="V22" i="61"/>
  <c r="V23" i="61"/>
  <c r="V24" i="61"/>
  <c r="V25" i="61"/>
  <c r="V26" i="61"/>
  <c r="V27" i="61"/>
  <c r="V28" i="61"/>
  <c r="V19" i="62"/>
  <c r="V20" i="62"/>
  <c r="V21" i="62"/>
  <c r="V22" i="62"/>
  <c r="V23" i="62"/>
  <c r="V24" i="62"/>
  <c r="V25" i="62"/>
  <c r="V26" i="62"/>
  <c r="V27" i="62"/>
  <c r="V28" i="62"/>
  <c r="V19" i="63"/>
  <c r="V20" i="63"/>
  <c r="V21" i="63"/>
  <c r="V22" i="63"/>
  <c r="V23" i="63"/>
  <c r="V24" i="63"/>
  <c r="V25" i="63"/>
  <c r="V26" i="63"/>
  <c r="V27" i="63"/>
  <c r="V28" i="63"/>
  <c r="V19" i="41"/>
  <c r="V20" i="41"/>
  <c r="V21" i="41"/>
  <c r="V22" i="41"/>
  <c r="V23" i="41"/>
  <c r="V24" i="41"/>
  <c r="V25" i="41"/>
  <c r="V26" i="41"/>
  <c r="V27" i="41"/>
  <c r="V28" i="41"/>
  <c r="D6" i="63"/>
  <c r="D6" i="62"/>
  <c r="D6" i="61"/>
  <c r="D6" i="60"/>
  <c r="D6" i="59"/>
  <c r="D6" i="58"/>
  <c r="D6" i="57"/>
  <c r="D6" i="56"/>
  <c r="D6" i="55"/>
  <c r="D6" i="54"/>
  <c r="D6" i="53"/>
  <c r="K30" i="69"/>
  <c r="L30" i="69" s="1"/>
  <c r="K29" i="69"/>
  <c r="L29" i="69" s="1"/>
  <c r="K28" i="69"/>
  <c r="K27" i="69"/>
  <c r="K31" i="69" s="1"/>
  <c r="P138" i="40"/>
  <c r="K129" i="40"/>
  <c r="K128" i="40"/>
  <c r="L129" i="40"/>
  <c r="L128" i="40"/>
  <c r="L139" i="40"/>
  <c r="L140" i="40"/>
  <c r="L141" i="40"/>
  <c r="L142" i="40"/>
  <c r="L143" i="40"/>
  <c r="L144" i="40"/>
  <c r="R139" i="40" l="1"/>
  <c r="R140" i="40"/>
  <c r="R141" i="40"/>
  <c r="R142" i="40"/>
  <c r="R143" i="40"/>
  <c r="R144" i="40"/>
  <c r="R138" i="40"/>
  <c r="P139" i="40"/>
  <c r="P140" i="40"/>
  <c r="P141" i="40"/>
  <c r="P142" i="40"/>
  <c r="P143" i="40"/>
  <c r="P144" i="40"/>
  <c r="M139" i="40"/>
  <c r="M140" i="40"/>
  <c r="M141" i="40"/>
  <c r="M142" i="40"/>
  <c r="M143" i="40"/>
  <c r="M144" i="40"/>
  <c r="M138" i="40"/>
  <c r="L138" i="40"/>
  <c r="H139" i="40"/>
  <c r="H140" i="40"/>
  <c r="H141" i="40"/>
  <c r="H142" i="40"/>
  <c r="H143" i="40"/>
  <c r="H144" i="40"/>
  <c r="H138" i="40"/>
  <c r="C138" i="40"/>
  <c r="C140" i="40"/>
  <c r="C141" i="40"/>
  <c r="C142" i="40"/>
  <c r="C143" i="40"/>
  <c r="C144" i="40"/>
  <c r="C139" i="40"/>
  <c r="Q57" i="40"/>
  <c r="M57" i="40"/>
  <c r="N57" i="40" s="1"/>
  <c r="T56" i="40"/>
  <c r="R56" i="40"/>
  <c r="N56" i="40"/>
  <c r="T55" i="40"/>
  <c r="R55" i="40"/>
  <c r="N55" i="40"/>
  <c r="T54" i="40"/>
  <c r="R54" i="40"/>
  <c r="N54" i="40"/>
  <c r="T53" i="40"/>
  <c r="R53" i="40"/>
  <c r="N53" i="40"/>
  <c r="T52" i="40"/>
  <c r="R52" i="40"/>
  <c r="N52" i="40"/>
  <c r="T51" i="40"/>
  <c r="R51" i="40"/>
  <c r="N51" i="40"/>
  <c r="T50" i="40"/>
  <c r="R50" i="40"/>
  <c r="R57" i="40" s="1"/>
  <c r="N50" i="40"/>
  <c r="N49" i="40"/>
  <c r="N48" i="40"/>
  <c r="J33" i="6"/>
  <c r="E8" i="69"/>
  <c r="C33" i="6"/>
  <c r="B40" i="4" s="1"/>
  <c r="Q33" i="69"/>
  <c r="P33" i="6" s="1"/>
  <c r="I40" i="4" s="1"/>
  <c r="P30" i="69"/>
  <c r="Q30" i="69" s="1"/>
  <c r="P29" i="69"/>
  <c r="Q29" i="69" s="1"/>
  <c r="P28" i="69"/>
  <c r="Q28" i="69" s="1"/>
  <c r="P27" i="69"/>
  <c r="Q27" i="69" s="1"/>
  <c r="N24" i="69"/>
  <c r="P23" i="69"/>
  <c r="M23" i="69"/>
  <c r="S22" i="69"/>
  <c r="Q22" i="69"/>
  <c r="Q144" i="40" s="1"/>
  <c r="N22" i="69"/>
  <c r="S21" i="69"/>
  <c r="Q21" i="69"/>
  <c r="Q143" i="40" s="1"/>
  <c r="N21" i="69"/>
  <c r="S20" i="69"/>
  <c r="Q20" i="69"/>
  <c r="Q142" i="40" s="1"/>
  <c r="N20" i="69"/>
  <c r="S19" i="69"/>
  <c r="Q19" i="69"/>
  <c r="Q141" i="40" s="1"/>
  <c r="N19" i="69"/>
  <c r="S18" i="69"/>
  <c r="Q18" i="69"/>
  <c r="Q140" i="40" s="1"/>
  <c r="N18" i="69"/>
  <c r="S17" i="69"/>
  <c r="Q17" i="69"/>
  <c r="Q139" i="40" s="1"/>
  <c r="N17" i="69"/>
  <c r="S16" i="69"/>
  <c r="Q16" i="69"/>
  <c r="N16" i="69"/>
  <c r="N15" i="69"/>
  <c r="N14" i="69"/>
  <c r="N13" i="69"/>
  <c r="F7" i="69"/>
  <c r="AM20" i="41"/>
  <c r="AM21" i="41"/>
  <c r="AM22" i="41"/>
  <c r="AM23" i="41"/>
  <c r="AM24" i="41"/>
  <c r="AM25" i="41"/>
  <c r="AM26" i="41"/>
  <c r="AM27" i="41"/>
  <c r="AM28" i="41"/>
  <c r="AM29" i="41"/>
  <c r="AM30" i="41"/>
  <c r="AM31" i="41"/>
  <c r="AM32" i="41"/>
  <c r="AM33" i="41"/>
  <c r="AM20" i="42"/>
  <c r="AM21" i="42"/>
  <c r="AM22" i="42"/>
  <c r="AM23" i="42"/>
  <c r="AM24" i="42"/>
  <c r="AM25" i="42"/>
  <c r="AM26" i="42"/>
  <c r="AM27" i="42"/>
  <c r="AM28" i="42"/>
  <c r="AM29" i="42"/>
  <c r="AM30" i="42"/>
  <c r="AM31" i="42"/>
  <c r="AM32" i="42"/>
  <c r="AM33" i="42"/>
  <c r="AM20" i="43"/>
  <c r="AM21" i="43"/>
  <c r="AM22" i="43"/>
  <c r="AM23" i="43"/>
  <c r="AM24" i="43"/>
  <c r="AM25" i="43"/>
  <c r="AM26" i="43"/>
  <c r="AM27" i="43"/>
  <c r="AM28" i="43"/>
  <c r="AM29" i="43"/>
  <c r="AM30" i="43"/>
  <c r="AM31" i="43"/>
  <c r="AM32" i="43"/>
  <c r="AM33" i="43"/>
  <c r="AM20" i="44"/>
  <c r="AM21" i="44"/>
  <c r="AM22" i="44"/>
  <c r="AM23" i="44"/>
  <c r="AM24" i="44"/>
  <c r="AM25" i="44"/>
  <c r="AM26" i="44"/>
  <c r="AM27" i="44"/>
  <c r="AM28" i="44"/>
  <c r="AM29" i="44"/>
  <c r="AM30" i="44"/>
  <c r="AM31" i="44"/>
  <c r="AM32" i="44"/>
  <c r="AM33" i="44"/>
  <c r="AM20" i="45"/>
  <c r="AM21" i="45"/>
  <c r="AM22" i="45"/>
  <c r="AM23" i="45"/>
  <c r="AM24" i="45"/>
  <c r="AM25" i="45"/>
  <c r="AM26" i="45"/>
  <c r="AM27" i="45"/>
  <c r="AM28" i="45"/>
  <c r="AM29" i="45"/>
  <c r="AM30" i="45"/>
  <c r="AM31" i="45"/>
  <c r="AM32" i="45"/>
  <c r="AM33" i="45"/>
  <c r="AM20" i="46"/>
  <c r="AM21" i="46"/>
  <c r="AM22" i="46"/>
  <c r="AM23" i="46"/>
  <c r="AM24" i="46"/>
  <c r="AM25" i="46"/>
  <c r="AM26" i="46"/>
  <c r="AM27" i="46"/>
  <c r="AM28" i="46"/>
  <c r="AM29" i="46"/>
  <c r="AM30" i="46"/>
  <c r="AM31" i="46"/>
  <c r="AM32" i="46"/>
  <c r="AM33" i="46"/>
  <c r="AM20" i="47"/>
  <c r="AM21" i="47"/>
  <c r="AM22" i="47"/>
  <c r="AM23" i="47"/>
  <c r="AM24" i="47"/>
  <c r="AM25" i="47"/>
  <c r="AM26" i="47"/>
  <c r="AM27" i="47"/>
  <c r="AM28" i="47"/>
  <c r="AM29" i="47"/>
  <c r="AM30" i="47"/>
  <c r="AM31" i="47"/>
  <c r="AM32" i="47"/>
  <c r="AM33" i="47"/>
  <c r="AM20" i="48"/>
  <c r="AM21" i="48"/>
  <c r="AM22" i="48"/>
  <c r="AM23" i="48"/>
  <c r="AM24" i="48"/>
  <c r="AM25" i="48"/>
  <c r="AM26" i="48"/>
  <c r="AM27" i="48"/>
  <c r="AM28" i="48"/>
  <c r="AM29" i="48"/>
  <c r="AM30" i="48"/>
  <c r="AM31" i="48"/>
  <c r="AM32" i="48"/>
  <c r="AM33" i="48"/>
  <c r="AM20" i="49"/>
  <c r="AM21" i="49"/>
  <c r="AM22" i="49"/>
  <c r="AM23" i="49"/>
  <c r="AM24" i="49"/>
  <c r="AM25" i="49"/>
  <c r="AM26" i="49"/>
  <c r="AM27" i="49"/>
  <c r="AM28" i="49"/>
  <c r="AM29" i="49"/>
  <c r="AM30" i="49"/>
  <c r="AM31" i="49"/>
  <c r="AM32" i="49"/>
  <c r="AM33" i="49"/>
  <c r="AM20" i="50"/>
  <c r="AM21" i="50"/>
  <c r="AM22" i="50"/>
  <c r="AM23" i="50"/>
  <c r="AM24" i="50"/>
  <c r="AM25" i="50"/>
  <c r="AM26" i="50"/>
  <c r="AM27" i="50"/>
  <c r="AM28" i="50"/>
  <c r="AM29" i="50"/>
  <c r="AM30" i="50"/>
  <c r="AM31" i="50"/>
  <c r="AM32" i="50"/>
  <c r="AM33" i="50"/>
  <c r="AM20" i="51"/>
  <c r="AM21" i="51"/>
  <c r="AM22" i="51"/>
  <c r="AM23" i="51"/>
  <c r="AM24" i="51"/>
  <c r="AM25" i="51"/>
  <c r="AM26" i="51"/>
  <c r="AM27" i="51"/>
  <c r="AM28" i="51"/>
  <c r="AM29" i="51"/>
  <c r="AM30" i="51"/>
  <c r="AM31" i="51"/>
  <c r="AM32" i="51"/>
  <c r="AM33" i="51"/>
  <c r="AM20" i="52"/>
  <c r="AM21" i="52"/>
  <c r="AM22" i="52"/>
  <c r="AM23" i="52"/>
  <c r="AM24" i="52"/>
  <c r="AM25" i="52"/>
  <c r="AM26" i="52"/>
  <c r="AM27" i="52"/>
  <c r="AM28" i="52"/>
  <c r="AM29" i="52"/>
  <c r="AM30" i="52"/>
  <c r="AM31" i="52"/>
  <c r="AM32" i="52"/>
  <c r="AM33" i="52"/>
  <c r="AM20" i="53"/>
  <c r="AM21" i="53"/>
  <c r="AM22" i="53"/>
  <c r="AM23" i="53"/>
  <c r="AM24" i="53"/>
  <c r="AM25" i="53"/>
  <c r="AM26" i="53"/>
  <c r="AM27" i="53"/>
  <c r="AM28" i="53"/>
  <c r="AM29" i="53"/>
  <c r="AM30" i="53"/>
  <c r="AM31" i="53"/>
  <c r="AM32" i="53"/>
  <c r="AM33" i="53"/>
  <c r="AM20" i="54"/>
  <c r="AM21" i="54"/>
  <c r="AM22" i="54"/>
  <c r="AM23" i="54"/>
  <c r="AM24" i="54"/>
  <c r="AM25" i="54"/>
  <c r="AM26" i="54"/>
  <c r="AM27" i="54"/>
  <c r="AM28" i="54"/>
  <c r="AM29" i="54"/>
  <c r="AM30" i="54"/>
  <c r="AM31" i="54"/>
  <c r="AM32" i="54"/>
  <c r="AM33" i="54"/>
  <c r="AM20" i="55"/>
  <c r="AM21" i="55"/>
  <c r="AM22" i="55"/>
  <c r="AM23" i="55"/>
  <c r="AM24" i="55"/>
  <c r="AM25" i="55"/>
  <c r="AM26" i="55"/>
  <c r="AM27" i="55"/>
  <c r="AM28" i="55"/>
  <c r="AM29" i="55"/>
  <c r="AM30" i="55"/>
  <c r="AM31" i="55"/>
  <c r="AM32" i="55"/>
  <c r="AM33" i="55"/>
  <c r="AM20" i="56"/>
  <c r="AM21" i="56"/>
  <c r="AM22" i="56"/>
  <c r="AM23" i="56"/>
  <c r="AM24" i="56"/>
  <c r="AM25" i="56"/>
  <c r="AM26" i="56"/>
  <c r="AM27" i="56"/>
  <c r="AM28" i="56"/>
  <c r="AM29" i="56"/>
  <c r="AM30" i="56"/>
  <c r="AM31" i="56"/>
  <c r="AM32" i="56"/>
  <c r="AM33" i="56"/>
  <c r="AM20" i="57"/>
  <c r="AM21" i="57"/>
  <c r="AM22" i="57"/>
  <c r="AM23" i="57"/>
  <c r="AM24" i="57"/>
  <c r="AM25" i="57"/>
  <c r="AM26" i="57"/>
  <c r="AM27" i="57"/>
  <c r="AM28" i="57"/>
  <c r="AM29" i="57"/>
  <c r="AM30" i="57"/>
  <c r="AM31" i="57"/>
  <c r="AM32" i="57"/>
  <c r="AM33" i="57"/>
  <c r="AM20" i="58"/>
  <c r="AM21" i="58"/>
  <c r="AM22" i="58"/>
  <c r="AM23" i="58"/>
  <c r="AM24" i="58"/>
  <c r="AM25" i="58"/>
  <c r="AM26" i="58"/>
  <c r="AM27" i="58"/>
  <c r="AM28" i="58"/>
  <c r="AM29" i="58"/>
  <c r="AM30" i="58"/>
  <c r="AM31" i="58"/>
  <c r="AM32" i="58"/>
  <c r="AM33" i="58"/>
  <c r="AM20" i="59"/>
  <c r="AM21" i="59"/>
  <c r="AM22" i="59"/>
  <c r="AM23" i="59"/>
  <c r="AM24" i="59"/>
  <c r="AM25" i="59"/>
  <c r="AM26" i="59"/>
  <c r="AM27" i="59"/>
  <c r="AM28" i="59"/>
  <c r="AM29" i="59"/>
  <c r="AM30" i="59"/>
  <c r="AM31" i="59"/>
  <c r="AM32" i="59"/>
  <c r="AM33" i="59"/>
  <c r="AM20" i="60"/>
  <c r="AM21" i="60"/>
  <c r="AM22" i="60"/>
  <c r="AM23" i="60"/>
  <c r="AM24" i="60"/>
  <c r="AM25" i="60"/>
  <c r="AM26" i="60"/>
  <c r="AM27" i="60"/>
  <c r="AM28" i="60"/>
  <c r="AM29" i="60"/>
  <c r="AM30" i="60"/>
  <c r="AM31" i="60"/>
  <c r="AM32" i="60"/>
  <c r="AM33" i="60"/>
  <c r="AM20" i="61"/>
  <c r="AM21" i="61"/>
  <c r="AM22" i="61"/>
  <c r="AM23" i="61"/>
  <c r="AM24" i="61"/>
  <c r="AM25" i="61"/>
  <c r="AM26" i="61"/>
  <c r="AM27" i="61"/>
  <c r="AM28" i="61"/>
  <c r="AM29" i="61"/>
  <c r="AM30" i="61"/>
  <c r="AM31" i="61"/>
  <c r="AM32" i="61"/>
  <c r="AM33" i="61"/>
  <c r="AM20" i="62"/>
  <c r="AM21" i="62"/>
  <c r="AM22" i="62"/>
  <c r="AM23" i="62"/>
  <c r="AM24" i="62"/>
  <c r="AM25" i="62"/>
  <c r="AM26" i="62"/>
  <c r="AM27" i="62"/>
  <c r="AM28" i="62"/>
  <c r="AM29" i="62"/>
  <c r="AM30" i="62"/>
  <c r="AM31" i="62"/>
  <c r="AM32" i="62"/>
  <c r="AM33" i="62"/>
  <c r="AM20" i="63"/>
  <c r="AM21" i="63"/>
  <c r="AM22" i="63"/>
  <c r="AM23" i="63"/>
  <c r="AM24" i="63"/>
  <c r="AM25" i="63"/>
  <c r="AM26" i="63"/>
  <c r="AM27" i="63"/>
  <c r="AM28" i="63"/>
  <c r="AM29" i="63"/>
  <c r="AM30" i="63"/>
  <c r="AM31" i="63"/>
  <c r="AM32" i="63"/>
  <c r="AM33" i="63"/>
  <c r="AM20" i="8"/>
  <c r="AM22" i="8"/>
  <c r="AM23" i="8"/>
  <c r="AM24" i="8"/>
  <c r="AM25" i="8"/>
  <c r="AM26" i="8"/>
  <c r="AM27" i="8"/>
  <c r="AM28" i="8"/>
  <c r="AM29" i="8"/>
  <c r="AM30" i="8"/>
  <c r="AM31" i="8"/>
  <c r="AM32" i="8"/>
  <c r="AM33" i="8"/>
  <c r="AM19" i="41"/>
  <c r="AM19" i="42"/>
  <c r="AM19" i="43"/>
  <c r="AM19" i="44"/>
  <c r="AM19" i="45"/>
  <c r="AM19" i="46"/>
  <c r="AM19" i="47"/>
  <c r="AM19" i="48"/>
  <c r="AM19" i="49"/>
  <c r="AM19" i="50"/>
  <c r="AM19" i="51"/>
  <c r="AM19" i="52"/>
  <c r="AM19" i="53"/>
  <c r="AM19" i="54"/>
  <c r="AM19" i="55"/>
  <c r="AM19" i="56"/>
  <c r="AM19" i="57"/>
  <c r="AM19" i="58"/>
  <c r="AM19" i="59"/>
  <c r="AM19" i="60"/>
  <c r="AM19" i="61"/>
  <c r="AM19" i="62"/>
  <c r="AM19" i="63"/>
  <c r="AM19" i="8"/>
  <c r="Q23" i="69" l="1"/>
  <c r="Q138" i="40"/>
  <c r="D40" i="4"/>
  <c r="C40" i="4"/>
  <c r="E9" i="69"/>
  <c r="F30" i="69"/>
  <c r="H30" i="69" s="1"/>
  <c r="M30" i="69" s="1"/>
  <c r="F29" i="69"/>
  <c r="H29" i="69" s="1"/>
  <c r="M29" i="69" s="1"/>
  <c r="F28" i="69"/>
  <c r="H28" i="69" s="1"/>
  <c r="F27" i="69"/>
  <c r="N23" i="69"/>
  <c r="AM18" i="63"/>
  <c r="AM18" i="62"/>
  <c r="AM18" i="61"/>
  <c r="AM18" i="60"/>
  <c r="AM18" i="59"/>
  <c r="AM18" i="58"/>
  <c r="AM18" i="57"/>
  <c r="AM18" i="56"/>
  <c r="AM18" i="55"/>
  <c r="AM18" i="54"/>
  <c r="AM18" i="53"/>
  <c r="AM18" i="52"/>
  <c r="AM18" i="51"/>
  <c r="AM18" i="50"/>
  <c r="AM18" i="49"/>
  <c r="AM18" i="48"/>
  <c r="AM18" i="47"/>
  <c r="AM18" i="46"/>
  <c r="AM18" i="45"/>
  <c r="AM18" i="44"/>
  <c r="AM18" i="43"/>
  <c r="AM18" i="42"/>
  <c r="AM18" i="41"/>
  <c r="V30" i="8"/>
  <c r="AE20" i="41"/>
  <c r="AE21" i="41"/>
  <c r="AE22" i="41"/>
  <c r="AE23" i="41"/>
  <c r="AE24" i="41"/>
  <c r="AE25" i="41"/>
  <c r="AE26" i="41"/>
  <c r="AE27" i="41"/>
  <c r="AE29" i="41"/>
  <c r="AE30" i="41"/>
  <c r="AE31" i="41"/>
  <c r="AE32" i="41"/>
  <c r="AE33" i="41"/>
  <c r="AE20" i="63"/>
  <c r="AE21" i="63"/>
  <c r="AE22" i="63"/>
  <c r="AE23" i="63"/>
  <c r="AE24" i="63"/>
  <c r="AE25" i="63"/>
  <c r="AE26" i="63"/>
  <c r="AE27" i="63"/>
  <c r="AE29" i="63"/>
  <c r="AE30" i="63"/>
  <c r="AE31" i="63"/>
  <c r="AE32" i="63"/>
  <c r="AE33" i="63"/>
  <c r="AE20" i="62"/>
  <c r="AE21" i="62"/>
  <c r="AE22" i="62"/>
  <c r="AE23" i="62"/>
  <c r="AE24" i="62"/>
  <c r="AE25" i="62"/>
  <c r="AE26" i="62"/>
  <c r="AE27" i="62"/>
  <c r="AE29" i="62"/>
  <c r="AE30" i="62"/>
  <c r="AE31" i="62"/>
  <c r="AE32" i="62"/>
  <c r="AE33" i="62"/>
  <c r="AE20" i="61"/>
  <c r="AE21" i="61"/>
  <c r="AE22" i="61"/>
  <c r="AE23" i="61"/>
  <c r="AE24" i="61"/>
  <c r="AE25" i="61"/>
  <c r="AE26" i="61"/>
  <c r="AE27" i="61"/>
  <c r="AE29" i="61"/>
  <c r="AE30" i="61"/>
  <c r="AE31" i="61"/>
  <c r="AE32" i="61"/>
  <c r="AE33" i="61"/>
  <c r="AE20" i="60"/>
  <c r="AE21" i="60"/>
  <c r="AE22" i="60"/>
  <c r="AE23" i="60"/>
  <c r="AE24" i="60"/>
  <c r="AE25" i="60"/>
  <c r="AE26" i="60"/>
  <c r="AE27" i="60"/>
  <c r="AE29" i="60"/>
  <c r="AE30" i="60"/>
  <c r="AE31" i="60"/>
  <c r="AE32" i="60"/>
  <c r="AE33" i="60"/>
  <c r="AE20" i="59"/>
  <c r="AE21" i="59"/>
  <c r="AE22" i="59"/>
  <c r="AE23" i="59"/>
  <c r="AE24" i="59"/>
  <c r="AE25" i="59"/>
  <c r="AE26" i="59"/>
  <c r="AE27" i="59"/>
  <c r="AE29" i="59"/>
  <c r="AE30" i="59"/>
  <c r="AE31" i="59"/>
  <c r="AE32" i="59"/>
  <c r="AE33" i="59"/>
  <c r="AE20" i="58"/>
  <c r="AE21" i="58"/>
  <c r="AE22" i="58"/>
  <c r="AE23" i="58"/>
  <c r="AE24" i="58"/>
  <c r="AE25" i="58"/>
  <c r="AE26" i="58"/>
  <c r="AE27" i="58"/>
  <c r="AE29" i="58"/>
  <c r="AE30" i="58"/>
  <c r="AE31" i="58"/>
  <c r="AE32" i="58"/>
  <c r="AE33" i="58"/>
  <c r="AE20" i="57"/>
  <c r="AE21" i="57"/>
  <c r="AE22" i="57"/>
  <c r="AE23" i="57"/>
  <c r="AE24" i="57"/>
  <c r="AE25" i="57"/>
  <c r="AE26" i="57"/>
  <c r="AE27" i="57"/>
  <c r="AE29" i="57"/>
  <c r="AE30" i="57"/>
  <c r="AE31" i="57"/>
  <c r="AE32" i="57"/>
  <c r="AE33" i="57"/>
  <c r="AE20" i="56"/>
  <c r="AE21" i="56"/>
  <c r="AE22" i="56"/>
  <c r="AE23" i="56"/>
  <c r="AE24" i="56"/>
  <c r="AE25" i="56"/>
  <c r="AE26" i="56"/>
  <c r="AE27" i="56"/>
  <c r="AE29" i="56"/>
  <c r="AE30" i="56"/>
  <c r="AE31" i="56"/>
  <c r="AE32" i="56"/>
  <c r="AE33" i="56"/>
  <c r="AE20" i="55"/>
  <c r="AE21" i="55"/>
  <c r="AE22" i="55"/>
  <c r="AE23" i="55"/>
  <c r="AE24" i="55"/>
  <c r="AE25" i="55"/>
  <c r="AE26" i="55"/>
  <c r="AE27" i="55"/>
  <c r="AE29" i="55"/>
  <c r="AE30" i="55"/>
  <c r="AE31" i="55"/>
  <c r="AE32" i="55"/>
  <c r="AE33" i="55"/>
  <c r="AE20" i="54"/>
  <c r="AE21" i="54"/>
  <c r="AE22" i="54"/>
  <c r="AE23" i="54"/>
  <c r="AE24" i="54"/>
  <c r="AE25" i="54"/>
  <c r="AE26" i="54"/>
  <c r="AE27" i="54"/>
  <c r="AE29" i="54"/>
  <c r="AE30" i="54"/>
  <c r="AE31" i="54"/>
  <c r="AE32" i="54"/>
  <c r="AE33" i="54"/>
  <c r="AE20" i="53"/>
  <c r="AE21" i="53"/>
  <c r="AE22" i="53"/>
  <c r="AE23" i="53"/>
  <c r="AE24" i="53"/>
  <c r="AE25" i="53"/>
  <c r="AE26" i="53"/>
  <c r="AE27" i="53"/>
  <c r="AE29" i="53"/>
  <c r="AE30" i="53"/>
  <c r="AE31" i="53"/>
  <c r="AE32" i="53"/>
  <c r="AE33" i="53"/>
  <c r="AE20" i="52"/>
  <c r="AE21" i="52"/>
  <c r="AE22" i="52"/>
  <c r="AE23" i="52"/>
  <c r="AE24" i="52"/>
  <c r="AE25" i="52"/>
  <c r="AE26" i="52"/>
  <c r="AE27" i="52"/>
  <c r="AE29" i="52"/>
  <c r="AE30" i="52"/>
  <c r="AE31" i="52"/>
  <c r="AE32" i="52"/>
  <c r="AE33" i="52"/>
  <c r="AE20" i="51"/>
  <c r="AE21" i="51"/>
  <c r="AE22" i="51"/>
  <c r="AE23" i="51"/>
  <c r="AE24" i="51"/>
  <c r="AE25" i="51"/>
  <c r="AE26" i="51"/>
  <c r="AE27" i="51"/>
  <c r="AE29" i="51"/>
  <c r="AE30" i="51"/>
  <c r="AE31" i="51"/>
  <c r="AE32" i="51"/>
  <c r="AE33" i="51"/>
  <c r="AE20" i="50"/>
  <c r="AE21" i="50"/>
  <c r="AE22" i="50"/>
  <c r="AE23" i="50"/>
  <c r="AE24" i="50"/>
  <c r="AE25" i="50"/>
  <c r="AE26" i="50"/>
  <c r="AE27" i="50"/>
  <c r="AE29" i="50"/>
  <c r="AE30" i="50"/>
  <c r="AE31" i="50"/>
  <c r="AE32" i="50"/>
  <c r="AE33" i="50"/>
  <c r="AE20" i="49"/>
  <c r="AE21" i="49"/>
  <c r="AE22" i="49"/>
  <c r="AE23" i="49"/>
  <c r="AE24" i="49"/>
  <c r="AE25" i="49"/>
  <c r="AE26" i="49"/>
  <c r="AE27" i="49"/>
  <c r="AE29" i="49"/>
  <c r="AE30" i="49"/>
  <c r="AE31" i="49"/>
  <c r="AE32" i="49"/>
  <c r="AE33" i="49"/>
  <c r="AE20" i="48"/>
  <c r="AE21" i="48"/>
  <c r="AE22" i="48"/>
  <c r="AE23" i="48"/>
  <c r="AE24" i="48"/>
  <c r="AE25" i="48"/>
  <c r="AE26" i="48"/>
  <c r="AE27" i="48"/>
  <c r="AE29" i="48"/>
  <c r="AE30" i="48"/>
  <c r="AE31" i="48"/>
  <c r="AE32" i="48"/>
  <c r="AE33" i="48"/>
  <c r="AE20" i="47"/>
  <c r="AE21" i="47"/>
  <c r="AE22" i="47"/>
  <c r="AE23" i="47"/>
  <c r="AE24" i="47"/>
  <c r="AE25" i="47"/>
  <c r="AE26" i="47"/>
  <c r="AE27" i="47"/>
  <c r="AE29" i="47"/>
  <c r="AE30" i="47"/>
  <c r="AE31" i="47"/>
  <c r="AE32" i="47"/>
  <c r="AE33" i="47"/>
  <c r="AE20" i="46"/>
  <c r="AE21" i="46"/>
  <c r="AE22" i="46"/>
  <c r="AE23" i="46"/>
  <c r="AE24" i="46"/>
  <c r="AE25" i="46"/>
  <c r="AE26" i="46"/>
  <c r="AE27" i="46"/>
  <c r="AE29" i="46"/>
  <c r="AE30" i="46"/>
  <c r="AE31" i="46"/>
  <c r="AE32" i="46"/>
  <c r="AE33" i="46"/>
  <c r="AE20" i="45"/>
  <c r="AE21" i="45"/>
  <c r="AE22" i="45"/>
  <c r="AE23" i="45"/>
  <c r="AE24" i="45"/>
  <c r="AE25" i="45"/>
  <c r="AE26" i="45"/>
  <c r="AE27" i="45"/>
  <c r="AE29" i="45"/>
  <c r="AE30" i="45"/>
  <c r="AE31" i="45"/>
  <c r="AE32" i="45"/>
  <c r="AE33" i="45"/>
  <c r="AE20" i="44"/>
  <c r="AE21" i="44"/>
  <c r="AE22" i="44"/>
  <c r="AE23" i="44"/>
  <c r="AE24" i="44"/>
  <c r="AE25" i="44"/>
  <c r="AE26" i="44"/>
  <c r="AE27" i="44"/>
  <c r="AE29" i="44"/>
  <c r="AE30" i="44"/>
  <c r="AE31" i="44"/>
  <c r="AE32" i="44"/>
  <c r="AE33" i="44"/>
  <c r="AE20" i="43"/>
  <c r="AE21" i="43"/>
  <c r="AE22" i="43"/>
  <c r="AE23" i="43"/>
  <c r="AE24" i="43"/>
  <c r="AE25" i="43"/>
  <c r="AE26" i="43"/>
  <c r="AE27" i="43"/>
  <c r="AE29" i="43"/>
  <c r="AE30" i="43"/>
  <c r="AE31" i="43"/>
  <c r="AE32" i="43"/>
  <c r="AE33" i="43"/>
  <c r="AE20" i="42"/>
  <c r="AE21" i="42"/>
  <c r="AE22" i="42"/>
  <c r="AE23" i="42"/>
  <c r="AE24" i="42"/>
  <c r="AE25" i="42"/>
  <c r="AE26" i="42"/>
  <c r="AE27" i="42"/>
  <c r="AE29" i="42"/>
  <c r="AE30" i="42"/>
  <c r="AE31" i="42"/>
  <c r="AE32" i="42"/>
  <c r="AE33" i="42"/>
  <c r="AE33" i="8"/>
  <c r="AE21" i="8"/>
  <c r="AE22" i="8"/>
  <c r="AE23" i="8"/>
  <c r="AE24" i="8"/>
  <c r="AE25" i="8"/>
  <c r="AE26" i="8"/>
  <c r="AE27" i="8"/>
  <c r="AE28" i="8"/>
  <c r="AE29" i="8"/>
  <c r="AE30" i="8"/>
  <c r="AE31" i="8"/>
  <c r="AE32" i="8"/>
  <c r="C10" i="40"/>
  <c r="G29" i="3"/>
  <c r="H30" i="40"/>
  <c r="E12" i="3"/>
  <c r="E11" i="3"/>
  <c r="E10" i="3"/>
  <c r="Q31" i="69" l="1"/>
  <c r="F31" i="69"/>
  <c r="H27" i="69"/>
  <c r="R28" i="69"/>
  <c r="R29" i="69"/>
  <c r="W29" i="69" s="1"/>
  <c r="R30" i="69"/>
  <c r="W30" i="69" s="1"/>
  <c r="E8" i="3"/>
  <c r="E9" i="3"/>
  <c r="E15" i="3"/>
  <c r="E14" i="3"/>
  <c r="E13" i="3"/>
  <c r="H17" i="40"/>
  <c r="H16" i="40"/>
  <c r="B110" i="68"/>
  <c r="D443" i="68"/>
  <c r="D444" i="68"/>
  <c r="D445" i="68"/>
  <c r="D446" i="68"/>
  <c r="D447" i="68"/>
  <c r="D448" i="68"/>
  <c r="D449" i="68"/>
  <c r="D450" i="68"/>
  <c r="D451" i="68"/>
  <c r="D452" i="68"/>
  <c r="D453" i="68"/>
  <c r="D454" i="68"/>
  <c r="D428" i="68"/>
  <c r="D429" i="68"/>
  <c r="D430" i="68"/>
  <c r="D431" i="68"/>
  <c r="D432" i="68"/>
  <c r="D433" i="68"/>
  <c r="D434" i="68"/>
  <c r="D435" i="68"/>
  <c r="D436" i="68"/>
  <c r="D437" i="68"/>
  <c r="D438" i="68"/>
  <c r="D439" i="68"/>
  <c r="D413" i="68"/>
  <c r="D414" i="68"/>
  <c r="D415" i="68"/>
  <c r="D416" i="68"/>
  <c r="D417" i="68"/>
  <c r="D418" i="68"/>
  <c r="D419" i="68"/>
  <c r="D420" i="68"/>
  <c r="D421" i="68"/>
  <c r="D422" i="68"/>
  <c r="D423" i="68"/>
  <c r="D424" i="68"/>
  <c r="D398" i="68"/>
  <c r="D399" i="68"/>
  <c r="D400" i="68"/>
  <c r="D401" i="68"/>
  <c r="D402" i="68"/>
  <c r="D403" i="68"/>
  <c r="D404" i="68"/>
  <c r="D405" i="68"/>
  <c r="D406" i="68"/>
  <c r="D407" i="68"/>
  <c r="D408" i="68"/>
  <c r="D409" i="68"/>
  <c r="D383" i="68"/>
  <c r="D384" i="68"/>
  <c r="D385" i="68"/>
  <c r="D386" i="68"/>
  <c r="D387" i="68"/>
  <c r="D388" i="68"/>
  <c r="D389" i="68"/>
  <c r="D390" i="68"/>
  <c r="D391" i="68"/>
  <c r="D392" i="68"/>
  <c r="D393" i="68"/>
  <c r="D394" i="68"/>
  <c r="D368" i="68"/>
  <c r="D369" i="68"/>
  <c r="D370" i="68"/>
  <c r="D371" i="68"/>
  <c r="D372" i="68"/>
  <c r="D373" i="68"/>
  <c r="D374" i="68"/>
  <c r="D375" i="68"/>
  <c r="D376" i="68"/>
  <c r="D377" i="68"/>
  <c r="D378" i="68"/>
  <c r="D379" i="68"/>
  <c r="D353" i="68"/>
  <c r="D354" i="68"/>
  <c r="D355" i="68"/>
  <c r="D356" i="68"/>
  <c r="D357" i="68"/>
  <c r="D358" i="68"/>
  <c r="D359" i="68"/>
  <c r="D360" i="68"/>
  <c r="D361" i="68"/>
  <c r="D362" i="68"/>
  <c r="D363" i="68"/>
  <c r="D364" i="68"/>
  <c r="D338" i="68"/>
  <c r="D339" i="68"/>
  <c r="D340" i="68"/>
  <c r="D341" i="68"/>
  <c r="D342" i="68"/>
  <c r="D343" i="68"/>
  <c r="D344" i="68"/>
  <c r="D345" i="68"/>
  <c r="D346" i="68"/>
  <c r="D347" i="68"/>
  <c r="D348" i="68"/>
  <c r="D349" i="68"/>
  <c r="D323" i="68"/>
  <c r="D324" i="68"/>
  <c r="D325" i="68"/>
  <c r="D326" i="68"/>
  <c r="D327" i="68"/>
  <c r="D328" i="68"/>
  <c r="D329" i="68"/>
  <c r="D330" i="68"/>
  <c r="D331" i="68"/>
  <c r="D332" i="68"/>
  <c r="D333" i="68"/>
  <c r="D334" i="68"/>
  <c r="D308" i="68"/>
  <c r="D309" i="68"/>
  <c r="D310" i="68"/>
  <c r="D311" i="68"/>
  <c r="D312" i="68"/>
  <c r="D313" i="68"/>
  <c r="D314" i="68"/>
  <c r="D315" i="68"/>
  <c r="D316" i="68"/>
  <c r="D317" i="68"/>
  <c r="D318" i="68"/>
  <c r="D319" i="68"/>
  <c r="D293" i="68"/>
  <c r="D294" i="68"/>
  <c r="D295" i="68"/>
  <c r="D296" i="68"/>
  <c r="D297" i="68"/>
  <c r="D298" i="68"/>
  <c r="D299" i="68"/>
  <c r="D300" i="68"/>
  <c r="D301" i="68"/>
  <c r="D302" i="68"/>
  <c r="D303" i="68"/>
  <c r="D304" i="68"/>
  <c r="D278" i="68"/>
  <c r="D279" i="68"/>
  <c r="D280" i="68"/>
  <c r="D281" i="68"/>
  <c r="D282" i="68"/>
  <c r="D283" i="68"/>
  <c r="D284" i="68"/>
  <c r="D285" i="68"/>
  <c r="D286" i="68"/>
  <c r="D287" i="68"/>
  <c r="D288" i="68"/>
  <c r="D289" i="68"/>
  <c r="D263" i="68"/>
  <c r="D264" i="68"/>
  <c r="D265" i="68"/>
  <c r="D266" i="68"/>
  <c r="D267" i="68"/>
  <c r="D268" i="68"/>
  <c r="D269" i="68"/>
  <c r="D270" i="68"/>
  <c r="D271" i="68"/>
  <c r="D272" i="68"/>
  <c r="D273" i="68"/>
  <c r="D274" i="68"/>
  <c r="D248" i="68"/>
  <c r="D249" i="68"/>
  <c r="D250" i="68"/>
  <c r="D251" i="68"/>
  <c r="D252" i="68"/>
  <c r="D253" i="68"/>
  <c r="D254" i="68"/>
  <c r="D255" i="68"/>
  <c r="D256" i="68"/>
  <c r="D257" i="68"/>
  <c r="D258" i="68"/>
  <c r="D259" i="68"/>
  <c r="J441" i="68"/>
  <c r="J442" i="68"/>
  <c r="J443" i="68"/>
  <c r="J444" i="68"/>
  <c r="J445" i="68"/>
  <c r="J446" i="68"/>
  <c r="J447" i="68"/>
  <c r="J448" i="68"/>
  <c r="J450" i="68"/>
  <c r="J451" i="68"/>
  <c r="J452" i="68"/>
  <c r="J453" i="68"/>
  <c r="J454" i="68"/>
  <c r="J440" i="68"/>
  <c r="J426" i="68"/>
  <c r="J427" i="68"/>
  <c r="J428" i="68"/>
  <c r="J429" i="68"/>
  <c r="J430" i="68"/>
  <c r="J431" i="68"/>
  <c r="J432" i="68"/>
  <c r="J433" i="68"/>
  <c r="J435" i="68"/>
  <c r="J436" i="68"/>
  <c r="J437" i="68"/>
  <c r="J438" i="68"/>
  <c r="J439" i="68"/>
  <c r="J425" i="68"/>
  <c r="J411" i="68"/>
  <c r="J412" i="68"/>
  <c r="J413" i="68"/>
  <c r="J414" i="68"/>
  <c r="J415" i="68"/>
  <c r="J416" i="68"/>
  <c r="J417" i="68"/>
  <c r="J418" i="68"/>
  <c r="J420" i="68"/>
  <c r="J421" i="68"/>
  <c r="J422" i="68"/>
  <c r="J423" i="68"/>
  <c r="J424" i="68"/>
  <c r="J410" i="68"/>
  <c r="J396" i="68"/>
  <c r="J397" i="68"/>
  <c r="J398" i="68"/>
  <c r="J399" i="68"/>
  <c r="J400" i="68"/>
  <c r="J401" i="68"/>
  <c r="J402" i="68"/>
  <c r="J403" i="68"/>
  <c r="J405" i="68"/>
  <c r="J406" i="68"/>
  <c r="J407" i="68"/>
  <c r="J408" i="68"/>
  <c r="J409" i="68"/>
  <c r="J395" i="68"/>
  <c r="J381" i="68"/>
  <c r="J382" i="68"/>
  <c r="J383" i="68"/>
  <c r="J384" i="68"/>
  <c r="J385" i="68"/>
  <c r="J386" i="68"/>
  <c r="J387" i="68"/>
  <c r="J388" i="68"/>
  <c r="J390" i="68"/>
  <c r="J391" i="68"/>
  <c r="J392" i="68"/>
  <c r="J393" i="68"/>
  <c r="J394" i="68"/>
  <c r="J380" i="68"/>
  <c r="J366" i="68"/>
  <c r="J367" i="68"/>
  <c r="J368" i="68"/>
  <c r="J369" i="68"/>
  <c r="J370" i="68"/>
  <c r="J371" i="68"/>
  <c r="J372" i="68"/>
  <c r="J373" i="68"/>
  <c r="J375" i="68"/>
  <c r="J376" i="68"/>
  <c r="J377" i="68"/>
  <c r="J378" i="68"/>
  <c r="J379" i="68"/>
  <c r="J365" i="68"/>
  <c r="J351" i="68"/>
  <c r="J352" i="68"/>
  <c r="J353" i="68"/>
  <c r="J354" i="68"/>
  <c r="J355" i="68"/>
  <c r="J356" i="68"/>
  <c r="J357" i="68"/>
  <c r="J358" i="68"/>
  <c r="J360" i="68"/>
  <c r="J361" i="68"/>
  <c r="J362" i="68"/>
  <c r="J363" i="68"/>
  <c r="J364" i="68"/>
  <c r="J350" i="68"/>
  <c r="J336" i="68"/>
  <c r="J337" i="68"/>
  <c r="J338" i="68"/>
  <c r="J339" i="68"/>
  <c r="J340" i="68"/>
  <c r="J341" i="68"/>
  <c r="J342" i="68"/>
  <c r="J343" i="68"/>
  <c r="J345" i="68"/>
  <c r="J346" i="68"/>
  <c r="J347" i="68"/>
  <c r="J348" i="68"/>
  <c r="J349" i="68"/>
  <c r="J335" i="68"/>
  <c r="J321" i="68"/>
  <c r="J322" i="68"/>
  <c r="J323" i="68"/>
  <c r="J324" i="68"/>
  <c r="J325" i="68"/>
  <c r="J326" i="68"/>
  <c r="J327" i="68"/>
  <c r="J328" i="68"/>
  <c r="J330" i="68"/>
  <c r="J331" i="68"/>
  <c r="J332" i="68"/>
  <c r="J333" i="68"/>
  <c r="J334" i="68"/>
  <c r="J320" i="68"/>
  <c r="J306" i="68"/>
  <c r="J307" i="68"/>
  <c r="J308" i="68"/>
  <c r="J309" i="68"/>
  <c r="J310" i="68"/>
  <c r="J311" i="68"/>
  <c r="J312" i="68"/>
  <c r="J313" i="68"/>
  <c r="J315" i="68"/>
  <c r="J316" i="68"/>
  <c r="J317" i="68"/>
  <c r="J318" i="68"/>
  <c r="J319" i="68"/>
  <c r="J305" i="68"/>
  <c r="J291" i="68"/>
  <c r="J292" i="68"/>
  <c r="J293" i="68"/>
  <c r="J294" i="68"/>
  <c r="J295" i="68"/>
  <c r="J296" i="68"/>
  <c r="J297" i="68"/>
  <c r="J298" i="68"/>
  <c r="J300" i="68"/>
  <c r="J301" i="68"/>
  <c r="J302" i="68"/>
  <c r="J303" i="68"/>
  <c r="J304" i="68"/>
  <c r="J290" i="68"/>
  <c r="J276" i="68"/>
  <c r="J277" i="68"/>
  <c r="J278" i="68"/>
  <c r="J279" i="68"/>
  <c r="J280" i="68"/>
  <c r="J281" i="68"/>
  <c r="J282" i="68"/>
  <c r="J283" i="68"/>
  <c r="J285" i="68"/>
  <c r="J286" i="68"/>
  <c r="J287" i="68"/>
  <c r="J288" i="68"/>
  <c r="J289" i="68"/>
  <c r="J275" i="68"/>
  <c r="J262" i="68"/>
  <c r="J263" i="68"/>
  <c r="J264" i="68"/>
  <c r="J265" i="68"/>
  <c r="J266" i="68"/>
  <c r="J267" i="68"/>
  <c r="J268" i="68"/>
  <c r="J270" i="68"/>
  <c r="J271" i="68"/>
  <c r="J272" i="68"/>
  <c r="J273" i="68"/>
  <c r="J274" i="68"/>
  <c r="J261" i="68"/>
  <c r="J260" i="68"/>
  <c r="J246" i="68"/>
  <c r="J247" i="68"/>
  <c r="J248" i="68"/>
  <c r="J249" i="68"/>
  <c r="J250" i="68"/>
  <c r="J251" i="68"/>
  <c r="J252" i="68"/>
  <c r="J253" i="68"/>
  <c r="J255" i="68"/>
  <c r="J256" i="68"/>
  <c r="J257" i="68"/>
  <c r="J258" i="68"/>
  <c r="J259" i="68"/>
  <c r="J245" i="68"/>
  <c r="J231" i="68"/>
  <c r="J232" i="68"/>
  <c r="J233" i="68"/>
  <c r="J234" i="68"/>
  <c r="J235" i="68"/>
  <c r="J236" i="68"/>
  <c r="J237" i="68"/>
  <c r="J238" i="68"/>
  <c r="J240" i="68"/>
  <c r="J241" i="68"/>
  <c r="J242" i="68"/>
  <c r="J243" i="68"/>
  <c r="J244" i="68"/>
  <c r="J230" i="68"/>
  <c r="L231" i="68"/>
  <c r="L232" i="68"/>
  <c r="L233" i="68"/>
  <c r="L234" i="68"/>
  <c r="L235" i="68"/>
  <c r="L236" i="68"/>
  <c r="L237" i="68"/>
  <c r="L238" i="68"/>
  <c r="L240" i="68"/>
  <c r="L241" i="68"/>
  <c r="L242" i="68"/>
  <c r="L243" i="68"/>
  <c r="L244" i="68"/>
  <c r="L111" i="68"/>
  <c r="L112" i="68"/>
  <c r="L113" i="68"/>
  <c r="L114" i="68"/>
  <c r="L115" i="68"/>
  <c r="L116" i="68"/>
  <c r="L117" i="68"/>
  <c r="L118" i="68"/>
  <c r="L120" i="68"/>
  <c r="L121" i="68"/>
  <c r="L122" i="68"/>
  <c r="L123" i="68"/>
  <c r="L124" i="68"/>
  <c r="K248" i="68"/>
  <c r="K249" i="68"/>
  <c r="K250" i="68"/>
  <c r="K251" i="68"/>
  <c r="K252" i="68"/>
  <c r="K253" i="68"/>
  <c r="K255" i="68"/>
  <c r="K256" i="68"/>
  <c r="K257" i="68"/>
  <c r="K258" i="68"/>
  <c r="K259" i="68"/>
  <c r="K233" i="68"/>
  <c r="K234" i="68"/>
  <c r="K235" i="68"/>
  <c r="K236" i="68"/>
  <c r="K237" i="68"/>
  <c r="K238" i="68"/>
  <c r="K240" i="68"/>
  <c r="K241" i="68"/>
  <c r="K242" i="68"/>
  <c r="K243" i="68"/>
  <c r="K244" i="68"/>
  <c r="I441" i="68"/>
  <c r="I442" i="68"/>
  <c r="I443" i="68"/>
  <c r="I444" i="68"/>
  <c r="I445" i="68"/>
  <c r="I446" i="68"/>
  <c r="I447" i="68"/>
  <c r="I448" i="68"/>
  <c r="I449" i="68"/>
  <c r="I450" i="68"/>
  <c r="I451" i="68"/>
  <c r="I452" i="68"/>
  <c r="I453" i="68"/>
  <c r="I454" i="68"/>
  <c r="I440" i="68"/>
  <c r="I426" i="68"/>
  <c r="I427" i="68"/>
  <c r="I428" i="68"/>
  <c r="I429" i="68"/>
  <c r="I430" i="68"/>
  <c r="I431" i="68"/>
  <c r="I432" i="68"/>
  <c r="I433" i="68"/>
  <c r="I434" i="68"/>
  <c r="I435" i="68"/>
  <c r="I436" i="68"/>
  <c r="I437" i="68"/>
  <c r="I438" i="68"/>
  <c r="I439" i="68"/>
  <c r="I425" i="68"/>
  <c r="I411" i="68"/>
  <c r="I412" i="68"/>
  <c r="I413" i="68"/>
  <c r="I414" i="68"/>
  <c r="I415" i="68"/>
  <c r="I416" i="68"/>
  <c r="I417" i="68"/>
  <c r="I418" i="68"/>
  <c r="I419" i="68"/>
  <c r="I420" i="68"/>
  <c r="I421" i="68"/>
  <c r="I422" i="68"/>
  <c r="I423" i="68"/>
  <c r="I424" i="68"/>
  <c r="I410" i="68"/>
  <c r="I396" i="68"/>
  <c r="I397" i="68"/>
  <c r="I398" i="68"/>
  <c r="I399" i="68"/>
  <c r="I400" i="68"/>
  <c r="I401" i="68"/>
  <c r="I402" i="68"/>
  <c r="I403" i="68"/>
  <c r="I404" i="68"/>
  <c r="I405" i="68"/>
  <c r="I406" i="68"/>
  <c r="I407" i="68"/>
  <c r="I408" i="68"/>
  <c r="I409" i="68"/>
  <c r="I395" i="68"/>
  <c r="I381" i="68"/>
  <c r="I382" i="68"/>
  <c r="I383" i="68"/>
  <c r="I384" i="68"/>
  <c r="I385" i="68"/>
  <c r="I386" i="68"/>
  <c r="I387" i="68"/>
  <c r="I388" i="68"/>
  <c r="I389" i="68"/>
  <c r="I390" i="68"/>
  <c r="I391" i="68"/>
  <c r="I392" i="68"/>
  <c r="I393" i="68"/>
  <c r="I394" i="68"/>
  <c r="I380" i="68"/>
  <c r="I366" i="68"/>
  <c r="I367" i="68"/>
  <c r="I368" i="68"/>
  <c r="I369" i="68"/>
  <c r="I370" i="68"/>
  <c r="I371" i="68"/>
  <c r="I372" i="68"/>
  <c r="I373" i="68"/>
  <c r="I374" i="68"/>
  <c r="I375" i="68"/>
  <c r="I376" i="68"/>
  <c r="I377" i="68"/>
  <c r="I378" i="68"/>
  <c r="I379" i="68"/>
  <c r="I365" i="68"/>
  <c r="I351" i="68"/>
  <c r="I352" i="68"/>
  <c r="I353" i="68"/>
  <c r="I354" i="68"/>
  <c r="I355" i="68"/>
  <c r="I356" i="68"/>
  <c r="I357" i="68"/>
  <c r="I358" i="68"/>
  <c r="I359" i="68"/>
  <c r="I360" i="68"/>
  <c r="I361" i="68"/>
  <c r="I362" i="68"/>
  <c r="I363" i="68"/>
  <c r="I364" i="68"/>
  <c r="I350" i="68"/>
  <c r="I336" i="68"/>
  <c r="I337" i="68"/>
  <c r="I338" i="68"/>
  <c r="I339" i="68"/>
  <c r="I340" i="68"/>
  <c r="I341" i="68"/>
  <c r="I342" i="68"/>
  <c r="I343" i="68"/>
  <c r="I344" i="68"/>
  <c r="I345" i="68"/>
  <c r="I346" i="68"/>
  <c r="I347" i="68"/>
  <c r="I348" i="68"/>
  <c r="I349" i="68"/>
  <c r="I335" i="68"/>
  <c r="I321" i="68"/>
  <c r="I322" i="68"/>
  <c r="I323" i="68"/>
  <c r="I324" i="68"/>
  <c r="I325" i="68"/>
  <c r="I326" i="68"/>
  <c r="I327" i="68"/>
  <c r="I328" i="68"/>
  <c r="I329" i="68"/>
  <c r="I330" i="68"/>
  <c r="I331" i="68"/>
  <c r="I332" i="68"/>
  <c r="I333" i="68"/>
  <c r="I334" i="68"/>
  <c r="I320" i="68"/>
  <c r="I306" i="68"/>
  <c r="I307" i="68"/>
  <c r="I308" i="68"/>
  <c r="I309" i="68"/>
  <c r="I310" i="68"/>
  <c r="I311" i="68"/>
  <c r="I312" i="68"/>
  <c r="I313" i="68"/>
  <c r="I314" i="68"/>
  <c r="I315" i="68"/>
  <c r="I316" i="68"/>
  <c r="I317" i="68"/>
  <c r="I318" i="68"/>
  <c r="I319" i="68"/>
  <c r="I305" i="68"/>
  <c r="I291" i="68"/>
  <c r="I292" i="68"/>
  <c r="I293" i="68"/>
  <c r="I294" i="68"/>
  <c r="I295" i="68"/>
  <c r="I296" i="68"/>
  <c r="I297" i="68"/>
  <c r="I298" i="68"/>
  <c r="I299" i="68"/>
  <c r="I300" i="68"/>
  <c r="I301" i="68"/>
  <c r="I302" i="68"/>
  <c r="I303" i="68"/>
  <c r="I304" i="68"/>
  <c r="I290" i="68"/>
  <c r="I276" i="68"/>
  <c r="I277" i="68"/>
  <c r="I278" i="68"/>
  <c r="I279" i="68"/>
  <c r="I280" i="68"/>
  <c r="I281" i="68"/>
  <c r="I282" i="68"/>
  <c r="I283" i="68"/>
  <c r="I284" i="68"/>
  <c r="I285" i="68"/>
  <c r="I286" i="68"/>
  <c r="I287" i="68"/>
  <c r="I288" i="68"/>
  <c r="I289" i="68"/>
  <c r="I275" i="68"/>
  <c r="I261" i="68"/>
  <c r="I262" i="68"/>
  <c r="I263" i="68"/>
  <c r="I264" i="68"/>
  <c r="I265" i="68"/>
  <c r="I266" i="68"/>
  <c r="I267" i="68"/>
  <c r="I268" i="68"/>
  <c r="I269" i="68"/>
  <c r="I270" i="68"/>
  <c r="I271" i="68"/>
  <c r="I272" i="68"/>
  <c r="I273" i="68"/>
  <c r="I274" i="68"/>
  <c r="I260" i="68"/>
  <c r="I246" i="68"/>
  <c r="I247" i="68"/>
  <c r="I248" i="68"/>
  <c r="I249" i="68"/>
  <c r="I250" i="68"/>
  <c r="I251" i="68"/>
  <c r="I252" i="68"/>
  <c r="I253" i="68"/>
  <c r="I254" i="68"/>
  <c r="I255" i="68"/>
  <c r="I256" i="68"/>
  <c r="I257" i="68"/>
  <c r="I258" i="68"/>
  <c r="I259" i="68"/>
  <c r="I245" i="68"/>
  <c r="G441" i="68"/>
  <c r="G442" i="68"/>
  <c r="G443" i="68"/>
  <c r="G444" i="68"/>
  <c r="G445" i="68"/>
  <c r="G446" i="68"/>
  <c r="G447" i="68"/>
  <c r="G448" i="68"/>
  <c r="G449" i="68"/>
  <c r="G450" i="68"/>
  <c r="G451" i="68"/>
  <c r="G452" i="68"/>
  <c r="G453" i="68"/>
  <c r="G454" i="68"/>
  <c r="G440" i="68"/>
  <c r="G426" i="68"/>
  <c r="G427" i="68"/>
  <c r="G428" i="68"/>
  <c r="G429" i="68"/>
  <c r="G430" i="68"/>
  <c r="G431" i="68"/>
  <c r="G432" i="68"/>
  <c r="G433" i="68"/>
  <c r="G434" i="68"/>
  <c r="G435" i="68"/>
  <c r="G436" i="68"/>
  <c r="G437" i="68"/>
  <c r="G438" i="68"/>
  <c r="G439" i="68"/>
  <c r="G425" i="68"/>
  <c r="G411" i="68"/>
  <c r="G412" i="68"/>
  <c r="G413" i="68"/>
  <c r="G414" i="68"/>
  <c r="G415" i="68"/>
  <c r="G416" i="68"/>
  <c r="G417" i="68"/>
  <c r="G418" i="68"/>
  <c r="G419" i="68"/>
  <c r="G420" i="68"/>
  <c r="G421" i="68"/>
  <c r="G422" i="68"/>
  <c r="G423" i="68"/>
  <c r="G424" i="68"/>
  <c r="G410" i="68"/>
  <c r="G396" i="68"/>
  <c r="G397" i="68"/>
  <c r="G398" i="68"/>
  <c r="G399" i="68"/>
  <c r="G400" i="68"/>
  <c r="G401" i="68"/>
  <c r="G402" i="68"/>
  <c r="G403" i="68"/>
  <c r="G404" i="68"/>
  <c r="G405" i="68"/>
  <c r="G406" i="68"/>
  <c r="G407" i="68"/>
  <c r="G408" i="68"/>
  <c r="G409" i="68"/>
  <c r="G395" i="68"/>
  <c r="G381" i="68"/>
  <c r="G382" i="68"/>
  <c r="G383" i="68"/>
  <c r="G384" i="68"/>
  <c r="G385" i="68"/>
  <c r="G386" i="68"/>
  <c r="G387" i="68"/>
  <c r="G388" i="68"/>
  <c r="G389" i="68"/>
  <c r="G390" i="68"/>
  <c r="G391" i="68"/>
  <c r="G392" i="68"/>
  <c r="G393" i="68"/>
  <c r="G394" i="68"/>
  <c r="G380" i="68"/>
  <c r="G366" i="68"/>
  <c r="G367" i="68"/>
  <c r="G368" i="68"/>
  <c r="G369" i="68"/>
  <c r="G370" i="68"/>
  <c r="G371" i="68"/>
  <c r="G372" i="68"/>
  <c r="G373" i="68"/>
  <c r="G374" i="68"/>
  <c r="G375" i="68"/>
  <c r="G376" i="68"/>
  <c r="G377" i="68"/>
  <c r="G378" i="68"/>
  <c r="G379" i="68"/>
  <c r="G365" i="68"/>
  <c r="G351" i="68"/>
  <c r="G352" i="68"/>
  <c r="G353" i="68"/>
  <c r="G354" i="68"/>
  <c r="G355" i="68"/>
  <c r="G356" i="68"/>
  <c r="G357" i="68"/>
  <c r="G358" i="68"/>
  <c r="G359" i="68"/>
  <c r="G360" i="68"/>
  <c r="G361" i="68"/>
  <c r="G362" i="68"/>
  <c r="G363" i="68"/>
  <c r="G364" i="68"/>
  <c r="G350" i="68"/>
  <c r="G336" i="68"/>
  <c r="G337" i="68"/>
  <c r="G338" i="68"/>
  <c r="G339" i="68"/>
  <c r="G340" i="68"/>
  <c r="G341" i="68"/>
  <c r="G342" i="68"/>
  <c r="G343" i="68"/>
  <c r="G344" i="68"/>
  <c r="G345" i="68"/>
  <c r="G346" i="68"/>
  <c r="G347" i="68"/>
  <c r="G348" i="68"/>
  <c r="G349" i="68"/>
  <c r="G335" i="68"/>
  <c r="G321" i="68"/>
  <c r="G322" i="68"/>
  <c r="G323" i="68"/>
  <c r="G324" i="68"/>
  <c r="G325" i="68"/>
  <c r="G326" i="68"/>
  <c r="G327" i="68"/>
  <c r="G328" i="68"/>
  <c r="G329" i="68"/>
  <c r="G330" i="68"/>
  <c r="G331" i="68"/>
  <c r="G332" i="68"/>
  <c r="G333" i="68"/>
  <c r="G334" i="68"/>
  <c r="G320" i="68"/>
  <c r="G306" i="68"/>
  <c r="G307" i="68"/>
  <c r="G308" i="68"/>
  <c r="G309" i="68"/>
  <c r="G310" i="68"/>
  <c r="G311" i="68"/>
  <c r="G312" i="68"/>
  <c r="G313" i="68"/>
  <c r="G314" i="68"/>
  <c r="G315" i="68"/>
  <c r="G316" i="68"/>
  <c r="G317" i="68"/>
  <c r="G318" i="68"/>
  <c r="G319" i="68"/>
  <c r="G305" i="68"/>
  <c r="G291" i="68"/>
  <c r="G292" i="68"/>
  <c r="G293" i="68"/>
  <c r="G294" i="68"/>
  <c r="G295" i="68"/>
  <c r="G296" i="68"/>
  <c r="G297" i="68"/>
  <c r="G298" i="68"/>
  <c r="G299" i="68"/>
  <c r="G300" i="68"/>
  <c r="G301" i="68"/>
  <c r="G302" i="68"/>
  <c r="G303" i="68"/>
  <c r="G304" i="68"/>
  <c r="G290" i="68"/>
  <c r="G276" i="68"/>
  <c r="G277" i="68"/>
  <c r="G278" i="68"/>
  <c r="G279" i="68"/>
  <c r="G280" i="68"/>
  <c r="G281" i="68"/>
  <c r="G282" i="68"/>
  <c r="G283" i="68"/>
  <c r="G284" i="68"/>
  <c r="G285" i="68"/>
  <c r="G286" i="68"/>
  <c r="G287" i="68"/>
  <c r="G288" i="68"/>
  <c r="G289" i="68"/>
  <c r="G275" i="68"/>
  <c r="G261" i="68"/>
  <c r="G262" i="68"/>
  <c r="G263" i="68"/>
  <c r="G264" i="68"/>
  <c r="G265" i="68"/>
  <c r="G266" i="68"/>
  <c r="G267" i="68"/>
  <c r="G268" i="68"/>
  <c r="G269" i="68"/>
  <c r="G270" i="68"/>
  <c r="G271" i="68"/>
  <c r="G272" i="68"/>
  <c r="G273" i="68"/>
  <c r="G274" i="68"/>
  <c r="G260" i="68"/>
  <c r="G246" i="68"/>
  <c r="G247" i="68"/>
  <c r="G248" i="68"/>
  <c r="G249" i="68"/>
  <c r="G250" i="68"/>
  <c r="G251" i="68"/>
  <c r="G252" i="68"/>
  <c r="G253" i="68"/>
  <c r="G254" i="68"/>
  <c r="G255" i="68"/>
  <c r="G256" i="68"/>
  <c r="G257" i="68"/>
  <c r="G258" i="68"/>
  <c r="G259" i="68"/>
  <c r="G245" i="68"/>
  <c r="F441" i="68"/>
  <c r="F442" i="68"/>
  <c r="F443" i="68"/>
  <c r="F444" i="68"/>
  <c r="F445" i="68"/>
  <c r="F446" i="68"/>
  <c r="F447" i="68"/>
  <c r="F448" i="68"/>
  <c r="F449" i="68"/>
  <c r="F450" i="68"/>
  <c r="F451" i="68"/>
  <c r="F452" i="68"/>
  <c r="F453" i="68"/>
  <c r="F454" i="68"/>
  <c r="F440" i="68"/>
  <c r="F426" i="68"/>
  <c r="F427" i="68"/>
  <c r="F428" i="68"/>
  <c r="F429" i="68"/>
  <c r="F430" i="68"/>
  <c r="F431" i="68"/>
  <c r="F432" i="68"/>
  <c r="F433" i="68"/>
  <c r="F434" i="68"/>
  <c r="F435" i="68"/>
  <c r="F436" i="68"/>
  <c r="F437" i="68"/>
  <c r="F438" i="68"/>
  <c r="F439" i="68"/>
  <c r="F425" i="68"/>
  <c r="F411" i="68"/>
  <c r="F412" i="68"/>
  <c r="F413" i="68"/>
  <c r="F414" i="68"/>
  <c r="F415" i="68"/>
  <c r="F416" i="68"/>
  <c r="F417" i="68"/>
  <c r="F418" i="68"/>
  <c r="F419" i="68"/>
  <c r="F420" i="68"/>
  <c r="F421" i="68"/>
  <c r="F422" i="68"/>
  <c r="F423" i="68"/>
  <c r="F424" i="68"/>
  <c r="F410" i="68"/>
  <c r="F396" i="68"/>
  <c r="F397" i="68"/>
  <c r="F398" i="68"/>
  <c r="F399" i="68"/>
  <c r="F400" i="68"/>
  <c r="F401" i="68"/>
  <c r="F402" i="68"/>
  <c r="F403" i="68"/>
  <c r="F404" i="68"/>
  <c r="F405" i="68"/>
  <c r="F406" i="68"/>
  <c r="F407" i="68"/>
  <c r="F408" i="68"/>
  <c r="F409" i="68"/>
  <c r="F395" i="68"/>
  <c r="F381" i="68"/>
  <c r="F382" i="68"/>
  <c r="F383" i="68"/>
  <c r="F384" i="68"/>
  <c r="F385" i="68"/>
  <c r="F386" i="68"/>
  <c r="F387" i="68"/>
  <c r="F388" i="68"/>
  <c r="F389" i="68"/>
  <c r="F390" i="68"/>
  <c r="F391" i="68"/>
  <c r="F392" i="68"/>
  <c r="F393" i="68"/>
  <c r="F394" i="68"/>
  <c r="F380" i="68"/>
  <c r="F366" i="68"/>
  <c r="F367" i="68"/>
  <c r="F368" i="68"/>
  <c r="F369" i="68"/>
  <c r="F370" i="68"/>
  <c r="F371" i="68"/>
  <c r="F372" i="68"/>
  <c r="F373" i="68"/>
  <c r="F374" i="68"/>
  <c r="F375" i="68"/>
  <c r="F376" i="68"/>
  <c r="F377" i="68"/>
  <c r="F378" i="68"/>
  <c r="F379" i="68"/>
  <c r="F365" i="68"/>
  <c r="F351" i="68"/>
  <c r="F352" i="68"/>
  <c r="F353" i="68"/>
  <c r="F354" i="68"/>
  <c r="F355" i="68"/>
  <c r="F356" i="68"/>
  <c r="F357" i="68"/>
  <c r="F358" i="68"/>
  <c r="F359" i="68"/>
  <c r="F360" i="68"/>
  <c r="F361" i="68"/>
  <c r="F362" i="68"/>
  <c r="F363" i="68"/>
  <c r="F364" i="68"/>
  <c r="F350" i="68"/>
  <c r="F336" i="68"/>
  <c r="F337" i="68"/>
  <c r="F338" i="68"/>
  <c r="F339" i="68"/>
  <c r="F340" i="68"/>
  <c r="F341" i="68"/>
  <c r="F342" i="68"/>
  <c r="F343" i="68"/>
  <c r="F344" i="68"/>
  <c r="F345" i="68"/>
  <c r="F346" i="68"/>
  <c r="F347" i="68"/>
  <c r="F348" i="68"/>
  <c r="F349" i="68"/>
  <c r="F335" i="68"/>
  <c r="F321" i="68"/>
  <c r="F322" i="68"/>
  <c r="F323" i="68"/>
  <c r="F324" i="68"/>
  <c r="F325" i="68"/>
  <c r="F326" i="68"/>
  <c r="F327" i="68"/>
  <c r="F328" i="68"/>
  <c r="F329" i="68"/>
  <c r="F330" i="68"/>
  <c r="F331" i="68"/>
  <c r="F332" i="68"/>
  <c r="F333" i="68"/>
  <c r="F334" i="68"/>
  <c r="F320" i="68"/>
  <c r="F306" i="68"/>
  <c r="F307" i="68"/>
  <c r="F308" i="68"/>
  <c r="F309" i="68"/>
  <c r="F310" i="68"/>
  <c r="F311" i="68"/>
  <c r="F312" i="68"/>
  <c r="F313" i="68"/>
  <c r="F314" i="68"/>
  <c r="F315" i="68"/>
  <c r="F316" i="68"/>
  <c r="F317" i="68"/>
  <c r="F318" i="68"/>
  <c r="F319" i="68"/>
  <c r="F305" i="68"/>
  <c r="F291" i="68"/>
  <c r="F292" i="68"/>
  <c r="F293" i="68"/>
  <c r="F294" i="68"/>
  <c r="F295" i="68"/>
  <c r="F296" i="68"/>
  <c r="F297" i="68"/>
  <c r="F298" i="68"/>
  <c r="F299" i="68"/>
  <c r="F300" i="68"/>
  <c r="F301" i="68"/>
  <c r="F302" i="68"/>
  <c r="F303" i="68"/>
  <c r="F304" i="68"/>
  <c r="F290" i="68"/>
  <c r="F276" i="68"/>
  <c r="F277" i="68"/>
  <c r="F278" i="68"/>
  <c r="F279" i="68"/>
  <c r="F280" i="68"/>
  <c r="F281" i="68"/>
  <c r="F282" i="68"/>
  <c r="F283" i="68"/>
  <c r="F284" i="68"/>
  <c r="F285" i="68"/>
  <c r="F286" i="68"/>
  <c r="F287" i="68"/>
  <c r="F288" i="68"/>
  <c r="F289" i="68"/>
  <c r="F275" i="68"/>
  <c r="F261" i="68"/>
  <c r="F262" i="68"/>
  <c r="F263" i="68"/>
  <c r="F264" i="68"/>
  <c r="F265" i="68"/>
  <c r="F266" i="68"/>
  <c r="F267" i="68"/>
  <c r="F268" i="68"/>
  <c r="F269" i="68"/>
  <c r="F270" i="68"/>
  <c r="F271" i="68"/>
  <c r="F272" i="68"/>
  <c r="F273" i="68"/>
  <c r="F274" i="68"/>
  <c r="F260" i="68"/>
  <c r="F246" i="68"/>
  <c r="F247" i="68"/>
  <c r="F248" i="68"/>
  <c r="F249" i="68"/>
  <c r="F250" i="68"/>
  <c r="F251" i="68"/>
  <c r="F252" i="68"/>
  <c r="F253" i="68"/>
  <c r="F254" i="68"/>
  <c r="F255" i="68"/>
  <c r="F256" i="68"/>
  <c r="F257" i="68"/>
  <c r="F258" i="68"/>
  <c r="F259" i="68"/>
  <c r="F245" i="68"/>
  <c r="C32" i="6"/>
  <c r="C31" i="6"/>
  <c r="C30" i="6"/>
  <c r="C29" i="6"/>
  <c r="C28" i="6"/>
  <c r="C27" i="6"/>
  <c r="C26" i="6"/>
  <c r="C25" i="6"/>
  <c r="C24" i="6"/>
  <c r="C23" i="6"/>
  <c r="C22" i="6"/>
  <c r="C21" i="6"/>
  <c r="C20" i="6"/>
  <c r="C19" i="6"/>
  <c r="C17" i="6"/>
  <c r="C16" i="6"/>
  <c r="C15" i="6"/>
  <c r="C14" i="6"/>
  <c r="C13" i="6"/>
  <c r="C12" i="6"/>
  <c r="C11" i="6"/>
  <c r="C10" i="6"/>
  <c r="D21" i="6"/>
  <c r="H31" i="69" l="1"/>
  <c r="R27" i="69"/>
  <c r="D6" i="51"/>
  <c r="D6" i="52"/>
  <c r="D6" i="50"/>
  <c r="D6" i="49"/>
  <c r="D6" i="48"/>
  <c r="D6" i="47"/>
  <c r="D6" i="46"/>
  <c r="D6" i="45"/>
  <c r="D6" i="44"/>
  <c r="D6" i="43"/>
  <c r="D6" i="42"/>
  <c r="D6" i="41"/>
  <c r="D6" i="8"/>
  <c r="C5" i="8"/>
  <c r="E110" i="68" l="1"/>
  <c r="E111" i="68"/>
  <c r="E112" i="68"/>
  <c r="E113" i="68"/>
  <c r="E114" i="68"/>
  <c r="E115" i="68"/>
  <c r="E116" i="68"/>
  <c r="E117" i="68"/>
  <c r="E118" i="68"/>
  <c r="E119" i="68"/>
  <c r="E120" i="68"/>
  <c r="E121" i="68"/>
  <c r="E122" i="68"/>
  <c r="E123" i="68"/>
  <c r="E124" i="68"/>
  <c r="I31" i="69"/>
  <c r="I28" i="69"/>
  <c r="L28" i="69" s="1"/>
  <c r="H33" i="6"/>
  <c r="R31" i="69"/>
  <c r="E101" i="68"/>
  <c r="E102" i="68"/>
  <c r="E103" i="68"/>
  <c r="E96" i="68"/>
  <c r="E97" i="68"/>
  <c r="E105" i="68"/>
  <c r="E107" i="68"/>
  <c r="E108" i="68"/>
  <c r="E109" i="68"/>
  <c r="E95" i="68"/>
  <c r="E104" i="68"/>
  <c r="E98" i="68"/>
  <c r="E106" i="68"/>
  <c r="E99" i="68"/>
  <c r="E100" i="68"/>
  <c r="G30" i="3"/>
  <c r="P18" i="6"/>
  <c r="I25" i="4" s="1"/>
  <c r="E79" i="6"/>
  <c r="C48" i="6"/>
  <c r="C49" i="6"/>
  <c r="C50" i="6"/>
  <c r="C51" i="6"/>
  <c r="C52" i="6"/>
  <c r="C53" i="6"/>
  <c r="C54" i="6"/>
  <c r="C55" i="6"/>
  <c r="C56" i="6"/>
  <c r="C57" i="6"/>
  <c r="C58" i="6"/>
  <c r="C59" i="6"/>
  <c r="C60" i="6"/>
  <c r="C61" i="6"/>
  <c r="C62" i="6"/>
  <c r="C47" i="6"/>
  <c r="B79" i="45"/>
  <c r="D79" i="45" s="1"/>
  <c r="B78" i="45"/>
  <c r="D78" i="45" s="1"/>
  <c r="B77" i="45"/>
  <c r="D77" i="45" s="1"/>
  <c r="B76" i="45"/>
  <c r="D76" i="45" s="1"/>
  <c r="B75" i="45"/>
  <c r="D75" i="45" s="1"/>
  <c r="B74" i="45"/>
  <c r="D74" i="45" s="1"/>
  <c r="B73" i="45"/>
  <c r="D73" i="45" s="1"/>
  <c r="B72" i="45"/>
  <c r="D72" i="45" s="1"/>
  <c r="B71" i="45"/>
  <c r="D71" i="45" s="1"/>
  <c r="B70" i="45"/>
  <c r="D70" i="45" s="1"/>
  <c r="B69" i="45"/>
  <c r="D69" i="45" s="1"/>
  <c r="B68" i="45"/>
  <c r="D68" i="45" s="1"/>
  <c r="B67" i="45"/>
  <c r="D67" i="45" s="1"/>
  <c r="B66" i="45"/>
  <c r="D66" i="45" s="1"/>
  <c r="B65" i="45"/>
  <c r="D65" i="45" s="1"/>
  <c r="B64" i="45"/>
  <c r="D64" i="45" s="1"/>
  <c r="Z46" i="45"/>
  <c r="AB33" i="45"/>
  <c r="W33" i="45"/>
  <c r="Z33" i="45" s="1"/>
  <c r="V33" i="45"/>
  <c r="T33" i="45"/>
  <c r="S33" i="45"/>
  <c r="M33" i="45" a="1"/>
  <c r="M33" i="45" s="1"/>
  <c r="N33" i="45" s="1"/>
  <c r="K33" i="45"/>
  <c r="I33" i="45"/>
  <c r="D33" i="45"/>
  <c r="A33" i="45"/>
  <c r="AB32" i="45"/>
  <c r="W32" i="45"/>
  <c r="Z32" i="45" s="1"/>
  <c r="V32" i="45"/>
  <c r="T32" i="45"/>
  <c r="S32" i="45"/>
  <c r="M32" i="45" a="1"/>
  <c r="M32" i="45" s="1"/>
  <c r="N32" i="45" s="1"/>
  <c r="K32" i="45"/>
  <c r="I32" i="45"/>
  <c r="D32" i="45"/>
  <c r="A32" i="45"/>
  <c r="AB31" i="45"/>
  <c r="W31" i="45"/>
  <c r="Z31" i="45" s="1"/>
  <c r="V31" i="45"/>
  <c r="T31" i="45"/>
  <c r="S31" i="45"/>
  <c r="M31" i="45" a="1"/>
  <c r="M31" i="45" s="1"/>
  <c r="N31" i="45" s="1"/>
  <c r="K31" i="45"/>
  <c r="I31" i="45"/>
  <c r="D31" i="45"/>
  <c r="A31" i="45"/>
  <c r="AB30" i="45"/>
  <c r="W30" i="45"/>
  <c r="Z30" i="45" s="1"/>
  <c r="V30" i="45"/>
  <c r="T30" i="45"/>
  <c r="S30" i="45"/>
  <c r="M30" i="45" a="1"/>
  <c r="M30" i="45" s="1"/>
  <c r="N30" i="45" s="1"/>
  <c r="K30" i="45"/>
  <c r="I30" i="45"/>
  <c r="D30" i="45"/>
  <c r="A30" i="45"/>
  <c r="AB29" i="45"/>
  <c r="W29" i="45"/>
  <c r="Z29" i="45" s="1"/>
  <c r="V29" i="45"/>
  <c r="T29" i="45"/>
  <c r="S29" i="45"/>
  <c r="M29" i="45" a="1"/>
  <c r="M29" i="45" s="1"/>
  <c r="N29" i="45" s="1"/>
  <c r="K29" i="45"/>
  <c r="I29" i="45"/>
  <c r="D29" i="45"/>
  <c r="A29" i="45"/>
  <c r="AB28" i="45"/>
  <c r="AE28" i="45" s="1"/>
  <c r="W28" i="45"/>
  <c r="Z28" i="45" s="1"/>
  <c r="V17" i="45"/>
  <c r="T28" i="45"/>
  <c r="S28" i="45"/>
  <c r="M28" i="45" a="1"/>
  <c r="M28" i="45" s="1"/>
  <c r="N28" i="45" s="1"/>
  <c r="K28" i="45"/>
  <c r="I28" i="45"/>
  <c r="D28" i="45"/>
  <c r="A28" i="45"/>
  <c r="AB27" i="45"/>
  <c r="W27" i="45"/>
  <c r="Z27" i="45" s="1"/>
  <c r="T27" i="45"/>
  <c r="S27" i="45"/>
  <c r="M27" i="45" a="1"/>
  <c r="M27" i="45" s="1"/>
  <c r="N27" i="45" s="1"/>
  <c r="K27" i="45"/>
  <c r="I27" i="45"/>
  <c r="D27" i="45"/>
  <c r="A27" i="45"/>
  <c r="AB26" i="45"/>
  <c r="W26" i="45"/>
  <c r="Z26" i="45" s="1"/>
  <c r="T26" i="45"/>
  <c r="S26" i="45"/>
  <c r="M26" i="45" a="1"/>
  <c r="M26" i="45" s="1"/>
  <c r="N26" i="45" s="1"/>
  <c r="K26" i="45"/>
  <c r="I26" i="45"/>
  <c r="D26" i="45"/>
  <c r="A26" i="45"/>
  <c r="AB25" i="45"/>
  <c r="W25" i="45"/>
  <c r="Z25" i="45" s="1"/>
  <c r="T25" i="45"/>
  <c r="S25" i="45"/>
  <c r="M25" i="45" a="1"/>
  <c r="M25" i="45" s="1"/>
  <c r="N25" i="45" s="1"/>
  <c r="K25" i="45"/>
  <c r="I25" i="45"/>
  <c r="D25" i="45"/>
  <c r="A25" i="45"/>
  <c r="AB24" i="45"/>
  <c r="W24" i="45"/>
  <c r="Z24" i="45" s="1"/>
  <c r="T24" i="45"/>
  <c r="S24" i="45"/>
  <c r="M24" i="45" a="1"/>
  <c r="M24" i="45" s="1"/>
  <c r="N24" i="45" s="1"/>
  <c r="K24" i="45"/>
  <c r="I24" i="45"/>
  <c r="D24" i="45"/>
  <c r="A24" i="45"/>
  <c r="AB23" i="45"/>
  <c r="W23" i="45"/>
  <c r="Z23" i="45" s="1"/>
  <c r="T23" i="45"/>
  <c r="S23" i="45"/>
  <c r="M23" i="45" a="1"/>
  <c r="M23" i="45" s="1"/>
  <c r="N23" i="45" s="1"/>
  <c r="K23" i="45"/>
  <c r="I23" i="45"/>
  <c r="D23" i="45"/>
  <c r="A23" i="45"/>
  <c r="AB22" i="45"/>
  <c r="W22" i="45"/>
  <c r="Z22" i="45" s="1"/>
  <c r="T22" i="45"/>
  <c r="S22" i="45"/>
  <c r="M22" i="45" a="1"/>
  <c r="M22" i="45" s="1"/>
  <c r="N22" i="45" s="1"/>
  <c r="K22" i="45"/>
  <c r="I22" i="45"/>
  <c r="D22" i="45"/>
  <c r="A22" i="45"/>
  <c r="AB21" i="45"/>
  <c r="W21" i="45"/>
  <c r="Z21" i="45" s="1"/>
  <c r="T21" i="45"/>
  <c r="S21" i="45"/>
  <c r="M21" i="45" a="1"/>
  <c r="M21" i="45" s="1"/>
  <c r="N21" i="45" s="1"/>
  <c r="K21" i="45"/>
  <c r="I21" i="45"/>
  <c r="D21" i="45"/>
  <c r="A21" i="45"/>
  <c r="AB20" i="45"/>
  <c r="W20" i="45"/>
  <c r="Z20" i="45" s="1"/>
  <c r="T20" i="45"/>
  <c r="S20" i="45"/>
  <c r="M20" i="45" a="1"/>
  <c r="M20" i="45" s="1"/>
  <c r="N20" i="45" s="1"/>
  <c r="K20" i="45"/>
  <c r="I20" i="45"/>
  <c r="D20" i="45"/>
  <c r="A20" i="45"/>
  <c r="AB19" i="45"/>
  <c r="AE19" i="45" s="1"/>
  <c r="W19" i="45"/>
  <c r="Z19" i="45" s="1"/>
  <c r="T19" i="45"/>
  <c r="D44" i="45" s="1"/>
  <c r="S19" i="45"/>
  <c r="M19" i="45" a="1"/>
  <c r="M19" i="45" s="1"/>
  <c r="N19" i="45" s="1"/>
  <c r="K19" i="45"/>
  <c r="D41" i="45" s="1"/>
  <c r="I19" i="45"/>
  <c r="D40" i="45" s="1"/>
  <c r="D47" i="45" s="1"/>
  <c r="D19" i="45"/>
  <c r="A19" i="45"/>
  <c r="M15" i="45"/>
  <c r="B79" i="46"/>
  <c r="D79" i="46" s="1"/>
  <c r="B78" i="46"/>
  <c r="D78" i="46" s="1"/>
  <c r="B77" i="46"/>
  <c r="D77" i="46" s="1"/>
  <c r="B76" i="46"/>
  <c r="D76" i="46" s="1"/>
  <c r="B75" i="46"/>
  <c r="D75" i="46" s="1"/>
  <c r="B74" i="46"/>
  <c r="D74" i="46" s="1"/>
  <c r="B73" i="46"/>
  <c r="D73" i="46" s="1"/>
  <c r="B72" i="46"/>
  <c r="D72" i="46" s="1"/>
  <c r="B71" i="46"/>
  <c r="D71" i="46" s="1"/>
  <c r="B70" i="46"/>
  <c r="D70" i="46" s="1"/>
  <c r="B69" i="46"/>
  <c r="D69" i="46" s="1"/>
  <c r="B68" i="46"/>
  <c r="D68" i="46" s="1"/>
  <c r="B67" i="46"/>
  <c r="D67" i="46" s="1"/>
  <c r="B66" i="46"/>
  <c r="D66" i="46" s="1"/>
  <c r="B65" i="46"/>
  <c r="D65" i="46" s="1"/>
  <c r="B64" i="46"/>
  <c r="D64" i="46" s="1"/>
  <c r="Z46" i="46"/>
  <c r="AB33" i="46"/>
  <c r="W33" i="46"/>
  <c r="Z33" i="46" s="1"/>
  <c r="V33" i="46"/>
  <c r="T33" i="46"/>
  <c r="S33" i="46"/>
  <c r="M33" i="46" a="1"/>
  <c r="M33" i="46" s="1"/>
  <c r="N33" i="46" s="1"/>
  <c r="K33" i="46"/>
  <c r="I33" i="46"/>
  <c r="D33" i="46"/>
  <c r="A33" i="46"/>
  <c r="AB32" i="46"/>
  <c r="W32" i="46"/>
  <c r="Z32" i="46" s="1"/>
  <c r="V32" i="46"/>
  <c r="T32" i="46"/>
  <c r="S32" i="46"/>
  <c r="M32" i="46" a="1"/>
  <c r="M32" i="46" s="1"/>
  <c r="N32" i="46" s="1"/>
  <c r="K32" i="46"/>
  <c r="I32" i="46"/>
  <c r="D32" i="46"/>
  <c r="A32" i="46"/>
  <c r="AB31" i="46"/>
  <c r="W31" i="46"/>
  <c r="Z31" i="46" s="1"/>
  <c r="V31" i="46"/>
  <c r="T31" i="46"/>
  <c r="S31" i="46"/>
  <c r="M31" i="46" a="1"/>
  <c r="M31" i="46" s="1"/>
  <c r="N31" i="46" s="1"/>
  <c r="K31" i="46"/>
  <c r="I31" i="46"/>
  <c r="D31" i="46"/>
  <c r="A31" i="46"/>
  <c r="AB30" i="46"/>
  <c r="W30" i="46"/>
  <c r="Z30" i="46" s="1"/>
  <c r="V30" i="46"/>
  <c r="T30" i="46"/>
  <c r="S30" i="46"/>
  <c r="M30" i="46" a="1"/>
  <c r="M30" i="46" s="1"/>
  <c r="N30" i="46" s="1"/>
  <c r="K30" i="46"/>
  <c r="I30" i="46"/>
  <c r="D30" i="46"/>
  <c r="A30" i="46"/>
  <c r="AB29" i="46"/>
  <c r="W29" i="46"/>
  <c r="Z29" i="46" s="1"/>
  <c r="V29" i="46"/>
  <c r="T29" i="46"/>
  <c r="S29" i="46"/>
  <c r="M29" i="46" a="1"/>
  <c r="M29" i="46" s="1"/>
  <c r="N29" i="46" s="1"/>
  <c r="K29" i="46"/>
  <c r="I29" i="46"/>
  <c r="D29" i="46"/>
  <c r="A29" i="46"/>
  <c r="AB28" i="46"/>
  <c r="AE28" i="46" s="1"/>
  <c r="W28" i="46"/>
  <c r="Z28" i="46" s="1"/>
  <c r="V17" i="46"/>
  <c r="T28" i="46"/>
  <c r="S28" i="46"/>
  <c r="M28" i="46" a="1"/>
  <c r="M28" i="46" s="1"/>
  <c r="N28" i="46" s="1"/>
  <c r="K28" i="46"/>
  <c r="I28" i="46"/>
  <c r="D28" i="46"/>
  <c r="A28" i="46"/>
  <c r="AB27" i="46"/>
  <c r="W27" i="46"/>
  <c r="Z27" i="46" s="1"/>
  <c r="T27" i="46"/>
  <c r="S27" i="46"/>
  <c r="M27" i="46" a="1"/>
  <c r="M27" i="46" s="1"/>
  <c r="N27" i="46" s="1"/>
  <c r="K27" i="46"/>
  <c r="I27" i="46"/>
  <c r="D27" i="46"/>
  <c r="A27" i="46"/>
  <c r="AB26" i="46"/>
  <c r="W26" i="46"/>
  <c r="Z26" i="46" s="1"/>
  <c r="T26" i="46"/>
  <c r="S26" i="46"/>
  <c r="M26" i="46" a="1"/>
  <c r="M26" i="46" s="1"/>
  <c r="N26" i="46" s="1"/>
  <c r="K26" i="46"/>
  <c r="I26" i="46"/>
  <c r="D26" i="46"/>
  <c r="A26" i="46"/>
  <c r="AB25" i="46"/>
  <c r="W25" i="46"/>
  <c r="Z25" i="46" s="1"/>
  <c r="T25" i="46"/>
  <c r="S25" i="46"/>
  <c r="M25" i="46" a="1"/>
  <c r="M25" i="46" s="1"/>
  <c r="N25" i="46" s="1"/>
  <c r="K25" i="46"/>
  <c r="I25" i="46"/>
  <c r="D25" i="46"/>
  <c r="A25" i="46"/>
  <c r="AB24" i="46"/>
  <c r="W24" i="46"/>
  <c r="Z24" i="46" s="1"/>
  <c r="T24" i="46"/>
  <c r="S24" i="46"/>
  <c r="M24" i="46" a="1"/>
  <c r="M24" i="46" s="1"/>
  <c r="N24" i="46" s="1"/>
  <c r="K24" i="46"/>
  <c r="I24" i="46"/>
  <c r="D24" i="46"/>
  <c r="A24" i="46"/>
  <c r="AB23" i="46"/>
  <c r="W23" i="46"/>
  <c r="Z23" i="46" s="1"/>
  <c r="T23" i="46"/>
  <c r="S23" i="46"/>
  <c r="M23" i="46" a="1"/>
  <c r="M23" i="46" s="1"/>
  <c r="N23" i="46" s="1"/>
  <c r="K23" i="46"/>
  <c r="I23" i="46"/>
  <c r="D23" i="46"/>
  <c r="A23" i="46"/>
  <c r="AB22" i="46"/>
  <c r="W22" i="46"/>
  <c r="Z22" i="46" s="1"/>
  <c r="T22" i="46"/>
  <c r="S22" i="46"/>
  <c r="M22" i="46" a="1"/>
  <c r="M22" i="46" s="1"/>
  <c r="N22" i="46" s="1"/>
  <c r="K22" i="46"/>
  <c r="I22" i="46"/>
  <c r="D22" i="46"/>
  <c r="A22" i="46"/>
  <c r="AB21" i="46"/>
  <c r="W21" i="46"/>
  <c r="Z21" i="46" s="1"/>
  <c r="T21" i="46"/>
  <c r="S21" i="46"/>
  <c r="M21" i="46" a="1"/>
  <c r="M21" i="46" s="1"/>
  <c r="N21" i="46" s="1"/>
  <c r="K21" i="46"/>
  <c r="I21" i="46"/>
  <c r="D21" i="46"/>
  <c r="A21" i="46"/>
  <c r="AB20" i="46"/>
  <c r="W20" i="46"/>
  <c r="Z20" i="46" s="1"/>
  <c r="T20" i="46"/>
  <c r="S20" i="46"/>
  <c r="M20" i="46" a="1"/>
  <c r="M20" i="46" s="1"/>
  <c r="N20" i="46" s="1"/>
  <c r="K20" i="46"/>
  <c r="I20" i="46"/>
  <c r="D20" i="46"/>
  <c r="A20" i="46"/>
  <c r="AB19" i="46"/>
  <c r="AE19" i="46" s="1"/>
  <c r="W19" i="46"/>
  <c r="Z19" i="46" s="1"/>
  <c r="T19" i="46"/>
  <c r="D44" i="46" s="1"/>
  <c r="S19" i="46"/>
  <c r="M19" i="46" a="1"/>
  <c r="M19" i="46" s="1"/>
  <c r="N19" i="46" s="1"/>
  <c r="K19" i="46"/>
  <c r="D41" i="46" s="1"/>
  <c r="I19" i="46"/>
  <c r="D40" i="46" s="1"/>
  <c r="D47" i="46" s="1"/>
  <c r="D19" i="46"/>
  <c r="A19" i="46"/>
  <c r="M15" i="46"/>
  <c r="B79" i="47"/>
  <c r="D79" i="47" s="1"/>
  <c r="B78" i="47"/>
  <c r="D78" i="47" s="1"/>
  <c r="B77" i="47"/>
  <c r="D77" i="47" s="1"/>
  <c r="B76" i="47"/>
  <c r="D76" i="47" s="1"/>
  <c r="B75" i="47"/>
  <c r="D75" i="47" s="1"/>
  <c r="B74" i="47"/>
  <c r="D74" i="47" s="1"/>
  <c r="B73" i="47"/>
  <c r="D73" i="47" s="1"/>
  <c r="B72" i="47"/>
  <c r="D72" i="47" s="1"/>
  <c r="B71" i="47"/>
  <c r="D71" i="47" s="1"/>
  <c r="B70" i="47"/>
  <c r="D70" i="47" s="1"/>
  <c r="B69" i="47"/>
  <c r="D69" i="47" s="1"/>
  <c r="B68" i="47"/>
  <c r="D68" i="47" s="1"/>
  <c r="B67" i="47"/>
  <c r="D67" i="47" s="1"/>
  <c r="B66" i="47"/>
  <c r="D66" i="47" s="1"/>
  <c r="B65" i="47"/>
  <c r="D65" i="47" s="1"/>
  <c r="B64" i="47"/>
  <c r="D64" i="47" s="1"/>
  <c r="Z46" i="47"/>
  <c r="AB33" i="47"/>
  <c r="W33" i="47"/>
  <c r="Z33" i="47" s="1"/>
  <c r="V33" i="47"/>
  <c r="T33" i="47"/>
  <c r="S33" i="47"/>
  <c r="M33" i="47" a="1"/>
  <c r="M33" i="47" s="1"/>
  <c r="N33" i="47" s="1"/>
  <c r="K33" i="47"/>
  <c r="I33" i="47"/>
  <c r="D33" i="47"/>
  <c r="A33" i="47"/>
  <c r="AB32" i="47"/>
  <c r="W32" i="47"/>
  <c r="Z32" i="47" s="1"/>
  <c r="V32" i="47"/>
  <c r="T32" i="47"/>
  <c r="S32" i="47"/>
  <c r="M32" i="47" a="1"/>
  <c r="M32" i="47" s="1"/>
  <c r="N32" i="47" s="1"/>
  <c r="K32" i="47"/>
  <c r="I32" i="47"/>
  <c r="D32" i="47"/>
  <c r="A32" i="47"/>
  <c r="AB31" i="47"/>
  <c r="W31" i="47"/>
  <c r="Z31" i="47" s="1"/>
  <c r="V31" i="47"/>
  <c r="T31" i="47"/>
  <c r="S31" i="47"/>
  <c r="M31" i="47" a="1"/>
  <c r="M31" i="47" s="1"/>
  <c r="N31" i="47" s="1"/>
  <c r="K31" i="47"/>
  <c r="I31" i="47"/>
  <c r="D31" i="47"/>
  <c r="A31" i="47"/>
  <c r="AB30" i="47"/>
  <c r="W30" i="47"/>
  <c r="Z30" i="47" s="1"/>
  <c r="V30" i="47"/>
  <c r="T30" i="47"/>
  <c r="S30" i="47"/>
  <c r="M30" i="47" a="1"/>
  <c r="M30" i="47" s="1"/>
  <c r="N30" i="47" s="1"/>
  <c r="K30" i="47"/>
  <c r="I30" i="47"/>
  <c r="D30" i="47"/>
  <c r="A30" i="47"/>
  <c r="AB29" i="47"/>
  <c r="W29" i="47"/>
  <c r="Z29" i="47" s="1"/>
  <c r="V29" i="47"/>
  <c r="T29" i="47"/>
  <c r="S29" i="47"/>
  <c r="M29" i="47" a="1"/>
  <c r="M29" i="47" s="1"/>
  <c r="N29" i="47" s="1"/>
  <c r="K29" i="47"/>
  <c r="I29" i="47"/>
  <c r="D29" i="47"/>
  <c r="A29" i="47"/>
  <c r="AB28" i="47"/>
  <c r="AE28" i="47" s="1"/>
  <c r="W28" i="47"/>
  <c r="Z28" i="47" s="1"/>
  <c r="V17" i="47"/>
  <c r="T28" i="47"/>
  <c r="S28" i="47"/>
  <c r="M28" i="47" a="1"/>
  <c r="M28" i="47" s="1"/>
  <c r="N28" i="47" s="1"/>
  <c r="K28" i="47"/>
  <c r="I28" i="47"/>
  <c r="D28" i="47"/>
  <c r="A28" i="47"/>
  <c r="AB27" i="47"/>
  <c r="W27" i="47"/>
  <c r="Z27" i="47" s="1"/>
  <c r="T27" i="47"/>
  <c r="S27" i="47"/>
  <c r="M27" i="47" a="1"/>
  <c r="M27" i="47" s="1"/>
  <c r="N27" i="47" s="1"/>
  <c r="K27" i="47"/>
  <c r="I27" i="47"/>
  <c r="D27" i="47"/>
  <c r="A27" i="47"/>
  <c r="AB26" i="47"/>
  <c r="W26" i="47"/>
  <c r="Z26" i="47" s="1"/>
  <c r="T26" i="47"/>
  <c r="S26" i="47"/>
  <c r="M26" i="47" a="1"/>
  <c r="M26" i="47" s="1"/>
  <c r="N26" i="47" s="1"/>
  <c r="K26" i="47"/>
  <c r="I26" i="47"/>
  <c r="D26" i="47"/>
  <c r="A26" i="47"/>
  <c r="AB25" i="47"/>
  <c r="W25" i="47"/>
  <c r="Z25" i="47" s="1"/>
  <c r="T25" i="47"/>
  <c r="S25" i="47"/>
  <c r="M25" i="47" a="1"/>
  <c r="M25" i="47" s="1"/>
  <c r="N25" i="47" s="1"/>
  <c r="K25" i="47"/>
  <c r="I25" i="47"/>
  <c r="D25" i="47"/>
  <c r="A25" i="47"/>
  <c r="AB24" i="47"/>
  <c r="W24" i="47"/>
  <c r="Z24" i="47" s="1"/>
  <c r="T24" i="47"/>
  <c r="S24" i="47"/>
  <c r="M24" i="47" a="1"/>
  <c r="M24" i="47" s="1"/>
  <c r="N24" i="47" s="1"/>
  <c r="K24" i="47"/>
  <c r="I24" i="47"/>
  <c r="D24" i="47"/>
  <c r="A24" i="47"/>
  <c r="AB23" i="47"/>
  <c r="W23" i="47"/>
  <c r="Z23" i="47" s="1"/>
  <c r="T23" i="47"/>
  <c r="S23" i="47"/>
  <c r="M23" i="47" a="1"/>
  <c r="M23" i="47" s="1"/>
  <c r="N23" i="47" s="1"/>
  <c r="K23" i="47"/>
  <c r="I23" i="47"/>
  <c r="D23" i="47"/>
  <c r="A23" i="47"/>
  <c r="AB22" i="47"/>
  <c r="W22" i="47"/>
  <c r="Z22" i="47" s="1"/>
  <c r="T22" i="47"/>
  <c r="S22" i="47"/>
  <c r="M22" i="47" a="1"/>
  <c r="M22" i="47" s="1"/>
  <c r="N22" i="47" s="1"/>
  <c r="K22" i="47"/>
  <c r="I22" i="47"/>
  <c r="D22" i="47"/>
  <c r="A22" i="47"/>
  <c r="AB21" i="47"/>
  <c r="W21" i="47"/>
  <c r="Z21" i="47" s="1"/>
  <c r="T21" i="47"/>
  <c r="S21" i="47"/>
  <c r="M21" i="47" a="1"/>
  <c r="M21" i="47" s="1"/>
  <c r="N21" i="47" s="1"/>
  <c r="K21" i="47"/>
  <c r="I21" i="47"/>
  <c r="D21" i="47"/>
  <c r="A21" i="47"/>
  <c r="AB20" i="47"/>
  <c r="W20" i="47"/>
  <c r="Z20" i="47" s="1"/>
  <c r="T20" i="47"/>
  <c r="S20" i="47"/>
  <c r="M20" i="47" a="1"/>
  <c r="M20" i="47" s="1"/>
  <c r="N20" i="47" s="1"/>
  <c r="K20" i="47"/>
  <c r="I20" i="47"/>
  <c r="D20" i="47"/>
  <c r="A20" i="47"/>
  <c r="AB19" i="47"/>
  <c r="AE19" i="47" s="1"/>
  <c r="W19" i="47"/>
  <c r="Z19" i="47" s="1"/>
  <c r="T19" i="47"/>
  <c r="D44" i="47" s="1"/>
  <c r="S19" i="47"/>
  <c r="M19" i="47" a="1"/>
  <c r="M19" i="47" s="1"/>
  <c r="N19" i="47" s="1"/>
  <c r="K19" i="47"/>
  <c r="D41" i="47" s="1"/>
  <c r="I19" i="47"/>
  <c r="D40" i="47" s="1"/>
  <c r="D47" i="47" s="1"/>
  <c r="D19" i="47"/>
  <c r="A19" i="47"/>
  <c r="M15" i="47"/>
  <c r="B79" i="48"/>
  <c r="D79" i="48" s="1"/>
  <c r="B78" i="48"/>
  <c r="D78" i="48" s="1"/>
  <c r="B77" i="48"/>
  <c r="D77" i="48" s="1"/>
  <c r="B76" i="48"/>
  <c r="D76" i="48" s="1"/>
  <c r="B75" i="48"/>
  <c r="D75" i="48" s="1"/>
  <c r="B74" i="48"/>
  <c r="D74" i="48" s="1"/>
  <c r="B73" i="48"/>
  <c r="D73" i="48" s="1"/>
  <c r="B72" i="48"/>
  <c r="D72" i="48" s="1"/>
  <c r="B71" i="48"/>
  <c r="D71" i="48" s="1"/>
  <c r="B70" i="48"/>
  <c r="D70" i="48" s="1"/>
  <c r="B69" i="48"/>
  <c r="D69" i="48" s="1"/>
  <c r="B68" i="48"/>
  <c r="D68" i="48" s="1"/>
  <c r="B67" i="48"/>
  <c r="D67" i="48" s="1"/>
  <c r="B66" i="48"/>
  <c r="D66" i="48" s="1"/>
  <c r="B65" i="48"/>
  <c r="D65" i="48" s="1"/>
  <c r="B64" i="48"/>
  <c r="D64" i="48" s="1"/>
  <c r="Z46" i="48"/>
  <c r="AB33" i="48"/>
  <c r="W33" i="48"/>
  <c r="Z33" i="48" s="1"/>
  <c r="V33" i="48"/>
  <c r="T33" i="48"/>
  <c r="S33" i="48"/>
  <c r="M33" i="48" a="1"/>
  <c r="M33" i="48" s="1"/>
  <c r="N33" i="48" s="1"/>
  <c r="K33" i="48"/>
  <c r="I33" i="48"/>
  <c r="D33" i="48"/>
  <c r="A33" i="48"/>
  <c r="AB32" i="48"/>
  <c r="W32" i="48"/>
  <c r="Z32" i="48" s="1"/>
  <c r="V32" i="48"/>
  <c r="T32" i="48"/>
  <c r="S32" i="48"/>
  <c r="M32" i="48" a="1"/>
  <c r="M32" i="48" s="1"/>
  <c r="N32" i="48" s="1"/>
  <c r="K32" i="48"/>
  <c r="I32" i="48"/>
  <c r="D32" i="48"/>
  <c r="A32" i="48"/>
  <c r="AB31" i="48"/>
  <c r="W31" i="48"/>
  <c r="Z31" i="48" s="1"/>
  <c r="V31" i="48"/>
  <c r="T31" i="48"/>
  <c r="S31" i="48"/>
  <c r="M31" i="48" a="1"/>
  <c r="M31" i="48" s="1"/>
  <c r="N31" i="48" s="1"/>
  <c r="K31" i="48"/>
  <c r="I31" i="48"/>
  <c r="D31" i="48"/>
  <c r="A31" i="48"/>
  <c r="AB30" i="48"/>
  <c r="W30" i="48"/>
  <c r="Z30" i="48" s="1"/>
  <c r="V30" i="48"/>
  <c r="T30" i="48"/>
  <c r="S30" i="48"/>
  <c r="M30" i="48" a="1"/>
  <c r="M30" i="48" s="1"/>
  <c r="N30" i="48" s="1"/>
  <c r="K30" i="48"/>
  <c r="I30" i="48"/>
  <c r="D30" i="48"/>
  <c r="A30" i="48"/>
  <c r="AB29" i="48"/>
  <c r="W29" i="48"/>
  <c r="Z29" i="48" s="1"/>
  <c r="V29" i="48"/>
  <c r="T29" i="48"/>
  <c r="S29" i="48"/>
  <c r="M29" i="48" a="1"/>
  <c r="M29" i="48" s="1"/>
  <c r="N29" i="48" s="1"/>
  <c r="K29" i="48"/>
  <c r="I29" i="48"/>
  <c r="D29" i="48"/>
  <c r="A29" i="48"/>
  <c r="AB28" i="48"/>
  <c r="AE28" i="48" s="1"/>
  <c r="W28" i="48"/>
  <c r="Z28" i="48" s="1"/>
  <c r="V17" i="48"/>
  <c r="T28" i="48"/>
  <c r="S28" i="48"/>
  <c r="M28" i="48" a="1"/>
  <c r="M28" i="48" s="1"/>
  <c r="N28" i="48" s="1"/>
  <c r="K28" i="48"/>
  <c r="I28" i="48"/>
  <c r="D28" i="48"/>
  <c r="A28" i="48"/>
  <c r="AB27" i="48"/>
  <c r="W27" i="48"/>
  <c r="Z27" i="48" s="1"/>
  <c r="T27" i="48"/>
  <c r="S27" i="48"/>
  <c r="M27" i="48" a="1"/>
  <c r="M27" i="48" s="1"/>
  <c r="N27" i="48" s="1"/>
  <c r="K27" i="48"/>
  <c r="I27" i="48"/>
  <c r="D27" i="48"/>
  <c r="A27" i="48"/>
  <c r="AB26" i="48"/>
  <c r="W26" i="48"/>
  <c r="Z26" i="48" s="1"/>
  <c r="T26" i="48"/>
  <c r="S26" i="48"/>
  <c r="M26" i="48" a="1"/>
  <c r="M26" i="48" s="1"/>
  <c r="N26" i="48" s="1"/>
  <c r="K26" i="48"/>
  <c r="I26" i="48"/>
  <c r="D26" i="48"/>
  <c r="A26" i="48"/>
  <c r="AB25" i="48"/>
  <c r="W25" i="48"/>
  <c r="Z25" i="48" s="1"/>
  <c r="T25" i="48"/>
  <c r="S25" i="48"/>
  <c r="M25" i="48" a="1"/>
  <c r="M25" i="48" s="1"/>
  <c r="N25" i="48" s="1"/>
  <c r="K25" i="48"/>
  <c r="I25" i="48"/>
  <c r="D25" i="48"/>
  <c r="A25" i="48"/>
  <c r="AB24" i="48"/>
  <c r="W24" i="48"/>
  <c r="Z24" i="48" s="1"/>
  <c r="T24" i="48"/>
  <c r="S24" i="48"/>
  <c r="M24" i="48" a="1"/>
  <c r="M24" i="48" s="1"/>
  <c r="N24" i="48" s="1"/>
  <c r="K24" i="48"/>
  <c r="I24" i="48"/>
  <c r="D24" i="48"/>
  <c r="A24" i="48"/>
  <c r="AB23" i="48"/>
  <c r="W23" i="48"/>
  <c r="Z23" i="48" s="1"/>
  <c r="T23" i="48"/>
  <c r="S23" i="48"/>
  <c r="M23" i="48" a="1"/>
  <c r="M23" i="48" s="1"/>
  <c r="N23" i="48" s="1"/>
  <c r="K23" i="48"/>
  <c r="I23" i="48"/>
  <c r="D23" i="48"/>
  <c r="A23" i="48"/>
  <c r="AB22" i="48"/>
  <c r="W22" i="48"/>
  <c r="Z22" i="48" s="1"/>
  <c r="T22" i="48"/>
  <c r="S22" i="48"/>
  <c r="M22" i="48" a="1"/>
  <c r="M22" i="48" s="1"/>
  <c r="N22" i="48" s="1"/>
  <c r="K22" i="48"/>
  <c r="I22" i="48"/>
  <c r="D22" i="48"/>
  <c r="A22" i="48"/>
  <c r="AB21" i="48"/>
  <c r="W21" i="48"/>
  <c r="Z21" i="48" s="1"/>
  <c r="T21" i="48"/>
  <c r="S21" i="48"/>
  <c r="M21" i="48" a="1"/>
  <c r="M21" i="48" s="1"/>
  <c r="N21" i="48" s="1"/>
  <c r="K21" i="48"/>
  <c r="I21" i="48"/>
  <c r="D21" i="48"/>
  <c r="A21" i="48"/>
  <c r="AB20" i="48"/>
  <c r="W20" i="48"/>
  <c r="Z20" i="48" s="1"/>
  <c r="T20" i="48"/>
  <c r="S20" i="48"/>
  <c r="M20" i="48" a="1"/>
  <c r="M20" i="48" s="1"/>
  <c r="N20" i="48" s="1"/>
  <c r="K20" i="48"/>
  <c r="I20" i="48"/>
  <c r="D20" i="48"/>
  <c r="A20" i="48"/>
  <c r="AB19" i="48"/>
  <c r="AE19" i="48" s="1"/>
  <c r="W19" i="48"/>
  <c r="Z19" i="48" s="1"/>
  <c r="T19" i="48"/>
  <c r="D44" i="48" s="1"/>
  <c r="S19" i="48"/>
  <c r="M19" i="48" a="1"/>
  <c r="M19" i="48" s="1"/>
  <c r="N19" i="48" s="1"/>
  <c r="K19" i="48"/>
  <c r="D41" i="48" s="1"/>
  <c r="I19" i="48"/>
  <c r="D40" i="48" s="1"/>
  <c r="D47" i="48" s="1"/>
  <c r="D19" i="48"/>
  <c r="A19" i="48"/>
  <c r="M15" i="48"/>
  <c r="B79" i="63"/>
  <c r="D79" i="63" s="1"/>
  <c r="B78" i="63"/>
  <c r="D78" i="63" s="1"/>
  <c r="B77" i="63"/>
  <c r="D77" i="63" s="1"/>
  <c r="B76" i="63"/>
  <c r="D76" i="63" s="1"/>
  <c r="B75" i="63"/>
  <c r="D75" i="63" s="1"/>
  <c r="B74" i="63"/>
  <c r="D74" i="63" s="1"/>
  <c r="B73" i="63"/>
  <c r="D73" i="63" s="1"/>
  <c r="B72" i="63"/>
  <c r="D72" i="63" s="1"/>
  <c r="B71" i="63"/>
  <c r="D71" i="63" s="1"/>
  <c r="B70" i="63"/>
  <c r="D70" i="63" s="1"/>
  <c r="B69" i="63"/>
  <c r="D69" i="63" s="1"/>
  <c r="B68" i="63"/>
  <c r="D68" i="63" s="1"/>
  <c r="B67" i="63"/>
  <c r="D67" i="63" s="1"/>
  <c r="B66" i="63"/>
  <c r="D66" i="63" s="1"/>
  <c r="B65" i="63"/>
  <c r="D65" i="63" s="1"/>
  <c r="B64" i="63"/>
  <c r="D64" i="63" s="1"/>
  <c r="Z46" i="63"/>
  <c r="AB33" i="63"/>
  <c r="W33" i="63"/>
  <c r="Z33" i="63" s="1"/>
  <c r="V33" i="63"/>
  <c r="T33" i="63"/>
  <c r="S33" i="63"/>
  <c r="M33" i="63" a="1"/>
  <c r="M33" i="63" s="1"/>
  <c r="N33" i="63" s="1"/>
  <c r="K33" i="63"/>
  <c r="I33" i="63"/>
  <c r="D33" i="63"/>
  <c r="A33" i="63"/>
  <c r="AB32" i="63"/>
  <c r="W32" i="63"/>
  <c r="Z32" i="63" s="1"/>
  <c r="V32" i="63"/>
  <c r="T32" i="63"/>
  <c r="S32" i="63"/>
  <c r="M32" i="63" a="1"/>
  <c r="M32" i="63" s="1"/>
  <c r="N32" i="63" s="1"/>
  <c r="K32" i="63"/>
  <c r="I32" i="63"/>
  <c r="D32" i="63"/>
  <c r="A32" i="63"/>
  <c r="AB31" i="63"/>
  <c r="W31" i="63"/>
  <c r="Z31" i="63" s="1"/>
  <c r="V31" i="63"/>
  <c r="T31" i="63"/>
  <c r="S31" i="63"/>
  <c r="M31" i="63" a="1"/>
  <c r="M31" i="63" s="1"/>
  <c r="N31" i="63" s="1"/>
  <c r="K31" i="63"/>
  <c r="I31" i="63"/>
  <c r="D31" i="63"/>
  <c r="A31" i="63"/>
  <c r="AB30" i="63"/>
  <c r="W30" i="63"/>
  <c r="Z30" i="63" s="1"/>
  <c r="V30" i="63"/>
  <c r="T30" i="63"/>
  <c r="S30" i="63"/>
  <c r="M30" i="63" a="1"/>
  <c r="M30" i="63" s="1"/>
  <c r="N30" i="63" s="1"/>
  <c r="K30" i="63"/>
  <c r="I30" i="63"/>
  <c r="D30" i="63"/>
  <c r="A30" i="63"/>
  <c r="AB29" i="63"/>
  <c r="W29" i="63"/>
  <c r="Z29" i="63" s="1"/>
  <c r="V29" i="63"/>
  <c r="T29" i="63"/>
  <c r="S29" i="63"/>
  <c r="M29" i="63" a="1"/>
  <c r="M29" i="63" s="1"/>
  <c r="N29" i="63" s="1"/>
  <c r="K29" i="63"/>
  <c r="I29" i="63"/>
  <c r="D29" i="63"/>
  <c r="A29" i="63"/>
  <c r="AB28" i="63"/>
  <c r="AE28" i="63" s="1"/>
  <c r="W28" i="63"/>
  <c r="Z28" i="63" s="1"/>
  <c r="T28" i="63"/>
  <c r="S28" i="63"/>
  <c r="M28" i="63" a="1"/>
  <c r="M28" i="63" s="1"/>
  <c r="N28" i="63" s="1"/>
  <c r="K28" i="63"/>
  <c r="I28" i="63"/>
  <c r="D28" i="63"/>
  <c r="A28" i="63"/>
  <c r="AB27" i="63"/>
  <c r="W27" i="63"/>
  <c r="Z27" i="63" s="1"/>
  <c r="T27" i="63"/>
  <c r="S27" i="63"/>
  <c r="M27" i="63" a="1"/>
  <c r="M27" i="63" s="1"/>
  <c r="N27" i="63" s="1"/>
  <c r="K27" i="63"/>
  <c r="I27" i="63"/>
  <c r="D27" i="63"/>
  <c r="A27" i="63"/>
  <c r="AB26" i="63"/>
  <c r="W26" i="63"/>
  <c r="Z26" i="63" s="1"/>
  <c r="T26" i="63"/>
  <c r="S26" i="63"/>
  <c r="M26" i="63" a="1"/>
  <c r="M26" i="63" s="1"/>
  <c r="N26" i="63" s="1"/>
  <c r="K26" i="63"/>
  <c r="I26" i="63"/>
  <c r="D26" i="63"/>
  <c r="A26" i="63"/>
  <c r="AB25" i="63"/>
  <c r="W25" i="63"/>
  <c r="Z25" i="63" s="1"/>
  <c r="T25" i="63"/>
  <c r="S25" i="63"/>
  <c r="M25" i="63" a="1"/>
  <c r="M25" i="63" s="1"/>
  <c r="N25" i="63" s="1"/>
  <c r="K25" i="63"/>
  <c r="I25" i="63"/>
  <c r="D25" i="63"/>
  <c r="A25" i="63"/>
  <c r="AB24" i="63"/>
  <c r="W24" i="63"/>
  <c r="Z24" i="63" s="1"/>
  <c r="T24" i="63"/>
  <c r="S24" i="63"/>
  <c r="M24" i="63" a="1"/>
  <c r="M24" i="63" s="1"/>
  <c r="N24" i="63" s="1"/>
  <c r="K24" i="63"/>
  <c r="I24" i="63"/>
  <c r="D24" i="63"/>
  <c r="A24" i="63"/>
  <c r="AB23" i="63"/>
  <c r="W23" i="63"/>
  <c r="Z23" i="63" s="1"/>
  <c r="T23" i="63"/>
  <c r="S23" i="63"/>
  <c r="M23" i="63" a="1"/>
  <c r="M23" i="63" s="1"/>
  <c r="N23" i="63" s="1"/>
  <c r="K23" i="63"/>
  <c r="I23" i="63"/>
  <c r="D23" i="63"/>
  <c r="A23" i="63"/>
  <c r="AB22" i="63"/>
  <c r="W22" i="63"/>
  <c r="Z22" i="63" s="1"/>
  <c r="T22" i="63"/>
  <c r="S22" i="63"/>
  <c r="M22" i="63" a="1"/>
  <c r="M22" i="63" s="1"/>
  <c r="N22" i="63" s="1"/>
  <c r="K22" i="63"/>
  <c r="I22" i="63"/>
  <c r="D22" i="63"/>
  <c r="A22" i="63"/>
  <c r="AB21" i="63"/>
  <c r="W21" i="63"/>
  <c r="Z21" i="63" s="1"/>
  <c r="T21" i="63"/>
  <c r="S21" i="63"/>
  <c r="M21" i="63" a="1"/>
  <c r="M21" i="63" s="1"/>
  <c r="N21" i="63" s="1"/>
  <c r="K21" i="63"/>
  <c r="I21" i="63"/>
  <c r="D21" i="63"/>
  <c r="A21" i="63"/>
  <c r="D442" i="68" s="1"/>
  <c r="AB20" i="63"/>
  <c r="W20" i="63"/>
  <c r="Z20" i="63" s="1"/>
  <c r="T20" i="63"/>
  <c r="S20" i="63"/>
  <c r="M20" i="63" a="1"/>
  <c r="M20" i="63" s="1"/>
  <c r="N20" i="63" s="1"/>
  <c r="K20" i="63"/>
  <c r="I20" i="63"/>
  <c r="D20" i="63"/>
  <c r="A20" i="63"/>
  <c r="D441" i="68" s="1"/>
  <c r="AB19" i="63"/>
  <c r="AE19" i="63" s="1"/>
  <c r="W19" i="63"/>
  <c r="Z19" i="63" s="1"/>
  <c r="T19" i="63"/>
  <c r="D44" i="63" s="1"/>
  <c r="S19" i="63"/>
  <c r="M19" i="63" a="1"/>
  <c r="M19" i="63" s="1"/>
  <c r="N19" i="63" s="1"/>
  <c r="K19" i="63"/>
  <c r="D41" i="63" s="1"/>
  <c r="I19" i="63"/>
  <c r="D40" i="63" s="1"/>
  <c r="D47" i="63" s="1"/>
  <c r="D19" i="63"/>
  <c r="A19" i="63"/>
  <c r="D440" i="68" s="1"/>
  <c r="M15" i="63"/>
  <c r="B79" i="62"/>
  <c r="D79" i="62" s="1"/>
  <c r="B78" i="62"/>
  <c r="D78" i="62" s="1"/>
  <c r="B77" i="62"/>
  <c r="D77" i="62" s="1"/>
  <c r="B76" i="62"/>
  <c r="D76" i="62" s="1"/>
  <c r="B75" i="62"/>
  <c r="D75" i="62" s="1"/>
  <c r="B74" i="62"/>
  <c r="D74" i="62" s="1"/>
  <c r="B73" i="62"/>
  <c r="D73" i="62" s="1"/>
  <c r="B72" i="62"/>
  <c r="D72" i="62" s="1"/>
  <c r="B71" i="62"/>
  <c r="D71" i="62" s="1"/>
  <c r="B70" i="62"/>
  <c r="D70" i="62" s="1"/>
  <c r="B69" i="62"/>
  <c r="D69" i="62" s="1"/>
  <c r="B68" i="62"/>
  <c r="D68" i="62" s="1"/>
  <c r="B67" i="62"/>
  <c r="D67" i="62" s="1"/>
  <c r="B66" i="62"/>
  <c r="D66" i="62" s="1"/>
  <c r="B65" i="62"/>
  <c r="D65" i="62" s="1"/>
  <c r="B64" i="62"/>
  <c r="D64" i="62" s="1"/>
  <c r="Z46" i="62"/>
  <c r="AB33" i="62"/>
  <c r="W33" i="62"/>
  <c r="Z33" i="62" s="1"/>
  <c r="V33" i="62"/>
  <c r="T33" i="62"/>
  <c r="S33" i="62"/>
  <c r="M33" i="62" a="1"/>
  <c r="M33" i="62" s="1"/>
  <c r="N33" i="62" s="1"/>
  <c r="K33" i="62"/>
  <c r="I33" i="62"/>
  <c r="D33" i="62"/>
  <c r="A33" i="62"/>
  <c r="AB32" i="62"/>
  <c r="W32" i="62"/>
  <c r="Z32" i="62" s="1"/>
  <c r="V32" i="62"/>
  <c r="T32" i="62"/>
  <c r="S32" i="62"/>
  <c r="M32" i="62" a="1"/>
  <c r="M32" i="62" s="1"/>
  <c r="N32" i="62" s="1"/>
  <c r="K32" i="62"/>
  <c r="I32" i="62"/>
  <c r="D32" i="62"/>
  <c r="A32" i="62"/>
  <c r="AB31" i="62"/>
  <c r="W31" i="62"/>
  <c r="Z31" i="62" s="1"/>
  <c r="V31" i="62"/>
  <c r="T31" i="62"/>
  <c r="S31" i="62"/>
  <c r="M31" i="62" a="1"/>
  <c r="M31" i="62" s="1"/>
  <c r="N31" i="62" s="1"/>
  <c r="K31" i="62"/>
  <c r="I31" i="62"/>
  <c r="D31" i="62"/>
  <c r="A31" i="62"/>
  <c r="AB30" i="62"/>
  <c r="W30" i="62"/>
  <c r="Z30" i="62" s="1"/>
  <c r="V30" i="62"/>
  <c r="T30" i="62"/>
  <c r="S30" i="62"/>
  <c r="M30" i="62" a="1"/>
  <c r="M30" i="62" s="1"/>
  <c r="N30" i="62" s="1"/>
  <c r="K30" i="62"/>
  <c r="I30" i="62"/>
  <c r="D30" i="62"/>
  <c r="A30" i="62"/>
  <c r="AB29" i="62"/>
  <c r="W29" i="62"/>
  <c r="Z29" i="62" s="1"/>
  <c r="V29" i="62"/>
  <c r="T29" i="62"/>
  <c r="S29" i="62"/>
  <c r="M29" i="62" a="1"/>
  <c r="M29" i="62" s="1"/>
  <c r="N29" i="62" s="1"/>
  <c r="K29" i="62"/>
  <c r="I29" i="62"/>
  <c r="D29" i="62"/>
  <c r="A29" i="62"/>
  <c r="AB28" i="62"/>
  <c r="AE28" i="62" s="1"/>
  <c r="W28" i="62"/>
  <c r="Z28" i="62" s="1"/>
  <c r="T28" i="62"/>
  <c r="S28" i="62"/>
  <c r="M28" i="62" a="1"/>
  <c r="M28" i="62" s="1"/>
  <c r="N28" i="62" s="1"/>
  <c r="K28" i="62"/>
  <c r="I28" i="62"/>
  <c r="D28" i="62"/>
  <c r="A28" i="62"/>
  <c r="AB27" i="62"/>
  <c r="W27" i="62"/>
  <c r="Z27" i="62" s="1"/>
  <c r="T27" i="62"/>
  <c r="S27" i="62"/>
  <c r="M27" i="62" a="1"/>
  <c r="M27" i="62" s="1"/>
  <c r="N27" i="62" s="1"/>
  <c r="K27" i="62"/>
  <c r="I27" i="62"/>
  <c r="D27" i="62"/>
  <c r="A27" i="62"/>
  <c r="AB26" i="62"/>
  <c r="W26" i="62"/>
  <c r="Z26" i="62" s="1"/>
  <c r="T26" i="62"/>
  <c r="S26" i="62"/>
  <c r="M26" i="62" a="1"/>
  <c r="M26" i="62" s="1"/>
  <c r="N26" i="62" s="1"/>
  <c r="K26" i="62"/>
  <c r="I26" i="62"/>
  <c r="D26" i="62"/>
  <c r="A26" i="62"/>
  <c r="AB25" i="62"/>
  <c r="W25" i="62"/>
  <c r="Z25" i="62" s="1"/>
  <c r="T25" i="62"/>
  <c r="S25" i="62"/>
  <c r="M25" i="62" a="1"/>
  <c r="M25" i="62" s="1"/>
  <c r="N25" i="62" s="1"/>
  <c r="K25" i="62"/>
  <c r="I25" i="62"/>
  <c r="D25" i="62"/>
  <c r="A25" i="62"/>
  <c r="AB24" i="62"/>
  <c r="W24" i="62"/>
  <c r="Z24" i="62" s="1"/>
  <c r="T24" i="62"/>
  <c r="S24" i="62"/>
  <c r="M24" i="62" a="1"/>
  <c r="M24" i="62" s="1"/>
  <c r="N24" i="62" s="1"/>
  <c r="K24" i="62"/>
  <c r="I24" i="62"/>
  <c r="D24" i="62"/>
  <c r="A24" i="62"/>
  <c r="AB23" i="62"/>
  <c r="W23" i="62"/>
  <c r="Z23" i="62" s="1"/>
  <c r="T23" i="62"/>
  <c r="S23" i="62"/>
  <c r="M23" i="62" a="1"/>
  <c r="M23" i="62" s="1"/>
  <c r="N23" i="62" s="1"/>
  <c r="K23" i="62"/>
  <c r="I23" i="62"/>
  <c r="D23" i="62"/>
  <c r="A23" i="62"/>
  <c r="AB22" i="62"/>
  <c r="W22" i="62"/>
  <c r="Z22" i="62" s="1"/>
  <c r="T22" i="62"/>
  <c r="S22" i="62"/>
  <c r="M22" i="62" a="1"/>
  <c r="M22" i="62" s="1"/>
  <c r="N22" i="62" s="1"/>
  <c r="K22" i="62"/>
  <c r="I22" i="62"/>
  <c r="D22" i="62"/>
  <c r="A22" i="62"/>
  <c r="AB21" i="62"/>
  <c r="W21" i="62"/>
  <c r="Z21" i="62" s="1"/>
  <c r="T21" i="62"/>
  <c r="S21" i="62"/>
  <c r="M21" i="62" a="1"/>
  <c r="M21" i="62" s="1"/>
  <c r="N21" i="62" s="1"/>
  <c r="K21" i="62"/>
  <c r="I21" i="62"/>
  <c r="D21" i="62"/>
  <c r="A21" i="62"/>
  <c r="D427" i="68" s="1"/>
  <c r="AB20" i="62"/>
  <c r="W20" i="62"/>
  <c r="Z20" i="62" s="1"/>
  <c r="T20" i="62"/>
  <c r="S20" i="62"/>
  <c r="M20" i="62" a="1"/>
  <c r="M20" i="62" s="1"/>
  <c r="N20" i="62" s="1"/>
  <c r="K20" i="62"/>
  <c r="I20" i="62"/>
  <c r="D20" i="62"/>
  <c r="A20" i="62"/>
  <c r="D426" i="68" s="1"/>
  <c r="AB19" i="62"/>
  <c r="AE19" i="62" s="1"/>
  <c r="W19" i="62"/>
  <c r="Z19" i="62" s="1"/>
  <c r="T19" i="62"/>
  <c r="D44" i="62" s="1"/>
  <c r="I31" i="6" s="1"/>
  <c r="S19" i="62"/>
  <c r="M19" i="62" a="1"/>
  <c r="M19" i="62" s="1"/>
  <c r="N19" i="62" s="1"/>
  <c r="K19" i="62"/>
  <c r="D41" i="62" s="1"/>
  <c r="I19" i="62"/>
  <c r="D40" i="62" s="1"/>
  <c r="D47" i="62" s="1"/>
  <c r="D19" i="62"/>
  <c r="A19" i="62"/>
  <c r="D425" i="68" s="1"/>
  <c r="M15" i="62"/>
  <c r="B79" i="61"/>
  <c r="D79" i="61" s="1"/>
  <c r="B78" i="61"/>
  <c r="D78" i="61" s="1"/>
  <c r="B77" i="61"/>
  <c r="D77" i="61" s="1"/>
  <c r="B76" i="61"/>
  <c r="D76" i="61" s="1"/>
  <c r="B75" i="61"/>
  <c r="D75" i="61" s="1"/>
  <c r="B74" i="61"/>
  <c r="D74" i="61" s="1"/>
  <c r="B73" i="61"/>
  <c r="D73" i="61" s="1"/>
  <c r="B72" i="61"/>
  <c r="D72" i="61" s="1"/>
  <c r="B71" i="61"/>
  <c r="D71" i="61" s="1"/>
  <c r="B70" i="61"/>
  <c r="D70" i="61" s="1"/>
  <c r="B69" i="61"/>
  <c r="D69" i="61" s="1"/>
  <c r="B68" i="61"/>
  <c r="D68" i="61" s="1"/>
  <c r="B67" i="61"/>
  <c r="D67" i="61" s="1"/>
  <c r="B66" i="61"/>
  <c r="D66" i="61" s="1"/>
  <c r="B65" i="61"/>
  <c r="D65" i="61" s="1"/>
  <c r="B64" i="61"/>
  <c r="D64" i="61" s="1"/>
  <c r="Z46" i="61"/>
  <c r="AB33" i="61"/>
  <c r="W33" i="61"/>
  <c r="Z33" i="61" s="1"/>
  <c r="V33" i="61"/>
  <c r="T33" i="61"/>
  <c r="S33" i="61"/>
  <c r="M33" i="61" a="1"/>
  <c r="M33" i="61" s="1"/>
  <c r="N33" i="61" s="1"/>
  <c r="K33" i="61"/>
  <c r="I33" i="61"/>
  <c r="D33" i="61"/>
  <c r="A33" i="61"/>
  <c r="AB32" i="61"/>
  <c r="W32" i="61"/>
  <c r="Z32" i="61" s="1"/>
  <c r="V32" i="61"/>
  <c r="T32" i="61"/>
  <c r="S32" i="61"/>
  <c r="M32" i="61" a="1"/>
  <c r="M32" i="61" s="1"/>
  <c r="N32" i="61" s="1"/>
  <c r="K32" i="61"/>
  <c r="I32" i="61"/>
  <c r="D32" i="61"/>
  <c r="A32" i="61"/>
  <c r="AB31" i="61"/>
  <c r="W31" i="61"/>
  <c r="Z31" i="61" s="1"/>
  <c r="V31" i="61"/>
  <c r="T31" i="61"/>
  <c r="S31" i="61"/>
  <c r="M31" i="61" a="1"/>
  <c r="M31" i="61" s="1"/>
  <c r="N31" i="61" s="1"/>
  <c r="K31" i="61"/>
  <c r="I31" i="61"/>
  <c r="D31" i="61"/>
  <c r="A31" i="61"/>
  <c r="AB30" i="61"/>
  <c r="W30" i="61"/>
  <c r="Z30" i="61" s="1"/>
  <c r="V30" i="61"/>
  <c r="T30" i="61"/>
  <c r="S30" i="61"/>
  <c r="M30" i="61" a="1"/>
  <c r="M30" i="61" s="1"/>
  <c r="N30" i="61" s="1"/>
  <c r="K30" i="61"/>
  <c r="I30" i="61"/>
  <c r="D30" i="61"/>
  <c r="A30" i="61"/>
  <c r="AB29" i="61"/>
  <c r="W29" i="61"/>
  <c r="Z29" i="61" s="1"/>
  <c r="V29" i="61"/>
  <c r="T29" i="61"/>
  <c r="S29" i="61"/>
  <c r="M29" i="61" a="1"/>
  <c r="M29" i="61" s="1"/>
  <c r="N29" i="61" s="1"/>
  <c r="K29" i="61"/>
  <c r="I29" i="61"/>
  <c r="D29" i="61"/>
  <c r="A29" i="61"/>
  <c r="AB28" i="61"/>
  <c r="AE28" i="61" s="1"/>
  <c r="W28" i="61"/>
  <c r="Z28" i="61" s="1"/>
  <c r="T28" i="61"/>
  <c r="S28" i="61"/>
  <c r="M28" i="61" a="1"/>
  <c r="M28" i="61" s="1"/>
  <c r="N28" i="61" s="1"/>
  <c r="K28" i="61"/>
  <c r="I28" i="61"/>
  <c r="D28" i="61"/>
  <c r="A28" i="61"/>
  <c r="AB27" i="61"/>
  <c r="W27" i="61"/>
  <c r="Z27" i="61" s="1"/>
  <c r="T27" i="61"/>
  <c r="S27" i="61"/>
  <c r="M27" i="61" a="1"/>
  <c r="M27" i="61" s="1"/>
  <c r="N27" i="61" s="1"/>
  <c r="K27" i="61"/>
  <c r="I27" i="61"/>
  <c r="D27" i="61"/>
  <c r="A27" i="61"/>
  <c r="AB26" i="61"/>
  <c r="W26" i="61"/>
  <c r="Z26" i="61" s="1"/>
  <c r="T26" i="61"/>
  <c r="S26" i="61"/>
  <c r="M26" i="61" a="1"/>
  <c r="M26" i="61" s="1"/>
  <c r="N26" i="61" s="1"/>
  <c r="K26" i="61"/>
  <c r="I26" i="61"/>
  <c r="D26" i="61"/>
  <c r="A26" i="61"/>
  <c r="AB25" i="61"/>
  <c r="W25" i="61"/>
  <c r="Z25" i="61" s="1"/>
  <c r="T25" i="61"/>
  <c r="S25" i="61"/>
  <c r="M25" i="61" a="1"/>
  <c r="M25" i="61" s="1"/>
  <c r="N25" i="61" s="1"/>
  <c r="K25" i="61"/>
  <c r="I25" i="61"/>
  <c r="D25" i="61"/>
  <c r="A25" i="61"/>
  <c r="AB24" i="61"/>
  <c r="W24" i="61"/>
  <c r="Z24" i="61" s="1"/>
  <c r="T24" i="61"/>
  <c r="S24" i="61"/>
  <c r="M24" i="61" a="1"/>
  <c r="M24" i="61" s="1"/>
  <c r="N24" i="61" s="1"/>
  <c r="K24" i="61"/>
  <c r="I24" i="61"/>
  <c r="D24" i="61"/>
  <c r="A24" i="61"/>
  <c r="AB23" i="61"/>
  <c r="W23" i="61"/>
  <c r="Z23" i="61" s="1"/>
  <c r="T23" i="61"/>
  <c r="S23" i="61"/>
  <c r="M23" i="61" a="1"/>
  <c r="M23" i="61" s="1"/>
  <c r="N23" i="61" s="1"/>
  <c r="K23" i="61"/>
  <c r="I23" i="61"/>
  <c r="D23" i="61"/>
  <c r="A23" i="61"/>
  <c r="AB22" i="61"/>
  <c r="W22" i="61"/>
  <c r="Z22" i="61" s="1"/>
  <c r="T22" i="61"/>
  <c r="S22" i="61"/>
  <c r="M22" i="61" a="1"/>
  <c r="M22" i="61" s="1"/>
  <c r="N22" i="61" s="1"/>
  <c r="K22" i="61"/>
  <c r="I22" i="61"/>
  <c r="D22" i="61"/>
  <c r="A22" i="61"/>
  <c r="AB21" i="61"/>
  <c r="W21" i="61"/>
  <c r="Z21" i="61" s="1"/>
  <c r="T21" i="61"/>
  <c r="S21" i="61"/>
  <c r="M21" i="61" a="1"/>
  <c r="M21" i="61" s="1"/>
  <c r="N21" i="61" s="1"/>
  <c r="K21" i="61"/>
  <c r="I21" i="61"/>
  <c r="D21" i="61"/>
  <c r="A21" i="61"/>
  <c r="D412" i="68" s="1"/>
  <c r="AB20" i="61"/>
  <c r="W20" i="61"/>
  <c r="Z20" i="61" s="1"/>
  <c r="T20" i="61"/>
  <c r="S20" i="61"/>
  <c r="M20" i="61" a="1"/>
  <c r="M20" i="61" s="1"/>
  <c r="N20" i="61" s="1"/>
  <c r="K20" i="61"/>
  <c r="I20" i="61"/>
  <c r="D20" i="61"/>
  <c r="A20" i="61"/>
  <c r="D411" i="68" s="1"/>
  <c r="AB19" i="61"/>
  <c r="AE19" i="61" s="1"/>
  <c r="W19" i="61"/>
  <c r="Z19" i="61" s="1"/>
  <c r="T19" i="61"/>
  <c r="D44" i="61" s="1"/>
  <c r="S19" i="61"/>
  <c r="M19" i="61" a="1"/>
  <c r="M19" i="61" s="1"/>
  <c r="N19" i="61" s="1"/>
  <c r="K19" i="61"/>
  <c r="D41" i="61" s="1"/>
  <c r="I19" i="61"/>
  <c r="D40" i="61" s="1"/>
  <c r="D47" i="61" s="1"/>
  <c r="D19" i="61"/>
  <c r="A19" i="61"/>
  <c r="D410" i="68" s="1"/>
  <c r="M15" i="61"/>
  <c r="B79" i="60"/>
  <c r="D79" i="60" s="1"/>
  <c r="B78" i="60"/>
  <c r="D78" i="60" s="1"/>
  <c r="B77" i="60"/>
  <c r="D77" i="60" s="1"/>
  <c r="B76" i="60"/>
  <c r="D76" i="60" s="1"/>
  <c r="B75" i="60"/>
  <c r="D75" i="60" s="1"/>
  <c r="B74" i="60"/>
  <c r="D74" i="60" s="1"/>
  <c r="B73" i="60"/>
  <c r="D73" i="60" s="1"/>
  <c r="B72" i="60"/>
  <c r="D72" i="60" s="1"/>
  <c r="B71" i="60"/>
  <c r="D71" i="60" s="1"/>
  <c r="B70" i="60"/>
  <c r="D70" i="60" s="1"/>
  <c r="B69" i="60"/>
  <c r="D69" i="60" s="1"/>
  <c r="B68" i="60"/>
  <c r="D68" i="60" s="1"/>
  <c r="B67" i="60"/>
  <c r="D67" i="60" s="1"/>
  <c r="B66" i="60"/>
  <c r="D66" i="60" s="1"/>
  <c r="B65" i="60"/>
  <c r="D65" i="60" s="1"/>
  <c r="B64" i="60"/>
  <c r="D64" i="60" s="1"/>
  <c r="Z46" i="60"/>
  <c r="AB33" i="60"/>
  <c r="W33" i="60"/>
  <c r="Z33" i="60" s="1"/>
  <c r="V33" i="60"/>
  <c r="T33" i="60"/>
  <c r="S33" i="60"/>
  <c r="M33" i="60" a="1"/>
  <c r="M33" i="60" s="1"/>
  <c r="N33" i="60" s="1"/>
  <c r="K33" i="60"/>
  <c r="I33" i="60"/>
  <c r="D33" i="60"/>
  <c r="A33" i="60"/>
  <c r="AB32" i="60"/>
  <c r="W32" i="60"/>
  <c r="Z32" i="60" s="1"/>
  <c r="V32" i="60"/>
  <c r="T32" i="60"/>
  <c r="S32" i="60"/>
  <c r="M32" i="60" a="1"/>
  <c r="M32" i="60" s="1"/>
  <c r="N32" i="60" s="1"/>
  <c r="K32" i="60"/>
  <c r="I32" i="60"/>
  <c r="D32" i="60"/>
  <c r="A32" i="60"/>
  <c r="AB31" i="60"/>
  <c r="W31" i="60"/>
  <c r="Z31" i="60" s="1"/>
  <c r="V31" i="60"/>
  <c r="T31" i="60"/>
  <c r="S31" i="60"/>
  <c r="M31" i="60" a="1"/>
  <c r="M31" i="60" s="1"/>
  <c r="N31" i="60" s="1"/>
  <c r="K31" i="60"/>
  <c r="I31" i="60"/>
  <c r="D31" i="60"/>
  <c r="A31" i="60"/>
  <c r="AB30" i="60"/>
  <c r="W30" i="60"/>
  <c r="Z30" i="60" s="1"/>
  <c r="V30" i="60"/>
  <c r="T30" i="60"/>
  <c r="S30" i="60"/>
  <c r="M30" i="60" a="1"/>
  <c r="M30" i="60" s="1"/>
  <c r="N30" i="60" s="1"/>
  <c r="K30" i="60"/>
  <c r="I30" i="60"/>
  <c r="D30" i="60"/>
  <c r="A30" i="60"/>
  <c r="AB29" i="60"/>
  <c r="W29" i="60"/>
  <c r="Z29" i="60" s="1"/>
  <c r="V29" i="60"/>
  <c r="T29" i="60"/>
  <c r="S29" i="60"/>
  <c r="M29" i="60" a="1"/>
  <c r="M29" i="60" s="1"/>
  <c r="N29" i="60" s="1"/>
  <c r="K29" i="60"/>
  <c r="I29" i="60"/>
  <c r="D29" i="60"/>
  <c r="A29" i="60"/>
  <c r="AB28" i="60"/>
  <c r="AE28" i="60" s="1"/>
  <c r="W28" i="60"/>
  <c r="Z28" i="60" s="1"/>
  <c r="T28" i="60"/>
  <c r="S28" i="60"/>
  <c r="M28" i="60" a="1"/>
  <c r="M28" i="60" s="1"/>
  <c r="N28" i="60" s="1"/>
  <c r="K28" i="60"/>
  <c r="I28" i="60"/>
  <c r="D28" i="60"/>
  <c r="A28" i="60"/>
  <c r="AB27" i="60"/>
  <c r="W27" i="60"/>
  <c r="Z27" i="60" s="1"/>
  <c r="T27" i="60"/>
  <c r="S27" i="60"/>
  <c r="M27" i="60" a="1"/>
  <c r="M27" i="60" s="1"/>
  <c r="N27" i="60" s="1"/>
  <c r="K27" i="60"/>
  <c r="I27" i="60"/>
  <c r="D27" i="60"/>
  <c r="A27" i="60"/>
  <c r="AB26" i="60"/>
  <c r="W26" i="60"/>
  <c r="Z26" i="60" s="1"/>
  <c r="T26" i="60"/>
  <c r="S26" i="60"/>
  <c r="M26" i="60" a="1"/>
  <c r="M26" i="60" s="1"/>
  <c r="N26" i="60" s="1"/>
  <c r="K26" i="60"/>
  <c r="I26" i="60"/>
  <c r="D26" i="60"/>
  <c r="A26" i="60"/>
  <c r="AB25" i="60"/>
  <c r="W25" i="60"/>
  <c r="Z25" i="60" s="1"/>
  <c r="T25" i="60"/>
  <c r="S25" i="60"/>
  <c r="M25" i="60" a="1"/>
  <c r="M25" i="60" s="1"/>
  <c r="N25" i="60" s="1"/>
  <c r="K25" i="60"/>
  <c r="I25" i="60"/>
  <c r="D25" i="60"/>
  <c r="A25" i="60"/>
  <c r="AB24" i="60"/>
  <c r="W24" i="60"/>
  <c r="Z24" i="60" s="1"/>
  <c r="T24" i="60"/>
  <c r="S24" i="60"/>
  <c r="M24" i="60" a="1"/>
  <c r="M24" i="60" s="1"/>
  <c r="N24" i="60" s="1"/>
  <c r="K24" i="60"/>
  <c r="I24" i="60"/>
  <c r="D24" i="60"/>
  <c r="A24" i="60"/>
  <c r="AB23" i="60"/>
  <c r="W23" i="60"/>
  <c r="Z23" i="60" s="1"/>
  <c r="T23" i="60"/>
  <c r="S23" i="60"/>
  <c r="M23" i="60" a="1"/>
  <c r="M23" i="60" s="1"/>
  <c r="N23" i="60" s="1"/>
  <c r="K23" i="60"/>
  <c r="I23" i="60"/>
  <c r="D23" i="60"/>
  <c r="A23" i="60"/>
  <c r="AB22" i="60"/>
  <c r="W22" i="60"/>
  <c r="Z22" i="60" s="1"/>
  <c r="T22" i="60"/>
  <c r="S22" i="60"/>
  <c r="M22" i="60" a="1"/>
  <c r="M22" i="60" s="1"/>
  <c r="N22" i="60" s="1"/>
  <c r="K22" i="60"/>
  <c r="I22" i="60"/>
  <c r="D22" i="60"/>
  <c r="A22" i="60"/>
  <c r="AB21" i="60"/>
  <c r="W21" i="60"/>
  <c r="Z21" i="60" s="1"/>
  <c r="T21" i="60"/>
  <c r="S21" i="60"/>
  <c r="M21" i="60" a="1"/>
  <c r="M21" i="60" s="1"/>
  <c r="N21" i="60" s="1"/>
  <c r="K21" i="60"/>
  <c r="I21" i="60"/>
  <c r="D21" i="60"/>
  <c r="A21" i="60"/>
  <c r="D397" i="68" s="1"/>
  <c r="AB20" i="60"/>
  <c r="W20" i="60"/>
  <c r="Z20" i="60" s="1"/>
  <c r="T20" i="60"/>
  <c r="S20" i="60"/>
  <c r="M20" i="60" a="1"/>
  <c r="M20" i="60" s="1"/>
  <c r="N20" i="60" s="1"/>
  <c r="K20" i="60"/>
  <c r="I20" i="60"/>
  <c r="D20" i="60"/>
  <c r="A20" i="60"/>
  <c r="D396" i="68" s="1"/>
  <c r="AB19" i="60"/>
  <c r="AE19" i="60" s="1"/>
  <c r="W19" i="60"/>
  <c r="Z19" i="60" s="1"/>
  <c r="T19" i="60"/>
  <c r="D44" i="60" s="1"/>
  <c r="S19" i="60"/>
  <c r="M19" i="60" a="1"/>
  <c r="M19" i="60" s="1"/>
  <c r="N19" i="60" s="1"/>
  <c r="K19" i="60"/>
  <c r="D41" i="60" s="1"/>
  <c r="I19" i="60"/>
  <c r="D40" i="60" s="1"/>
  <c r="D47" i="60" s="1"/>
  <c r="D19" i="60"/>
  <c r="A19" i="60"/>
  <c r="D395" i="68" s="1"/>
  <c r="M15" i="60"/>
  <c r="B79" i="59"/>
  <c r="D79" i="59" s="1"/>
  <c r="B78" i="59"/>
  <c r="D78" i="59" s="1"/>
  <c r="B77" i="59"/>
  <c r="D77" i="59" s="1"/>
  <c r="B76" i="59"/>
  <c r="D76" i="59" s="1"/>
  <c r="B75" i="59"/>
  <c r="D75" i="59" s="1"/>
  <c r="B74" i="59"/>
  <c r="D74" i="59" s="1"/>
  <c r="B73" i="59"/>
  <c r="D73" i="59" s="1"/>
  <c r="B72" i="59"/>
  <c r="D72" i="59" s="1"/>
  <c r="B71" i="59"/>
  <c r="D71" i="59" s="1"/>
  <c r="B70" i="59"/>
  <c r="D70" i="59" s="1"/>
  <c r="B69" i="59"/>
  <c r="D69" i="59" s="1"/>
  <c r="B68" i="59"/>
  <c r="D68" i="59" s="1"/>
  <c r="B67" i="59"/>
  <c r="D67" i="59" s="1"/>
  <c r="B66" i="59"/>
  <c r="D66" i="59" s="1"/>
  <c r="B65" i="59"/>
  <c r="D65" i="59" s="1"/>
  <c r="B64" i="59"/>
  <c r="D64" i="59" s="1"/>
  <c r="Z46" i="59"/>
  <c r="AB33" i="59"/>
  <c r="W33" i="59"/>
  <c r="Z33" i="59" s="1"/>
  <c r="V33" i="59"/>
  <c r="T33" i="59"/>
  <c r="S33" i="59"/>
  <c r="M33" i="59" a="1"/>
  <c r="M33" i="59" s="1"/>
  <c r="N33" i="59" s="1"/>
  <c r="K33" i="59"/>
  <c r="I33" i="59"/>
  <c r="D33" i="59"/>
  <c r="A33" i="59"/>
  <c r="AB32" i="59"/>
  <c r="W32" i="59"/>
  <c r="Z32" i="59" s="1"/>
  <c r="V32" i="59"/>
  <c r="T32" i="59"/>
  <c r="S32" i="59"/>
  <c r="M32" i="59" a="1"/>
  <c r="M32" i="59" s="1"/>
  <c r="N32" i="59" s="1"/>
  <c r="K32" i="59"/>
  <c r="I32" i="59"/>
  <c r="D32" i="59"/>
  <c r="A32" i="59"/>
  <c r="AB31" i="59"/>
  <c r="W31" i="59"/>
  <c r="Z31" i="59" s="1"/>
  <c r="V31" i="59"/>
  <c r="T31" i="59"/>
  <c r="S31" i="59"/>
  <c r="M31" i="59" a="1"/>
  <c r="M31" i="59" s="1"/>
  <c r="N31" i="59" s="1"/>
  <c r="K31" i="59"/>
  <c r="I31" i="59"/>
  <c r="D31" i="59"/>
  <c r="A31" i="59"/>
  <c r="AB30" i="59"/>
  <c r="W30" i="59"/>
  <c r="Z30" i="59" s="1"/>
  <c r="V30" i="59"/>
  <c r="T30" i="59"/>
  <c r="S30" i="59"/>
  <c r="M30" i="59" a="1"/>
  <c r="M30" i="59" s="1"/>
  <c r="N30" i="59" s="1"/>
  <c r="K30" i="59"/>
  <c r="I30" i="59"/>
  <c r="D30" i="59"/>
  <c r="A30" i="59"/>
  <c r="AB29" i="59"/>
  <c r="W29" i="59"/>
  <c r="Z29" i="59" s="1"/>
  <c r="V29" i="59"/>
  <c r="T29" i="59"/>
  <c r="S29" i="59"/>
  <c r="M29" i="59" a="1"/>
  <c r="M29" i="59" s="1"/>
  <c r="N29" i="59" s="1"/>
  <c r="K29" i="59"/>
  <c r="I29" i="59"/>
  <c r="D29" i="59"/>
  <c r="A29" i="59"/>
  <c r="AB28" i="59"/>
  <c r="AE28" i="59" s="1"/>
  <c r="W28" i="59"/>
  <c r="Z28" i="59" s="1"/>
  <c r="T28" i="59"/>
  <c r="S28" i="59"/>
  <c r="M28" i="59" a="1"/>
  <c r="M28" i="59" s="1"/>
  <c r="N28" i="59" s="1"/>
  <c r="K28" i="59"/>
  <c r="I28" i="59"/>
  <c r="D28" i="59"/>
  <c r="A28" i="59"/>
  <c r="AB27" i="59"/>
  <c r="W27" i="59"/>
  <c r="Z27" i="59" s="1"/>
  <c r="T27" i="59"/>
  <c r="S27" i="59"/>
  <c r="M27" i="59" a="1"/>
  <c r="M27" i="59" s="1"/>
  <c r="N27" i="59" s="1"/>
  <c r="K27" i="59"/>
  <c r="I27" i="59"/>
  <c r="D27" i="59"/>
  <c r="A27" i="59"/>
  <c r="AB26" i="59"/>
  <c r="W26" i="59"/>
  <c r="Z26" i="59" s="1"/>
  <c r="T26" i="59"/>
  <c r="S26" i="59"/>
  <c r="M26" i="59" a="1"/>
  <c r="M26" i="59" s="1"/>
  <c r="N26" i="59" s="1"/>
  <c r="K26" i="59"/>
  <c r="I26" i="59"/>
  <c r="D26" i="59"/>
  <c r="A26" i="59"/>
  <c r="AB25" i="59"/>
  <c r="W25" i="59"/>
  <c r="Z25" i="59" s="1"/>
  <c r="T25" i="59"/>
  <c r="S25" i="59"/>
  <c r="M25" i="59" a="1"/>
  <c r="M25" i="59" s="1"/>
  <c r="N25" i="59" s="1"/>
  <c r="K25" i="59"/>
  <c r="I25" i="59"/>
  <c r="D25" i="59"/>
  <c r="A25" i="59"/>
  <c r="AB24" i="59"/>
  <c r="W24" i="59"/>
  <c r="Z24" i="59" s="1"/>
  <c r="T24" i="59"/>
  <c r="S24" i="59"/>
  <c r="M24" i="59" a="1"/>
  <c r="M24" i="59" s="1"/>
  <c r="N24" i="59" s="1"/>
  <c r="K24" i="59"/>
  <c r="I24" i="59"/>
  <c r="D24" i="59"/>
  <c r="A24" i="59"/>
  <c r="AB23" i="59"/>
  <c r="W23" i="59"/>
  <c r="Z23" i="59" s="1"/>
  <c r="T23" i="59"/>
  <c r="S23" i="59"/>
  <c r="M23" i="59" a="1"/>
  <c r="M23" i="59" s="1"/>
  <c r="N23" i="59" s="1"/>
  <c r="K23" i="59"/>
  <c r="I23" i="59"/>
  <c r="D23" i="59"/>
  <c r="A23" i="59"/>
  <c r="AB22" i="59"/>
  <c r="W22" i="59"/>
  <c r="Z22" i="59" s="1"/>
  <c r="T22" i="59"/>
  <c r="S22" i="59"/>
  <c r="M22" i="59" a="1"/>
  <c r="M22" i="59" s="1"/>
  <c r="N22" i="59" s="1"/>
  <c r="K22" i="59"/>
  <c r="I22" i="59"/>
  <c r="D22" i="59"/>
  <c r="A22" i="59"/>
  <c r="AB21" i="59"/>
  <c r="W21" i="59"/>
  <c r="Z21" i="59" s="1"/>
  <c r="T21" i="59"/>
  <c r="S21" i="59"/>
  <c r="M21" i="59" a="1"/>
  <c r="M21" i="59" s="1"/>
  <c r="N21" i="59" s="1"/>
  <c r="K21" i="59"/>
  <c r="I21" i="59"/>
  <c r="D21" i="59"/>
  <c r="A21" i="59"/>
  <c r="D382" i="68" s="1"/>
  <c r="AB20" i="59"/>
  <c r="W20" i="59"/>
  <c r="Z20" i="59" s="1"/>
  <c r="T20" i="59"/>
  <c r="S20" i="59"/>
  <c r="M20" i="59" a="1"/>
  <c r="M20" i="59" s="1"/>
  <c r="N20" i="59" s="1"/>
  <c r="K20" i="59"/>
  <c r="I20" i="59"/>
  <c r="D20" i="59"/>
  <c r="A20" i="59"/>
  <c r="D381" i="68" s="1"/>
  <c r="AB19" i="59"/>
  <c r="AE19" i="59" s="1"/>
  <c r="W19" i="59"/>
  <c r="Z19" i="59" s="1"/>
  <c r="T19" i="59"/>
  <c r="D44" i="59" s="1"/>
  <c r="S19" i="59"/>
  <c r="M19" i="59" a="1"/>
  <c r="M19" i="59" s="1"/>
  <c r="N19" i="59" s="1"/>
  <c r="K19" i="59"/>
  <c r="D41" i="59" s="1"/>
  <c r="I19" i="59"/>
  <c r="D40" i="59" s="1"/>
  <c r="D47" i="59" s="1"/>
  <c r="D19" i="59"/>
  <c r="A19" i="59"/>
  <c r="D380" i="68" s="1"/>
  <c r="M15" i="59"/>
  <c r="B79" i="58"/>
  <c r="D79" i="58" s="1"/>
  <c r="B78" i="58"/>
  <c r="D78" i="58" s="1"/>
  <c r="B77" i="58"/>
  <c r="D77" i="58" s="1"/>
  <c r="B76" i="58"/>
  <c r="D76" i="58" s="1"/>
  <c r="B75" i="58"/>
  <c r="D75" i="58" s="1"/>
  <c r="B74" i="58"/>
  <c r="D74" i="58" s="1"/>
  <c r="B73" i="58"/>
  <c r="D73" i="58" s="1"/>
  <c r="B72" i="58"/>
  <c r="D72" i="58" s="1"/>
  <c r="B71" i="58"/>
  <c r="D71" i="58" s="1"/>
  <c r="B70" i="58"/>
  <c r="D70" i="58" s="1"/>
  <c r="B69" i="58"/>
  <c r="D69" i="58" s="1"/>
  <c r="B68" i="58"/>
  <c r="D68" i="58" s="1"/>
  <c r="B67" i="58"/>
  <c r="D67" i="58" s="1"/>
  <c r="B66" i="58"/>
  <c r="D66" i="58" s="1"/>
  <c r="B65" i="58"/>
  <c r="D65" i="58" s="1"/>
  <c r="B64" i="58"/>
  <c r="D64" i="58" s="1"/>
  <c r="Z46" i="58"/>
  <c r="AB33" i="58"/>
  <c r="W33" i="58"/>
  <c r="Z33" i="58" s="1"/>
  <c r="V33" i="58"/>
  <c r="T33" i="58"/>
  <c r="S33" i="58"/>
  <c r="M33" i="58" a="1"/>
  <c r="M33" i="58" s="1"/>
  <c r="N33" i="58" s="1"/>
  <c r="K33" i="58"/>
  <c r="I33" i="58"/>
  <c r="D33" i="58"/>
  <c r="A33" i="58"/>
  <c r="AB32" i="58"/>
  <c r="W32" i="58"/>
  <c r="Z32" i="58" s="1"/>
  <c r="V32" i="58"/>
  <c r="T32" i="58"/>
  <c r="S32" i="58"/>
  <c r="M32" i="58" a="1"/>
  <c r="M32" i="58" s="1"/>
  <c r="N32" i="58" s="1"/>
  <c r="K32" i="58"/>
  <c r="I32" i="58"/>
  <c r="D32" i="58"/>
  <c r="A32" i="58"/>
  <c r="AB31" i="58"/>
  <c r="W31" i="58"/>
  <c r="Z31" i="58" s="1"/>
  <c r="V31" i="58"/>
  <c r="T31" i="58"/>
  <c r="S31" i="58"/>
  <c r="M31" i="58" a="1"/>
  <c r="M31" i="58" s="1"/>
  <c r="N31" i="58" s="1"/>
  <c r="K31" i="58"/>
  <c r="I31" i="58"/>
  <c r="D31" i="58"/>
  <c r="A31" i="58"/>
  <c r="AB30" i="58"/>
  <c r="W30" i="58"/>
  <c r="Z30" i="58" s="1"/>
  <c r="V30" i="58"/>
  <c r="T30" i="58"/>
  <c r="S30" i="58"/>
  <c r="M30" i="58" a="1"/>
  <c r="M30" i="58" s="1"/>
  <c r="N30" i="58" s="1"/>
  <c r="K30" i="58"/>
  <c r="I30" i="58"/>
  <c r="D30" i="58"/>
  <c r="A30" i="58"/>
  <c r="AB29" i="58"/>
  <c r="W29" i="58"/>
  <c r="Z29" i="58" s="1"/>
  <c r="V29" i="58"/>
  <c r="T29" i="58"/>
  <c r="S29" i="58"/>
  <c r="M29" i="58" a="1"/>
  <c r="M29" i="58" s="1"/>
  <c r="N29" i="58" s="1"/>
  <c r="K29" i="58"/>
  <c r="I29" i="58"/>
  <c r="D29" i="58"/>
  <c r="A29" i="58"/>
  <c r="AB28" i="58"/>
  <c r="AE28" i="58" s="1"/>
  <c r="W28" i="58"/>
  <c r="Z28" i="58" s="1"/>
  <c r="T28" i="58"/>
  <c r="S28" i="58"/>
  <c r="M28" i="58" a="1"/>
  <c r="M28" i="58" s="1"/>
  <c r="N28" i="58" s="1"/>
  <c r="K28" i="58"/>
  <c r="I28" i="58"/>
  <c r="D28" i="58"/>
  <c r="A28" i="58"/>
  <c r="AB27" i="58"/>
  <c r="W27" i="58"/>
  <c r="Z27" i="58" s="1"/>
  <c r="T27" i="58"/>
  <c r="S27" i="58"/>
  <c r="M27" i="58" a="1"/>
  <c r="M27" i="58" s="1"/>
  <c r="N27" i="58" s="1"/>
  <c r="K27" i="58"/>
  <c r="I27" i="58"/>
  <c r="D27" i="58"/>
  <c r="A27" i="58"/>
  <c r="AB26" i="58"/>
  <c r="W26" i="58"/>
  <c r="Z26" i="58" s="1"/>
  <c r="T26" i="58"/>
  <c r="S26" i="58"/>
  <c r="M26" i="58" a="1"/>
  <c r="M26" i="58" s="1"/>
  <c r="N26" i="58" s="1"/>
  <c r="K26" i="58"/>
  <c r="I26" i="58"/>
  <c r="D26" i="58"/>
  <c r="A26" i="58"/>
  <c r="AB25" i="58"/>
  <c r="W25" i="58"/>
  <c r="Z25" i="58" s="1"/>
  <c r="T25" i="58"/>
  <c r="S25" i="58"/>
  <c r="M25" i="58" a="1"/>
  <c r="M25" i="58" s="1"/>
  <c r="N25" i="58" s="1"/>
  <c r="K25" i="58"/>
  <c r="I25" i="58"/>
  <c r="D25" i="58"/>
  <c r="A25" i="58"/>
  <c r="AB24" i="58"/>
  <c r="W24" i="58"/>
  <c r="Z24" i="58" s="1"/>
  <c r="T24" i="58"/>
  <c r="S24" i="58"/>
  <c r="M24" i="58" a="1"/>
  <c r="M24" i="58" s="1"/>
  <c r="N24" i="58" s="1"/>
  <c r="K24" i="58"/>
  <c r="I24" i="58"/>
  <c r="D24" i="58"/>
  <c r="A24" i="58"/>
  <c r="AB23" i="58"/>
  <c r="W23" i="58"/>
  <c r="Z23" i="58" s="1"/>
  <c r="T23" i="58"/>
  <c r="S23" i="58"/>
  <c r="M23" i="58" a="1"/>
  <c r="M23" i="58" s="1"/>
  <c r="N23" i="58" s="1"/>
  <c r="K23" i="58"/>
  <c r="I23" i="58"/>
  <c r="D23" i="58"/>
  <c r="A23" i="58"/>
  <c r="AB22" i="58"/>
  <c r="W22" i="58"/>
  <c r="Z22" i="58" s="1"/>
  <c r="T22" i="58"/>
  <c r="S22" i="58"/>
  <c r="M22" i="58" a="1"/>
  <c r="M22" i="58" s="1"/>
  <c r="N22" i="58" s="1"/>
  <c r="K22" i="58"/>
  <c r="I22" i="58"/>
  <c r="D22" i="58"/>
  <c r="A22" i="58"/>
  <c r="AB21" i="58"/>
  <c r="W21" i="58"/>
  <c r="Z21" i="58" s="1"/>
  <c r="T21" i="58"/>
  <c r="S21" i="58"/>
  <c r="M21" i="58" a="1"/>
  <c r="M21" i="58" s="1"/>
  <c r="N21" i="58" s="1"/>
  <c r="K21" i="58"/>
  <c r="I21" i="58"/>
  <c r="D21" i="58"/>
  <c r="A21" i="58"/>
  <c r="D367" i="68" s="1"/>
  <c r="AB20" i="58"/>
  <c r="W20" i="58"/>
  <c r="Z20" i="58" s="1"/>
  <c r="T20" i="58"/>
  <c r="S20" i="58"/>
  <c r="M20" i="58" a="1"/>
  <c r="M20" i="58" s="1"/>
  <c r="N20" i="58" s="1"/>
  <c r="K20" i="58"/>
  <c r="I20" i="58"/>
  <c r="D20" i="58"/>
  <c r="A20" i="58"/>
  <c r="D366" i="68" s="1"/>
  <c r="AB19" i="58"/>
  <c r="AE19" i="58" s="1"/>
  <c r="W19" i="58"/>
  <c r="Z19" i="58" s="1"/>
  <c r="T19" i="58"/>
  <c r="D44" i="58" s="1"/>
  <c r="M19" i="58" a="1"/>
  <c r="M19" i="58" s="1"/>
  <c r="N19" i="58" s="1"/>
  <c r="K19" i="58"/>
  <c r="D41" i="58" s="1"/>
  <c r="I19" i="58"/>
  <c r="D40" i="58" s="1"/>
  <c r="D47" i="58" s="1"/>
  <c r="D19" i="58"/>
  <c r="A19" i="58"/>
  <c r="D365" i="68" s="1"/>
  <c r="M15" i="58"/>
  <c r="B79" i="57"/>
  <c r="D79" i="57" s="1"/>
  <c r="B78" i="57"/>
  <c r="D78" i="57" s="1"/>
  <c r="B77" i="57"/>
  <c r="D77" i="57" s="1"/>
  <c r="B76" i="57"/>
  <c r="D76" i="57" s="1"/>
  <c r="B75" i="57"/>
  <c r="D75" i="57" s="1"/>
  <c r="B74" i="57"/>
  <c r="D74" i="57" s="1"/>
  <c r="B73" i="57"/>
  <c r="D73" i="57" s="1"/>
  <c r="B72" i="57"/>
  <c r="D72" i="57" s="1"/>
  <c r="B71" i="57"/>
  <c r="D71" i="57" s="1"/>
  <c r="B70" i="57"/>
  <c r="D70" i="57" s="1"/>
  <c r="B69" i="57"/>
  <c r="D69" i="57" s="1"/>
  <c r="B68" i="57"/>
  <c r="D68" i="57" s="1"/>
  <c r="B67" i="57"/>
  <c r="D67" i="57" s="1"/>
  <c r="B66" i="57"/>
  <c r="D66" i="57" s="1"/>
  <c r="B65" i="57"/>
  <c r="D65" i="57" s="1"/>
  <c r="B64" i="57"/>
  <c r="D64" i="57" s="1"/>
  <c r="Z46" i="57"/>
  <c r="AB33" i="57"/>
  <c r="W33" i="57"/>
  <c r="Z33" i="57" s="1"/>
  <c r="V33" i="57"/>
  <c r="T33" i="57"/>
  <c r="S33" i="57"/>
  <c r="M33" i="57" a="1"/>
  <c r="M33" i="57" s="1"/>
  <c r="N33" i="57" s="1"/>
  <c r="K33" i="57"/>
  <c r="I33" i="57"/>
  <c r="D33" i="57"/>
  <c r="A33" i="57"/>
  <c r="AB32" i="57"/>
  <c r="W32" i="57"/>
  <c r="Z32" i="57" s="1"/>
  <c r="V32" i="57"/>
  <c r="T32" i="57"/>
  <c r="S32" i="57"/>
  <c r="M32" i="57" a="1"/>
  <c r="M32" i="57" s="1"/>
  <c r="N32" i="57" s="1"/>
  <c r="K32" i="57"/>
  <c r="I32" i="57"/>
  <c r="D32" i="57"/>
  <c r="A32" i="57"/>
  <c r="AB31" i="57"/>
  <c r="W31" i="57"/>
  <c r="Z31" i="57" s="1"/>
  <c r="V31" i="57"/>
  <c r="T31" i="57"/>
  <c r="S31" i="57"/>
  <c r="M31" i="57" a="1"/>
  <c r="M31" i="57" s="1"/>
  <c r="N31" i="57" s="1"/>
  <c r="K31" i="57"/>
  <c r="I31" i="57"/>
  <c r="D31" i="57"/>
  <c r="A31" i="57"/>
  <c r="AB30" i="57"/>
  <c r="W30" i="57"/>
  <c r="Z30" i="57" s="1"/>
  <c r="V30" i="57"/>
  <c r="T30" i="57"/>
  <c r="S30" i="57"/>
  <c r="M30" i="57" a="1"/>
  <c r="M30" i="57" s="1"/>
  <c r="N30" i="57" s="1"/>
  <c r="K30" i="57"/>
  <c r="I30" i="57"/>
  <c r="D30" i="57"/>
  <c r="A30" i="57"/>
  <c r="AB29" i="57"/>
  <c r="W29" i="57"/>
  <c r="Z29" i="57" s="1"/>
  <c r="V29" i="57"/>
  <c r="T29" i="57"/>
  <c r="S29" i="57"/>
  <c r="M29" i="57" a="1"/>
  <c r="M29" i="57" s="1"/>
  <c r="N29" i="57" s="1"/>
  <c r="K29" i="57"/>
  <c r="I29" i="57"/>
  <c r="D29" i="57"/>
  <c r="A29" i="57"/>
  <c r="AB28" i="57"/>
  <c r="AE28" i="57" s="1"/>
  <c r="W28" i="57"/>
  <c r="Z28" i="57" s="1"/>
  <c r="T28" i="57"/>
  <c r="S28" i="57"/>
  <c r="M28" i="57" a="1"/>
  <c r="M28" i="57" s="1"/>
  <c r="N28" i="57" s="1"/>
  <c r="K28" i="57"/>
  <c r="I28" i="57"/>
  <c r="D28" i="57"/>
  <c r="A28" i="57"/>
  <c r="AB27" i="57"/>
  <c r="W27" i="57"/>
  <c r="Z27" i="57" s="1"/>
  <c r="T27" i="57"/>
  <c r="S27" i="57"/>
  <c r="M27" i="57" a="1"/>
  <c r="M27" i="57" s="1"/>
  <c r="N27" i="57" s="1"/>
  <c r="K27" i="57"/>
  <c r="I27" i="57"/>
  <c r="D27" i="57"/>
  <c r="A27" i="57"/>
  <c r="AB26" i="57"/>
  <c r="W26" i="57"/>
  <c r="Z26" i="57" s="1"/>
  <c r="T26" i="57"/>
  <c r="S26" i="57"/>
  <c r="M26" i="57" a="1"/>
  <c r="M26" i="57" s="1"/>
  <c r="N26" i="57" s="1"/>
  <c r="K26" i="57"/>
  <c r="I26" i="57"/>
  <c r="D26" i="57"/>
  <c r="A26" i="57"/>
  <c r="AB25" i="57"/>
  <c r="W25" i="57"/>
  <c r="Z25" i="57" s="1"/>
  <c r="T25" i="57"/>
  <c r="S25" i="57"/>
  <c r="M25" i="57" a="1"/>
  <c r="M25" i="57" s="1"/>
  <c r="N25" i="57" s="1"/>
  <c r="K25" i="57"/>
  <c r="I25" i="57"/>
  <c r="D25" i="57"/>
  <c r="A25" i="57"/>
  <c r="AB24" i="57"/>
  <c r="W24" i="57"/>
  <c r="Z24" i="57" s="1"/>
  <c r="T24" i="57"/>
  <c r="S24" i="57"/>
  <c r="M24" i="57" a="1"/>
  <c r="M24" i="57" s="1"/>
  <c r="N24" i="57" s="1"/>
  <c r="K24" i="57"/>
  <c r="I24" i="57"/>
  <c r="D24" i="57"/>
  <c r="A24" i="57"/>
  <c r="AB23" i="57"/>
  <c r="W23" i="57"/>
  <c r="Z23" i="57" s="1"/>
  <c r="T23" i="57"/>
  <c r="S23" i="57"/>
  <c r="M23" i="57" a="1"/>
  <c r="M23" i="57" s="1"/>
  <c r="N23" i="57" s="1"/>
  <c r="K23" i="57"/>
  <c r="I23" i="57"/>
  <c r="D23" i="57"/>
  <c r="A23" i="57"/>
  <c r="AB22" i="57"/>
  <c r="W22" i="57"/>
  <c r="Z22" i="57" s="1"/>
  <c r="T22" i="57"/>
  <c r="S22" i="57"/>
  <c r="M22" i="57" a="1"/>
  <c r="M22" i="57" s="1"/>
  <c r="N22" i="57" s="1"/>
  <c r="K22" i="57"/>
  <c r="I22" i="57"/>
  <c r="D22" i="57"/>
  <c r="A22" i="57"/>
  <c r="AB21" i="57"/>
  <c r="W21" i="57"/>
  <c r="Z21" i="57" s="1"/>
  <c r="T21" i="57"/>
  <c r="S21" i="57"/>
  <c r="M21" i="57" a="1"/>
  <c r="M21" i="57" s="1"/>
  <c r="N21" i="57" s="1"/>
  <c r="K21" i="57"/>
  <c r="I21" i="57"/>
  <c r="D21" i="57"/>
  <c r="A21" i="57"/>
  <c r="D352" i="68" s="1"/>
  <c r="AB20" i="57"/>
  <c r="W20" i="57"/>
  <c r="Z20" i="57" s="1"/>
  <c r="T20" i="57"/>
  <c r="S20" i="57"/>
  <c r="M20" i="57" a="1"/>
  <c r="M20" i="57" s="1"/>
  <c r="N20" i="57" s="1"/>
  <c r="K20" i="57"/>
  <c r="I20" i="57"/>
  <c r="D20" i="57"/>
  <c r="A20" i="57"/>
  <c r="D351" i="68" s="1"/>
  <c r="AB19" i="57"/>
  <c r="AE19" i="57" s="1"/>
  <c r="W19" i="57"/>
  <c r="Z19" i="57" s="1"/>
  <c r="T19" i="57"/>
  <c r="D44" i="57" s="1"/>
  <c r="S19" i="57"/>
  <c r="M19" i="57" a="1"/>
  <c r="M19" i="57" s="1"/>
  <c r="N19" i="57" s="1"/>
  <c r="K19" i="57"/>
  <c r="D41" i="57" s="1"/>
  <c r="I19" i="57"/>
  <c r="D40" i="57" s="1"/>
  <c r="D47" i="57" s="1"/>
  <c r="D19" i="57"/>
  <c r="A19" i="57"/>
  <c r="D350" i="68" s="1"/>
  <c r="M15" i="57"/>
  <c r="B79" i="56"/>
  <c r="D79" i="56" s="1"/>
  <c r="B78" i="56"/>
  <c r="D78" i="56" s="1"/>
  <c r="B77" i="56"/>
  <c r="D77" i="56" s="1"/>
  <c r="B76" i="56"/>
  <c r="D76" i="56" s="1"/>
  <c r="B75" i="56"/>
  <c r="D75" i="56" s="1"/>
  <c r="B74" i="56"/>
  <c r="D74" i="56" s="1"/>
  <c r="B73" i="56"/>
  <c r="D73" i="56" s="1"/>
  <c r="B72" i="56"/>
  <c r="D72" i="56" s="1"/>
  <c r="B71" i="56"/>
  <c r="D71" i="56" s="1"/>
  <c r="B70" i="56"/>
  <c r="D70" i="56" s="1"/>
  <c r="B69" i="56"/>
  <c r="D69" i="56" s="1"/>
  <c r="B68" i="56"/>
  <c r="D68" i="56" s="1"/>
  <c r="B67" i="56"/>
  <c r="D67" i="56" s="1"/>
  <c r="B66" i="56"/>
  <c r="D66" i="56" s="1"/>
  <c r="B65" i="56"/>
  <c r="D65" i="56" s="1"/>
  <c r="B64" i="56"/>
  <c r="D64" i="56" s="1"/>
  <c r="Z46" i="56"/>
  <c r="AB33" i="56"/>
  <c r="W33" i="56"/>
  <c r="Z33" i="56" s="1"/>
  <c r="V33" i="56"/>
  <c r="T33" i="56"/>
  <c r="S33" i="56"/>
  <c r="M33" i="56" a="1"/>
  <c r="M33" i="56" s="1"/>
  <c r="N33" i="56" s="1"/>
  <c r="K33" i="56"/>
  <c r="I33" i="56"/>
  <c r="D33" i="56"/>
  <c r="A33" i="56"/>
  <c r="AB32" i="56"/>
  <c r="W32" i="56"/>
  <c r="Z32" i="56" s="1"/>
  <c r="V32" i="56"/>
  <c r="T32" i="56"/>
  <c r="S32" i="56"/>
  <c r="M32" i="56" a="1"/>
  <c r="M32" i="56" s="1"/>
  <c r="N32" i="56" s="1"/>
  <c r="K32" i="56"/>
  <c r="I32" i="56"/>
  <c r="D32" i="56"/>
  <c r="A32" i="56"/>
  <c r="AB31" i="56"/>
  <c r="W31" i="56"/>
  <c r="Z31" i="56" s="1"/>
  <c r="V31" i="56"/>
  <c r="T31" i="56"/>
  <c r="S31" i="56"/>
  <c r="M31" i="56" a="1"/>
  <c r="M31" i="56" s="1"/>
  <c r="N31" i="56" s="1"/>
  <c r="K31" i="56"/>
  <c r="I31" i="56"/>
  <c r="D31" i="56"/>
  <c r="A31" i="56"/>
  <c r="AB30" i="56"/>
  <c r="W30" i="56"/>
  <c r="Z30" i="56" s="1"/>
  <c r="V30" i="56"/>
  <c r="T30" i="56"/>
  <c r="S30" i="56"/>
  <c r="M30" i="56" a="1"/>
  <c r="M30" i="56" s="1"/>
  <c r="N30" i="56" s="1"/>
  <c r="K30" i="56"/>
  <c r="I30" i="56"/>
  <c r="D30" i="56"/>
  <c r="A30" i="56"/>
  <c r="AB29" i="56"/>
  <c r="W29" i="56"/>
  <c r="Z29" i="56" s="1"/>
  <c r="V29" i="56"/>
  <c r="T29" i="56"/>
  <c r="S29" i="56"/>
  <c r="M29" i="56" a="1"/>
  <c r="M29" i="56" s="1"/>
  <c r="N29" i="56" s="1"/>
  <c r="K29" i="56"/>
  <c r="I29" i="56"/>
  <c r="D29" i="56"/>
  <c r="A29" i="56"/>
  <c r="AB28" i="56"/>
  <c r="AE28" i="56" s="1"/>
  <c r="W28" i="56"/>
  <c r="Z28" i="56" s="1"/>
  <c r="T28" i="56"/>
  <c r="S28" i="56"/>
  <c r="M28" i="56" a="1"/>
  <c r="M28" i="56" s="1"/>
  <c r="N28" i="56" s="1"/>
  <c r="K28" i="56"/>
  <c r="I28" i="56"/>
  <c r="D28" i="56"/>
  <c r="A28" i="56"/>
  <c r="AB27" i="56"/>
  <c r="W27" i="56"/>
  <c r="Z27" i="56" s="1"/>
  <c r="T27" i="56"/>
  <c r="S27" i="56"/>
  <c r="M27" i="56" a="1"/>
  <c r="M27" i="56" s="1"/>
  <c r="N27" i="56" s="1"/>
  <c r="K27" i="56"/>
  <c r="I27" i="56"/>
  <c r="D27" i="56"/>
  <c r="A27" i="56"/>
  <c r="AB26" i="56"/>
  <c r="W26" i="56"/>
  <c r="Z26" i="56" s="1"/>
  <c r="T26" i="56"/>
  <c r="S26" i="56"/>
  <c r="M26" i="56" a="1"/>
  <c r="M26" i="56" s="1"/>
  <c r="N26" i="56" s="1"/>
  <c r="K26" i="56"/>
  <c r="I26" i="56"/>
  <c r="D26" i="56"/>
  <c r="A26" i="56"/>
  <c r="AB25" i="56"/>
  <c r="W25" i="56"/>
  <c r="Z25" i="56" s="1"/>
  <c r="T25" i="56"/>
  <c r="S25" i="56"/>
  <c r="M25" i="56" a="1"/>
  <c r="M25" i="56" s="1"/>
  <c r="N25" i="56" s="1"/>
  <c r="K25" i="56"/>
  <c r="I25" i="56"/>
  <c r="D25" i="56"/>
  <c r="A25" i="56"/>
  <c r="AB24" i="56"/>
  <c r="W24" i="56"/>
  <c r="Z24" i="56" s="1"/>
  <c r="T24" i="56"/>
  <c r="S24" i="56"/>
  <c r="M24" i="56" a="1"/>
  <c r="M24" i="56" s="1"/>
  <c r="N24" i="56" s="1"/>
  <c r="K24" i="56"/>
  <c r="I24" i="56"/>
  <c r="D24" i="56"/>
  <c r="A24" i="56"/>
  <c r="AB23" i="56"/>
  <c r="W23" i="56"/>
  <c r="Z23" i="56" s="1"/>
  <c r="T23" i="56"/>
  <c r="S23" i="56"/>
  <c r="M23" i="56" a="1"/>
  <c r="M23" i="56" s="1"/>
  <c r="N23" i="56" s="1"/>
  <c r="K23" i="56"/>
  <c r="I23" i="56"/>
  <c r="D23" i="56"/>
  <c r="A23" i="56"/>
  <c r="AB22" i="56"/>
  <c r="W22" i="56"/>
  <c r="Z22" i="56" s="1"/>
  <c r="T22" i="56"/>
  <c r="S22" i="56"/>
  <c r="M22" i="56" a="1"/>
  <c r="M22" i="56" s="1"/>
  <c r="N22" i="56" s="1"/>
  <c r="K22" i="56"/>
  <c r="I22" i="56"/>
  <c r="D22" i="56"/>
  <c r="A22" i="56"/>
  <c r="AB21" i="56"/>
  <c r="W21" i="56"/>
  <c r="Z21" i="56" s="1"/>
  <c r="T21" i="56"/>
  <c r="S21" i="56"/>
  <c r="M21" i="56" a="1"/>
  <c r="M21" i="56" s="1"/>
  <c r="N21" i="56" s="1"/>
  <c r="K21" i="56"/>
  <c r="I21" i="56"/>
  <c r="D21" i="56"/>
  <c r="A21" i="56"/>
  <c r="D337" i="68" s="1"/>
  <c r="AB20" i="56"/>
  <c r="W20" i="56"/>
  <c r="Z20" i="56" s="1"/>
  <c r="T20" i="56"/>
  <c r="S20" i="56"/>
  <c r="M20" i="56" a="1"/>
  <c r="M20" i="56" s="1"/>
  <c r="N20" i="56" s="1"/>
  <c r="K20" i="56"/>
  <c r="I20" i="56"/>
  <c r="D20" i="56"/>
  <c r="A20" i="56"/>
  <c r="D336" i="68" s="1"/>
  <c r="AB19" i="56"/>
  <c r="AE19" i="56" s="1"/>
  <c r="W19" i="56"/>
  <c r="Z19" i="56" s="1"/>
  <c r="T19" i="56"/>
  <c r="D44" i="56" s="1"/>
  <c r="S19" i="56"/>
  <c r="M19" i="56" a="1"/>
  <c r="M19" i="56" s="1"/>
  <c r="N19" i="56" s="1"/>
  <c r="K19" i="56"/>
  <c r="D41" i="56" s="1"/>
  <c r="I19" i="56"/>
  <c r="D40" i="56" s="1"/>
  <c r="D47" i="56" s="1"/>
  <c r="D19" i="56"/>
  <c r="A19" i="56"/>
  <c r="D335" i="68" s="1"/>
  <c r="M15" i="56"/>
  <c r="B79" i="55"/>
  <c r="D79" i="55" s="1"/>
  <c r="B78" i="55"/>
  <c r="D78" i="55" s="1"/>
  <c r="B77" i="55"/>
  <c r="D77" i="55" s="1"/>
  <c r="B76" i="55"/>
  <c r="D76" i="55" s="1"/>
  <c r="B75" i="55"/>
  <c r="D75" i="55" s="1"/>
  <c r="B74" i="55"/>
  <c r="D74" i="55" s="1"/>
  <c r="B73" i="55"/>
  <c r="D73" i="55" s="1"/>
  <c r="B72" i="55"/>
  <c r="D72" i="55" s="1"/>
  <c r="B71" i="55"/>
  <c r="D71" i="55" s="1"/>
  <c r="B70" i="55"/>
  <c r="D70" i="55" s="1"/>
  <c r="B69" i="55"/>
  <c r="D69" i="55" s="1"/>
  <c r="B68" i="55"/>
  <c r="D68" i="55" s="1"/>
  <c r="B67" i="55"/>
  <c r="D67" i="55" s="1"/>
  <c r="B66" i="55"/>
  <c r="D66" i="55" s="1"/>
  <c r="B65" i="55"/>
  <c r="D65" i="55" s="1"/>
  <c r="B64" i="55"/>
  <c r="D64" i="55" s="1"/>
  <c r="Z46" i="55"/>
  <c r="AB33" i="55"/>
  <c r="W33" i="55"/>
  <c r="Z33" i="55" s="1"/>
  <c r="V33" i="55"/>
  <c r="T33" i="55"/>
  <c r="S33" i="55"/>
  <c r="M33" i="55" a="1"/>
  <c r="M33" i="55" s="1"/>
  <c r="N33" i="55" s="1"/>
  <c r="K33" i="55"/>
  <c r="I33" i="55"/>
  <c r="D33" i="55"/>
  <c r="A33" i="55"/>
  <c r="AB32" i="55"/>
  <c r="W32" i="55"/>
  <c r="Z32" i="55" s="1"/>
  <c r="V32" i="55"/>
  <c r="T32" i="55"/>
  <c r="S32" i="55"/>
  <c r="M32" i="55" a="1"/>
  <c r="M32" i="55" s="1"/>
  <c r="N32" i="55" s="1"/>
  <c r="K32" i="55"/>
  <c r="I32" i="55"/>
  <c r="D32" i="55"/>
  <c r="A32" i="55"/>
  <c r="AB31" i="55"/>
  <c r="W31" i="55"/>
  <c r="Z31" i="55" s="1"/>
  <c r="V31" i="55"/>
  <c r="T31" i="55"/>
  <c r="S31" i="55"/>
  <c r="M31" i="55" a="1"/>
  <c r="M31" i="55" s="1"/>
  <c r="N31" i="55" s="1"/>
  <c r="K31" i="55"/>
  <c r="I31" i="55"/>
  <c r="D31" i="55"/>
  <c r="A31" i="55"/>
  <c r="AB30" i="55"/>
  <c r="W30" i="55"/>
  <c r="Z30" i="55" s="1"/>
  <c r="V30" i="55"/>
  <c r="T30" i="55"/>
  <c r="S30" i="55"/>
  <c r="M30" i="55" a="1"/>
  <c r="M30" i="55" s="1"/>
  <c r="N30" i="55" s="1"/>
  <c r="K30" i="55"/>
  <c r="I30" i="55"/>
  <c r="D30" i="55"/>
  <c r="A30" i="55"/>
  <c r="AB29" i="55"/>
  <c r="W29" i="55"/>
  <c r="Z29" i="55" s="1"/>
  <c r="V29" i="55"/>
  <c r="T29" i="55"/>
  <c r="S29" i="55"/>
  <c r="M29" i="55" a="1"/>
  <c r="M29" i="55" s="1"/>
  <c r="N29" i="55" s="1"/>
  <c r="K29" i="55"/>
  <c r="I29" i="55"/>
  <c r="D29" i="55"/>
  <c r="A29" i="55"/>
  <c r="AB28" i="55"/>
  <c r="AE28" i="55" s="1"/>
  <c r="W28" i="55"/>
  <c r="Z28" i="55" s="1"/>
  <c r="T28" i="55"/>
  <c r="S28" i="55"/>
  <c r="M28" i="55" a="1"/>
  <c r="M28" i="55" s="1"/>
  <c r="N28" i="55" s="1"/>
  <c r="K28" i="55"/>
  <c r="I28" i="55"/>
  <c r="D28" i="55"/>
  <c r="A28" i="55"/>
  <c r="AB27" i="55"/>
  <c r="W27" i="55"/>
  <c r="Z27" i="55" s="1"/>
  <c r="T27" i="55"/>
  <c r="S27" i="55"/>
  <c r="M27" i="55" a="1"/>
  <c r="M27" i="55" s="1"/>
  <c r="N27" i="55" s="1"/>
  <c r="K27" i="55"/>
  <c r="I27" i="55"/>
  <c r="D27" i="55"/>
  <c r="A27" i="55"/>
  <c r="AB26" i="55"/>
  <c r="W26" i="55"/>
  <c r="Z26" i="55" s="1"/>
  <c r="T26" i="55"/>
  <c r="S26" i="55"/>
  <c r="M26" i="55" a="1"/>
  <c r="M26" i="55" s="1"/>
  <c r="N26" i="55" s="1"/>
  <c r="K26" i="55"/>
  <c r="I26" i="55"/>
  <c r="D26" i="55"/>
  <c r="A26" i="55"/>
  <c r="AB25" i="55"/>
  <c r="W25" i="55"/>
  <c r="Z25" i="55" s="1"/>
  <c r="T25" i="55"/>
  <c r="S25" i="55"/>
  <c r="M25" i="55" a="1"/>
  <c r="M25" i="55" s="1"/>
  <c r="N25" i="55" s="1"/>
  <c r="K25" i="55"/>
  <c r="I25" i="55"/>
  <c r="D25" i="55"/>
  <c r="A25" i="55"/>
  <c r="AB24" i="55"/>
  <c r="W24" i="55"/>
  <c r="Z24" i="55" s="1"/>
  <c r="T24" i="55"/>
  <c r="S24" i="55"/>
  <c r="M24" i="55" a="1"/>
  <c r="M24" i="55" s="1"/>
  <c r="N24" i="55" s="1"/>
  <c r="K24" i="55"/>
  <c r="I24" i="55"/>
  <c r="D24" i="55"/>
  <c r="A24" i="55"/>
  <c r="AB23" i="55"/>
  <c r="W23" i="55"/>
  <c r="Z23" i="55" s="1"/>
  <c r="T23" i="55"/>
  <c r="S23" i="55"/>
  <c r="M23" i="55" a="1"/>
  <c r="M23" i="55" s="1"/>
  <c r="N23" i="55" s="1"/>
  <c r="K23" i="55"/>
  <c r="I23" i="55"/>
  <c r="D23" i="55"/>
  <c r="A23" i="55"/>
  <c r="AB22" i="55"/>
  <c r="W22" i="55"/>
  <c r="Z22" i="55" s="1"/>
  <c r="T22" i="55"/>
  <c r="S22" i="55"/>
  <c r="M22" i="55" a="1"/>
  <c r="M22" i="55" s="1"/>
  <c r="N22" i="55" s="1"/>
  <c r="K22" i="55"/>
  <c r="I22" i="55"/>
  <c r="D22" i="55"/>
  <c r="A22" i="55"/>
  <c r="AB21" i="55"/>
  <c r="W21" i="55"/>
  <c r="Z21" i="55" s="1"/>
  <c r="T21" i="55"/>
  <c r="S21" i="55"/>
  <c r="M21" i="55" a="1"/>
  <c r="M21" i="55" s="1"/>
  <c r="N21" i="55" s="1"/>
  <c r="K21" i="55"/>
  <c r="I21" i="55"/>
  <c r="D21" i="55"/>
  <c r="A21" i="55"/>
  <c r="D322" i="68" s="1"/>
  <c r="AB20" i="55"/>
  <c r="W20" i="55"/>
  <c r="Z20" i="55" s="1"/>
  <c r="T20" i="55"/>
  <c r="S20" i="55"/>
  <c r="M20" i="55" a="1"/>
  <c r="M20" i="55" s="1"/>
  <c r="N20" i="55" s="1"/>
  <c r="K20" i="55"/>
  <c r="I20" i="55"/>
  <c r="D20" i="55"/>
  <c r="A20" i="55"/>
  <c r="D321" i="68" s="1"/>
  <c r="AB19" i="55"/>
  <c r="AE19" i="55" s="1"/>
  <c r="W19" i="55"/>
  <c r="Z19" i="55" s="1"/>
  <c r="T19" i="55"/>
  <c r="D44" i="55" s="1"/>
  <c r="S19" i="55"/>
  <c r="M19" i="55" a="1"/>
  <c r="M19" i="55" s="1"/>
  <c r="N19" i="55" s="1"/>
  <c r="K19" i="55"/>
  <c r="D41" i="55" s="1"/>
  <c r="I19" i="55"/>
  <c r="D40" i="55" s="1"/>
  <c r="D47" i="55" s="1"/>
  <c r="D19" i="55"/>
  <c r="A19" i="55"/>
  <c r="D320" i="68" s="1"/>
  <c r="M15" i="55"/>
  <c r="B79" i="54"/>
  <c r="D79" i="54" s="1"/>
  <c r="B78" i="54"/>
  <c r="D78" i="54" s="1"/>
  <c r="B77" i="54"/>
  <c r="D77" i="54" s="1"/>
  <c r="B76" i="54"/>
  <c r="D76" i="54" s="1"/>
  <c r="B75" i="54"/>
  <c r="D75" i="54" s="1"/>
  <c r="B74" i="54"/>
  <c r="D74" i="54" s="1"/>
  <c r="B73" i="54"/>
  <c r="D73" i="54" s="1"/>
  <c r="B72" i="54"/>
  <c r="D72" i="54" s="1"/>
  <c r="B71" i="54"/>
  <c r="D71" i="54" s="1"/>
  <c r="B70" i="54"/>
  <c r="D70" i="54" s="1"/>
  <c r="B69" i="54"/>
  <c r="D69" i="54" s="1"/>
  <c r="B68" i="54"/>
  <c r="D68" i="54" s="1"/>
  <c r="B67" i="54"/>
  <c r="D67" i="54" s="1"/>
  <c r="B66" i="54"/>
  <c r="D66" i="54" s="1"/>
  <c r="B65" i="54"/>
  <c r="D65" i="54" s="1"/>
  <c r="B64" i="54"/>
  <c r="D64" i="54" s="1"/>
  <c r="Z46" i="54"/>
  <c r="AB33" i="54"/>
  <c r="W33" i="54"/>
  <c r="Z33" i="54" s="1"/>
  <c r="V33" i="54"/>
  <c r="T33" i="54"/>
  <c r="S33" i="54"/>
  <c r="M33" i="54" a="1"/>
  <c r="M33" i="54" s="1"/>
  <c r="N33" i="54" s="1"/>
  <c r="K33" i="54"/>
  <c r="I33" i="54"/>
  <c r="D33" i="54"/>
  <c r="A33" i="54"/>
  <c r="AB32" i="54"/>
  <c r="W32" i="54"/>
  <c r="Z32" i="54" s="1"/>
  <c r="V32" i="54"/>
  <c r="T32" i="54"/>
  <c r="S32" i="54"/>
  <c r="M32" i="54" a="1"/>
  <c r="M32" i="54" s="1"/>
  <c r="N32" i="54" s="1"/>
  <c r="K32" i="54"/>
  <c r="I32" i="54"/>
  <c r="D32" i="54"/>
  <c r="A32" i="54"/>
  <c r="AB31" i="54"/>
  <c r="W31" i="54"/>
  <c r="Z31" i="54" s="1"/>
  <c r="V31" i="54"/>
  <c r="T31" i="54"/>
  <c r="S31" i="54"/>
  <c r="M31" i="54" a="1"/>
  <c r="M31" i="54" s="1"/>
  <c r="N31" i="54" s="1"/>
  <c r="K31" i="54"/>
  <c r="I31" i="54"/>
  <c r="D31" i="54"/>
  <c r="A31" i="54"/>
  <c r="AB30" i="54"/>
  <c r="W30" i="54"/>
  <c r="Z30" i="54" s="1"/>
  <c r="V30" i="54"/>
  <c r="T30" i="54"/>
  <c r="S30" i="54"/>
  <c r="M30" i="54" a="1"/>
  <c r="M30" i="54" s="1"/>
  <c r="N30" i="54" s="1"/>
  <c r="K30" i="54"/>
  <c r="I30" i="54"/>
  <c r="D30" i="54"/>
  <c r="A30" i="54"/>
  <c r="AB29" i="54"/>
  <c r="W29" i="54"/>
  <c r="Z29" i="54" s="1"/>
  <c r="V29" i="54"/>
  <c r="T29" i="54"/>
  <c r="S29" i="54"/>
  <c r="M29" i="54" a="1"/>
  <c r="M29" i="54" s="1"/>
  <c r="N29" i="54" s="1"/>
  <c r="K29" i="54"/>
  <c r="I29" i="54"/>
  <c r="D29" i="54"/>
  <c r="A29" i="54"/>
  <c r="AB28" i="54"/>
  <c r="AE28" i="54" s="1"/>
  <c r="W28" i="54"/>
  <c r="Z28" i="54" s="1"/>
  <c r="T28" i="54"/>
  <c r="S28" i="54"/>
  <c r="M28" i="54" a="1"/>
  <c r="M28" i="54" s="1"/>
  <c r="N28" i="54" s="1"/>
  <c r="K28" i="54"/>
  <c r="I28" i="54"/>
  <c r="D28" i="54"/>
  <c r="A28" i="54"/>
  <c r="AB27" i="54"/>
  <c r="W27" i="54"/>
  <c r="Z27" i="54" s="1"/>
  <c r="T27" i="54"/>
  <c r="S27" i="54"/>
  <c r="M27" i="54" a="1"/>
  <c r="M27" i="54" s="1"/>
  <c r="N27" i="54" s="1"/>
  <c r="K27" i="54"/>
  <c r="I27" i="54"/>
  <c r="D27" i="54"/>
  <c r="A27" i="54"/>
  <c r="AB26" i="54"/>
  <c r="W26" i="54"/>
  <c r="Z26" i="54" s="1"/>
  <c r="T26" i="54"/>
  <c r="S26" i="54"/>
  <c r="M26" i="54" a="1"/>
  <c r="M26" i="54" s="1"/>
  <c r="N26" i="54" s="1"/>
  <c r="K26" i="54"/>
  <c r="I26" i="54"/>
  <c r="D26" i="54"/>
  <c r="A26" i="54"/>
  <c r="AB25" i="54"/>
  <c r="W25" i="54"/>
  <c r="Z25" i="54" s="1"/>
  <c r="T25" i="54"/>
  <c r="S25" i="54"/>
  <c r="M25" i="54" a="1"/>
  <c r="M25" i="54" s="1"/>
  <c r="N25" i="54" s="1"/>
  <c r="K25" i="54"/>
  <c r="I25" i="54"/>
  <c r="D25" i="54"/>
  <c r="A25" i="54"/>
  <c r="AB24" i="54"/>
  <c r="W24" i="54"/>
  <c r="Z24" i="54" s="1"/>
  <c r="T24" i="54"/>
  <c r="S24" i="54"/>
  <c r="M24" i="54" a="1"/>
  <c r="M24" i="54" s="1"/>
  <c r="N24" i="54" s="1"/>
  <c r="K24" i="54"/>
  <c r="I24" i="54"/>
  <c r="D24" i="54"/>
  <c r="A24" i="54"/>
  <c r="AB23" i="54"/>
  <c r="W23" i="54"/>
  <c r="Z23" i="54" s="1"/>
  <c r="T23" i="54"/>
  <c r="S23" i="54"/>
  <c r="M23" i="54" a="1"/>
  <c r="M23" i="54" s="1"/>
  <c r="N23" i="54" s="1"/>
  <c r="K23" i="54"/>
  <c r="I23" i="54"/>
  <c r="D23" i="54"/>
  <c r="A23" i="54"/>
  <c r="AB22" i="54"/>
  <c r="W22" i="54"/>
  <c r="Z22" i="54" s="1"/>
  <c r="T22" i="54"/>
  <c r="S22" i="54"/>
  <c r="M22" i="54" a="1"/>
  <c r="M22" i="54" s="1"/>
  <c r="N22" i="54" s="1"/>
  <c r="K22" i="54"/>
  <c r="I22" i="54"/>
  <c r="D22" i="54"/>
  <c r="A22" i="54"/>
  <c r="AB21" i="54"/>
  <c r="W21" i="54"/>
  <c r="Z21" i="54" s="1"/>
  <c r="T21" i="54"/>
  <c r="S21" i="54"/>
  <c r="M21" i="54" a="1"/>
  <c r="M21" i="54" s="1"/>
  <c r="N21" i="54" s="1"/>
  <c r="K21" i="54"/>
  <c r="I21" i="54"/>
  <c r="D21" i="54"/>
  <c r="A21" i="54"/>
  <c r="D307" i="68" s="1"/>
  <c r="AB20" i="54"/>
  <c r="W20" i="54"/>
  <c r="Z20" i="54" s="1"/>
  <c r="T20" i="54"/>
  <c r="S20" i="54"/>
  <c r="M20" i="54" a="1"/>
  <c r="M20" i="54" s="1"/>
  <c r="N20" i="54" s="1"/>
  <c r="K20" i="54"/>
  <c r="I20" i="54"/>
  <c r="D20" i="54"/>
  <c r="A20" i="54"/>
  <c r="D306" i="68" s="1"/>
  <c r="AB19" i="54"/>
  <c r="AE19" i="54" s="1"/>
  <c r="W19" i="54"/>
  <c r="Z19" i="54" s="1"/>
  <c r="T19" i="54"/>
  <c r="D44" i="54" s="1"/>
  <c r="S19" i="54"/>
  <c r="M19" i="54" a="1"/>
  <c r="M19" i="54" s="1"/>
  <c r="N19" i="54" s="1"/>
  <c r="K19" i="54"/>
  <c r="D41" i="54" s="1"/>
  <c r="I19" i="54"/>
  <c r="D40" i="54" s="1"/>
  <c r="D47" i="54" s="1"/>
  <c r="D19" i="54"/>
  <c r="A19" i="54"/>
  <c r="D305" i="68" s="1"/>
  <c r="M15" i="54"/>
  <c r="B79" i="53"/>
  <c r="D79" i="53" s="1"/>
  <c r="B78" i="53"/>
  <c r="D78" i="53" s="1"/>
  <c r="B77" i="53"/>
  <c r="D77" i="53" s="1"/>
  <c r="B76" i="53"/>
  <c r="D76" i="53" s="1"/>
  <c r="B75" i="53"/>
  <c r="D75" i="53" s="1"/>
  <c r="B74" i="53"/>
  <c r="D74" i="53" s="1"/>
  <c r="B73" i="53"/>
  <c r="D73" i="53" s="1"/>
  <c r="B72" i="53"/>
  <c r="D72" i="53" s="1"/>
  <c r="B71" i="53"/>
  <c r="D71" i="53" s="1"/>
  <c r="B70" i="53"/>
  <c r="D70" i="53" s="1"/>
  <c r="B69" i="53"/>
  <c r="D69" i="53" s="1"/>
  <c r="B68" i="53"/>
  <c r="D68" i="53" s="1"/>
  <c r="B67" i="53"/>
  <c r="D67" i="53" s="1"/>
  <c r="B66" i="53"/>
  <c r="D66" i="53" s="1"/>
  <c r="B65" i="53"/>
  <c r="D65" i="53" s="1"/>
  <c r="B64" i="53"/>
  <c r="D64" i="53" s="1"/>
  <c r="Z46" i="53"/>
  <c r="AB33" i="53"/>
  <c r="W33" i="53"/>
  <c r="Z33" i="53" s="1"/>
  <c r="V33" i="53"/>
  <c r="T33" i="53"/>
  <c r="S33" i="53"/>
  <c r="M33" i="53" a="1"/>
  <c r="M33" i="53" s="1"/>
  <c r="N33" i="53" s="1"/>
  <c r="K33" i="53"/>
  <c r="I33" i="53"/>
  <c r="D33" i="53"/>
  <c r="A33" i="53"/>
  <c r="AB32" i="53"/>
  <c r="W32" i="53"/>
  <c r="Z32" i="53" s="1"/>
  <c r="V32" i="53"/>
  <c r="T32" i="53"/>
  <c r="S32" i="53"/>
  <c r="M32" i="53" a="1"/>
  <c r="M32" i="53" s="1"/>
  <c r="N32" i="53" s="1"/>
  <c r="K32" i="53"/>
  <c r="I32" i="53"/>
  <c r="D32" i="53"/>
  <c r="A32" i="53"/>
  <c r="AB31" i="53"/>
  <c r="W31" i="53"/>
  <c r="Z31" i="53" s="1"/>
  <c r="V31" i="53"/>
  <c r="T31" i="53"/>
  <c r="S31" i="53"/>
  <c r="M31" i="53" a="1"/>
  <c r="M31" i="53" s="1"/>
  <c r="N31" i="53" s="1"/>
  <c r="K31" i="53"/>
  <c r="I31" i="53"/>
  <c r="D31" i="53"/>
  <c r="A31" i="53"/>
  <c r="AB30" i="53"/>
  <c r="W30" i="53"/>
  <c r="Z30" i="53" s="1"/>
  <c r="V30" i="53"/>
  <c r="T30" i="53"/>
  <c r="S30" i="53"/>
  <c r="M30" i="53" a="1"/>
  <c r="M30" i="53" s="1"/>
  <c r="N30" i="53" s="1"/>
  <c r="K30" i="53"/>
  <c r="I30" i="53"/>
  <c r="D30" i="53"/>
  <c r="A30" i="53"/>
  <c r="AB29" i="53"/>
  <c r="W29" i="53"/>
  <c r="Z29" i="53" s="1"/>
  <c r="V29" i="53"/>
  <c r="T29" i="53"/>
  <c r="S29" i="53"/>
  <c r="M29" i="53" a="1"/>
  <c r="M29" i="53" s="1"/>
  <c r="N29" i="53" s="1"/>
  <c r="K29" i="53"/>
  <c r="I29" i="53"/>
  <c r="D29" i="53"/>
  <c r="A29" i="53"/>
  <c r="AB28" i="53"/>
  <c r="AE28" i="53" s="1"/>
  <c r="W28" i="53"/>
  <c r="Z28" i="53" s="1"/>
  <c r="T28" i="53"/>
  <c r="S28" i="53"/>
  <c r="M28" i="53" a="1"/>
  <c r="M28" i="53" s="1"/>
  <c r="N28" i="53" s="1"/>
  <c r="K28" i="53"/>
  <c r="I28" i="53"/>
  <c r="D28" i="53"/>
  <c r="A28" i="53"/>
  <c r="AB27" i="53"/>
  <c r="W27" i="53"/>
  <c r="Z27" i="53" s="1"/>
  <c r="T27" i="53"/>
  <c r="S27" i="53"/>
  <c r="M27" i="53" a="1"/>
  <c r="M27" i="53" s="1"/>
  <c r="N27" i="53" s="1"/>
  <c r="K27" i="53"/>
  <c r="I27" i="53"/>
  <c r="D27" i="53"/>
  <c r="A27" i="53"/>
  <c r="AB26" i="53"/>
  <c r="W26" i="53"/>
  <c r="Z26" i="53" s="1"/>
  <c r="T26" i="53"/>
  <c r="S26" i="53"/>
  <c r="M26" i="53" a="1"/>
  <c r="M26" i="53" s="1"/>
  <c r="N26" i="53" s="1"/>
  <c r="K26" i="53"/>
  <c r="I26" i="53"/>
  <c r="D26" i="53"/>
  <c r="A26" i="53"/>
  <c r="AB25" i="53"/>
  <c r="W25" i="53"/>
  <c r="Z25" i="53" s="1"/>
  <c r="T25" i="53"/>
  <c r="S25" i="53"/>
  <c r="M25" i="53" a="1"/>
  <c r="M25" i="53" s="1"/>
  <c r="N25" i="53" s="1"/>
  <c r="K25" i="53"/>
  <c r="I25" i="53"/>
  <c r="D25" i="53"/>
  <c r="A25" i="53"/>
  <c r="AB24" i="53"/>
  <c r="W24" i="53"/>
  <c r="Z24" i="53" s="1"/>
  <c r="T24" i="53"/>
  <c r="S24" i="53"/>
  <c r="M24" i="53" a="1"/>
  <c r="M24" i="53" s="1"/>
  <c r="N24" i="53" s="1"/>
  <c r="K24" i="53"/>
  <c r="I24" i="53"/>
  <c r="D24" i="53"/>
  <c r="A24" i="53"/>
  <c r="AB23" i="53"/>
  <c r="W23" i="53"/>
  <c r="Z23" i="53" s="1"/>
  <c r="T23" i="53"/>
  <c r="S23" i="53"/>
  <c r="M23" i="53" a="1"/>
  <c r="M23" i="53" s="1"/>
  <c r="N23" i="53" s="1"/>
  <c r="K23" i="53"/>
  <c r="I23" i="53"/>
  <c r="D23" i="53"/>
  <c r="A23" i="53"/>
  <c r="AB22" i="53"/>
  <c r="W22" i="53"/>
  <c r="Z22" i="53" s="1"/>
  <c r="T22" i="53"/>
  <c r="S22" i="53"/>
  <c r="M22" i="53" a="1"/>
  <c r="M22" i="53" s="1"/>
  <c r="N22" i="53" s="1"/>
  <c r="K22" i="53"/>
  <c r="I22" i="53"/>
  <c r="D22" i="53"/>
  <c r="A22" i="53"/>
  <c r="AB21" i="53"/>
  <c r="W21" i="53"/>
  <c r="Z21" i="53" s="1"/>
  <c r="T21" i="53"/>
  <c r="S21" i="53"/>
  <c r="M21" i="53" a="1"/>
  <c r="M21" i="53" s="1"/>
  <c r="N21" i="53" s="1"/>
  <c r="K21" i="53"/>
  <c r="I21" i="53"/>
  <c r="D21" i="53"/>
  <c r="A21" i="53"/>
  <c r="D292" i="68" s="1"/>
  <c r="AB20" i="53"/>
  <c r="W20" i="53"/>
  <c r="Z20" i="53" s="1"/>
  <c r="T20" i="53"/>
  <c r="S20" i="53"/>
  <c r="M20" i="53" a="1"/>
  <c r="M20" i="53" s="1"/>
  <c r="N20" i="53" s="1"/>
  <c r="K20" i="53"/>
  <c r="I20" i="53"/>
  <c r="D20" i="53"/>
  <c r="A20" i="53"/>
  <c r="D291" i="68" s="1"/>
  <c r="AB19" i="53"/>
  <c r="AE19" i="53" s="1"/>
  <c r="W19" i="53"/>
  <c r="Z19" i="53" s="1"/>
  <c r="T19" i="53"/>
  <c r="D44" i="53" s="1"/>
  <c r="S19" i="53"/>
  <c r="M19" i="53" a="1"/>
  <c r="M19" i="53" s="1"/>
  <c r="N19" i="53" s="1"/>
  <c r="K19" i="53"/>
  <c r="D41" i="53" s="1"/>
  <c r="I19" i="53"/>
  <c r="D40" i="53" s="1"/>
  <c r="D47" i="53" s="1"/>
  <c r="D19" i="53"/>
  <c r="A19" i="53"/>
  <c r="D290" i="68" s="1"/>
  <c r="M15" i="53"/>
  <c r="B79" i="52"/>
  <c r="D79" i="52" s="1"/>
  <c r="B78" i="52"/>
  <c r="D78" i="52" s="1"/>
  <c r="B77" i="52"/>
  <c r="D77" i="52" s="1"/>
  <c r="B76" i="52"/>
  <c r="D76" i="52" s="1"/>
  <c r="B75" i="52"/>
  <c r="D75" i="52" s="1"/>
  <c r="B74" i="52"/>
  <c r="D74" i="52" s="1"/>
  <c r="B73" i="52"/>
  <c r="D73" i="52" s="1"/>
  <c r="B72" i="52"/>
  <c r="D72" i="52" s="1"/>
  <c r="B71" i="52"/>
  <c r="D71" i="52" s="1"/>
  <c r="B70" i="52"/>
  <c r="D70" i="52" s="1"/>
  <c r="B69" i="52"/>
  <c r="D69" i="52" s="1"/>
  <c r="B68" i="52"/>
  <c r="D68" i="52" s="1"/>
  <c r="B67" i="52"/>
  <c r="D67" i="52" s="1"/>
  <c r="B66" i="52"/>
  <c r="D66" i="52" s="1"/>
  <c r="B65" i="52"/>
  <c r="D65" i="52" s="1"/>
  <c r="B64" i="52"/>
  <c r="D64" i="52" s="1"/>
  <c r="Z46" i="52"/>
  <c r="AB33" i="52"/>
  <c r="W33" i="52"/>
  <c r="Z33" i="52" s="1"/>
  <c r="V33" i="52"/>
  <c r="T33" i="52"/>
  <c r="S33" i="52"/>
  <c r="M33" i="52" a="1"/>
  <c r="M33" i="52" s="1"/>
  <c r="N33" i="52" s="1"/>
  <c r="K33" i="52"/>
  <c r="I33" i="52"/>
  <c r="D33" i="52"/>
  <c r="A33" i="52"/>
  <c r="AB32" i="52"/>
  <c r="W32" i="52"/>
  <c r="Z32" i="52" s="1"/>
  <c r="V32" i="52"/>
  <c r="T32" i="52"/>
  <c r="S32" i="52"/>
  <c r="M32" i="52" a="1"/>
  <c r="M32" i="52" s="1"/>
  <c r="N32" i="52" s="1"/>
  <c r="K32" i="52"/>
  <c r="I32" i="52"/>
  <c r="D32" i="52"/>
  <c r="A32" i="52"/>
  <c r="AB31" i="52"/>
  <c r="W31" i="52"/>
  <c r="Z31" i="52" s="1"/>
  <c r="V31" i="52"/>
  <c r="T31" i="52"/>
  <c r="S31" i="52"/>
  <c r="M31" i="52" a="1"/>
  <c r="M31" i="52" s="1"/>
  <c r="N31" i="52" s="1"/>
  <c r="K31" i="52"/>
  <c r="I31" i="52"/>
  <c r="D31" i="52"/>
  <c r="A31" i="52"/>
  <c r="AB30" i="52"/>
  <c r="W30" i="52"/>
  <c r="Z30" i="52" s="1"/>
  <c r="V30" i="52"/>
  <c r="T30" i="52"/>
  <c r="S30" i="52"/>
  <c r="M30" i="52" a="1"/>
  <c r="M30" i="52" s="1"/>
  <c r="N30" i="52" s="1"/>
  <c r="K30" i="52"/>
  <c r="I30" i="52"/>
  <c r="D30" i="52"/>
  <c r="A30" i="52"/>
  <c r="AB29" i="52"/>
  <c r="W29" i="52"/>
  <c r="Z29" i="52" s="1"/>
  <c r="V29" i="52"/>
  <c r="T29" i="52"/>
  <c r="S29" i="52"/>
  <c r="M29" i="52" a="1"/>
  <c r="M29" i="52" s="1"/>
  <c r="N29" i="52" s="1"/>
  <c r="K29" i="52"/>
  <c r="I29" i="52"/>
  <c r="D29" i="52"/>
  <c r="A29" i="52"/>
  <c r="AB28" i="52"/>
  <c r="AE28" i="52" s="1"/>
  <c r="W28" i="52"/>
  <c r="Z28" i="52" s="1"/>
  <c r="T28" i="52"/>
  <c r="S28" i="52"/>
  <c r="M28" i="52" a="1"/>
  <c r="M28" i="52" s="1"/>
  <c r="N28" i="52" s="1"/>
  <c r="K28" i="52"/>
  <c r="I28" i="52"/>
  <c r="D28" i="52"/>
  <c r="A28" i="52"/>
  <c r="AB27" i="52"/>
  <c r="W27" i="52"/>
  <c r="Z27" i="52" s="1"/>
  <c r="T27" i="52"/>
  <c r="S27" i="52"/>
  <c r="M27" i="52" a="1"/>
  <c r="M27" i="52" s="1"/>
  <c r="N27" i="52" s="1"/>
  <c r="K27" i="52"/>
  <c r="I27" i="52"/>
  <c r="D27" i="52"/>
  <c r="A27" i="52"/>
  <c r="AB26" i="52"/>
  <c r="W26" i="52"/>
  <c r="Z26" i="52" s="1"/>
  <c r="T26" i="52"/>
  <c r="S26" i="52"/>
  <c r="M26" i="52" a="1"/>
  <c r="M26" i="52" s="1"/>
  <c r="N26" i="52" s="1"/>
  <c r="K26" i="52"/>
  <c r="I26" i="52"/>
  <c r="D26" i="52"/>
  <c r="A26" i="52"/>
  <c r="AB25" i="52"/>
  <c r="W25" i="52"/>
  <c r="Z25" i="52" s="1"/>
  <c r="T25" i="52"/>
  <c r="S25" i="52"/>
  <c r="M25" i="52" a="1"/>
  <c r="M25" i="52" s="1"/>
  <c r="N25" i="52" s="1"/>
  <c r="K25" i="52"/>
  <c r="I25" i="52"/>
  <c r="D25" i="52"/>
  <c r="A25" i="52"/>
  <c r="AB24" i="52"/>
  <c r="W24" i="52"/>
  <c r="Z24" i="52" s="1"/>
  <c r="T24" i="52"/>
  <c r="S24" i="52"/>
  <c r="M24" i="52" a="1"/>
  <c r="M24" i="52" s="1"/>
  <c r="N24" i="52" s="1"/>
  <c r="K24" i="52"/>
  <c r="I24" i="52"/>
  <c r="D24" i="52"/>
  <c r="A24" i="52"/>
  <c r="AB23" i="52"/>
  <c r="W23" i="52"/>
  <c r="Z23" i="52" s="1"/>
  <c r="T23" i="52"/>
  <c r="S23" i="52"/>
  <c r="M23" i="52" a="1"/>
  <c r="M23" i="52" s="1"/>
  <c r="N23" i="52" s="1"/>
  <c r="K23" i="52"/>
  <c r="I23" i="52"/>
  <c r="D23" i="52"/>
  <c r="A23" i="52"/>
  <c r="AB22" i="52"/>
  <c r="W22" i="52"/>
  <c r="Z22" i="52" s="1"/>
  <c r="T22" i="52"/>
  <c r="S22" i="52"/>
  <c r="M22" i="52" a="1"/>
  <c r="M22" i="52" s="1"/>
  <c r="N22" i="52" s="1"/>
  <c r="K22" i="52"/>
  <c r="I22" i="52"/>
  <c r="D22" i="52"/>
  <c r="A22" i="52"/>
  <c r="AB21" i="52"/>
  <c r="W21" i="52"/>
  <c r="Z21" i="52" s="1"/>
  <c r="T21" i="52"/>
  <c r="S21" i="52"/>
  <c r="M21" i="52" a="1"/>
  <c r="M21" i="52" s="1"/>
  <c r="N21" i="52" s="1"/>
  <c r="K21" i="52"/>
  <c r="I21" i="52"/>
  <c r="D21" i="52"/>
  <c r="A21" i="52"/>
  <c r="D277" i="68" s="1"/>
  <c r="AB20" i="52"/>
  <c r="W20" i="52"/>
  <c r="Z20" i="52" s="1"/>
  <c r="T20" i="52"/>
  <c r="S20" i="52"/>
  <c r="M20" i="52" a="1"/>
  <c r="M20" i="52" s="1"/>
  <c r="N20" i="52" s="1"/>
  <c r="K20" i="52"/>
  <c r="I20" i="52"/>
  <c r="D20" i="52"/>
  <c r="A20" i="52"/>
  <c r="D276" i="68" s="1"/>
  <c r="AB19" i="52"/>
  <c r="AE19" i="52" s="1"/>
  <c r="W19" i="52"/>
  <c r="Z19" i="52" s="1"/>
  <c r="T19" i="52"/>
  <c r="D44" i="52" s="1"/>
  <c r="S19" i="52"/>
  <c r="M19" i="52" a="1"/>
  <c r="M19" i="52" s="1"/>
  <c r="N19" i="52" s="1"/>
  <c r="K19" i="52"/>
  <c r="D41" i="52" s="1"/>
  <c r="I19" i="52"/>
  <c r="D40" i="52" s="1"/>
  <c r="D47" i="52" s="1"/>
  <c r="D19" i="52"/>
  <c r="A19" i="52"/>
  <c r="D275" i="68" s="1"/>
  <c r="M15" i="52"/>
  <c r="B79" i="51"/>
  <c r="D79" i="51" s="1"/>
  <c r="B78" i="51"/>
  <c r="D78" i="51" s="1"/>
  <c r="B77" i="51"/>
  <c r="D77" i="51" s="1"/>
  <c r="B76" i="51"/>
  <c r="D76" i="51" s="1"/>
  <c r="B75" i="51"/>
  <c r="D75" i="51" s="1"/>
  <c r="B74" i="51"/>
  <c r="D74" i="51" s="1"/>
  <c r="B73" i="51"/>
  <c r="D73" i="51" s="1"/>
  <c r="B72" i="51"/>
  <c r="D72" i="51" s="1"/>
  <c r="B71" i="51"/>
  <c r="D71" i="51" s="1"/>
  <c r="B70" i="51"/>
  <c r="D70" i="51" s="1"/>
  <c r="B69" i="51"/>
  <c r="D69" i="51" s="1"/>
  <c r="B68" i="51"/>
  <c r="D68" i="51" s="1"/>
  <c r="B67" i="51"/>
  <c r="D67" i="51" s="1"/>
  <c r="B66" i="51"/>
  <c r="D66" i="51" s="1"/>
  <c r="B65" i="51"/>
  <c r="D65" i="51" s="1"/>
  <c r="B64" i="51"/>
  <c r="D64" i="51" s="1"/>
  <c r="Z46" i="51"/>
  <c r="AB33" i="51"/>
  <c r="W33" i="51"/>
  <c r="Z33" i="51" s="1"/>
  <c r="V33" i="51"/>
  <c r="T33" i="51"/>
  <c r="S33" i="51"/>
  <c r="M33" i="51" a="1"/>
  <c r="M33" i="51" s="1"/>
  <c r="N33" i="51" s="1"/>
  <c r="K33" i="51"/>
  <c r="I33" i="51"/>
  <c r="D33" i="51"/>
  <c r="A33" i="51"/>
  <c r="AB32" i="51"/>
  <c r="W32" i="51"/>
  <c r="Z32" i="51" s="1"/>
  <c r="V32" i="51"/>
  <c r="T32" i="51"/>
  <c r="S32" i="51"/>
  <c r="M32" i="51" a="1"/>
  <c r="M32" i="51" s="1"/>
  <c r="N32" i="51" s="1"/>
  <c r="K32" i="51"/>
  <c r="I32" i="51"/>
  <c r="D32" i="51"/>
  <c r="A32" i="51"/>
  <c r="AB31" i="51"/>
  <c r="W31" i="51"/>
  <c r="Z31" i="51" s="1"/>
  <c r="V31" i="51"/>
  <c r="T31" i="51"/>
  <c r="S31" i="51"/>
  <c r="M31" i="51" a="1"/>
  <c r="M31" i="51" s="1"/>
  <c r="N31" i="51" s="1"/>
  <c r="K31" i="51"/>
  <c r="I31" i="51"/>
  <c r="D31" i="51"/>
  <c r="A31" i="51"/>
  <c r="AB30" i="51"/>
  <c r="W30" i="51"/>
  <c r="Z30" i="51" s="1"/>
  <c r="V30" i="51"/>
  <c r="T30" i="51"/>
  <c r="S30" i="51"/>
  <c r="M30" i="51" a="1"/>
  <c r="M30" i="51" s="1"/>
  <c r="N30" i="51" s="1"/>
  <c r="K30" i="51"/>
  <c r="I30" i="51"/>
  <c r="D30" i="51"/>
  <c r="A30" i="51"/>
  <c r="AB29" i="51"/>
  <c r="W29" i="51"/>
  <c r="Z29" i="51" s="1"/>
  <c r="V29" i="51"/>
  <c r="T29" i="51"/>
  <c r="S29" i="51"/>
  <c r="M29" i="51" a="1"/>
  <c r="M29" i="51" s="1"/>
  <c r="N29" i="51" s="1"/>
  <c r="K29" i="51"/>
  <c r="I29" i="51"/>
  <c r="D29" i="51"/>
  <c r="A29" i="51"/>
  <c r="AB28" i="51"/>
  <c r="AE28" i="51" s="1"/>
  <c r="W28" i="51"/>
  <c r="Z28" i="51" s="1"/>
  <c r="T28" i="51"/>
  <c r="S28" i="51"/>
  <c r="M28" i="51" a="1"/>
  <c r="M28" i="51" s="1"/>
  <c r="N28" i="51" s="1"/>
  <c r="K28" i="51"/>
  <c r="I28" i="51"/>
  <c r="D28" i="51"/>
  <c r="A28" i="51"/>
  <c r="AB27" i="51"/>
  <c r="W27" i="51"/>
  <c r="Z27" i="51" s="1"/>
  <c r="T27" i="51"/>
  <c r="S27" i="51"/>
  <c r="M27" i="51" a="1"/>
  <c r="M27" i="51" s="1"/>
  <c r="N27" i="51" s="1"/>
  <c r="K27" i="51"/>
  <c r="I27" i="51"/>
  <c r="D27" i="51"/>
  <c r="A27" i="51"/>
  <c r="AB26" i="51"/>
  <c r="W26" i="51"/>
  <c r="Z26" i="51" s="1"/>
  <c r="T26" i="51"/>
  <c r="S26" i="51"/>
  <c r="M26" i="51" a="1"/>
  <c r="M26" i="51" s="1"/>
  <c r="N26" i="51" s="1"/>
  <c r="K26" i="51"/>
  <c r="I26" i="51"/>
  <c r="D26" i="51"/>
  <c r="A26" i="51"/>
  <c r="AB25" i="51"/>
  <c r="W25" i="51"/>
  <c r="Z25" i="51" s="1"/>
  <c r="T25" i="51"/>
  <c r="S25" i="51"/>
  <c r="M25" i="51" a="1"/>
  <c r="M25" i="51" s="1"/>
  <c r="N25" i="51" s="1"/>
  <c r="K25" i="51"/>
  <c r="I25" i="51"/>
  <c r="D25" i="51"/>
  <c r="A25" i="51"/>
  <c r="AB24" i="51"/>
  <c r="W24" i="51"/>
  <c r="Z24" i="51" s="1"/>
  <c r="T24" i="51"/>
  <c r="S24" i="51"/>
  <c r="M24" i="51" a="1"/>
  <c r="M24" i="51" s="1"/>
  <c r="N24" i="51" s="1"/>
  <c r="K24" i="51"/>
  <c r="I24" i="51"/>
  <c r="D24" i="51"/>
  <c r="A24" i="51"/>
  <c r="AB23" i="51"/>
  <c r="W23" i="51"/>
  <c r="Z23" i="51" s="1"/>
  <c r="T23" i="51"/>
  <c r="S23" i="51"/>
  <c r="M23" i="51" a="1"/>
  <c r="M23" i="51" s="1"/>
  <c r="N23" i="51" s="1"/>
  <c r="K23" i="51"/>
  <c r="I23" i="51"/>
  <c r="D23" i="51"/>
  <c r="A23" i="51"/>
  <c r="AB22" i="51"/>
  <c r="W22" i="51"/>
  <c r="Z22" i="51" s="1"/>
  <c r="T22" i="51"/>
  <c r="S22" i="51"/>
  <c r="M22" i="51" a="1"/>
  <c r="M22" i="51" s="1"/>
  <c r="N22" i="51" s="1"/>
  <c r="K22" i="51"/>
  <c r="I22" i="51"/>
  <c r="D22" i="51"/>
  <c r="A22" i="51"/>
  <c r="AB21" i="51"/>
  <c r="W21" i="51"/>
  <c r="Z21" i="51" s="1"/>
  <c r="T21" i="51"/>
  <c r="S21" i="51"/>
  <c r="M21" i="51" a="1"/>
  <c r="M21" i="51" s="1"/>
  <c r="N21" i="51" s="1"/>
  <c r="K21" i="51"/>
  <c r="I21" i="51"/>
  <c r="D21" i="51"/>
  <c r="A21" i="51"/>
  <c r="D262" i="68" s="1"/>
  <c r="AB20" i="51"/>
  <c r="W20" i="51"/>
  <c r="Z20" i="51" s="1"/>
  <c r="T20" i="51"/>
  <c r="S20" i="51"/>
  <c r="M20" i="51" a="1"/>
  <c r="M20" i="51" s="1"/>
  <c r="N20" i="51" s="1"/>
  <c r="K20" i="51"/>
  <c r="I20" i="51"/>
  <c r="D20" i="51"/>
  <c r="A20" i="51"/>
  <c r="D261" i="68" s="1"/>
  <c r="AB19" i="51"/>
  <c r="AE19" i="51" s="1"/>
  <c r="W19" i="51"/>
  <c r="Z19" i="51" s="1"/>
  <c r="T19" i="51"/>
  <c r="D44" i="51" s="1"/>
  <c r="S19" i="51"/>
  <c r="M19" i="51" a="1"/>
  <c r="M19" i="51" s="1"/>
  <c r="N19" i="51" s="1"/>
  <c r="K19" i="51"/>
  <c r="D41" i="51" s="1"/>
  <c r="I19" i="51"/>
  <c r="D40" i="51" s="1"/>
  <c r="D47" i="51" s="1"/>
  <c r="D19" i="51"/>
  <c r="A19" i="51"/>
  <c r="D260" i="68" s="1"/>
  <c r="M15" i="51"/>
  <c r="B79" i="50"/>
  <c r="D79" i="50" s="1"/>
  <c r="B78" i="50"/>
  <c r="D78" i="50" s="1"/>
  <c r="B77" i="50"/>
  <c r="D77" i="50" s="1"/>
  <c r="B76" i="50"/>
  <c r="D76" i="50" s="1"/>
  <c r="B75" i="50"/>
  <c r="D75" i="50" s="1"/>
  <c r="B74" i="50"/>
  <c r="D74" i="50" s="1"/>
  <c r="B73" i="50"/>
  <c r="D73" i="50" s="1"/>
  <c r="B72" i="50"/>
  <c r="D72" i="50" s="1"/>
  <c r="B71" i="50"/>
  <c r="D71" i="50" s="1"/>
  <c r="B70" i="50"/>
  <c r="D70" i="50" s="1"/>
  <c r="B69" i="50"/>
  <c r="D69" i="50" s="1"/>
  <c r="B68" i="50"/>
  <c r="D68" i="50" s="1"/>
  <c r="B67" i="50"/>
  <c r="D67" i="50" s="1"/>
  <c r="B66" i="50"/>
  <c r="D66" i="50" s="1"/>
  <c r="B65" i="50"/>
  <c r="D65" i="50" s="1"/>
  <c r="B64" i="50"/>
  <c r="D64" i="50" s="1"/>
  <c r="Z46" i="50"/>
  <c r="AB33" i="50"/>
  <c r="W33" i="50"/>
  <c r="Z33" i="50" s="1"/>
  <c r="V33" i="50"/>
  <c r="T33" i="50"/>
  <c r="S33" i="50"/>
  <c r="M33" i="50" a="1"/>
  <c r="M33" i="50" s="1"/>
  <c r="N33" i="50" s="1"/>
  <c r="K33" i="50"/>
  <c r="I33" i="50"/>
  <c r="D33" i="50"/>
  <c r="A33" i="50"/>
  <c r="AB32" i="50"/>
  <c r="W32" i="50"/>
  <c r="Z32" i="50" s="1"/>
  <c r="V32" i="50"/>
  <c r="T32" i="50"/>
  <c r="S32" i="50"/>
  <c r="M32" i="50" a="1"/>
  <c r="M32" i="50" s="1"/>
  <c r="N32" i="50" s="1"/>
  <c r="K32" i="50"/>
  <c r="I32" i="50"/>
  <c r="D32" i="50"/>
  <c r="A32" i="50"/>
  <c r="AB31" i="50"/>
  <c r="W31" i="50"/>
  <c r="Z31" i="50" s="1"/>
  <c r="V31" i="50"/>
  <c r="T31" i="50"/>
  <c r="S31" i="50"/>
  <c r="M31" i="50" a="1"/>
  <c r="M31" i="50" s="1"/>
  <c r="N31" i="50" s="1"/>
  <c r="K31" i="50"/>
  <c r="I31" i="50"/>
  <c r="D31" i="50"/>
  <c r="A31" i="50"/>
  <c r="AB30" i="50"/>
  <c r="W30" i="50"/>
  <c r="Z30" i="50" s="1"/>
  <c r="V30" i="50"/>
  <c r="T30" i="50"/>
  <c r="S30" i="50"/>
  <c r="M30" i="50" a="1"/>
  <c r="M30" i="50" s="1"/>
  <c r="N30" i="50" s="1"/>
  <c r="K30" i="50"/>
  <c r="I30" i="50"/>
  <c r="D30" i="50"/>
  <c r="A30" i="50"/>
  <c r="AB29" i="50"/>
  <c r="W29" i="50"/>
  <c r="Z29" i="50" s="1"/>
  <c r="V29" i="50"/>
  <c r="T29" i="50"/>
  <c r="S29" i="50"/>
  <c r="M29" i="50" a="1"/>
  <c r="M29" i="50" s="1"/>
  <c r="N29" i="50" s="1"/>
  <c r="K29" i="50"/>
  <c r="I29" i="50"/>
  <c r="D29" i="50"/>
  <c r="A29" i="50"/>
  <c r="AB28" i="50"/>
  <c r="AE28" i="50" s="1"/>
  <c r="W28" i="50"/>
  <c r="Z28" i="50" s="1"/>
  <c r="K254" i="68" s="1"/>
  <c r="T28" i="50"/>
  <c r="S28" i="50"/>
  <c r="M28" i="50" a="1"/>
  <c r="M28" i="50" s="1"/>
  <c r="N28" i="50" s="1"/>
  <c r="K28" i="50"/>
  <c r="I28" i="50"/>
  <c r="D28" i="50"/>
  <c r="A28" i="50"/>
  <c r="AB27" i="50"/>
  <c r="W27" i="50"/>
  <c r="Z27" i="50" s="1"/>
  <c r="T27" i="50"/>
  <c r="S27" i="50"/>
  <c r="M27" i="50" a="1"/>
  <c r="M27" i="50" s="1"/>
  <c r="N27" i="50" s="1"/>
  <c r="K27" i="50"/>
  <c r="I27" i="50"/>
  <c r="D27" i="50"/>
  <c r="A27" i="50"/>
  <c r="AB26" i="50"/>
  <c r="W26" i="50"/>
  <c r="Z26" i="50" s="1"/>
  <c r="T26" i="50"/>
  <c r="S26" i="50"/>
  <c r="M26" i="50" a="1"/>
  <c r="M26" i="50" s="1"/>
  <c r="N26" i="50" s="1"/>
  <c r="K26" i="50"/>
  <c r="I26" i="50"/>
  <c r="D26" i="50"/>
  <c r="A26" i="50"/>
  <c r="AB25" i="50"/>
  <c r="W25" i="50"/>
  <c r="Z25" i="50" s="1"/>
  <c r="T25" i="50"/>
  <c r="S25" i="50"/>
  <c r="M25" i="50" a="1"/>
  <c r="M25" i="50" s="1"/>
  <c r="N25" i="50" s="1"/>
  <c r="K25" i="50"/>
  <c r="I25" i="50"/>
  <c r="D25" i="50"/>
  <c r="A25" i="50"/>
  <c r="AB24" i="50"/>
  <c r="W24" i="50"/>
  <c r="Z24" i="50" s="1"/>
  <c r="T24" i="50"/>
  <c r="S24" i="50"/>
  <c r="M24" i="50" a="1"/>
  <c r="M24" i="50" s="1"/>
  <c r="N24" i="50" s="1"/>
  <c r="K24" i="50"/>
  <c r="I24" i="50"/>
  <c r="D24" i="50"/>
  <c r="A24" i="50"/>
  <c r="AB23" i="50"/>
  <c r="W23" i="50"/>
  <c r="Z23" i="50" s="1"/>
  <c r="T23" i="50"/>
  <c r="S23" i="50"/>
  <c r="M23" i="50" a="1"/>
  <c r="M23" i="50" s="1"/>
  <c r="N23" i="50" s="1"/>
  <c r="K23" i="50"/>
  <c r="I23" i="50"/>
  <c r="D23" i="50"/>
  <c r="A23" i="50"/>
  <c r="AB22" i="50"/>
  <c r="W22" i="50"/>
  <c r="Z22" i="50" s="1"/>
  <c r="T22" i="50"/>
  <c r="S22" i="50"/>
  <c r="M22" i="50" a="1"/>
  <c r="M22" i="50" s="1"/>
  <c r="N22" i="50" s="1"/>
  <c r="K22" i="50"/>
  <c r="I22" i="50"/>
  <c r="D22" i="50"/>
  <c r="A22" i="50"/>
  <c r="AB21" i="50"/>
  <c r="W21" i="50"/>
  <c r="Z21" i="50" s="1"/>
  <c r="K247" i="68" s="1"/>
  <c r="T21" i="50"/>
  <c r="S21" i="50"/>
  <c r="M21" i="50" a="1"/>
  <c r="M21" i="50" s="1"/>
  <c r="N21" i="50" s="1"/>
  <c r="K21" i="50"/>
  <c r="I21" i="50"/>
  <c r="D21" i="50"/>
  <c r="A21" i="50"/>
  <c r="D247" i="68" s="1"/>
  <c r="AB20" i="50"/>
  <c r="W20" i="50"/>
  <c r="Z20" i="50" s="1"/>
  <c r="K246" i="68" s="1"/>
  <c r="T20" i="50"/>
  <c r="S20" i="50"/>
  <c r="M20" i="50" a="1"/>
  <c r="M20" i="50" s="1"/>
  <c r="N20" i="50" s="1"/>
  <c r="K20" i="50"/>
  <c r="I20" i="50"/>
  <c r="D20" i="50"/>
  <c r="A20" i="50"/>
  <c r="D246" i="68" s="1"/>
  <c r="AB19" i="50"/>
  <c r="AE19" i="50" s="1"/>
  <c r="W19" i="50"/>
  <c r="Z19" i="50" s="1"/>
  <c r="K245" i="68" s="1"/>
  <c r="T19" i="50"/>
  <c r="D44" i="50" s="1"/>
  <c r="S19" i="50"/>
  <c r="M19" i="50" a="1"/>
  <c r="M19" i="50" s="1"/>
  <c r="N19" i="50" s="1"/>
  <c r="K19" i="50"/>
  <c r="D41" i="50" s="1"/>
  <c r="I19" i="50"/>
  <c r="D40" i="50" s="1"/>
  <c r="D47" i="50" s="1"/>
  <c r="D19" i="50"/>
  <c r="A19" i="50"/>
  <c r="D245" i="68" s="1"/>
  <c r="M15" i="50"/>
  <c r="B79" i="49"/>
  <c r="D79" i="49" s="1"/>
  <c r="B78" i="49"/>
  <c r="D78" i="49" s="1"/>
  <c r="B77" i="49"/>
  <c r="D77" i="49" s="1"/>
  <c r="B76" i="49"/>
  <c r="D76" i="49" s="1"/>
  <c r="B75" i="49"/>
  <c r="D75" i="49" s="1"/>
  <c r="B74" i="49"/>
  <c r="D74" i="49" s="1"/>
  <c r="B73" i="49"/>
  <c r="D73" i="49" s="1"/>
  <c r="B72" i="49"/>
  <c r="D72" i="49" s="1"/>
  <c r="B71" i="49"/>
  <c r="D71" i="49" s="1"/>
  <c r="B70" i="49"/>
  <c r="D70" i="49" s="1"/>
  <c r="B69" i="49"/>
  <c r="D69" i="49" s="1"/>
  <c r="B68" i="49"/>
  <c r="D68" i="49" s="1"/>
  <c r="B67" i="49"/>
  <c r="D67" i="49" s="1"/>
  <c r="B66" i="49"/>
  <c r="D66" i="49" s="1"/>
  <c r="B65" i="49"/>
  <c r="D65" i="49" s="1"/>
  <c r="B64" i="49"/>
  <c r="D64" i="49" s="1"/>
  <c r="Z46" i="49"/>
  <c r="AB33" i="49"/>
  <c r="W33" i="49"/>
  <c r="Z33" i="49" s="1"/>
  <c r="V33" i="49"/>
  <c r="T33" i="49"/>
  <c r="S33" i="49"/>
  <c r="M33" i="49" a="1"/>
  <c r="M33" i="49" s="1"/>
  <c r="N33" i="49" s="1"/>
  <c r="K33" i="49"/>
  <c r="I33" i="49"/>
  <c r="D33" i="49"/>
  <c r="A33" i="49"/>
  <c r="AB32" i="49"/>
  <c r="W32" i="49"/>
  <c r="Z32" i="49" s="1"/>
  <c r="V32" i="49"/>
  <c r="T32" i="49"/>
  <c r="S32" i="49"/>
  <c r="M32" i="49" a="1"/>
  <c r="M32" i="49" s="1"/>
  <c r="N32" i="49" s="1"/>
  <c r="K32" i="49"/>
  <c r="I32" i="49"/>
  <c r="D32" i="49"/>
  <c r="A32" i="49"/>
  <c r="AB31" i="49"/>
  <c r="W31" i="49"/>
  <c r="Z31" i="49" s="1"/>
  <c r="V31" i="49"/>
  <c r="T31" i="49"/>
  <c r="S31" i="49"/>
  <c r="M31" i="49" a="1"/>
  <c r="M31" i="49" s="1"/>
  <c r="N31" i="49" s="1"/>
  <c r="K31" i="49"/>
  <c r="I31" i="49"/>
  <c r="D31" i="49"/>
  <c r="A31" i="49"/>
  <c r="AB30" i="49"/>
  <c r="W30" i="49"/>
  <c r="Z30" i="49" s="1"/>
  <c r="V30" i="49"/>
  <c r="T30" i="49"/>
  <c r="S30" i="49"/>
  <c r="M30" i="49" a="1"/>
  <c r="M30" i="49" s="1"/>
  <c r="N30" i="49" s="1"/>
  <c r="K30" i="49"/>
  <c r="I30" i="49"/>
  <c r="D30" i="49"/>
  <c r="A30" i="49"/>
  <c r="AB29" i="49"/>
  <c r="W29" i="49"/>
  <c r="Z29" i="49" s="1"/>
  <c r="V29" i="49"/>
  <c r="T29" i="49"/>
  <c r="S29" i="49"/>
  <c r="M29" i="49" a="1"/>
  <c r="M29" i="49" s="1"/>
  <c r="N29" i="49" s="1"/>
  <c r="K29" i="49"/>
  <c r="I29" i="49"/>
  <c r="D29" i="49"/>
  <c r="A29" i="49"/>
  <c r="AB28" i="49"/>
  <c r="AE28" i="49" s="1"/>
  <c r="L239" i="68" s="1"/>
  <c r="W28" i="49"/>
  <c r="Z28" i="49" s="1"/>
  <c r="K239" i="68" s="1"/>
  <c r="T28" i="49"/>
  <c r="S28" i="49"/>
  <c r="M28" i="49" a="1"/>
  <c r="M28" i="49" s="1"/>
  <c r="N28" i="49" s="1"/>
  <c r="K28" i="49"/>
  <c r="I28" i="49"/>
  <c r="D28" i="49"/>
  <c r="A28" i="49"/>
  <c r="AB27" i="49"/>
  <c r="W27" i="49"/>
  <c r="Z27" i="49" s="1"/>
  <c r="T27" i="49"/>
  <c r="S27" i="49"/>
  <c r="M27" i="49" a="1"/>
  <c r="M27" i="49" s="1"/>
  <c r="N27" i="49" s="1"/>
  <c r="K27" i="49"/>
  <c r="I27" i="49"/>
  <c r="D27" i="49"/>
  <c r="A27" i="49"/>
  <c r="AB26" i="49"/>
  <c r="W26" i="49"/>
  <c r="Z26" i="49" s="1"/>
  <c r="T26" i="49"/>
  <c r="S26" i="49"/>
  <c r="M26" i="49" a="1"/>
  <c r="M26" i="49" s="1"/>
  <c r="N26" i="49" s="1"/>
  <c r="K26" i="49"/>
  <c r="I26" i="49"/>
  <c r="D26" i="49"/>
  <c r="A26" i="49"/>
  <c r="AB25" i="49"/>
  <c r="W25" i="49"/>
  <c r="Z25" i="49" s="1"/>
  <c r="T25" i="49"/>
  <c r="S25" i="49"/>
  <c r="M25" i="49" a="1"/>
  <c r="M25" i="49" s="1"/>
  <c r="N25" i="49" s="1"/>
  <c r="K25" i="49"/>
  <c r="I25" i="49"/>
  <c r="D25" i="49"/>
  <c r="A25" i="49"/>
  <c r="AB24" i="49"/>
  <c r="W24" i="49"/>
  <c r="Z24" i="49" s="1"/>
  <c r="T24" i="49"/>
  <c r="S24" i="49"/>
  <c r="M24" i="49" a="1"/>
  <c r="M24" i="49" s="1"/>
  <c r="N24" i="49" s="1"/>
  <c r="K24" i="49"/>
  <c r="I24" i="49"/>
  <c r="D24" i="49"/>
  <c r="A24" i="49"/>
  <c r="AB23" i="49"/>
  <c r="W23" i="49"/>
  <c r="Z23" i="49" s="1"/>
  <c r="T23" i="49"/>
  <c r="S23" i="49"/>
  <c r="M23" i="49" a="1"/>
  <c r="M23" i="49" s="1"/>
  <c r="N23" i="49" s="1"/>
  <c r="K23" i="49"/>
  <c r="I23" i="49"/>
  <c r="D23" i="49"/>
  <c r="A23" i="49"/>
  <c r="AB22" i="49"/>
  <c r="W22" i="49"/>
  <c r="Z22" i="49" s="1"/>
  <c r="T22" i="49"/>
  <c r="S22" i="49"/>
  <c r="M22" i="49" a="1"/>
  <c r="M22" i="49" s="1"/>
  <c r="N22" i="49" s="1"/>
  <c r="K22" i="49"/>
  <c r="I22" i="49"/>
  <c r="D22" i="49"/>
  <c r="A22" i="49"/>
  <c r="AB21" i="49"/>
  <c r="W21" i="49"/>
  <c r="Z21" i="49" s="1"/>
  <c r="K232" i="68" s="1"/>
  <c r="T21" i="49"/>
  <c r="S21" i="49"/>
  <c r="M21" i="49" a="1"/>
  <c r="M21" i="49" s="1"/>
  <c r="N21" i="49" s="1"/>
  <c r="K21" i="49"/>
  <c r="I21" i="49"/>
  <c r="D21" i="49"/>
  <c r="A21" i="49"/>
  <c r="AB20" i="49"/>
  <c r="W20" i="49"/>
  <c r="Z20" i="49" s="1"/>
  <c r="K231" i="68" s="1"/>
  <c r="T20" i="49"/>
  <c r="S20" i="49"/>
  <c r="M20" i="49" a="1"/>
  <c r="M20" i="49" s="1"/>
  <c r="N20" i="49" s="1"/>
  <c r="K20" i="49"/>
  <c r="I20" i="49"/>
  <c r="D20" i="49"/>
  <c r="A20" i="49"/>
  <c r="AB19" i="49"/>
  <c r="W19" i="49"/>
  <c r="Z19" i="49" s="1"/>
  <c r="K230" i="68" s="1"/>
  <c r="T19" i="49"/>
  <c r="D44" i="49" s="1"/>
  <c r="S19" i="49"/>
  <c r="M19" i="49" a="1"/>
  <c r="M19" i="49" s="1"/>
  <c r="N19" i="49" s="1"/>
  <c r="K19" i="49"/>
  <c r="D41" i="49" s="1"/>
  <c r="I19" i="49"/>
  <c r="D40" i="49" s="1"/>
  <c r="D47" i="49" s="1"/>
  <c r="D19" i="49"/>
  <c r="A19" i="49"/>
  <c r="M15" i="49"/>
  <c r="W21" i="43"/>
  <c r="I229" i="68"/>
  <c r="J229" i="68"/>
  <c r="I216" i="68"/>
  <c r="J216" i="68"/>
  <c r="I217" i="68"/>
  <c r="J217" i="68"/>
  <c r="I218" i="68"/>
  <c r="J218" i="68"/>
  <c r="I219" i="68"/>
  <c r="J219" i="68"/>
  <c r="I220" i="68"/>
  <c r="J220" i="68"/>
  <c r="I221" i="68"/>
  <c r="J221" i="68"/>
  <c r="I222" i="68"/>
  <c r="J222" i="68"/>
  <c r="I223" i="68"/>
  <c r="J223" i="68"/>
  <c r="I224" i="68"/>
  <c r="J224" i="68"/>
  <c r="I225" i="68"/>
  <c r="J225" i="68"/>
  <c r="I226" i="68"/>
  <c r="J226" i="68"/>
  <c r="I227" i="68"/>
  <c r="J227" i="68"/>
  <c r="I228" i="68"/>
  <c r="J228" i="68"/>
  <c r="J215" i="68"/>
  <c r="I215" i="68"/>
  <c r="I201" i="68"/>
  <c r="J201" i="68"/>
  <c r="I202" i="68"/>
  <c r="J202" i="68"/>
  <c r="I203" i="68"/>
  <c r="J203" i="68"/>
  <c r="I204" i="68"/>
  <c r="J204" i="68"/>
  <c r="I205" i="68"/>
  <c r="J205" i="68"/>
  <c r="I206" i="68"/>
  <c r="J206" i="68"/>
  <c r="I207" i="68"/>
  <c r="J207" i="68"/>
  <c r="I208" i="68"/>
  <c r="J208" i="68"/>
  <c r="I209" i="68"/>
  <c r="J209" i="68"/>
  <c r="I210" i="68"/>
  <c r="J210" i="68"/>
  <c r="I211" i="68"/>
  <c r="J211" i="68"/>
  <c r="I212" i="68"/>
  <c r="J212" i="68"/>
  <c r="I213" i="68"/>
  <c r="J213" i="68"/>
  <c r="I214" i="68"/>
  <c r="J214" i="68"/>
  <c r="J200" i="68"/>
  <c r="I200" i="68"/>
  <c r="I186" i="68"/>
  <c r="J186" i="68"/>
  <c r="I187" i="68"/>
  <c r="J187" i="68"/>
  <c r="I188" i="68"/>
  <c r="J188" i="68"/>
  <c r="I189" i="68"/>
  <c r="J189" i="68"/>
  <c r="I190" i="68"/>
  <c r="J190" i="68"/>
  <c r="I191" i="68"/>
  <c r="J191" i="68"/>
  <c r="I192" i="68"/>
  <c r="J192" i="68"/>
  <c r="I193" i="68"/>
  <c r="J193" i="68"/>
  <c r="I194" i="68"/>
  <c r="J194" i="68"/>
  <c r="I195" i="68"/>
  <c r="J195" i="68"/>
  <c r="I196" i="68"/>
  <c r="J196" i="68"/>
  <c r="I197" i="68"/>
  <c r="J197" i="68"/>
  <c r="I198" i="68"/>
  <c r="J198" i="68"/>
  <c r="I199" i="68"/>
  <c r="J199" i="68"/>
  <c r="J185" i="68"/>
  <c r="I185" i="68"/>
  <c r="I171" i="68"/>
  <c r="J171" i="68"/>
  <c r="I172" i="68"/>
  <c r="J172" i="68"/>
  <c r="I173" i="68"/>
  <c r="J173" i="68"/>
  <c r="I174" i="68"/>
  <c r="J174" i="68"/>
  <c r="I175" i="68"/>
  <c r="J175" i="68"/>
  <c r="I176" i="68"/>
  <c r="J176" i="68"/>
  <c r="I177" i="68"/>
  <c r="J177" i="68"/>
  <c r="I178" i="68"/>
  <c r="J178" i="68"/>
  <c r="I179" i="68"/>
  <c r="J179" i="68"/>
  <c r="I180" i="68"/>
  <c r="J180" i="68"/>
  <c r="I181" i="68"/>
  <c r="J181" i="68"/>
  <c r="I182" i="68"/>
  <c r="J182" i="68"/>
  <c r="I183" i="68"/>
  <c r="J183" i="68"/>
  <c r="I184" i="68"/>
  <c r="J184" i="68"/>
  <c r="J170" i="68"/>
  <c r="I170" i="68"/>
  <c r="I156" i="68"/>
  <c r="J156" i="68"/>
  <c r="I157" i="68"/>
  <c r="J157" i="68"/>
  <c r="I158" i="68"/>
  <c r="J158" i="68"/>
  <c r="I159" i="68"/>
  <c r="J159" i="68"/>
  <c r="I160" i="68"/>
  <c r="J160" i="68"/>
  <c r="I161" i="68"/>
  <c r="J161" i="68"/>
  <c r="I162" i="68"/>
  <c r="J162" i="68"/>
  <c r="I163" i="68"/>
  <c r="J163" i="68"/>
  <c r="I164" i="68"/>
  <c r="I165" i="68"/>
  <c r="J165" i="68"/>
  <c r="I166" i="68"/>
  <c r="J166" i="68"/>
  <c r="I167" i="68"/>
  <c r="J167" i="68"/>
  <c r="I168" i="68"/>
  <c r="J168" i="68"/>
  <c r="I169" i="68"/>
  <c r="J169" i="68"/>
  <c r="I155" i="68"/>
  <c r="I141" i="68"/>
  <c r="J141" i="68"/>
  <c r="I142" i="68"/>
  <c r="J142" i="68"/>
  <c r="I143" i="68"/>
  <c r="J143" i="68"/>
  <c r="I144" i="68"/>
  <c r="J144" i="68"/>
  <c r="I145" i="68"/>
  <c r="J145" i="68"/>
  <c r="I146" i="68"/>
  <c r="J146" i="68"/>
  <c r="I147" i="68"/>
  <c r="J147" i="68"/>
  <c r="I148" i="68"/>
  <c r="J148" i="68"/>
  <c r="I149" i="68"/>
  <c r="I150" i="68"/>
  <c r="J150" i="68"/>
  <c r="I151" i="68"/>
  <c r="J151" i="68"/>
  <c r="I152" i="68"/>
  <c r="J152" i="68"/>
  <c r="I153" i="68"/>
  <c r="J153" i="68"/>
  <c r="I154" i="68"/>
  <c r="J154" i="68"/>
  <c r="I140" i="68"/>
  <c r="I126" i="68"/>
  <c r="J126" i="68"/>
  <c r="I127" i="68"/>
  <c r="J127" i="68"/>
  <c r="I128" i="68"/>
  <c r="J128" i="68"/>
  <c r="I129" i="68"/>
  <c r="J129" i="68"/>
  <c r="I130" i="68"/>
  <c r="J130" i="68"/>
  <c r="I131" i="68"/>
  <c r="J131" i="68"/>
  <c r="I132" i="68"/>
  <c r="J132" i="68"/>
  <c r="I133" i="68"/>
  <c r="J133" i="68"/>
  <c r="I134" i="68"/>
  <c r="I135" i="68"/>
  <c r="J135" i="68"/>
  <c r="I136" i="68"/>
  <c r="J136" i="68"/>
  <c r="I137" i="68"/>
  <c r="J137" i="68"/>
  <c r="I138" i="68"/>
  <c r="J138" i="68"/>
  <c r="I139" i="68"/>
  <c r="J139" i="68"/>
  <c r="I125" i="68"/>
  <c r="J115" i="68"/>
  <c r="J116" i="68"/>
  <c r="J117" i="68"/>
  <c r="J118" i="68"/>
  <c r="J120" i="68"/>
  <c r="J121" i="68"/>
  <c r="J122" i="68"/>
  <c r="J123" i="68"/>
  <c r="J124" i="68"/>
  <c r="I111" i="68"/>
  <c r="I112" i="68"/>
  <c r="I113" i="68"/>
  <c r="I114" i="68"/>
  <c r="I115" i="68"/>
  <c r="I116" i="68"/>
  <c r="I117" i="68"/>
  <c r="I118" i="68"/>
  <c r="I119" i="68"/>
  <c r="I120" i="68"/>
  <c r="I121" i="68"/>
  <c r="I122" i="68"/>
  <c r="I123" i="68"/>
  <c r="I124" i="68"/>
  <c r="I110" i="68"/>
  <c r="G216" i="68"/>
  <c r="G217" i="68"/>
  <c r="G218" i="68"/>
  <c r="G219" i="68"/>
  <c r="G220" i="68"/>
  <c r="G221" i="68"/>
  <c r="G222" i="68"/>
  <c r="G223" i="68"/>
  <c r="G224" i="68"/>
  <c r="G225" i="68"/>
  <c r="G226" i="68"/>
  <c r="G227" i="68"/>
  <c r="G228" i="68"/>
  <c r="G229" i="68"/>
  <c r="G215" i="68"/>
  <c r="G201" i="68"/>
  <c r="G202" i="68"/>
  <c r="G203" i="68"/>
  <c r="G204" i="68"/>
  <c r="G205" i="68"/>
  <c r="G206" i="68"/>
  <c r="G207" i="68"/>
  <c r="G208" i="68"/>
  <c r="G209" i="68"/>
  <c r="G210" i="68"/>
  <c r="G211" i="68"/>
  <c r="G212" i="68"/>
  <c r="G213" i="68"/>
  <c r="G214" i="68"/>
  <c r="G200" i="68"/>
  <c r="G186" i="68"/>
  <c r="G187" i="68"/>
  <c r="G188" i="68"/>
  <c r="G189" i="68"/>
  <c r="G190" i="68"/>
  <c r="G191" i="68"/>
  <c r="G192" i="68"/>
  <c r="G193" i="68"/>
  <c r="G194" i="68"/>
  <c r="G195" i="68"/>
  <c r="G196" i="68"/>
  <c r="G197" i="68"/>
  <c r="G198" i="68"/>
  <c r="G199" i="68"/>
  <c r="G185" i="68"/>
  <c r="G171" i="68"/>
  <c r="G172" i="68"/>
  <c r="G173" i="68"/>
  <c r="G174" i="68"/>
  <c r="G175" i="68"/>
  <c r="G176" i="68"/>
  <c r="G177" i="68"/>
  <c r="G178" i="68"/>
  <c r="G179" i="68"/>
  <c r="G180" i="68"/>
  <c r="G181" i="68"/>
  <c r="G182" i="68"/>
  <c r="G183" i="68"/>
  <c r="G184" i="68"/>
  <c r="G170" i="68"/>
  <c r="G156" i="68"/>
  <c r="G157" i="68"/>
  <c r="G158" i="68"/>
  <c r="G159" i="68"/>
  <c r="G160" i="68"/>
  <c r="G161" i="68"/>
  <c r="G162" i="68"/>
  <c r="G163" i="68"/>
  <c r="G164" i="68"/>
  <c r="G165" i="68"/>
  <c r="G166" i="68"/>
  <c r="G167" i="68"/>
  <c r="G168" i="68"/>
  <c r="G169" i="68"/>
  <c r="G155" i="68"/>
  <c r="G141" i="68"/>
  <c r="G142" i="68"/>
  <c r="G143" i="68"/>
  <c r="G144" i="68"/>
  <c r="G145" i="68"/>
  <c r="G146" i="68"/>
  <c r="G147" i="68"/>
  <c r="G148" i="68"/>
  <c r="G149" i="68"/>
  <c r="G150" i="68"/>
  <c r="G151" i="68"/>
  <c r="G152" i="68"/>
  <c r="G153" i="68"/>
  <c r="G154" i="68"/>
  <c r="G140" i="68"/>
  <c r="G126" i="68"/>
  <c r="G127" i="68"/>
  <c r="G128" i="68"/>
  <c r="G129" i="68"/>
  <c r="G130" i="68"/>
  <c r="G131" i="68"/>
  <c r="G132" i="68"/>
  <c r="G133" i="68"/>
  <c r="G134" i="68"/>
  <c r="G135" i="68"/>
  <c r="G136" i="68"/>
  <c r="G137" i="68"/>
  <c r="G138" i="68"/>
  <c r="G139" i="68"/>
  <c r="G125" i="68"/>
  <c r="G111" i="68"/>
  <c r="G112" i="68"/>
  <c r="G113" i="68"/>
  <c r="G114" i="68"/>
  <c r="G115" i="68"/>
  <c r="G116" i="68"/>
  <c r="G117" i="68"/>
  <c r="G118" i="68"/>
  <c r="G119" i="68"/>
  <c r="G120" i="68"/>
  <c r="G121" i="68"/>
  <c r="G122" i="68"/>
  <c r="G123" i="68"/>
  <c r="G124" i="68"/>
  <c r="G110" i="68"/>
  <c r="F216" i="68"/>
  <c r="F217" i="68"/>
  <c r="F218" i="68"/>
  <c r="F219" i="68"/>
  <c r="F220" i="68"/>
  <c r="F221" i="68"/>
  <c r="F222" i="68"/>
  <c r="F223" i="68"/>
  <c r="F224" i="68"/>
  <c r="F225" i="68"/>
  <c r="F226" i="68"/>
  <c r="F227" i="68"/>
  <c r="F228" i="68"/>
  <c r="F229" i="68"/>
  <c r="F215" i="68"/>
  <c r="F201" i="68"/>
  <c r="F202" i="68"/>
  <c r="F203" i="68"/>
  <c r="F204" i="68"/>
  <c r="F205" i="68"/>
  <c r="F206" i="68"/>
  <c r="F207" i="68"/>
  <c r="F208" i="68"/>
  <c r="F209" i="68"/>
  <c r="F210" i="68"/>
  <c r="F211" i="68"/>
  <c r="F212" i="68"/>
  <c r="F213" i="68"/>
  <c r="F214" i="68"/>
  <c r="F200" i="68"/>
  <c r="F186" i="68"/>
  <c r="F187" i="68"/>
  <c r="F188" i="68"/>
  <c r="F189" i="68"/>
  <c r="F190" i="68"/>
  <c r="F191" i="68"/>
  <c r="F192" i="68"/>
  <c r="F193" i="68"/>
  <c r="F194" i="68"/>
  <c r="F195" i="68"/>
  <c r="F196" i="68"/>
  <c r="F197" i="68"/>
  <c r="F198" i="68"/>
  <c r="F199" i="68"/>
  <c r="F185" i="68"/>
  <c r="F171" i="68"/>
  <c r="F172" i="68"/>
  <c r="F173" i="68"/>
  <c r="F174" i="68"/>
  <c r="F175" i="68"/>
  <c r="F176" i="68"/>
  <c r="F177" i="68"/>
  <c r="F178" i="68"/>
  <c r="F179" i="68"/>
  <c r="F180" i="68"/>
  <c r="F181" i="68"/>
  <c r="F182" i="68"/>
  <c r="F183" i="68"/>
  <c r="F184" i="68"/>
  <c r="F170" i="68"/>
  <c r="F156" i="68"/>
  <c r="F157" i="68"/>
  <c r="F158" i="68"/>
  <c r="F159" i="68"/>
  <c r="F160" i="68"/>
  <c r="F161" i="68"/>
  <c r="F162" i="68"/>
  <c r="F163" i="68"/>
  <c r="F164" i="68"/>
  <c r="F165" i="68"/>
  <c r="F166" i="68"/>
  <c r="F167" i="68"/>
  <c r="F168" i="68"/>
  <c r="F169" i="68"/>
  <c r="F155" i="68"/>
  <c r="F141" i="68"/>
  <c r="F142" i="68"/>
  <c r="F143" i="68"/>
  <c r="F144" i="68"/>
  <c r="F145" i="68"/>
  <c r="F146" i="68"/>
  <c r="F147" i="68"/>
  <c r="F148" i="68"/>
  <c r="F149" i="68"/>
  <c r="F150" i="68"/>
  <c r="F151" i="68"/>
  <c r="F152" i="68"/>
  <c r="F153" i="68"/>
  <c r="F154" i="68"/>
  <c r="F140" i="68"/>
  <c r="F126" i="68"/>
  <c r="F127" i="68"/>
  <c r="F128" i="68"/>
  <c r="F129" i="68"/>
  <c r="F130" i="68"/>
  <c r="F131" i="68"/>
  <c r="F132" i="68"/>
  <c r="F133" i="68"/>
  <c r="F134" i="68"/>
  <c r="F135" i="68"/>
  <c r="F136" i="68"/>
  <c r="F137" i="68"/>
  <c r="F138" i="68"/>
  <c r="F139" i="68"/>
  <c r="F125" i="68"/>
  <c r="F111" i="68"/>
  <c r="F112" i="68"/>
  <c r="F113" i="68"/>
  <c r="F114" i="68"/>
  <c r="F115" i="68"/>
  <c r="F116" i="68"/>
  <c r="F117" i="68"/>
  <c r="F118" i="68"/>
  <c r="F119" i="68"/>
  <c r="F120" i="68"/>
  <c r="F121" i="68"/>
  <c r="F122" i="68"/>
  <c r="F123" i="68"/>
  <c r="F124" i="68"/>
  <c r="F110" i="68"/>
  <c r="D216" i="68"/>
  <c r="D217" i="68"/>
  <c r="D218" i="68"/>
  <c r="D219" i="68"/>
  <c r="D220" i="68"/>
  <c r="D221" i="68"/>
  <c r="D222" i="68"/>
  <c r="D223" i="68"/>
  <c r="D224" i="68"/>
  <c r="D225" i="68"/>
  <c r="D226" i="68"/>
  <c r="D227" i="68"/>
  <c r="D228" i="68"/>
  <c r="D229" i="68"/>
  <c r="D215" i="68"/>
  <c r="D201" i="68"/>
  <c r="D202" i="68"/>
  <c r="D203" i="68"/>
  <c r="D204" i="68"/>
  <c r="D205" i="68"/>
  <c r="D206" i="68"/>
  <c r="D207" i="68"/>
  <c r="D208" i="68"/>
  <c r="D209" i="68"/>
  <c r="D210" i="68"/>
  <c r="D211" i="68"/>
  <c r="D212" i="68"/>
  <c r="D213" i="68"/>
  <c r="D214" i="68"/>
  <c r="D200" i="68"/>
  <c r="D186" i="68"/>
  <c r="D187" i="68"/>
  <c r="D188" i="68"/>
  <c r="D189" i="68"/>
  <c r="D190" i="68"/>
  <c r="D191" i="68"/>
  <c r="D192" i="68"/>
  <c r="D193" i="68"/>
  <c r="D194" i="68"/>
  <c r="D195" i="68"/>
  <c r="D196" i="68"/>
  <c r="D197" i="68"/>
  <c r="D198" i="68"/>
  <c r="D199" i="68"/>
  <c r="D185" i="68"/>
  <c r="D171" i="68"/>
  <c r="D172" i="68"/>
  <c r="D173" i="68"/>
  <c r="D174" i="68"/>
  <c r="D175" i="68"/>
  <c r="D176" i="68"/>
  <c r="D177" i="68"/>
  <c r="D178" i="68"/>
  <c r="D179" i="68"/>
  <c r="D180" i="68"/>
  <c r="D181" i="68"/>
  <c r="D182" i="68"/>
  <c r="D183" i="68"/>
  <c r="D184" i="68"/>
  <c r="D170" i="68"/>
  <c r="D158" i="68"/>
  <c r="D159" i="68"/>
  <c r="D160" i="68"/>
  <c r="D161" i="68"/>
  <c r="D162" i="68"/>
  <c r="D163" i="68"/>
  <c r="D164" i="68"/>
  <c r="D165" i="68"/>
  <c r="D166" i="68"/>
  <c r="D167" i="68"/>
  <c r="D168" i="68"/>
  <c r="D169" i="68"/>
  <c r="D143" i="68"/>
  <c r="D144" i="68"/>
  <c r="D145" i="68"/>
  <c r="D146" i="68"/>
  <c r="D147" i="68"/>
  <c r="D148" i="68"/>
  <c r="D149" i="68"/>
  <c r="D150" i="68"/>
  <c r="D151" i="68"/>
  <c r="D152" i="68"/>
  <c r="D153" i="68"/>
  <c r="D154" i="68"/>
  <c r="D128" i="68"/>
  <c r="D129" i="68"/>
  <c r="D130" i="68"/>
  <c r="D131" i="68"/>
  <c r="D132" i="68"/>
  <c r="D133" i="68"/>
  <c r="D135" i="68"/>
  <c r="D136" i="68"/>
  <c r="D137" i="68"/>
  <c r="D138" i="68"/>
  <c r="D139" i="68"/>
  <c r="D115" i="68"/>
  <c r="D116" i="68"/>
  <c r="D117" i="68"/>
  <c r="D118" i="68"/>
  <c r="D119" i="68"/>
  <c r="D120" i="68"/>
  <c r="D121" i="68"/>
  <c r="D122" i="68"/>
  <c r="D123" i="68"/>
  <c r="D124" i="68"/>
  <c r="K32" i="6"/>
  <c r="K31" i="6"/>
  <c r="K30" i="6"/>
  <c r="K29" i="6"/>
  <c r="K28" i="6"/>
  <c r="K27" i="6"/>
  <c r="K26" i="6"/>
  <c r="K25" i="6"/>
  <c r="K24" i="6"/>
  <c r="K23" i="6"/>
  <c r="K22" i="6"/>
  <c r="K21" i="6"/>
  <c r="K20" i="6"/>
  <c r="K19" i="6"/>
  <c r="K18" i="6"/>
  <c r="K17" i="6"/>
  <c r="K16" i="6"/>
  <c r="K15" i="6"/>
  <c r="J32" i="6"/>
  <c r="J31" i="6"/>
  <c r="J30" i="6"/>
  <c r="J29" i="6"/>
  <c r="J28" i="6"/>
  <c r="J27" i="6"/>
  <c r="J26" i="6"/>
  <c r="J25" i="6"/>
  <c r="J24" i="6"/>
  <c r="J23" i="6"/>
  <c r="J22" i="6"/>
  <c r="J21" i="6"/>
  <c r="J20" i="6"/>
  <c r="J19" i="6"/>
  <c r="J17" i="6"/>
  <c r="J16" i="6"/>
  <c r="J15" i="6"/>
  <c r="J14" i="6"/>
  <c r="J13" i="6"/>
  <c r="J12" i="6"/>
  <c r="J11" i="6"/>
  <c r="J10" i="6"/>
  <c r="I32" i="6"/>
  <c r="I30" i="6"/>
  <c r="I29" i="6"/>
  <c r="I28" i="6"/>
  <c r="I27" i="6"/>
  <c r="I26" i="6"/>
  <c r="I25" i="6"/>
  <c r="I24" i="6"/>
  <c r="I23" i="6"/>
  <c r="I22" i="6"/>
  <c r="I21" i="6"/>
  <c r="I20" i="6"/>
  <c r="I19" i="6"/>
  <c r="I17" i="6"/>
  <c r="I16" i="6"/>
  <c r="I15" i="6"/>
  <c r="I14" i="6"/>
  <c r="D32" i="6"/>
  <c r="D31" i="6"/>
  <c r="D30" i="6"/>
  <c r="D29" i="6"/>
  <c r="D28" i="6"/>
  <c r="D27" i="6"/>
  <c r="D26" i="6"/>
  <c r="D25" i="6"/>
  <c r="D24" i="6"/>
  <c r="D23" i="6"/>
  <c r="D22" i="6"/>
  <c r="D20" i="6"/>
  <c r="D18" i="6"/>
  <c r="D19" i="6"/>
  <c r="D17" i="6"/>
  <c r="D16" i="6"/>
  <c r="D15" i="6"/>
  <c r="D14" i="6"/>
  <c r="D13" i="6"/>
  <c r="D12" i="6"/>
  <c r="D11" i="6"/>
  <c r="D10" i="6"/>
  <c r="M33" i="44" a="1"/>
  <c r="M33" i="44" s="1"/>
  <c r="N33" i="44" s="1"/>
  <c r="O33" i="44" s="1"/>
  <c r="M32" i="44" a="1"/>
  <c r="M32" i="44"/>
  <c r="N32" i="44" s="1"/>
  <c r="O32" i="44" s="1"/>
  <c r="M31" i="44" a="1"/>
  <c r="M31" i="44" s="1"/>
  <c r="N31" i="44" s="1"/>
  <c r="O31" i="44" s="1"/>
  <c r="M30" i="44" a="1"/>
  <c r="M30" i="44"/>
  <c r="N30" i="44" s="1"/>
  <c r="O30" i="44" s="1"/>
  <c r="M29" i="44" a="1"/>
  <c r="M29" i="44" s="1"/>
  <c r="N29" i="44" s="1"/>
  <c r="O29" i="44" s="1"/>
  <c r="M28" i="44" a="1"/>
  <c r="M28" i="44"/>
  <c r="N28" i="44" s="1"/>
  <c r="O28" i="44" s="1"/>
  <c r="M27" i="44" a="1"/>
  <c r="M27" i="44" s="1"/>
  <c r="N27" i="44" s="1"/>
  <c r="O27" i="44" s="1"/>
  <c r="M26" i="44" a="1"/>
  <c r="M26" i="44"/>
  <c r="N26" i="44" s="1"/>
  <c r="O26" i="44" s="1"/>
  <c r="M25" i="44" a="1"/>
  <c r="M25" i="44" s="1"/>
  <c r="N25" i="44" s="1"/>
  <c r="O25" i="44" s="1"/>
  <c r="M24" i="44" a="1"/>
  <c r="M24" i="44"/>
  <c r="N24" i="44" s="1"/>
  <c r="O24" i="44" s="1"/>
  <c r="M23" i="44" a="1"/>
  <c r="M23" i="44" s="1"/>
  <c r="N23" i="44" s="1"/>
  <c r="O23" i="44" s="1"/>
  <c r="M22" i="44" a="1"/>
  <c r="M22" i="44"/>
  <c r="N22" i="44" s="1"/>
  <c r="O22" i="44" s="1"/>
  <c r="M21" i="44" a="1"/>
  <c r="M21" i="44" s="1"/>
  <c r="N21" i="44" s="1"/>
  <c r="M20" i="44" a="1"/>
  <c r="M20" i="44"/>
  <c r="N20" i="44" s="1"/>
  <c r="M19" i="44" a="1"/>
  <c r="M19" i="44" s="1"/>
  <c r="N19" i="44" s="1"/>
  <c r="B64" i="44"/>
  <c r="D64" i="44" s="1"/>
  <c r="B65" i="44"/>
  <c r="D65" i="44"/>
  <c r="B66" i="44"/>
  <c r="D66" i="44" s="1"/>
  <c r="B67" i="44"/>
  <c r="D67" i="44" s="1"/>
  <c r="B68" i="44"/>
  <c r="D68" i="44" s="1"/>
  <c r="B69" i="44"/>
  <c r="D69" i="44"/>
  <c r="B70" i="44"/>
  <c r="D70" i="44" s="1"/>
  <c r="B71" i="44"/>
  <c r="D71" i="44" s="1"/>
  <c r="B72" i="44"/>
  <c r="D72" i="44" s="1"/>
  <c r="B73" i="44"/>
  <c r="D73" i="44"/>
  <c r="B74" i="44"/>
  <c r="D74" i="44" s="1"/>
  <c r="B75" i="44"/>
  <c r="D75" i="44" s="1"/>
  <c r="B76" i="44"/>
  <c r="D76" i="44" s="1"/>
  <c r="B77" i="44"/>
  <c r="D77" i="44"/>
  <c r="B78" i="44"/>
  <c r="D78" i="44" s="1"/>
  <c r="B79" i="44"/>
  <c r="D79" i="44" s="1"/>
  <c r="Z46" i="44"/>
  <c r="D19" i="44"/>
  <c r="A19" i="44" s="1"/>
  <c r="D155" i="68" s="1"/>
  <c r="I19" i="44"/>
  <c r="K19" i="44"/>
  <c r="T19" i="44"/>
  <c r="J155" i="68"/>
  <c r="W19" i="44"/>
  <c r="Z19" i="44"/>
  <c r="AB19" i="44"/>
  <c r="AE19" i="44" s="1"/>
  <c r="AF19" i="44"/>
  <c r="D20" i="44"/>
  <c r="A20" i="44" s="1"/>
  <c r="D156" i="68" s="1"/>
  <c r="I20" i="44"/>
  <c r="K20" i="44"/>
  <c r="S20" i="44"/>
  <c r="T20" i="44"/>
  <c r="W20" i="44"/>
  <c r="Z20" i="44"/>
  <c r="AG20" i="44" s="1" a="1"/>
  <c r="AG20" i="44" s="1"/>
  <c r="AH20" i="44" s="1"/>
  <c r="AI20" i="44" s="1"/>
  <c r="AJ20" i="44" s="1"/>
  <c r="AK20" i="44" s="1"/>
  <c r="AB20" i="44"/>
  <c r="AF20" i="44"/>
  <c r="D21" i="44"/>
  <c r="A21" i="44" s="1"/>
  <c r="D157" i="68" s="1"/>
  <c r="I21" i="44"/>
  <c r="K21" i="44"/>
  <c r="S21" i="44"/>
  <c r="T21" i="44"/>
  <c r="W21" i="44"/>
  <c r="Z21" i="44" s="1"/>
  <c r="AB21" i="44"/>
  <c r="AF21" i="44"/>
  <c r="A22" i="44"/>
  <c r="D22" i="44"/>
  <c r="I22" i="44"/>
  <c r="K22" i="44"/>
  <c r="S22" i="44"/>
  <c r="T22" i="44"/>
  <c r="W22" i="44"/>
  <c r="Z22" i="44"/>
  <c r="AA22" i="44"/>
  <c r="AB22" i="44"/>
  <c r="AF22" i="44" s="1"/>
  <c r="A23" i="44"/>
  <c r="D23" i="44"/>
  <c r="I23" i="44"/>
  <c r="K23" i="44"/>
  <c r="S23" i="44"/>
  <c r="T23" i="44"/>
  <c r="W23" i="44"/>
  <c r="Z23" i="44" s="1"/>
  <c r="AB23" i="44"/>
  <c r="AF23" i="44"/>
  <c r="A24" i="44"/>
  <c r="D24" i="44"/>
  <c r="I24" i="44"/>
  <c r="K24" i="44"/>
  <c r="S24" i="44"/>
  <c r="T24" i="44"/>
  <c r="W24" i="44"/>
  <c r="Z24" i="44" s="1"/>
  <c r="AB24" i="44"/>
  <c r="AF24" i="44" s="1"/>
  <c r="D25" i="44"/>
  <c r="A25" i="44" s="1"/>
  <c r="I25" i="44"/>
  <c r="K25" i="44"/>
  <c r="S25" i="44"/>
  <c r="T25" i="44"/>
  <c r="W25" i="44"/>
  <c r="Z25" i="44" s="1"/>
  <c r="AB25" i="44"/>
  <c r="AF25" i="44" s="1"/>
  <c r="D26" i="44"/>
  <c r="A26" i="44" s="1"/>
  <c r="I26" i="44"/>
  <c r="K26" i="44"/>
  <c r="S26" i="44"/>
  <c r="T26" i="44"/>
  <c r="W26" i="44"/>
  <c r="Z26" i="44"/>
  <c r="AA26" i="44" s="1"/>
  <c r="AB26" i="44"/>
  <c r="AF26" i="44" s="1"/>
  <c r="D27" i="44"/>
  <c r="A27" i="44" s="1"/>
  <c r="I27" i="44"/>
  <c r="K27" i="44"/>
  <c r="S27" i="44"/>
  <c r="T27" i="44"/>
  <c r="W27" i="44"/>
  <c r="Z27" i="44"/>
  <c r="AG27" i="44" s="1" a="1"/>
  <c r="AG27" i="44" s="1"/>
  <c r="AH27" i="44" s="1"/>
  <c r="AI27" i="44" s="1"/>
  <c r="AJ27" i="44" s="1"/>
  <c r="AK27" i="44" s="1"/>
  <c r="AB27" i="44"/>
  <c r="AF27" i="44"/>
  <c r="A28" i="44"/>
  <c r="D28" i="44"/>
  <c r="I28" i="44"/>
  <c r="K28" i="44"/>
  <c r="S28" i="44"/>
  <c r="T28" i="44"/>
  <c r="W28" i="44"/>
  <c r="Z28" i="44"/>
  <c r="AB28" i="44"/>
  <c r="AE28" i="44" s="1"/>
  <c r="AF28" i="44"/>
  <c r="D29" i="44"/>
  <c r="A29" i="44" s="1"/>
  <c r="I29" i="44"/>
  <c r="K29" i="44"/>
  <c r="S29" i="44"/>
  <c r="T29" i="44"/>
  <c r="V29" i="44"/>
  <c r="W29" i="44"/>
  <c r="Z29" i="44" s="1"/>
  <c r="AB29" i="44"/>
  <c r="AF29" i="44"/>
  <c r="A30" i="44"/>
  <c r="D30" i="44"/>
  <c r="I30" i="44"/>
  <c r="K30" i="44"/>
  <c r="S30" i="44"/>
  <c r="T30" i="44"/>
  <c r="V30" i="44"/>
  <c r="W30" i="44"/>
  <c r="Z30" i="44"/>
  <c r="AG30" i="44" s="1" a="1"/>
  <c r="AG30" i="44" s="1"/>
  <c r="AH30" i="44" s="1"/>
  <c r="AI30" i="44" s="1"/>
  <c r="AJ30" i="44" s="1"/>
  <c r="AK30" i="44" s="1"/>
  <c r="AA30" i="44"/>
  <c r="AB30" i="44"/>
  <c r="AF30" i="44" s="1"/>
  <c r="A31" i="44"/>
  <c r="D31" i="44"/>
  <c r="I31" i="44"/>
  <c r="K31" i="44"/>
  <c r="S31" i="44"/>
  <c r="T31" i="44"/>
  <c r="V31" i="44"/>
  <c r="W31" i="44"/>
  <c r="Z31" i="44" s="1"/>
  <c r="AB31" i="44"/>
  <c r="AF31" i="44"/>
  <c r="A32" i="44"/>
  <c r="D32" i="44"/>
  <c r="I32" i="44"/>
  <c r="K32" i="44"/>
  <c r="S32" i="44"/>
  <c r="T32" i="44"/>
  <c r="V32" i="44"/>
  <c r="W32" i="44"/>
  <c r="Z32" i="44" s="1"/>
  <c r="AB32" i="44"/>
  <c r="AF32" i="44" s="1"/>
  <c r="D33" i="44"/>
  <c r="A33" i="44" s="1"/>
  <c r="I33" i="44"/>
  <c r="K33" i="44"/>
  <c r="S33" i="44"/>
  <c r="T33" i="44"/>
  <c r="V33" i="44"/>
  <c r="W33" i="44"/>
  <c r="Z33" i="44" s="1"/>
  <c r="AB33" i="44"/>
  <c r="AF33" i="44" s="1"/>
  <c r="M33" i="43" a="1"/>
  <c r="M33" i="43"/>
  <c r="N33" i="43" s="1"/>
  <c r="O33" i="43" s="1"/>
  <c r="M32" i="43" a="1"/>
  <c r="M32" i="43"/>
  <c r="N32" i="43" s="1"/>
  <c r="O32" i="43" s="1"/>
  <c r="M31" i="43" a="1"/>
  <c r="M31" i="43"/>
  <c r="M30" i="43" a="1"/>
  <c r="M30" i="43"/>
  <c r="N30" i="43" s="1"/>
  <c r="O30" i="43" s="1"/>
  <c r="M29" i="43" a="1"/>
  <c r="M29" i="43"/>
  <c r="M28" i="43" a="1"/>
  <c r="M28" i="43"/>
  <c r="M27" i="43" a="1"/>
  <c r="M27" i="43"/>
  <c r="M26" i="43" a="1"/>
  <c r="M26" i="43"/>
  <c r="N26" i="43" s="1"/>
  <c r="O26" i="43" s="1"/>
  <c r="M25" i="43" a="1"/>
  <c r="M25" i="43"/>
  <c r="N25" i="43" s="1"/>
  <c r="O25" i="43" s="1"/>
  <c r="M24" i="43" a="1"/>
  <c r="M24" i="43"/>
  <c r="N24" i="43" s="1"/>
  <c r="O24" i="43" s="1"/>
  <c r="M23" i="43" a="1"/>
  <c r="M23" i="43"/>
  <c r="M22" i="43" a="1"/>
  <c r="M22" i="43"/>
  <c r="N22" i="43" s="1"/>
  <c r="O22" i="43" s="1"/>
  <c r="M21" i="43" a="1"/>
  <c r="M21" i="43"/>
  <c r="M20" i="43" a="1"/>
  <c r="M20" i="43"/>
  <c r="M19" i="43" a="1"/>
  <c r="M19" i="43"/>
  <c r="B64" i="43"/>
  <c r="D64" i="43" s="1"/>
  <c r="B65" i="43"/>
  <c r="D65" i="43"/>
  <c r="B66" i="43"/>
  <c r="D66" i="43"/>
  <c r="B67" i="43"/>
  <c r="D67" i="43"/>
  <c r="B68" i="43"/>
  <c r="D68" i="43" s="1"/>
  <c r="B69" i="43"/>
  <c r="D69" i="43"/>
  <c r="B70" i="43"/>
  <c r="D70" i="43"/>
  <c r="B71" i="43"/>
  <c r="D71" i="43"/>
  <c r="B72" i="43"/>
  <c r="D72" i="43" s="1"/>
  <c r="B73" i="43"/>
  <c r="D73" i="43"/>
  <c r="B74" i="43"/>
  <c r="D74" i="43"/>
  <c r="B75" i="43"/>
  <c r="D75" i="43"/>
  <c r="B76" i="43"/>
  <c r="D76" i="43" s="1"/>
  <c r="B77" i="43"/>
  <c r="D77" i="43"/>
  <c r="B78" i="43"/>
  <c r="D78" i="43"/>
  <c r="B79" i="43"/>
  <c r="D79" i="43"/>
  <c r="Z46" i="43"/>
  <c r="D19" i="43"/>
  <c r="A19" i="43" s="1"/>
  <c r="D140" i="68" s="1"/>
  <c r="I19" i="43"/>
  <c r="K19" i="43"/>
  <c r="N19" i="43"/>
  <c r="T19" i="43"/>
  <c r="J140" i="68"/>
  <c r="W19" i="43"/>
  <c r="Z19" i="43"/>
  <c r="AB19" i="43"/>
  <c r="D20" i="43"/>
  <c r="A20" i="43" s="1"/>
  <c r="D141" i="68" s="1"/>
  <c r="I20" i="43"/>
  <c r="K20" i="43"/>
  <c r="N20" i="43"/>
  <c r="O20" i="43" s="1"/>
  <c r="S20" i="43"/>
  <c r="T20" i="43"/>
  <c r="W20" i="43"/>
  <c r="Z20" i="43"/>
  <c r="AG20" i="43" s="1" a="1"/>
  <c r="AG20" i="43" s="1"/>
  <c r="AH20" i="43" s="1"/>
  <c r="AI20" i="43" s="1"/>
  <c r="AJ20" i="43" s="1"/>
  <c r="AB20" i="43"/>
  <c r="AF20" i="43"/>
  <c r="D21" i="43"/>
  <c r="A21" i="43" s="1"/>
  <c r="D142" i="68" s="1"/>
  <c r="I21" i="43"/>
  <c r="K21" i="43"/>
  <c r="N21" i="43"/>
  <c r="O21" i="43" s="1"/>
  <c r="S21" i="43"/>
  <c r="T21" i="43"/>
  <c r="Z21" i="43"/>
  <c r="AG21" i="43" s="1" a="1"/>
  <c r="AG21" i="43" s="1"/>
  <c r="AH21" i="43" s="1"/>
  <c r="AI21" i="43" s="1"/>
  <c r="AJ21" i="43" s="1"/>
  <c r="AB21" i="43"/>
  <c r="AF21" i="43"/>
  <c r="D22" i="43"/>
  <c r="A22" i="43" s="1"/>
  <c r="I22" i="43"/>
  <c r="K22" i="43"/>
  <c r="S22" i="43"/>
  <c r="T22" i="43"/>
  <c r="W22" i="43"/>
  <c r="Z22" i="43"/>
  <c r="AA22" i="43"/>
  <c r="AB22" i="43"/>
  <c r="AF22" i="43"/>
  <c r="A23" i="43"/>
  <c r="D23" i="43"/>
  <c r="I23" i="43"/>
  <c r="K23" i="43"/>
  <c r="N23" i="43"/>
  <c r="O23" i="43"/>
  <c r="U23" i="43" s="1"/>
  <c r="S23" i="43"/>
  <c r="T23" i="43"/>
  <c r="AA23" i="43"/>
  <c r="W23" i="43"/>
  <c r="Z23" i="43"/>
  <c r="AG23" i="43" s="1" a="1"/>
  <c r="AG23" i="43" s="1"/>
  <c r="AH23" i="43" s="1"/>
  <c r="AI23" i="43" s="1"/>
  <c r="AJ23" i="43" s="1"/>
  <c r="AB23" i="43"/>
  <c r="A24" i="43"/>
  <c r="D24" i="43"/>
  <c r="I24" i="43"/>
  <c r="K24" i="43"/>
  <c r="S24" i="43"/>
  <c r="T24" i="43"/>
  <c r="W24" i="43"/>
  <c r="Z24" i="43" s="1"/>
  <c r="AB24" i="43"/>
  <c r="AF24" i="43"/>
  <c r="A25" i="43"/>
  <c r="D25" i="43"/>
  <c r="I25" i="43"/>
  <c r="K25" i="43"/>
  <c r="S25" i="43"/>
  <c r="T25" i="43"/>
  <c r="W25" i="43"/>
  <c r="Z25" i="43" s="1"/>
  <c r="AB25" i="43"/>
  <c r="AF25" i="43" s="1"/>
  <c r="D26" i="43"/>
  <c r="A26" i="43" s="1"/>
  <c r="I26" i="43"/>
  <c r="K26" i="43"/>
  <c r="S26" i="43"/>
  <c r="T26" i="43"/>
  <c r="W26" i="43"/>
  <c r="Z26" i="43" s="1"/>
  <c r="AB26" i="43"/>
  <c r="AF26" i="43" s="1"/>
  <c r="D27" i="43"/>
  <c r="A27" i="43" s="1"/>
  <c r="I27" i="43"/>
  <c r="K27" i="43"/>
  <c r="N27" i="43"/>
  <c r="O27" i="43" s="1"/>
  <c r="S27" i="43"/>
  <c r="T27" i="43"/>
  <c r="W27" i="43"/>
  <c r="Z27" i="43"/>
  <c r="AB27" i="43"/>
  <c r="AF27" i="43" s="1"/>
  <c r="D28" i="43"/>
  <c r="A28" i="43" s="1"/>
  <c r="I28" i="43"/>
  <c r="K28" i="43"/>
  <c r="N28" i="43"/>
  <c r="O28" i="43" s="1"/>
  <c r="S28" i="43"/>
  <c r="T28" i="43"/>
  <c r="W28" i="43"/>
  <c r="Z28" i="43"/>
  <c r="AB28" i="43"/>
  <c r="AE28" i="43" s="1"/>
  <c r="AF28" i="43"/>
  <c r="D29" i="43"/>
  <c r="A29" i="43" s="1"/>
  <c r="I29" i="43"/>
  <c r="K29" i="43"/>
  <c r="N29" i="43"/>
  <c r="O29" i="43" s="1"/>
  <c r="S29" i="43"/>
  <c r="T29" i="43"/>
  <c r="V29" i="43"/>
  <c r="W29" i="43"/>
  <c r="Z29" i="43"/>
  <c r="AG29" i="43" s="1" a="1"/>
  <c r="AG29" i="43" s="1"/>
  <c r="AH29" i="43" s="1"/>
  <c r="AI29" i="43" s="1"/>
  <c r="AJ29" i="43" s="1"/>
  <c r="AB29" i="43"/>
  <c r="AF29" i="43"/>
  <c r="D30" i="43"/>
  <c r="A30" i="43" s="1"/>
  <c r="I30" i="43"/>
  <c r="K30" i="43"/>
  <c r="S30" i="43"/>
  <c r="T30" i="43"/>
  <c r="V30" i="43"/>
  <c r="W30" i="43"/>
  <c r="Z30" i="43"/>
  <c r="AA30" i="43"/>
  <c r="AB30" i="43"/>
  <c r="AF30" i="43"/>
  <c r="A31" i="43"/>
  <c r="D31" i="43"/>
  <c r="I31" i="43"/>
  <c r="K31" i="43"/>
  <c r="N31" i="43"/>
  <c r="O31" i="43"/>
  <c r="U31" i="43" s="1"/>
  <c r="S31" i="43"/>
  <c r="T31" i="43"/>
  <c r="V31" i="43"/>
  <c r="AA31" i="43" s="1"/>
  <c r="W31" i="43"/>
  <c r="Z31" i="43"/>
  <c r="AG31" i="43" s="1" a="1"/>
  <c r="AG31" i="43" s="1"/>
  <c r="AH31" i="43" s="1"/>
  <c r="AI31" i="43" s="1"/>
  <c r="AJ31" i="43" s="1"/>
  <c r="AB31" i="43"/>
  <c r="A32" i="43"/>
  <c r="D32" i="43"/>
  <c r="I32" i="43"/>
  <c r="K32" i="43"/>
  <c r="S32" i="43"/>
  <c r="T32" i="43"/>
  <c r="V32" i="43"/>
  <c r="W32" i="43"/>
  <c r="Z32" i="43" s="1"/>
  <c r="AB32" i="43"/>
  <c r="AF32" i="43"/>
  <c r="A33" i="43"/>
  <c r="D33" i="43"/>
  <c r="I33" i="43"/>
  <c r="K33" i="43"/>
  <c r="S33" i="43"/>
  <c r="T33" i="43"/>
  <c r="V33" i="43"/>
  <c r="W33" i="43"/>
  <c r="Z33" i="43" s="1"/>
  <c r="AB33" i="43"/>
  <c r="AF33" i="43" s="1"/>
  <c r="M33" i="42" a="1"/>
  <c r="M33" i="42" s="1"/>
  <c r="N33" i="42" s="1"/>
  <c r="O33" i="42" s="1"/>
  <c r="M32" i="42" a="1"/>
  <c r="M32" i="42" s="1"/>
  <c r="N32" i="42" s="1"/>
  <c r="O32" i="42" s="1"/>
  <c r="M31" i="42" a="1"/>
  <c r="M31" i="42" s="1"/>
  <c r="N31" i="42" s="1"/>
  <c r="O31" i="42" s="1"/>
  <c r="M30" i="42" a="1"/>
  <c r="M30" i="42" s="1"/>
  <c r="N30" i="42" s="1"/>
  <c r="O30" i="42" s="1"/>
  <c r="M29" i="42" a="1"/>
  <c r="M29" i="42" s="1"/>
  <c r="N29" i="42" s="1"/>
  <c r="O29" i="42" s="1"/>
  <c r="M28" i="42" a="1"/>
  <c r="M28" i="42" s="1"/>
  <c r="N28" i="42" s="1"/>
  <c r="M27" i="42" a="1"/>
  <c r="M27" i="42" s="1"/>
  <c r="N27" i="42" s="1"/>
  <c r="O27" i="42" s="1"/>
  <c r="M26" i="42" a="1"/>
  <c r="M26" i="42" s="1"/>
  <c r="N26" i="42" s="1"/>
  <c r="O26" i="42" s="1"/>
  <c r="M25" i="42" a="1"/>
  <c r="M25" i="42" s="1"/>
  <c r="N25" i="42" s="1"/>
  <c r="O25" i="42" s="1"/>
  <c r="M24" i="42" a="1"/>
  <c r="M24" i="42" s="1"/>
  <c r="N24" i="42" s="1"/>
  <c r="O24" i="42" s="1"/>
  <c r="M23" i="42" a="1"/>
  <c r="M23" i="42" s="1"/>
  <c r="N23" i="42" s="1"/>
  <c r="M22" i="42" a="1"/>
  <c r="M22" i="42" s="1"/>
  <c r="N22" i="42" s="1"/>
  <c r="M21" i="42" a="1"/>
  <c r="M21" i="42" s="1"/>
  <c r="N21" i="42" s="1"/>
  <c r="M20" i="42" a="1"/>
  <c r="M20" i="42" s="1"/>
  <c r="N20" i="42" s="1"/>
  <c r="M19" i="42" a="1"/>
  <c r="M19" i="42" s="1"/>
  <c r="N19" i="42" s="1"/>
  <c r="B64" i="42"/>
  <c r="D64" i="42"/>
  <c r="B65" i="42"/>
  <c r="D65" i="42" s="1"/>
  <c r="B66" i="42"/>
  <c r="D66" i="42" s="1"/>
  <c r="B67" i="42"/>
  <c r="D67" i="42" s="1"/>
  <c r="B68" i="42"/>
  <c r="D68" i="42"/>
  <c r="B69" i="42"/>
  <c r="D69" i="42" s="1"/>
  <c r="B70" i="42"/>
  <c r="D70" i="42" s="1"/>
  <c r="B71" i="42"/>
  <c r="D71" i="42" s="1"/>
  <c r="B72" i="42"/>
  <c r="D72" i="42"/>
  <c r="B73" i="42"/>
  <c r="D73" i="42" s="1"/>
  <c r="B74" i="42"/>
  <c r="D74" i="42" s="1"/>
  <c r="B75" i="42"/>
  <c r="D75" i="42" s="1"/>
  <c r="B76" i="42"/>
  <c r="D76" i="42"/>
  <c r="B77" i="42"/>
  <c r="D77" i="42" s="1"/>
  <c r="B78" i="42"/>
  <c r="D78" i="42" s="1"/>
  <c r="B79" i="42"/>
  <c r="D79" i="42" s="1"/>
  <c r="Z46" i="42"/>
  <c r="D19" i="42"/>
  <c r="A19" i="42" s="1"/>
  <c r="D125" i="68" s="1"/>
  <c r="I19" i="42"/>
  <c r="K19" i="42"/>
  <c r="T19" i="42"/>
  <c r="W19" i="42"/>
  <c r="Z19" i="42" s="1"/>
  <c r="AB19" i="42"/>
  <c r="D20" i="42"/>
  <c r="A20" i="42" s="1"/>
  <c r="D126" i="68" s="1"/>
  <c r="I20" i="42"/>
  <c r="K20" i="42"/>
  <c r="T20" i="42"/>
  <c r="W20" i="42"/>
  <c r="Z20" i="42"/>
  <c r="AG20" i="42" s="1" a="1"/>
  <c r="AG20" i="42" s="1"/>
  <c r="AB20" i="42"/>
  <c r="D21" i="42"/>
  <c r="A21" i="42" s="1"/>
  <c r="D127" i="68" s="1"/>
  <c r="I21" i="42"/>
  <c r="K21" i="42"/>
  <c r="T21" i="42"/>
  <c r="W21" i="42"/>
  <c r="Z21" i="42" s="1"/>
  <c r="AB21" i="42"/>
  <c r="AF21" i="42"/>
  <c r="D22" i="42"/>
  <c r="A22" i="42" s="1"/>
  <c r="I22" i="42"/>
  <c r="K22" i="42"/>
  <c r="T22" i="42"/>
  <c r="AF22" i="42"/>
  <c r="W22" i="42"/>
  <c r="AB22" i="42"/>
  <c r="D23" i="42"/>
  <c r="A23" i="42" s="1"/>
  <c r="I23" i="42"/>
  <c r="K23" i="42"/>
  <c r="T23" i="42"/>
  <c r="W23" i="42"/>
  <c r="Z23" i="42" s="1"/>
  <c r="AG23" i="42" s="1" a="1"/>
  <c r="AG23" i="42" s="1"/>
  <c r="AH23" i="42" s="1"/>
  <c r="AI23" i="42" s="1"/>
  <c r="AJ23" i="42" s="1"/>
  <c r="AK23" i="42" s="1"/>
  <c r="AB23" i="42"/>
  <c r="AF23" i="42" s="1"/>
  <c r="D24" i="42"/>
  <c r="A24" i="42" s="1"/>
  <c r="I24" i="42"/>
  <c r="K24" i="42"/>
  <c r="S24" i="42"/>
  <c r="T24" i="42"/>
  <c r="W24" i="42"/>
  <c r="Z24" i="42" s="1"/>
  <c r="AB24" i="42"/>
  <c r="AF24" i="42"/>
  <c r="D25" i="42"/>
  <c r="A25" i="42" s="1"/>
  <c r="I25" i="42"/>
  <c r="K25" i="42"/>
  <c r="S25" i="42"/>
  <c r="T25" i="42"/>
  <c r="W25" i="42"/>
  <c r="Z25" i="42"/>
  <c r="AG25" i="42" s="1" a="1"/>
  <c r="AG25" i="42" s="1"/>
  <c r="AH25" i="42" s="1"/>
  <c r="AI25" i="42" s="1"/>
  <c r="AJ25" i="42" s="1"/>
  <c r="AK25" i="42" s="1"/>
  <c r="AB25" i="42"/>
  <c r="AF25" i="42" s="1"/>
  <c r="D26" i="42"/>
  <c r="A26" i="42" s="1"/>
  <c r="I26" i="42"/>
  <c r="K26" i="42"/>
  <c r="S26" i="42"/>
  <c r="T26" i="42"/>
  <c r="W26" i="42"/>
  <c r="Z26" i="42"/>
  <c r="AG26" i="42" s="1" a="1"/>
  <c r="AG26" i="42" s="1"/>
  <c r="AH26" i="42" s="1"/>
  <c r="AI26" i="42" s="1"/>
  <c r="AJ26" i="42" s="1"/>
  <c r="AK26" i="42" s="1"/>
  <c r="AA26" i="42"/>
  <c r="AB26" i="42"/>
  <c r="AF26" i="42"/>
  <c r="A27" i="42"/>
  <c r="D27" i="42"/>
  <c r="I27" i="42"/>
  <c r="K27" i="42"/>
  <c r="S27" i="42"/>
  <c r="T27" i="42"/>
  <c r="W27" i="42"/>
  <c r="Z27" i="42"/>
  <c r="AG27" i="42" s="1" a="1"/>
  <c r="AG27" i="42" s="1"/>
  <c r="AH27" i="42" s="1"/>
  <c r="AI27" i="42" s="1"/>
  <c r="AJ27" i="42" s="1"/>
  <c r="AK27" i="42" s="1"/>
  <c r="AB27" i="42"/>
  <c r="AF27" i="42"/>
  <c r="D28" i="42"/>
  <c r="A28" i="42" s="1"/>
  <c r="D134" i="68" s="1"/>
  <c r="I28" i="42"/>
  <c r="K28" i="42"/>
  <c r="S28" i="42"/>
  <c r="T28" i="42"/>
  <c r="J134" i="68"/>
  <c r="W28" i="42"/>
  <c r="Z28" i="42" s="1"/>
  <c r="AB28" i="42"/>
  <c r="AE28" i="42" s="1"/>
  <c r="AF28" i="42"/>
  <c r="A29" i="42"/>
  <c r="D29" i="42"/>
  <c r="I29" i="42"/>
  <c r="K29" i="42"/>
  <c r="S29" i="42"/>
  <c r="T29" i="42"/>
  <c r="V29" i="42"/>
  <c r="W29" i="42"/>
  <c r="Z29" i="42"/>
  <c r="AA29" i="42"/>
  <c r="AB29" i="42"/>
  <c r="AF29" i="42" s="1"/>
  <c r="D30" i="42"/>
  <c r="A30" i="42" s="1"/>
  <c r="I30" i="42"/>
  <c r="K30" i="42"/>
  <c r="S30" i="42"/>
  <c r="T30" i="42"/>
  <c r="V30" i="42"/>
  <c r="W30" i="42"/>
  <c r="Z30" i="42" s="1"/>
  <c r="AB30" i="42"/>
  <c r="AF30" i="42"/>
  <c r="A31" i="42"/>
  <c r="D31" i="42"/>
  <c r="I31" i="42"/>
  <c r="K31" i="42"/>
  <c r="S31" i="42"/>
  <c r="T31" i="42"/>
  <c r="V31" i="42"/>
  <c r="W31" i="42"/>
  <c r="Z31" i="42"/>
  <c r="AB31" i="42"/>
  <c r="AF31" i="42" s="1"/>
  <c r="D32" i="42"/>
  <c r="A32" i="42" s="1"/>
  <c r="I32" i="42"/>
  <c r="K32" i="42"/>
  <c r="S32" i="42"/>
  <c r="T32" i="42"/>
  <c r="V32" i="42"/>
  <c r="W32" i="42"/>
  <c r="Z32" i="42" s="1"/>
  <c r="AB32" i="42"/>
  <c r="AF32" i="42"/>
  <c r="D33" i="42"/>
  <c r="A33" i="42" s="1"/>
  <c r="I33" i="42"/>
  <c r="K33" i="42"/>
  <c r="S33" i="42"/>
  <c r="T33" i="42"/>
  <c r="V33" i="42"/>
  <c r="W33" i="42"/>
  <c r="Z33" i="42"/>
  <c r="AB33" i="42"/>
  <c r="AF33" i="42" s="1"/>
  <c r="J99" i="68"/>
  <c r="J114" i="68"/>
  <c r="M33" i="41" a="1"/>
  <c r="M33" i="41" s="1"/>
  <c r="N33" i="41" s="1"/>
  <c r="O33" i="41" s="1"/>
  <c r="M32" i="41" a="1"/>
  <c r="M32" i="41"/>
  <c r="N32" i="41" s="1"/>
  <c r="O32" i="41" s="1"/>
  <c r="M31" i="41" a="1"/>
  <c r="M31" i="41" s="1"/>
  <c r="N31" i="41" s="1"/>
  <c r="O31" i="41" s="1"/>
  <c r="M30" i="41" a="1"/>
  <c r="M30" i="41"/>
  <c r="N30" i="41" s="1"/>
  <c r="O30" i="41" s="1"/>
  <c r="M29" i="41" a="1"/>
  <c r="M29" i="41" s="1"/>
  <c r="N29" i="41" s="1"/>
  <c r="O29" i="41" s="1"/>
  <c r="M28" i="41" a="1"/>
  <c r="M28" i="41"/>
  <c r="N28" i="41" s="1"/>
  <c r="O28" i="41" s="1"/>
  <c r="M27" i="41" a="1"/>
  <c r="M27" i="41" s="1"/>
  <c r="N27" i="41" s="1"/>
  <c r="O27" i="41" s="1"/>
  <c r="M26" i="41" a="1"/>
  <c r="M26" i="41"/>
  <c r="N26" i="41" s="1"/>
  <c r="O26" i="41" s="1"/>
  <c r="M25" i="41" a="1"/>
  <c r="M25" i="41" s="1"/>
  <c r="N25" i="41" s="1"/>
  <c r="O25" i="41" s="1"/>
  <c r="M24" i="41" a="1"/>
  <c r="M24" i="41" s="1"/>
  <c r="N24" i="41" s="1"/>
  <c r="O24" i="41" s="1"/>
  <c r="M23" i="41" a="1"/>
  <c r="M23" i="41" s="1"/>
  <c r="N23" i="41" s="1"/>
  <c r="M22" i="41" a="1"/>
  <c r="M22" i="41" s="1"/>
  <c r="N22" i="41" s="1"/>
  <c r="M21" i="41" a="1"/>
  <c r="M21" i="41" s="1"/>
  <c r="N21" i="41" s="1"/>
  <c r="M20" i="41" a="1"/>
  <c r="M20" i="41" s="1"/>
  <c r="N20" i="41" s="1"/>
  <c r="M19" i="41" a="1"/>
  <c r="M19" i="41" s="1"/>
  <c r="N19" i="41" s="1"/>
  <c r="B64" i="41"/>
  <c r="D64" i="41"/>
  <c r="B65" i="41"/>
  <c r="D65" i="41"/>
  <c r="B66" i="41"/>
  <c r="D66" i="41" s="1"/>
  <c r="B67" i="41"/>
  <c r="D67" i="41" s="1"/>
  <c r="B68" i="41"/>
  <c r="D68" i="41" s="1"/>
  <c r="B69" i="41"/>
  <c r="D69" i="41"/>
  <c r="B70" i="41"/>
  <c r="D70" i="41" s="1"/>
  <c r="B71" i="41"/>
  <c r="D71" i="41" s="1"/>
  <c r="B72" i="41"/>
  <c r="D72" i="41"/>
  <c r="B73" i="41"/>
  <c r="D73" i="41"/>
  <c r="B74" i="41"/>
  <c r="D74" i="41" s="1"/>
  <c r="B75" i="41"/>
  <c r="D75" i="41" s="1"/>
  <c r="B76" i="41"/>
  <c r="D76" i="41"/>
  <c r="B77" i="41"/>
  <c r="D77" i="41"/>
  <c r="B78" i="41"/>
  <c r="D78" i="41" s="1"/>
  <c r="B79" i="41"/>
  <c r="D79" i="41" s="1"/>
  <c r="Z46" i="41"/>
  <c r="D19" i="41"/>
  <c r="A19" i="41" s="1"/>
  <c r="D110" i="68" s="1"/>
  <c r="I19" i="41"/>
  <c r="K19" i="41"/>
  <c r="T19" i="41"/>
  <c r="W19" i="41"/>
  <c r="Z19" i="41" s="1"/>
  <c r="AB19" i="41"/>
  <c r="AE19" i="41" s="1"/>
  <c r="D20" i="41"/>
  <c r="A20" i="41" s="1"/>
  <c r="D111" i="68" s="1"/>
  <c r="I20" i="41"/>
  <c r="K20" i="41"/>
  <c r="T20" i="41"/>
  <c r="J111" i="68"/>
  <c r="W20" i="41"/>
  <c r="Z20" i="41" s="1"/>
  <c r="AB20" i="41"/>
  <c r="AF20" i="41" s="1"/>
  <c r="D21" i="41"/>
  <c r="A21" i="41" s="1"/>
  <c r="D112" i="68" s="1"/>
  <c r="I21" i="41"/>
  <c r="K21" i="41"/>
  <c r="T21" i="41"/>
  <c r="J112" i="68"/>
  <c r="W21" i="41"/>
  <c r="Z21" i="41" s="1"/>
  <c r="AB21" i="41"/>
  <c r="D22" i="41"/>
  <c r="A22" i="41" s="1"/>
  <c r="D113" i="68" s="1"/>
  <c r="I22" i="41"/>
  <c r="K22" i="41"/>
  <c r="T22" i="41"/>
  <c r="J113" i="68"/>
  <c r="W22" i="41"/>
  <c r="Z22" i="41" s="1"/>
  <c r="AB22" i="41"/>
  <c r="D23" i="41"/>
  <c r="A23" i="41" s="1"/>
  <c r="D114" i="68" s="1"/>
  <c r="I23" i="41"/>
  <c r="K23" i="41"/>
  <c r="T23" i="41"/>
  <c r="W23" i="41"/>
  <c r="Z23" i="41" s="1"/>
  <c r="AB23" i="41"/>
  <c r="D24" i="41"/>
  <c r="A24" i="41" s="1"/>
  <c r="I24" i="41"/>
  <c r="K24" i="41"/>
  <c r="S24" i="41"/>
  <c r="T24" i="41"/>
  <c r="W24" i="41"/>
  <c r="Z24" i="41" s="1"/>
  <c r="AB24" i="41"/>
  <c r="AF24" i="41"/>
  <c r="D25" i="41"/>
  <c r="A25" i="41" s="1"/>
  <c r="I25" i="41"/>
  <c r="K25" i="41"/>
  <c r="S25" i="41"/>
  <c r="T25" i="41"/>
  <c r="W25" i="41"/>
  <c r="Z25" i="41"/>
  <c r="AG25" i="41" s="1" a="1"/>
  <c r="AG25" i="41" s="1"/>
  <c r="AH25" i="41" s="1"/>
  <c r="AI25" i="41" s="1"/>
  <c r="AJ25" i="41" s="1"/>
  <c r="AK25" i="41" s="1"/>
  <c r="AB25" i="41"/>
  <c r="AF25" i="41" s="1"/>
  <c r="D26" i="41"/>
  <c r="A26" i="41" s="1"/>
  <c r="I26" i="41"/>
  <c r="K26" i="41"/>
  <c r="S26" i="41"/>
  <c r="T26" i="41"/>
  <c r="W26" i="41"/>
  <c r="Z26" i="41"/>
  <c r="AG26" i="41" s="1" a="1"/>
  <c r="AG26" i="41" s="1"/>
  <c r="AH26" i="41" s="1"/>
  <c r="AI26" i="41" s="1"/>
  <c r="AJ26" i="41" s="1"/>
  <c r="AK26" i="41" s="1"/>
  <c r="AA26" i="41"/>
  <c r="AB26" i="41"/>
  <c r="AF26" i="41"/>
  <c r="D27" i="41"/>
  <c r="A27" i="41" s="1"/>
  <c r="I27" i="41"/>
  <c r="K27" i="41"/>
  <c r="S27" i="41"/>
  <c r="T27" i="41"/>
  <c r="AF27" i="41"/>
  <c r="W27" i="41"/>
  <c r="Z27" i="41"/>
  <c r="AG27" i="41" s="1" a="1"/>
  <c r="AG27" i="41" s="1"/>
  <c r="AH27" i="41" s="1"/>
  <c r="AI27" i="41" s="1"/>
  <c r="AJ27" i="41" s="1"/>
  <c r="AK27" i="41" s="1"/>
  <c r="AB27" i="41"/>
  <c r="D28" i="41"/>
  <c r="A28" i="41" s="1"/>
  <c r="I28" i="41"/>
  <c r="K28" i="41"/>
  <c r="S28" i="41"/>
  <c r="T28" i="41"/>
  <c r="J119" i="68"/>
  <c r="W28" i="41"/>
  <c r="Z28" i="41"/>
  <c r="AA28" i="41"/>
  <c r="AB28" i="41"/>
  <c r="AE28" i="41" s="1"/>
  <c r="L119" i="68" s="1"/>
  <c r="AF28" i="41"/>
  <c r="A29" i="41"/>
  <c r="D29" i="41"/>
  <c r="I29" i="41"/>
  <c r="K29" i="41"/>
  <c r="S29" i="41"/>
  <c r="T29" i="41"/>
  <c r="V29" i="41"/>
  <c r="W29" i="41"/>
  <c r="Z29" i="41"/>
  <c r="AG29" i="41" s="1" a="1"/>
  <c r="AG29" i="41" s="1"/>
  <c r="AH29" i="41" s="1"/>
  <c r="AI29" i="41" s="1"/>
  <c r="AJ29" i="41" s="1"/>
  <c r="AK29" i="41" s="1"/>
  <c r="AA29" i="41"/>
  <c r="AB29" i="41"/>
  <c r="AF29" i="41"/>
  <c r="D30" i="41"/>
  <c r="A30" i="41" s="1"/>
  <c r="I30" i="41"/>
  <c r="K30" i="41"/>
  <c r="S30" i="41"/>
  <c r="T30" i="41"/>
  <c r="V30" i="41"/>
  <c r="AF30" i="41" s="1"/>
  <c r="W30" i="41"/>
  <c r="Z30" i="41" s="1"/>
  <c r="AB30" i="41"/>
  <c r="A31" i="41"/>
  <c r="D31" i="41"/>
  <c r="I31" i="41"/>
  <c r="K31" i="41"/>
  <c r="S31" i="41"/>
  <c r="T31" i="41"/>
  <c r="V31" i="41"/>
  <c r="W31" i="41"/>
  <c r="Z31" i="41"/>
  <c r="AG31" i="41" s="1" a="1"/>
  <c r="AG31" i="41" s="1"/>
  <c r="AH31" i="41" s="1"/>
  <c r="AI31" i="41" s="1"/>
  <c r="AJ31" i="41" s="1"/>
  <c r="AK31" i="41" s="1"/>
  <c r="AA31" i="41"/>
  <c r="AB31" i="41"/>
  <c r="AF31" i="41" s="1"/>
  <c r="D32" i="41"/>
  <c r="A32" i="41" s="1"/>
  <c r="I32" i="41"/>
  <c r="K32" i="41"/>
  <c r="S32" i="41"/>
  <c r="T32" i="41"/>
  <c r="V32" i="41"/>
  <c r="W32" i="41"/>
  <c r="Z32" i="41" s="1"/>
  <c r="AB32" i="41"/>
  <c r="AF32" i="41"/>
  <c r="D33" i="41"/>
  <c r="A33" i="41" s="1"/>
  <c r="I33" i="41"/>
  <c r="K33" i="41"/>
  <c r="S33" i="41"/>
  <c r="T33" i="41"/>
  <c r="V33" i="41"/>
  <c r="W33" i="41"/>
  <c r="Z33" i="41"/>
  <c r="AB33" i="41"/>
  <c r="AF33" i="41" s="1"/>
  <c r="S25" i="8"/>
  <c r="S26" i="8"/>
  <c r="S27" i="8"/>
  <c r="S28" i="8"/>
  <c r="S29" i="8"/>
  <c r="S30" i="8"/>
  <c r="S31" i="8"/>
  <c r="S32" i="8"/>
  <c r="S33" i="8"/>
  <c r="AE19" i="42" l="1"/>
  <c r="AF19" i="42" s="1"/>
  <c r="AE19" i="43"/>
  <c r="AF19" i="43" s="1"/>
  <c r="AE19" i="49"/>
  <c r="L230" i="68" s="1"/>
  <c r="O21" i="44"/>
  <c r="O20" i="44"/>
  <c r="S31" i="69"/>
  <c r="K127" i="40"/>
  <c r="M28" i="69"/>
  <c r="G33" i="6"/>
  <c r="M33" i="6"/>
  <c r="E40" i="4" s="1"/>
  <c r="S30" i="69"/>
  <c r="I29" i="69"/>
  <c r="I30" i="69"/>
  <c r="I27" i="69"/>
  <c r="AG28" i="41" a="1"/>
  <c r="AG28" i="41" s="1"/>
  <c r="AH28" i="41" s="1"/>
  <c r="AI28" i="41" s="1"/>
  <c r="AJ28" i="41" s="1"/>
  <c r="AK28" i="41" s="1"/>
  <c r="AG28" i="43" a="1"/>
  <c r="AG28" i="43" s="1"/>
  <c r="AH28" i="43" s="1"/>
  <c r="AI28" i="43" s="1"/>
  <c r="AJ28" i="43" s="1"/>
  <c r="AG28" i="44" a="1"/>
  <c r="AG28" i="44" s="1"/>
  <c r="AH28" i="44" s="1"/>
  <c r="AI28" i="44" s="1"/>
  <c r="AJ28" i="44" s="1"/>
  <c r="AK28" i="44" s="1"/>
  <c r="V17" i="43"/>
  <c r="J149" i="68"/>
  <c r="D40" i="43"/>
  <c r="D41" i="43"/>
  <c r="V17" i="44"/>
  <c r="J164" i="68"/>
  <c r="D40" i="44"/>
  <c r="D41" i="44"/>
  <c r="V17" i="49"/>
  <c r="J239" i="68"/>
  <c r="V17" i="50"/>
  <c r="J254" i="68"/>
  <c r="V17" i="51"/>
  <c r="J269" i="68"/>
  <c r="V17" i="52"/>
  <c r="J284" i="68"/>
  <c r="V17" i="53"/>
  <c r="J299" i="68"/>
  <c r="V17" i="54"/>
  <c r="J314" i="68"/>
  <c r="V17" i="55"/>
  <c r="J329" i="68"/>
  <c r="V17" i="56"/>
  <c r="J344" i="68"/>
  <c r="V17" i="57"/>
  <c r="J359" i="68"/>
  <c r="V17" i="58"/>
  <c r="J374" i="68"/>
  <c r="V17" i="59"/>
  <c r="J389" i="68"/>
  <c r="V17" i="60"/>
  <c r="J404" i="68"/>
  <c r="V17" i="61"/>
  <c r="J419" i="68"/>
  <c r="V17" i="62"/>
  <c r="J434" i="68"/>
  <c r="V17" i="63"/>
  <c r="J449" i="68"/>
  <c r="O28" i="42"/>
  <c r="AK31" i="43"/>
  <c r="Q152" i="68" s="1"/>
  <c r="P152" i="68"/>
  <c r="AK29" i="43"/>
  <c r="Q150" i="68" s="1"/>
  <c r="P150" i="68"/>
  <c r="AK28" i="43"/>
  <c r="Q149" i="68" s="1"/>
  <c r="P149" i="68"/>
  <c r="AK23" i="43"/>
  <c r="Q144" i="68" s="1"/>
  <c r="P144" i="68"/>
  <c r="AK21" i="43"/>
  <c r="Q142" i="68" s="1"/>
  <c r="P142" i="68"/>
  <c r="AK20" i="43"/>
  <c r="Q141" i="68" s="1"/>
  <c r="P141" i="68"/>
  <c r="J110" i="68"/>
  <c r="V17" i="41"/>
  <c r="J125" i="68"/>
  <c r="V17" i="42"/>
  <c r="D42" i="45"/>
  <c r="G14" i="6" s="1"/>
  <c r="O19" i="45"/>
  <c r="AG19" i="45" a="1"/>
  <c r="AG19" i="45" s="1"/>
  <c r="AH19" i="45" s="1"/>
  <c r="AA19" i="45"/>
  <c r="AF19" i="45"/>
  <c r="O20" i="45"/>
  <c r="AG20" i="45" a="1"/>
  <c r="AG20" i="45" s="1"/>
  <c r="AH20" i="45" s="1"/>
  <c r="AI20" i="45" s="1"/>
  <c r="AJ20" i="45" s="1"/>
  <c r="AK20" i="45" s="1"/>
  <c r="AA20" i="45"/>
  <c r="AF20" i="45"/>
  <c r="O21" i="45"/>
  <c r="AG21" i="45" a="1"/>
  <c r="AG21" i="45" s="1"/>
  <c r="AH21" i="45" s="1"/>
  <c r="AI21" i="45" s="1"/>
  <c r="AJ21" i="45" s="1"/>
  <c r="AK21" i="45" s="1"/>
  <c r="AA21" i="45"/>
  <c r="AF21" i="45"/>
  <c r="O22" i="45"/>
  <c r="AG22" i="45" a="1"/>
  <c r="AG22" i="45" s="1"/>
  <c r="AH22" i="45" s="1"/>
  <c r="AI22" i="45" s="1"/>
  <c r="AJ22" i="45" s="1"/>
  <c r="AK22" i="45" s="1"/>
  <c r="AA22" i="45"/>
  <c r="AF22" i="45"/>
  <c r="O23" i="45"/>
  <c r="AG23" i="45" a="1"/>
  <c r="AG23" i="45" s="1"/>
  <c r="AH23" i="45" s="1"/>
  <c r="AI23" i="45" s="1"/>
  <c r="AJ23" i="45" s="1"/>
  <c r="AK23" i="45" s="1"/>
  <c r="AA23" i="45"/>
  <c r="AF23" i="45"/>
  <c r="O24" i="45"/>
  <c r="AG24" i="45" a="1"/>
  <c r="AG24" i="45" s="1"/>
  <c r="AH24" i="45" s="1"/>
  <c r="AI24" i="45" s="1"/>
  <c r="AJ24" i="45" s="1"/>
  <c r="AK24" i="45" s="1"/>
  <c r="AA24" i="45"/>
  <c r="AF24" i="45"/>
  <c r="O25" i="45"/>
  <c r="AG25" i="45" a="1"/>
  <c r="AG25" i="45" s="1"/>
  <c r="AH25" i="45" s="1"/>
  <c r="AI25" i="45" s="1"/>
  <c r="AJ25" i="45" s="1"/>
  <c r="AK25" i="45" s="1"/>
  <c r="AA25" i="45"/>
  <c r="AF25" i="45"/>
  <c r="O26" i="45"/>
  <c r="AG26" i="45" a="1"/>
  <c r="AG26" i="45" s="1"/>
  <c r="AH26" i="45" s="1"/>
  <c r="AI26" i="45" s="1"/>
  <c r="AJ26" i="45" s="1"/>
  <c r="AK26" i="45" s="1"/>
  <c r="AA26" i="45"/>
  <c r="AF26" i="45"/>
  <c r="O27" i="45"/>
  <c r="AG27" i="45" a="1"/>
  <c r="AG27" i="45" s="1"/>
  <c r="AH27" i="45" s="1"/>
  <c r="AI27" i="45" s="1"/>
  <c r="AJ27" i="45" s="1"/>
  <c r="AK27" i="45" s="1"/>
  <c r="AA27" i="45"/>
  <c r="AF27" i="45"/>
  <c r="O28" i="45"/>
  <c r="AG28" i="45" a="1"/>
  <c r="AG28" i="45" s="1"/>
  <c r="AH28" i="45" s="1"/>
  <c r="AI28" i="45" s="1"/>
  <c r="AJ28" i="45" s="1"/>
  <c r="AK28" i="45" s="1"/>
  <c r="AA28" i="45"/>
  <c r="AF28" i="45"/>
  <c r="O29" i="45"/>
  <c r="AG29" i="45" a="1"/>
  <c r="AG29" i="45" s="1"/>
  <c r="AH29" i="45" s="1"/>
  <c r="AI29" i="45" s="1"/>
  <c r="AJ29" i="45" s="1"/>
  <c r="AK29" i="45" s="1"/>
  <c r="AA29" i="45"/>
  <c r="AF29" i="45"/>
  <c r="O30" i="45"/>
  <c r="AG30" i="45" a="1"/>
  <c r="AG30" i="45" s="1"/>
  <c r="AH30" i="45" s="1"/>
  <c r="AI30" i="45" s="1"/>
  <c r="AJ30" i="45" s="1"/>
  <c r="AK30" i="45" s="1"/>
  <c r="AA30" i="45"/>
  <c r="AF30" i="45"/>
  <c r="O31" i="45"/>
  <c r="AG31" i="45" a="1"/>
  <c r="AG31" i="45" s="1"/>
  <c r="AH31" i="45" s="1"/>
  <c r="AI31" i="45" s="1"/>
  <c r="AJ31" i="45" s="1"/>
  <c r="AK31" i="45" s="1"/>
  <c r="AA31" i="45"/>
  <c r="AF31" i="45"/>
  <c r="O32" i="45"/>
  <c r="AG32" i="45" a="1"/>
  <c r="AG32" i="45" s="1"/>
  <c r="AH32" i="45" s="1"/>
  <c r="AI32" i="45" s="1"/>
  <c r="AJ32" i="45" s="1"/>
  <c r="AK32" i="45" s="1"/>
  <c r="AA32" i="45"/>
  <c r="AF32" i="45"/>
  <c r="O33" i="45"/>
  <c r="AG33" i="45" a="1"/>
  <c r="AG33" i="45" s="1"/>
  <c r="AH33" i="45" s="1"/>
  <c r="AI33" i="45" s="1"/>
  <c r="AJ33" i="45" s="1"/>
  <c r="AK33" i="45" s="1"/>
  <c r="AA33" i="45"/>
  <c r="AF33" i="45"/>
  <c r="D42" i="46"/>
  <c r="G15" i="6" s="1"/>
  <c r="O19" i="46"/>
  <c r="AG19" i="46" a="1"/>
  <c r="AG19" i="46" s="1"/>
  <c r="AH19" i="46" s="1"/>
  <c r="AA19" i="46"/>
  <c r="AF19" i="46"/>
  <c r="O20" i="46"/>
  <c r="AG20" i="46" a="1"/>
  <c r="AG20" i="46" s="1"/>
  <c r="AH20" i="46" s="1"/>
  <c r="AI20" i="46" s="1"/>
  <c r="AJ20" i="46" s="1"/>
  <c r="AK20" i="46" s="1"/>
  <c r="AA20" i="46"/>
  <c r="AF20" i="46"/>
  <c r="O21" i="46"/>
  <c r="AG21" i="46" a="1"/>
  <c r="AG21" i="46" s="1"/>
  <c r="AH21" i="46" s="1"/>
  <c r="AI21" i="46" s="1"/>
  <c r="AJ21" i="46" s="1"/>
  <c r="AK21" i="46" s="1"/>
  <c r="AA21" i="46"/>
  <c r="AF21" i="46"/>
  <c r="O22" i="46"/>
  <c r="AG22" i="46" a="1"/>
  <c r="AG22" i="46" s="1"/>
  <c r="AH22" i="46" s="1"/>
  <c r="AI22" i="46" s="1"/>
  <c r="AJ22" i="46" s="1"/>
  <c r="AK22" i="46" s="1"/>
  <c r="AA22" i="46"/>
  <c r="AF22" i="46"/>
  <c r="O23" i="46"/>
  <c r="AG23" i="46" a="1"/>
  <c r="AG23" i="46" s="1"/>
  <c r="AH23" i="46" s="1"/>
  <c r="AI23" i="46" s="1"/>
  <c r="AJ23" i="46" s="1"/>
  <c r="AK23" i="46" s="1"/>
  <c r="AA23" i="46"/>
  <c r="AF23" i="46"/>
  <c r="O24" i="46"/>
  <c r="AG24" i="46" a="1"/>
  <c r="AG24" i="46" s="1"/>
  <c r="AH24" i="46" s="1"/>
  <c r="AI24" i="46" s="1"/>
  <c r="AJ24" i="46" s="1"/>
  <c r="AK24" i="46" s="1"/>
  <c r="AA24" i="46"/>
  <c r="AF24" i="46"/>
  <c r="O25" i="46"/>
  <c r="AG25" i="46" a="1"/>
  <c r="AG25" i="46" s="1"/>
  <c r="AH25" i="46" s="1"/>
  <c r="AI25" i="46" s="1"/>
  <c r="AJ25" i="46" s="1"/>
  <c r="AK25" i="46" s="1"/>
  <c r="AA25" i="46"/>
  <c r="AF25" i="46"/>
  <c r="O26" i="46"/>
  <c r="AG26" i="46" a="1"/>
  <c r="AG26" i="46" s="1"/>
  <c r="AH26" i="46" s="1"/>
  <c r="AI26" i="46" s="1"/>
  <c r="AJ26" i="46" s="1"/>
  <c r="AK26" i="46" s="1"/>
  <c r="AA26" i="46"/>
  <c r="AF26" i="46"/>
  <c r="O27" i="46"/>
  <c r="AG27" i="46" a="1"/>
  <c r="AG27" i="46" s="1"/>
  <c r="AH27" i="46" s="1"/>
  <c r="AI27" i="46" s="1"/>
  <c r="AJ27" i="46" s="1"/>
  <c r="AK27" i="46" s="1"/>
  <c r="AA27" i="46"/>
  <c r="AF27" i="46"/>
  <c r="O28" i="46"/>
  <c r="AG28" i="46" a="1"/>
  <c r="AG28" i="46" s="1"/>
  <c r="AH28" i="46" s="1"/>
  <c r="AI28" i="46" s="1"/>
  <c r="AJ28" i="46" s="1"/>
  <c r="AK28" i="46" s="1"/>
  <c r="AA28" i="46"/>
  <c r="AF28" i="46"/>
  <c r="O29" i="46"/>
  <c r="AG29" i="46" a="1"/>
  <c r="AG29" i="46" s="1"/>
  <c r="AH29" i="46" s="1"/>
  <c r="AI29" i="46" s="1"/>
  <c r="AJ29" i="46" s="1"/>
  <c r="AK29" i="46" s="1"/>
  <c r="AA29" i="46"/>
  <c r="AF29" i="46"/>
  <c r="O30" i="46"/>
  <c r="AG30" i="46" a="1"/>
  <c r="AG30" i="46" s="1"/>
  <c r="AH30" i="46" s="1"/>
  <c r="AI30" i="46" s="1"/>
  <c r="AJ30" i="46" s="1"/>
  <c r="AK30" i="46" s="1"/>
  <c r="AA30" i="46"/>
  <c r="AF30" i="46"/>
  <c r="O31" i="46"/>
  <c r="AG31" i="46" a="1"/>
  <c r="AG31" i="46" s="1"/>
  <c r="AH31" i="46" s="1"/>
  <c r="AI31" i="46" s="1"/>
  <c r="AJ31" i="46" s="1"/>
  <c r="AK31" i="46" s="1"/>
  <c r="AA31" i="46"/>
  <c r="AF31" i="46"/>
  <c r="O32" i="46"/>
  <c r="AG32" i="46" a="1"/>
  <c r="AG32" i="46" s="1"/>
  <c r="AH32" i="46" s="1"/>
  <c r="AI32" i="46" s="1"/>
  <c r="AJ32" i="46" s="1"/>
  <c r="AK32" i="46" s="1"/>
  <c r="AA32" i="46"/>
  <c r="AF32" i="46"/>
  <c r="O33" i="46"/>
  <c r="AG33" i="46" a="1"/>
  <c r="AG33" i="46" s="1"/>
  <c r="AH33" i="46" s="1"/>
  <c r="AI33" i="46" s="1"/>
  <c r="AJ33" i="46" s="1"/>
  <c r="AK33" i="46" s="1"/>
  <c r="AA33" i="46"/>
  <c r="AF33" i="46"/>
  <c r="D42" i="47"/>
  <c r="G16" i="6" s="1"/>
  <c r="O19" i="47"/>
  <c r="AG19" i="47" a="1"/>
  <c r="AG19" i="47" s="1"/>
  <c r="AH19" i="47" s="1"/>
  <c r="AA19" i="47"/>
  <c r="AF19" i="47"/>
  <c r="O20" i="47"/>
  <c r="AG20" i="47" a="1"/>
  <c r="AG20" i="47" s="1"/>
  <c r="AH20" i="47" s="1"/>
  <c r="AI20" i="47" s="1"/>
  <c r="AJ20" i="47" s="1"/>
  <c r="AK20" i="47" s="1"/>
  <c r="AA20" i="47"/>
  <c r="AF20" i="47"/>
  <c r="O21" i="47"/>
  <c r="AG21" i="47" a="1"/>
  <c r="AG21" i="47" s="1"/>
  <c r="AH21" i="47" s="1"/>
  <c r="AI21" i="47" s="1"/>
  <c r="AJ21" i="47" s="1"/>
  <c r="AK21" i="47" s="1"/>
  <c r="AA21" i="47"/>
  <c r="AF21" i="47"/>
  <c r="O22" i="47"/>
  <c r="AG22" i="47" a="1"/>
  <c r="AG22" i="47" s="1"/>
  <c r="AH22" i="47" s="1"/>
  <c r="AI22" i="47" s="1"/>
  <c r="AJ22" i="47" s="1"/>
  <c r="AK22" i="47" s="1"/>
  <c r="AA22" i="47"/>
  <c r="AF22" i="47"/>
  <c r="O23" i="47"/>
  <c r="AG23" i="47" a="1"/>
  <c r="AG23" i="47" s="1"/>
  <c r="AH23" i="47" s="1"/>
  <c r="AI23" i="47" s="1"/>
  <c r="AJ23" i="47" s="1"/>
  <c r="AK23" i="47" s="1"/>
  <c r="AA23" i="47"/>
  <c r="AF23" i="47"/>
  <c r="O24" i="47"/>
  <c r="AG24" i="47" a="1"/>
  <c r="AG24" i="47" s="1"/>
  <c r="AH24" i="47" s="1"/>
  <c r="AI24" i="47" s="1"/>
  <c r="AJ24" i="47" s="1"/>
  <c r="AK24" i="47" s="1"/>
  <c r="AA24" i="47"/>
  <c r="AF24" i="47"/>
  <c r="O25" i="47"/>
  <c r="AG25" i="47" a="1"/>
  <c r="AG25" i="47" s="1"/>
  <c r="AH25" i="47" s="1"/>
  <c r="AI25" i="47" s="1"/>
  <c r="AJ25" i="47" s="1"/>
  <c r="AK25" i="47" s="1"/>
  <c r="AA25" i="47"/>
  <c r="AF25" i="47"/>
  <c r="O26" i="47"/>
  <c r="AG26" i="47" a="1"/>
  <c r="AG26" i="47" s="1"/>
  <c r="AH26" i="47" s="1"/>
  <c r="AI26" i="47" s="1"/>
  <c r="AJ26" i="47" s="1"/>
  <c r="AK26" i="47" s="1"/>
  <c r="AA26" i="47"/>
  <c r="AF26" i="47"/>
  <c r="O27" i="47"/>
  <c r="AG27" i="47" a="1"/>
  <c r="AG27" i="47" s="1"/>
  <c r="AH27" i="47" s="1"/>
  <c r="AI27" i="47" s="1"/>
  <c r="AJ27" i="47" s="1"/>
  <c r="AK27" i="47" s="1"/>
  <c r="AA27" i="47"/>
  <c r="AF27" i="47"/>
  <c r="O28" i="47"/>
  <c r="AG28" i="47" a="1"/>
  <c r="AG28" i="47" s="1"/>
  <c r="AH28" i="47" s="1"/>
  <c r="AI28" i="47" s="1"/>
  <c r="AJ28" i="47" s="1"/>
  <c r="AK28" i="47" s="1"/>
  <c r="AA28" i="47"/>
  <c r="AF28" i="47"/>
  <c r="O29" i="47"/>
  <c r="AG29" i="47" a="1"/>
  <c r="AG29" i="47" s="1"/>
  <c r="AH29" i="47" s="1"/>
  <c r="AI29" i="47" s="1"/>
  <c r="AJ29" i="47" s="1"/>
  <c r="AK29" i="47" s="1"/>
  <c r="AA29" i="47"/>
  <c r="AF29" i="47"/>
  <c r="O30" i="47"/>
  <c r="AG30" i="47" a="1"/>
  <c r="AG30" i="47" s="1"/>
  <c r="AH30" i="47" s="1"/>
  <c r="AI30" i="47" s="1"/>
  <c r="AJ30" i="47" s="1"/>
  <c r="AK30" i="47" s="1"/>
  <c r="AA30" i="47"/>
  <c r="AF30" i="47"/>
  <c r="O31" i="47"/>
  <c r="AG31" i="47" a="1"/>
  <c r="AG31" i="47" s="1"/>
  <c r="AH31" i="47" s="1"/>
  <c r="AI31" i="47" s="1"/>
  <c r="AJ31" i="47" s="1"/>
  <c r="AK31" i="47" s="1"/>
  <c r="AA31" i="47"/>
  <c r="AF31" i="47"/>
  <c r="O32" i="47"/>
  <c r="AG32" i="47" a="1"/>
  <c r="AG32" i="47" s="1"/>
  <c r="AH32" i="47" s="1"/>
  <c r="AI32" i="47" s="1"/>
  <c r="AJ32" i="47" s="1"/>
  <c r="AK32" i="47" s="1"/>
  <c r="AA32" i="47"/>
  <c r="AF32" i="47"/>
  <c r="O33" i="47"/>
  <c r="AG33" i="47" a="1"/>
  <c r="AG33" i="47" s="1"/>
  <c r="AH33" i="47" s="1"/>
  <c r="AI33" i="47" s="1"/>
  <c r="AJ33" i="47" s="1"/>
  <c r="AK33" i="47" s="1"/>
  <c r="AA33" i="47"/>
  <c r="AF33" i="47"/>
  <c r="D42" i="48"/>
  <c r="G17" i="6" s="1"/>
  <c r="O19" i="48"/>
  <c r="AG19" i="48" a="1"/>
  <c r="AG19" i="48" s="1"/>
  <c r="AH19" i="48" s="1"/>
  <c r="AA19" i="48"/>
  <c r="AF19" i="48"/>
  <c r="O20" i="48"/>
  <c r="AG20" i="48" a="1"/>
  <c r="AG20" i="48" s="1"/>
  <c r="AH20" i="48" s="1"/>
  <c r="AI20" i="48" s="1"/>
  <c r="AJ20" i="48" s="1"/>
  <c r="AK20" i="48" s="1"/>
  <c r="AA20" i="48"/>
  <c r="AF20" i="48"/>
  <c r="O21" i="48"/>
  <c r="AG21" i="48" a="1"/>
  <c r="AG21" i="48" s="1"/>
  <c r="AH21" i="48" s="1"/>
  <c r="AI21" i="48" s="1"/>
  <c r="AJ21" i="48" s="1"/>
  <c r="AK21" i="48" s="1"/>
  <c r="AA21" i="48"/>
  <c r="AF21" i="48"/>
  <c r="O22" i="48"/>
  <c r="AG22" i="48" a="1"/>
  <c r="AG22" i="48" s="1"/>
  <c r="AH22" i="48" s="1"/>
  <c r="AI22" i="48" s="1"/>
  <c r="AJ22" i="48" s="1"/>
  <c r="AK22" i="48" s="1"/>
  <c r="AA22" i="48"/>
  <c r="AF22" i="48"/>
  <c r="O23" i="48"/>
  <c r="AG23" i="48" a="1"/>
  <c r="AG23" i="48" s="1"/>
  <c r="AH23" i="48" s="1"/>
  <c r="AI23" i="48" s="1"/>
  <c r="AJ23" i="48" s="1"/>
  <c r="AK23" i="48" s="1"/>
  <c r="AA23" i="48"/>
  <c r="AF23" i="48"/>
  <c r="O24" i="48"/>
  <c r="AG24" i="48" a="1"/>
  <c r="AG24" i="48" s="1"/>
  <c r="AH24" i="48" s="1"/>
  <c r="AI24" i="48" s="1"/>
  <c r="AJ24" i="48" s="1"/>
  <c r="AK24" i="48" s="1"/>
  <c r="AA24" i="48"/>
  <c r="AF24" i="48"/>
  <c r="O25" i="48"/>
  <c r="AG25" i="48" a="1"/>
  <c r="AG25" i="48" s="1"/>
  <c r="AH25" i="48" s="1"/>
  <c r="AI25" i="48" s="1"/>
  <c r="AJ25" i="48" s="1"/>
  <c r="AK25" i="48" s="1"/>
  <c r="AA25" i="48"/>
  <c r="AF25" i="48"/>
  <c r="O26" i="48"/>
  <c r="AG26" i="48" a="1"/>
  <c r="AG26" i="48" s="1"/>
  <c r="AH26" i="48" s="1"/>
  <c r="AI26" i="48" s="1"/>
  <c r="AJ26" i="48" s="1"/>
  <c r="AK26" i="48" s="1"/>
  <c r="AA26" i="48"/>
  <c r="AF26" i="48"/>
  <c r="O27" i="48"/>
  <c r="AG27" i="48" a="1"/>
  <c r="AG27" i="48" s="1"/>
  <c r="AH27" i="48" s="1"/>
  <c r="AI27" i="48" s="1"/>
  <c r="AJ27" i="48" s="1"/>
  <c r="AK27" i="48" s="1"/>
  <c r="AA27" i="48"/>
  <c r="AF27" i="48"/>
  <c r="O28" i="48"/>
  <c r="AG28" i="48" a="1"/>
  <c r="AG28" i="48" s="1"/>
  <c r="AH28" i="48" s="1"/>
  <c r="AI28" i="48" s="1"/>
  <c r="AJ28" i="48" s="1"/>
  <c r="AK28" i="48" s="1"/>
  <c r="AA28" i="48"/>
  <c r="AF28" i="48"/>
  <c r="O29" i="48"/>
  <c r="AG29" i="48" a="1"/>
  <c r="AG29" i="48" s="1"/>
  <c r="AH29" i="48" s="1"/>
  <c r="AI29" i="48" s="1"/>
  <c r="AJ29" i="48" s="1"/>
  <c r="AK29" i="48" s="1"/>
  <c r="AA29" i="48"/>
  <c r="AF29" i="48"/>
  <c r="O30" i="48"/>
  <c r="AG30" i="48" a="1"/>
  <c r="AG30" i="48" s="1"/>
  <c r="AH30" i="48" s="1"/>
  <c r="AI30" i="48" s="1"/>
  <c r="AJ30" i="48" s="1"/>
  <c r="AK30" i="48" s="1"/>
  <c r="AA30" i="48"/>
  <c r="AF30" i="48"/>
  <c r="O31" i="48"/>
  <c r="AG31" i="48" a="1"/>
  <c r="AG31" i="48" s="1"/>
  <c r="AH31" i="48" s="1"/>
  <c r="AI31" i="48" s="1"/>
  <c r="AJ31" i="48" s="1"/>
  <c r="AK31" i="48" s="1"/>
  <c r="AA31" i="48"/>
  <c r="AF31" i="48"/>
  <c r="O32" i="48"/>
  <c r="AG32" i="48" a="1"/>
  <c r="AG32" i="48" s="1"/>
  <c r="AH32" i="48" s="1"/>
  <c r="AI32" i="48" s="1"/>
  <c r="AJ32" i="48" s="1"/>
  <c r="AK32" i="48" s="1"/>
  <c r="AA32" i="48"/>
  <c r="AF32" i="48"/>
  <c r="O33" i="48"/>
  <c r="AG33" i="48" a="1"/>
  <c r="AG33" i="48" s="1"/>
  <c r="AH33" i="48" s="1"/>
  <c r="AI33" i="48" s="1"/>
  <c r="AJ33" i="48" s="1"/>
  <c r="AK33" i="48" s="1"/>
  <c r="AA33" i="48"/>
  <c r="AF33" i="48"/>
  <c r="D42" i="63"/>
  <c r="G32" i="6" s="1"/>
  <c r="O19" i="63"/>
  <c r="AG19" i="63" a="1"/>
  <c r="AG19" i="63" s="1"/>
  <c r="AH19" i="63" s="1"/>
  <c r="AA19" i="63"/>
  <c r="AF19" i="63"/>
  <c r="O20" i="63"/>
  <c r="AG20" i="63" a="1"/>
  <c r="AG20" i="63" s="1"/>
  <c r="AH20" i="63" s="1"/>
  <c r="AI20" i="63" s="1"/>
  <c r="AJ20" i="63" s="1"/>
  <c r="AK20" i="63" s="1"/>
  <c r="AA20" i="63"/>
  <c r="AF20" i="63"/>
  <c r="O21" i="63"/>
  <c r="AG21" i="63" a="1"/>
  <c r="AG21" i="63" s="1"/>
  <c r="AH21" i="63" s="1"/>
  <c r="AI21" i="63" s="1"/>
  <c r="AJ21" i="63" s="1"/>
  <c r="AK21" i="63" s="1"/>
  <c r="AA21" i="63"/>
  <c r="AF21" i="63"/>
  <c r="O22" i="63"/>
  <c r="AG22" i="63" a="1"/>
  <c r="AG22" i="63" s="1"/>
  <c r="AH22" i="63" s="1"/>
  <c r="AI22" i="63" s="1"/>
  <c r="AJ22" i="63" s="1"/>
  <c r="AK22" i="63" s="1"/>
  <c r="AA22" i="63"/>
  <c r="AF22" i="63"/>
  <c r="O23" i="63"/>
  <c r="AG23" i="63" a="1"/>
  <c r="AG23" i="63" s="1"/>
  <c r="AH23" i="63" s="1"/>
  <c r="AI23" i="63" s="1"/>
  <c r="AJ23" i="63" s="1"/>
  <c r="AK23" i="63" s="1"/>
  <c r="AA23" i="63"/>
  <c r="AF23" i="63"/>
  <c r="O24" i="63"/>
  <c r="AG24" i="63" a="1"/>
  <c r="AG24" i="63" s="1"/>
  <c r="AH24" i="63" s="1"/>
  <c r="AI24" i="63" s="1"/>
  <c r="AJ24" i="63" s="1"/>
  <c r="AK24" i="63" s="1"/>
  <c r="AA24" i="63"/>
  <c r="AF24" i="63"/>
  <c r="O25" i="63"/>
  <c r="AG25" i="63" a="1"/>
  <c r="AG25" i="63" s="1"/>
  <c r="AH25" i="63" s="1"/>
  <c r="AI25" i="63" s="1"/>
  <c r="AJ25" i="63" s="1"/>
  <c r="AK25" i="63" s="1"/>
  <c r="AA25" i="63"/>
  <c r="AF25" i="63"/>
  <c r="O26" i="63"/>
  <c r="AG26" i="63" a="1"/>
  <c r="AG26" i="63" s="1"/>
  <c r="AH26" i="63" s="1"/>
  <c r="AI26" i="63" s="1"/>
  <c r="AJ26" i="63" s="1"/>
  <c r="AK26" i="63" s="1"/>
  <c r="AA26" i="63"/>
  <c r="AF26" i="63"/>
  <c r="O27" i="63"/>
  <c r="AG27" i="63" a="1"/>
  <c r="AG27" i="63" s="1"/>
  <c r="AH27" i="63" s="1"/>
  <c r="AI27" i="63" s="1"/>
  <c r="AJ27" i="63" s="1"/>
  <c r="AK27" i="63" s="1"/>
  <c r="AA27" i="63"/>
  <c r="AF27" i="63"/>
  <c r="O28" i="63"/>
  <c r="AG28" i="63" a="1"/>
  <c r="AG28" i="63" s="1"/>
  <c r="AH28" i="63" s="1"/>
  <c r="AI28" i="63" s="1"/>
  <c r="AJ28" i="63" s="1"/>
  <c r="AK28" i="63" s="1"/>
  <c r="AA28" i="63"/>
  <c r="AF28" i="63"/>
  <c r="O29" i="63"/>
  <c r="AG29" i="63" a="1"/>
  <c r="AG29" i="63" s="1"/>
  <c r="AH29" i="63" s="1"/>
  <c r="AI29" i="63" s="1"/>
  <c r="AJ29" i="63" s="1"/>
  <c r="AK29" i="63" s="1"/>
  <c r="AA29" i="63"/>
  <c r="AF29" i="63"/>
  <c r="O30" i="63"/>
  <c r="AG30" i="63" a="1"/>
  <c r="AG30" i="63" s="1"/>
  <c r="AH30" i="63" s="1"/>
  <c r="AI30" i="63" s="1"/>
  <c r="AJ30" i="63" s="1"/>
  <c r="AK30" i="63" s="1"/>
  <c r="AA30" i="63"/>
  <c r="AF30" i="63"/>
  <c r="O31" i="63"/>
  <c r="AG31" i="63" a="1"/>
  <c r="AG31" i="63" s="1"/>
  <c r="AH31" i="63" s="1"/>
  <c r="AI31" i="63" s="1"/>
  <c r="AJ31" i="63" s="1"/>
  <c r="AK31" i="63" s="1"/>
  <c r="AA31" i="63"/>
  <c r="AF31" i="63"/>
  <c r="O32" i="63"/>
  <c r="AG32" i="63" a="1"/>
  <c r="AG32" i="63" s="1"/>
  <c r="AH32" i="63" s="1"/>
  <c r="AI32" i="63" s="1"/>
  <c r="AJ32" i="63" s="1"/>
  <c r="AK32" i="63" s="1"/>
  <c r="AA32" i="63"/>
  <c r="AF32" i="63"/>
  <c r="O33" i="63"/>
  <c r="AG33" i="63" a="1"/>
  <c r="AG33" i="63" s="1"/>
  <c r="AH33" i="63" s="1"/>
  <c r="AI33" i="63" s="1"/>
  <c r="AJ33" i="63" s="1"/>
  <c r="AK33" i="63" s="1"/>
  <c r="AA33" i="63"/>
  <c r="AF33" i="63"/>
  <c r="D42" i="62"/>
  <c r="G31" i="6" s="1"/>
  <c r="O19" i="62"/>
  <c r="AG19" i="62" a="1"/>
  <c r="AG19" i="62" s="1"/>
  <c r="AH19" i="62" s="1"/>
  <c r="AA19" i="62"/>
  <c r="AF19" i="62"/>
  <c r="O20" i="62"/>
  <c r="AG20" i="62" a="1"/>
  <c r="AG20" i="62" s="1"/>
  <c r="AH20" i="62" s="1"/>
  <c r="AI20" i="62" s="1"/>
  <c r="AJ20" i="62" s="1"/>
  <c r="AK20" i="62" s="1"/>
  <c r="AA20" i="62"/>
  <c r="AF20" i="62"/>
  <c r="O21" i="62"/>
  <c r="AG21" i="62" a="1"/>
  <c r="AG21" i="62" s="1"/>
  <c r="AH21" i="62" s="1"/>
  <c r="AI21" i="62" s="1"/>
  <c r="AJ21" i="62" s="1"/>
  <c r="AK21" i="62" s="1"/>
  <c r="AA21" i="62"/>
  <c r="AF21" i="62"/>
  <c r="O22" i="62"/>
  <c r="AG22" i="62" a="1"/>
  <c r="AG22" i="62" s="1"/>
  <c r="AH22" i="62" s="1"/>
  <c r="AI22" i="62" s="1"/>
  <c r="AJ22" i="62" s="1"/>
  <c r="AK22" i="62" s="1"/>
  <c r="AA22" i="62"/>
  <c r="AF22" i="62"/>
  <c r="O23" i="62"/>
  <c r="AG23" i="62" a="1"/>
  <c r="AG23" i="62" s="1"/>
  <c r="AH23" i="62" s="1"/>
  <c r="AI23" i="62" s="1"/>
  <c r="AJ23" i="62" s="1"/>
  <c r="AK23" i="62" s="1"/>
  <c r="AA23" i="62"/>
  <c r="AF23" i="62"/>
  <c r="O24" i="62"/>
  <c r="AG24" i="62" a="1"/>
  <c r="AG24" i="62" s="1"/>
  <c r="AH24" i="62" s="1"/>
  <c r="AI24" i="62" s="1"/>
  <c r="AJ24" i="62" s="1"/>
  <c r="AK24" i="62" s="1"/>
  <c r="AA24" i="62"/>
  <c r="AF24" i="62"/>
  <c r="O25" i="62"/>
  <c r="AG25" i="62" a="1"/>
  <c r="AG25" i="62" s="1"/>
  <c r="AH25" i="62" s="1"/>
  <c r="AI25" i="62" s="1"/>
  <c r="AJ25" i="62" s="1"/>
  <c r="AK25" i="62" s="1"/>
  <c r="AA25" i="62"/>
  <c r="AF25" i="62"/>
  <c r="O26" i="62"/>
  <c r="AG26" i="62" a="1"/>
  <c r="AG26" i="62" s="1"/>
  <c r="AH26" i="62" s="1"/>
  <c r="AI26" i="62" s="1"/>
  <c r="AJ26" i="62" s="1"/>
  <c r="AK26" i="62" s="1"/>
  <c r="AA26" i="62"/>
  <c r="AF26" i="62"/>
  <c r="O27" i="62"/>
  <c r="AG27" i="62" a="1"/>
  <c r="AG27" i="62" s="1"/>
  <c r="AH27" i="62" s="1"/>
  <c r="AI27" i="62" s="1"/>
  <c r="AJ27" i="62" s="1"/>
  <c r="AK27" i="62" s="1"/>
  <c r="AA27" i="62"/>
  <c r="AF27" i="62"/>
  <c r="O28" i="62"/>
  <c r="AG28" i="62" a="1"/>
  <c r="AG28" i="62" s="1"/>
  <c r="AH28" i="62" s="1"/>
  <c r="AI28" i="62" s="1"/>
  <c r="AJ28" i="62" s="1"/>
  <c r="AK28" i="62" s="1"/>
  <c r="AA28" i="62"/>
  <c r="AF28" i="62"/>
  <c r="O29" i="62"/>
  <c r="AG29" i="62" a="1"/>
  <c r="AG29" i="62" s="1"/>
  <c r="AH29" i="62" s="1"/>
  <c r="AI29" i="62" s="1"/>
  <c r="AJ29" i="62" s="1"/>
  <c r="AK29" i="62" s="1"/>
  <c r="AA29" i="62"/>
  <c r="AF29" i="62"/>
  <c r="O30" i="62"/>
  <c r="AG30" i="62" a="1"/>
  <c r="AG30" i="62" s="1"/>
  <c r="AH30" i="62" s="1"/>
  <c r="AI30" i="62" s="1"/>
  <c r="AJ30" i="62" s="1"/>
  <c r="AK30" i="62" s="1"/>
  <c r="AA30" i="62"/>
  <c r="AF30" i="62"/>
  <c r="O31" i="62"/>
  <c r="AG31" i="62" a="1"/>
  <c r="AG31" i="62" s="1"/>
  <c r="AH31" i="62" s="1"/>
  <c r="AI31" i="62" s="1"/>
  <c r="AJ31" i="62" s="1"/>
  <c r="AK31" i="62" s="1"/>
  <c r="AA31" i="62"/>
  <c r="AF31" i="62"/>
  <c r="O32" i="62"/>
  <c r="AG32" i="62" a="1"/>
  <c r="AG32" i="62" s="1"/>
  <c r="AH32" i="62" s="1"/>
  <c r="AI32" i="62" s="1"/>
  <c r="AJ32" i="62" s="1"/>
  <c r="AK32" i="62" s="1"/>
  <c r="AA32" i="62"/>
  <c r="AF32" i="62"/>
  <c r="O33" i="62"/>
  <c r="AG33" i="62" a="1"/>
  <c r="AG33" i="62" s="1"/>
  <c r="AH33" i="62" s="1"/>
  <c r="AI33" i="62" s="1"/>
  <c r="AJ33" i="62" s="1"/>
  <c r="AK33" i="62" s="1"/>
  <c r="AA33" i="62"/>
  <c r="AF33" i="62"/>
  <c r="D42" i="61"/>
  <c r="G30" i="6" s="1"/>
  <c r="O19" i="61"/>
  <c r="AG19" i="61" a="1"/>
  <c r="AG19" i="61" s="1"/>
  <c r="AH19" i="61" s="1"/>
  <c r="AA19" i="61"/>
  <c r="AF19" i="61"/>
  <c r="O20" i="61"/>
  <c r="AG20" i="61" a="1"/>
  <c r="AG20" i="61" s="1"/>
  <c r="AH20" i="61" s="1"/>
  <c r="AI20" i="61" s="1"/>
  <c r="AJ20" i="61" s="1"/>
  <c r="AK20" i="61" s="1"/>
  <c r="AA20" i="61"/>
  <c r="AF20" i="61"/>
  <c r="O21" i="61"/>
  <c r="AG21" i="61" a="1"/>
  <c r="AG21" i="61" s="1"/>
  <c r="AH21" i="61" s="1"/>
  <c r="AI21" i="61" s="1"/>
  <c r="AJ21" i="61" s="1"/>
  <c r="AK21" i="61" s="1"/>
  <c r="AA21" i="61"/>
  <c r="AF21" i="61"/>
  <c r="O22" i="61"/>
  <c r="AG22" i="61" a="1"/>
  <c r="AG22" i="61" s="1"/>
  <c r="AH22" i="61" s="1"/>
  <c r="AI22" i="61" s="1"/>
  <c r="AJ22" i="61" s="1"/>
  <c r="AK22" i="61" s="1"/>
  <c r="AA22" i="61"/>
  <c r="AF22" i="61"/>
  <c r="O23" i="61"/>
  <c r="AG23" i="61" a="1"/>
  <c r="AG23" i="61" s="1"/>
  <c r="AH23" i="61" s="1"/>
  <c r="AI23" i="61" s="1"/>
  <c r="AJ23" i="61" s="1"/>
  <c r="AK23" i="61" s="1"/>
  <c r="AA23" i="61"/>
  <c r="AF23" i="61"/>
  <c r="O24" i="61"/>
  <c r="AG24" i="61" a="1"/>
  <c r="AG24" i="61" s="1"/>
  <c r="AH24" i="61" s="1"/>
  <c r="AI24" i="61" s="1"/>
  <c r="AJ24" i="61" s="1"/>
  <c r="AK24" i="61" s="1"/>
  <c r="AA24" i="61"/>
  <c r="AF24" i="61"/>
  <c r="O25" i="61"/>
  <c r="AG25" i="61" a="1"/>
  <c r="AG25" i="61" s="1"/>
  <c r="AH25" i="61" s="1"/>
  <c r="AI25" i="61" s="1"/>
  <c r="AJ25" i="61" s="1"/>
  <c r="AK25" i="61" s="1"/>
  <c r="AA25" i="61"/>
  <c r="AF25" i="61"/>
  <c r="O26" i="61"/>
  <c r="AG26" i="61" a="1"/>
  <c r="AG26" i="61" s="1"/>
  <c r="AH26" i="61" s="1"/>
  <c r="AI26" i="61" s="1"/>
  <c r="AJ26" i="61" s="1"/>
  <c r="AK26" i="61" s="1"/>
  <c r="AA26" i="61"/>
  <c r="AF26" i="61"/>
  <c r="O27" i="61"/>
  <c r="AG27" i="61" a="1"/>
  <c r="AG27" i="61" s="1"/>
  <c r="AH27" i="61" s="1"/>
  <c r="AI27" i="61" s="1"/>
  <c r="AJ27" i="61" s="1"/>
  <c r="AK27" i="61" s="1"/>
  <c r="AA27" i="61"/>
  <c r="AF27" i="61"/>
  <c r="O28" i="61"/>
  <c r="AG28" i="61" a="1"/>
  <c r="AG28" i="61" s="1"/>
  <c r="AH28" i="61" s="1"/>
  <c r="AI28" i="61" s="1"/>
  <c r="AJ28" i="61" s="1"/>
  <c r="AK28" i="61" s="1"/>
  <c r="AA28" i="61"/>
  <c r="AF28" i="61"/>
  <c r="O29" i="61"/>
  <c r="AG29" i="61" a="1"/>
  <c r="AG29" i="61" s="1"/>
  <c r="AH29" i="61" s="1"/>
  <c r="AI29" i="61" s="1"/>
  <c r="AJ29" i="61" s="1"/>
  <c r="AK29" i="61" s="1"/>
  <c r="AA29" i="61"/>
  <c r="AF29" i="61"/>
  <c r="O30" i="61"/>
  <c r="AG30" i="61" a="1"/>
  <c r="AG30" i="61" s="1"/>
  <c r="AH30" i="61" s="1"/>
  <c r="AI30" i="61" s="1"/>
  <c r="AJ30" i="61" s="1"/>
  <c r="AK30" i="61" s="1"/>
  <c r="AA30" i="61"/>
  <c r="AF30" i="61"/>
  <c r="O31" i="61"/>
  <c r="AG31" i="61" a="1"/>
  <c r="AG31" i="61" s="1"/>
  <c r="AH31" i="61" s="1"/>
  <c r="AI31" i="61" s="1"/>
  <c r="AJ31" i="61" s="1"/>
  <c r="AK31" i="61" s="1"/>
  <c r="AA31" i="61"/>
  <c r="AF31" i="61"/>
  <c r="O32" i="61"/>
  <c r="AG32" i="61" a="1"/>
  <c r="AG32" i="61" s="1"/>
  <c r="AH32" i="61" s="1"/>
  <c r="AI32" i="61" s="1"/>
  <c r="AJ32" i="61" s="1"/>
  <c r="AK32" i="61" s="1"/>
  <c r="AA32" i="61"/>
  <c r="AF32" i="61"/>
  <c r="O33" i="61"/>
  <c r="AG33" i="61" a="1"/>
  <c r="AG33" i="61" s="1"/>
  <c r="AH33" i="61" s="1"/>
  <c r="AI33" i="61" s="1"/>
  <c r="AJ33" i="61" s="1"/>
  <c r="AK33" i="61" s="1"/>
  <c r="AA33" i="61"/>
  <c r="AF33" i="61"/>
  <c r="D42" i="60"/>
  <c r="G29" i="6" s="1"/>
  <c r="O19" i="60"/>
  <c r="AG19" i="60" a="1"/>
  <c r="AG19" i="60" s="1"/>
  <c r="AH19" i="60" s="1"/>
  <c r="AA19" i="60"/>
  <c r="AF19" i="60"/>
  <c r="O20" i="60"/>
  <c r="AG20" i="60" a="1"/>
  <c r="AG20" i="60" s="1"/>
  <c r="AH20" i="60" s="1"/>
  <c r="AI20" i="60" s="1"/>
  <c r="AJ20" i="60" s="1"/>
  <c r="AK20" i="60" s="1"/>
  <c r="AA20" i="60"/>
  <c r="AF20" i="60"/>
  <c r="O21" i="60"/>
  <c r="AG21" i="60" a="1"/>
  <c r="AG21" i="60" s="1"/>
  <c r="AH21" i="60" s="1"/>
  <c r="AI21" i="60" s="1"/>
  <c r="AJ21" i="60" s="1"/>
  <c r="AK21" i="60" s="1"/>
  <c r="AA21" i="60"/>
  <c r="AF21" i="60"/>
  <c r="O22" i="60"/>
  <c r="AG22" i="60" a="1"/>
  <c r="AG22" i="60" s="1"/>
  <c r="AH22" i="60" s="1"/>
  <c r="AI22" i="60" s="1"/>
  <c r="AJ22" i="60" s="1"/>
  <c r="AK22" i="60" s="1"/>
  <c r="AA22" i="60"/>
  <c r="AF22" i="60"/>
  <c r="O23" i="60"/>
  <c r="AG23" i="60" a="1"/>
  <c r="AG23" i="60" s="1"/>
  <c r="AH23" i="60" s="1"/>
  <c r="AI23" i="60" s="1"/>
  <c r="AJ23" i="60" s="1"/>
  <c r="AK23" i="60" s="1"/>
  <c r="AA23" i="60"/>
  <c r="AF23" i="60"/>
  <c r="O24" i="60"/>
  <c r="AG24" i="60" a="1"/>
  <c r="AG24" i="60" s="1"/>
  <c r="AH24" i="60" s="1"/>
  <c r="AI24" i="60" s="1"/>
  <c r="AJ24" i="60" s="1"/>
  <c r="AK24" i="60" s="1"/>
  <c r="AA24" i="60"/>
  <c r="AF24" i="60"/>
  <c r="O25" i="60"/>
  <c r="AG25" i="60" a="1"/>
  <c r="AG25" i="60" s="1"/>
  <c r="AH25" i="60" s="1"/>
  <c r="AI25" i="60" s="1"/>
  <c r="AJ25" i="60" s="1"/>
  <c r="AK25" i="60" s="1"/>
  <c r="AA25" i="60"/>
  <c r="AF25" i="60"/>
  <c r="O26" i="60"/>
  <c r="AG26" i="60" a="1"/>
  <c r="AG26" i="60" s="1"/>
  <c r="AH26" i="60" s="1"/>
  <c r="AI26" i="60" s="1"/>
  <c r="AJ26" i="60" s="1"/>
  <c r="AK26" i="60" s="1"/>
  <c r="AA26" i="60"/>
  <c r="AF26" i="60"/>
  <c r="O27" i="60"/>
  <c r="AG27" i="60" a="1"/>
  <c r="AG27" i="60" s="1"/>
  <c r="AH27" i="60" s="1"/>
  <c r="AI27" i="60" s="1"/>
  <c r="AJ27" i="60" s="1"/>
  <c r="AK27" i="60" s="1"/>
  <c r="AA27" i="60"/>
  <c r="AF27" i="60"/>
  <c r="O28" i="60"/>
  <c r="AG28" i="60" a="1"/>
  <c r="AG28" i="60" s="1"/>
  <c r="AH28" i="60" s="1"/>
  <c r="AI28" i="60" s="1"/>
  <c r="AJ28" i="60" s="1"/>
  <c r="AK28" i="60" s="1"/>
  <c r="AA28" i="60"/>
  <c r="AF28" i="60"/>
  <c r="O29" i="60"/>
  <c r="AG29" i="60" a="1"/>
  <c r="AG29" i="60" s="1"/>
  <c r="AH29" i="60" s="1"/>
  <c r="AI29" i="60" s="1"/>
  <c r="AJ29" i="60" s="1"/>
  <c r="AK29" i="60" s="1"/>
  <c r="AA29" i="60"/>
  <c r="AF29" i="60"/>
  <c r="O30" i="60"/>
  <c r="AG30" i="60" a="1"/>
  <c r="AG30" i="60" s="1"/>
  <c r="AH30" i="60" s="1"/>
  <c r="AI30" i="60" s="1"/>
  <c r="AJ30" i="60" s="1"/>
  <c r="AK30" i="60" s="1"/>
  <c r="AA30" i="60"/>
  <c r="AF30" i="60"/>
  <c r="O31" i="60"/>
  <c r="AG31" i="60" a="1"/>
  <c r="AG31" i="60" s="1"/>
  <c r="AH31" i="60" s="1"/>
  <c r="AI31" i="60" s="1"/>
  <c r="AJ31" i="60" s="1"/>
  <c r="AK31" i="60" s="1"/>
  <c r="AA31" i="60"/>
  <c r="AF31" i="60"/>
  <c r="O32" i="60"/>
  <c r="AG32" i="60" a="1"/>
  <c r="AG32" i="60" s="1"/>
  <c r="AH32" i="60" s="1"/>
  <c r="AI32" i="60" s="1"/>
  <c r="AJ32" i="60" s="1"/>
  <c r="AK32" i="60" s="1"/>
  <c r="AA32" i="60"/>
  <c r="AF32" i="60"/>
  <c r="O33" i="60"/>
  <c r="AG33" i="60" a="1"/>
  <c r="AG33" i="60" s="1"/>
  <c r="AH33" i="60" s="1"/>
  <c r="AI33" i="60" s="1"/>
  <c r="AJ33" i="60" s="1"/>
  <c r="AK33" i="60" s="1"/>
  <c r="AA33" i="60"/>
  <c r="AF33" i="60"/>
  <c r="D42" i="59"/>
  <c r="G28" i="6" s="1"/>
  <c r="O19" i="59"/>
  <c r="AG19" i="59" a="1"/>
  <c r="AG19" i="59" s="1"/>
  <c r="AH19" i="59" s="1"/>
  <c r="AA19" i="59"/>
  <c r="AF19" i="59"/>
  <c r="O20" i="59"/>
  <c r="AG20" i="59" a="1"/>
  <c r="AG20" i="59" s="1"/>
  <c r="AH20" i="59" s="1"/>
  <c r="AI20" i="59" s="1"/>
  <c r="AJ20" i="59" s="1"/>
  <c r="AK20" i="59" s="1"/>
  <c r="AA20" i="59"/>
  <c r="AF20" i="59"/>
  <c r="O21" i="59"/>
  <c r="AG21" i="59" a="1"/>
  <c r="AG21" i="59" s="1"/>
  <c r="AH21" i="59" s="1"/>
  <c r="AI21" i="59" s="1"/>
  <c r="AJ21" i="59" s="1"/>
  <c r="AK21" i="59" s="1"/>
  <c r="AA21" i="59"/>
  <c r="AF21" i="59"/>
  <c r="O22" i="59"/>
  <c r="AG22" i="59" a="1"/>
  <c r="AG22" i="59" s="1"/>
  <c r="AH22" i="59" s="1"/>
  <c r="AI22" i="59" s="1"/>
  <c r="AJ22" i="59" s="1"/>
  <c r="AK22" i="59" s="1"/>
  <c r="AA22" i="59"/>
  <c r="AF22" i="59"/>
  <c r="O23" i="59"/>
  <c r="AG23" i="59" a="1"/>
  <c r="AG23" i="59" s="1"/>
  <c r="AH23" i="59" s="1"/>
  <c r="AI23" i="59" s="1"/>
  <c r="AJ23" i="59" s="1"/>
  <c r="AK23" i="59" s="1"/>
  <c r="AA23" i="59"/>
  <c r="AF23" i="59"/>
  <c r="O24" i="59"/>
  <c r="AG24" i="59" a="1"/>
  <c r="AG24" i="59" s="1"/>
  <c r="AH24" i="59" s="1"/>
  <c r="AI24" i="59" s="1"/>
  <c r="AJ24" i="59" s="1"/>
  <c r="AK24" i="59" s="1"/>
  <c r="AA24" i="59"/>
  <c r="AF24" i="59"/>
  <c r="O25" i="59"/>
  <c r="AG25" i="59" a="1"/>
  <c r="AG25" i="59" s="1"/>
  <c r="AH25" i="59" s="1"/>
  <c r="AI25" i="59" s="1"/>
  <c r="AJ25" i="59" s="1"/>
  <c r="AK25" i="59" s="1"/>
  <c r="AA25" i="59"/>
  <c r="AF25" i="59"/>
  <c r="O26" i="59"/>
  <c r="AG26" i="59" a="1"/>
  <c r="AG26" i="59" s="1"/>
  <c r="AH26" i="59" s="1"/>
  <c r="AI26" i="59" s="1"/>
  <c r="AJ26" i="59" s="1"/>
  <c r="AK26" i="59" s="1"/>
  <c r="AA26" i="59"/>
  <c r="AF26" i="59"/>
  <c r="O27" i="59"/>
  <c r="AG27" i="59" a="1"/>
  <c r="AG27" i="59" s="1"/>
  <c r="AH27" i="59" s="1"/>
  <c r="AI27" i="59" s="1"/>
  <c r="AJ27" i="59" s="1"/>
  <c r="AK27" i="59" s="1"/>
  <c r="AA27" i="59"/>
  <c r="AF27" i="59"/>
  <c r="O28" i="59"/>
  <c r="AG28" i="59" a="1"/>
  <c r="AG28" i="59" s="1"/>
  <c r="AH28" i="59" s="1"/>
  <c r="AI28" i="59" s="1"/>
  <c r="AJ28" i="59" s="1"/>
  <c r="AK28" i="59" s="1"/>
  <c r="AA28" i="59"/>
  <c r="AF28" i="59"/>
  <c r="O29" i="59"/>
  <c r="AG29" i="59" a="1"/>
  <c r="AG29" i="59" s="1"/>
  <c r="AH29" i="59" s="1"/>
  <c r="AI29" i="59" s="1"/>
  <c r="AJ29" i="59" s="1"/>
  <c r="AK29" i="59" s="1"/>
  <c r="AA29" i="59"/>
  <c r="AF29" i="59"/>
  <c r="O30" i="59"/>
  <c r="AG30" i="59" a="1"/>
  <c r="AG30" i="59" s="1"/>
  <c r="AH30" i="59" s="1"/>
  <c r="AI30" i="59" s="1"/>
  <c r="AJ30" i="59" s="1"/>
  <c r="AK30" i="59" s="1"/>
  <c r="AA30" i="59"/>
  <c r="AF30" i="59"/>
  <c r="O31" i="59"/>
  <c r="AG31" i="59" a="1"/>
  <c r="AG31" i="59" s="1"/>
  <c r="AH31" i="59" s="1"/>
  <c r="AI31" i="59" s="1"/>
  <c r="AJ31" i="59" s="1"/>
  <c r="AK31" i="59" s="1"/>
  <c r="AA31" i="59"/>
  <c r="AF31" i="59"/>
  <c r="O32" i="59"/>
  <c r="AG32" i="59" a="1"/>
  <c r="AG32" i="59" s="1"/>
  <c r="AH32" i="59" s="1"/>
  <c r="AI32" i="59" s="1"/>
  <c r="AJ32" i="59" s="1"/>
  <c r="AK32" i="59" s="1"/>
  <c r="AA32" i="59"/>
  <c r="AF32" i="59"/>
  <c r="O33" i="59"/>
  <c r="AG33" i="59" a="1"/>
  <c r="AG33" i="59" s="1"/>
  <c r="AH33" i="59" s="1"/>
  <c r="AI33" i="59" s="1"/>
  <c r="AJ33" i="59" s="1"/>
  <c r="AK33" i="59" s="1"/>
  <c r="AA33" i="59"/>
  <c r="AF33" i="59"/>
  <c r="D42" i="58"/>
  <c r="G27" i="6" s="1"/>
  <c r="O19" i="58"/>
  <c r="S19" i="58" s="1"/>
  <c r="AG19" i="58" a="1"/>
  <c r="AG19" i="58" s="1"/>
  <c r="AH19" i="58" s="1"/>
  <c r="AA19" i="58"/>
  <c r="AF19" i="58"/>
  <c r="O20" i="58"/>
  <c r="AG20" i="58" a="1"/>
  <c r="AG20" i="58" s="1"/>
  <c r="AH20" i="58" s="1"/>
  <c r="AI20" i="58" s="1"/>
  <c r="AJ20" i="58" s="1"/>
  <c r="AK20" i="58" s="1"/>
  <c r="AA20" i="58"/>
  <c r="AF20" i="58"/>
  <c r="O21" i="58"/>
  <c r="AG21" i="58" a="1"/>
  <c r="AG21" i="58" s="1"/>
  <c r="AH21" i="58" s="1"/>
  <c r="AI21" i="58" s="1"/>
  <c r="AJ21" i="58" s="1"/>
  <c r="AK21" i="58" s="1"/>
  <c r="AA21" i="58"/>
  <c r="AF21" i="58"/>
  <c r="O22" i="58"/>
  <c r="AG22" i="58" a="1"/>
  <c r="AG22" i="58" s="1"/>
  <c r="AH22" i="58" s="1"/>
  <c r="AI22" i="58" s="1"/>
  <c r="AJ22" i="58" s="1"/>
  <c r="AK22" i="58" s="1"/>
  <c r="AA22" i="58"/>
  <c r="AF22" i="58"/>
  <c r="O23" i="58"/>
  <c r="AG23" i="58" a="1"/>
  <c r="AG23" i="58" s="1"/>
  <c r="AH23" i="58" s="1"/>
  <c r="AI23" i="58" s="1"/>
  <c r="AJ23" i="58" s="1"/>
  <c r="AK23" i="58" s="1"/>
  <c r="AA23" i="58"/>
  <c r="AF23" i="58"/>
  <c r="O24" i="58"/>
  <c r="AG24" i="58" a="1"/>
  <c r="AG24" i="58" s="1"/>
  <c r="AH24" i="58" s="1"/>
  <c r="AI24" i="58" s="1"/>
  <c r="AJ24" i="58" s="1"/>
  <c r="AK24" i="58" s="1"/>
  <c r="AA24" i="58"/>
  <c r="AF24" i="58"/>
  <c r="O25" i="58"/>
  <c r="AG25" i="58" a="1"/>
  <c r="AG25" i="58" s="1"/>
  <c r="AH25" i="58" s="1"/>
  <c r="AI25" i="58" s="1"/>
  <c r="AJ25" i="58" s="1"/>
  <c r="AK25" i="58" s="1"/>
  <c r="AA25" i="58"/>
  <c r="AF25" i="58"/>
  <c r="O26" i="58"/>
  <c r="AG26" i="58" a="1"/>
  <c r="AG26" i="58" s="1"/>
  <c r="AH26" i="58" s="1"/>
  <c r="AI26" i="58" s="1"/>
  <c r="AJ26" i="58" s="1"/>
  <c r="AK26" i="58" s="1"/>
  <c r="AA26" i="58"/>
  <c r="AF26" i="58"/>
  <c r="O27" i="58"/>
  <c r="AG27" i="58" a="1"/>
  <c r="AG27" i="58" s="1"/>
  <c r="AH27" i="58" s="1"/>
  <c r="AI27" i="58" s="1"/>
  <c r="AJ27" i="58" s="1"/>
  <c r="AK27" i="58" s="1"/>
  <c r="AA27" i="58"/>
  <c r="AF27" i="58"/>
  <c r="O28" i="58"/>
  <c r="AG28" i="58" a="1"/>
  <c r="AG28" i="58" s="1"/>
  <c r="AH28" i="58" s="1"/>
  <c r="AI28" i="58" s="1"/>
  <c r="AJ28" i="58" s="1"/>
  <c r="AK28" i="58" s="1"/>
  <c r="AA28" i="58"/>
  <c r="AF28" i="58"/>
  <c r="O29" i="58"/>
  <c r="AG29" i="58" a="1"/>
  <c r="AG29" i="58" s="1"/>
  <c r="AH29" i="58" s="1"/>
  <c r="AI29" i="58" s="1"/>
  <c r="AJ29" i="58" s="1"/>
  <c r="AK29" i="58" s="1"/>
  <c r="AA29" i="58"/>
  <c r="AF29" i="58"/>
  <c r="O30" i="58"/>
  <c r="AG30" i="58" a="1"/>
  <c r="AG30" i="58" s="1"/>
  <c r="AH30" i="58" s="1"/>
  <c r="AI30" i="58" s="1"/>
  <c r="AJ30" i="58" s="1"/>
  <c r="AK30" i="58" s="1"/>
  <c r="AA30" i="58"/>
  <c r="AF30" i="58"/>
  <c r="O31" i="58"/>
  <c r="AG31" i="58" a="1"/>
  <c r="AG31" i="58" s="1"/>
  <c r="AH31" i="58" s="1"/>
  <c r="AI31" i="58" s="1"/>
  <c r="AJ31" i="58" s="1"/>
  <c r="AK31" i="58" s="1"/>
  <c r="AA31" i="58"/>
  <c r="AF31" i="58"/>
  <c r="O32" i="58"/>
  <c r="AG32" i="58" a="1"/>
  <c r="AG32" i="58" s="1"/>
  <c r="AH32" i="58" s="1"/>
  <c r="AI32" i="58" s="1"/>
  <c r="AJ32" i="58" s="1"/>
  <c r="AK32" i="58" s="1"/>
  <c r="AA32" i="58"/>
  <c r="AF32" i="58"/>
  <c r="O33" i="58"/>
  <c r="AG33" i="58" a="1"/>
  <c r="AG33" i="58" s="1"/>
  <c r="AH33" i="58" s="1"/>
  <c r="AI33" i="58" s="1"/>
  <c r="AJ33" i="58" s="1"/>
  <c r="AK33" i="58" s="1"/>
  <c r="AA33" i="58"/>
  <c r="AF33" i="58"/>
  <c r="D42" i="57"/>
  <c r="G26" i="6" s="1"/>
  <c r="O19" i="57"/>
  <c r="AG19" i="57" a="1"/>
  <c r="AG19" i="57" s="1"/>
  <c r="AH19" i="57" s="1"/>
  <c r="AA19" i="57"/>
  <c r="AF19" i="57"/>
  <c r="O20" i="57"/>
  <c r="AG20" i="57" a="1"/>
  <c r="AG20" i="57" s="1"/>
  <c r="AH20" i="57" s="1"/>
  <c r="AI20" i="57" s="1"/>
  <c r="AJ20" i="57" s="1"/>
  <c r="AK20" i="57" s="1"/>
  <c r="AA20" i="57"/>
  <c r="AF20" i="57"/>
  <c r="O21" i="57"/>
  <c r="AG21" i="57" a="1"/>
  <c r="AG21" i="57" s="1"/>
  <c r="AH21" i="57" s="1"/>
  <c r="AI21" i="57" s="1"/>
  <c r="AJ21" i="57" s="1"/>
  <c r="AK21" i="57" s="1"/>
  <c r="AA21" i="57"/>
  <c r="AF21" i="57"/>
  <c r="O22" i="57"/>
  <c r="AG22" i="57" a="1"/>
  <c r="AG22" i="57" s="1"/>
  <c r="AH22" i="57" s="1"/>
  <c r="AI22" i="57" s="1"/>
  <c r="AJ22" i="57" s="1"/>
  <c r="AK22" i="57" s="1"/>
  <c r="AA22" i="57"/>
  <c r="AF22" i="57"/>
  <c r="O23" i="57"/>
  <c r="AG23" i="57" a="1"/>
  <c r="AG23" i="57" s="1"/>
  <c r="AH23" i="57" s="1"/>
  <c r="AI23" i="57" s="1"/>
  <c r="AJ23" i="57" s="1"/>
  <c r="AK23" i="57" s="1"/>
  <c r="AA23" i="57"/>
  <c r="AF23" i="57"/>
  <c r="O24" i="57"/>
  <c r="AG24" i="57" a="1"/>
  <c r="AG24" i="57" s="1"/>
  <c r="AH24" i="57" s="1"/>
  <c r="AI24" i="57" s="1"/>
  <c r="AJ24" i="57" s="1"/>
  <c r="AK24" i="57" s="1"/>
  <c r="AA24" i="57"/>
  <c r="AF24" i="57"/>
  <c r="O25" i="57"/>
  <c r="AG25" i="57" a="1"/>
  <c r="AG25" i="57" s="1"/>
  <c r="AH25" i="57" s="1"/>
  <c r="AI25" i="57" s="1"/>
  <c r="AJ25" i="57" s="1"/>
  <c r="AK25" i="57" s="1"/>
  <c r="AA25" i="57"/>
  <c r="AF25" i="57"/>
  <c r="O26" i="57"/>
  <c r="AG26" i="57" a="1"/>
  <c r="AG26" i="57" s="1"/>
  <c r="AH26" i="57" s="1"/>
  <c r="AI26" i="57" s="1"/>
  <c r="AJ26" i="57" s="1"/>
  <c r="AK26" i="57" s="1"/>
  <c r="AA26" i="57"/>
  <c r="AF26" i="57"/>
  <c r="O27" i="57"/>
  <c r="AG27" i="57" a="1"/>
  <c r="AG27" i="57" s="1"/>
  <c r="AH27" i="57" s="1"/>
  <c r="AI27" i="57" s="1"/>
  <c r="AJ27" i="57" s="1"/>
  <c r="AK27" i="57" s="1"/>
  <c r="AA27" i="57"/>
  <c r="AF27" i="57"/>
  <c r="O28" i="57"/>
  <c r="AG28" i="57" a="1"/>
  <c r="AG28" i="57" s="1"/>
  <c r="AH28" i="57" s="1"/>
  <c r="AI28" i="57" s="1"/>
  <c r="AJ28" i="57" s="1"/>
  <c r="AK28" i="57" s="1"/>
  <c r="AA28" i="57"/>
  <c r="AF28" i="57"/>
  <c r="O29" i="57"/>
  <c r="AG29" i="57" a="1"/>
  <c r="AG29" i="57" s="1"/>
  <c r="AH29" i="57" s="1"/>
  <c r="AI29" i="57" s="1"/>
  <c r="AJ29" i="57" s="1"/>
  <c r="AK29" i="57" s="1"/>
  <c r="AA29" i="57"/>
  <c r="AF29" i="57"/>
  <c r="O30" i="57"/>
  <c r="AG30" i="57" a="1"/>
  <c r="AG30" i="57" s="1"/>
  <c r="AH30" i="57" s="1"/>
  <c r="AI30" i="57" s="1"/>
  <c r="AJ30" i="57" s="1"/>
  <c r="AK30" i="57" s="1"/>
  <c r="AA30" i="57"/>
  <c r="AF30" i="57"/>
  <c r="O31" i="57"/>
  <c r="AG31" i="57" a="1"/>
  <c r="AG31" i="57" s="1"/>
  <c r="AH31" i="57" s="1"/>
  <c r="AI31" i="57" s="1"/>
  <c r="AJ31" i="57" s="1"/>
  <c r="AK31" i="57" s="1"/>
  <c r="AA31" i="57"/>
  <c r="AF31" i="57"/>
  <c r="O32" i="57"/>
  <c r="AG32" i="57" a="1"/>
  <c r="AG32" i="57" s="1"/>
  <c r="AH32" i="57" s="1"/>
  <c r="AI32" i="57" s="1"/>
  <c r="AJ32" i="57" s="1"/>
  <c r="AK32" i="57" s="1"/>
  <c r="AA32" i="57"/>
  <c r="AF32" i="57"/>
  <c r="O33" i="57"/>
  <c r="AG33" i="57" a="1"/>
  <c r="AG33" i="57" s="1"/>
  <c r="AH33" i="57" s="1"/>
  <c r="AI33" i="57" s="1"/>
  <c r="AJ33" i="57" s="1"/>
  <c r="AK33" i="57" s="1"/>
  <c r="AA33" i="57"/>
  <c r="AF33" i="57"/>
  <c r="D42" i="56"/>
  <c r="G25" i="6" s="1"/>
  <c r="O19" i="56"/>
  <c r="AG19" i="56" a="1"/>
  <c r="AG19" i="56" s="1"/>
  <c r="AH19" i="56" s="1"/>
  <c r="AA19" i="56"/>
  <c r="AF19" i="56"/>
  <c r="O20" i="56"/>
  <c r="AG20" i="56" a="1"/>
  <c r="AG20" i="56" s="1"/>
  <c r="AH20" i="56" s="1"/>
  <c r="AI20" i="56" s="1"/>
  <c r="AJ20" i="56" s="1"/>
  <c r="AK20" i="56" s="1"/>
  <c r="AA20" i="56"/>
  <c r="AF20" i="56"/>
  <c r="O21" i="56"/>
  <c r="AG21" i="56" a="1"/>
  <c r="AG21" i="56" s="1"/>
  <c r="AH21" i="56" s="1"/>
  <c r="AI21" i="56" s="1"/>
  <c r="AJ21" i="56" s="1"/>
  <c r="AK21" i="56" s="1"/>
  <c r="AA21" i="56"/>
  <c r="AF21" i="56"/>
  <c r="O22" i="56"/>
  <c r="AG22" i="56" a="1"/>
  <c r="AG22" i="56" s="1"/>
  <c r="AH22" i="56" s="1"/>
  <c r="AI22" i="56" s="1"/>
  <c r="AJ22" i="56" s="1"/>
  <c r="AK22" i="56" s="1"/>
  <c r="AA22" i="56"/>
  <c r="AF22" i="56"/>
  <c r="O23" i="56"/>
  <c r="AG23" i="56" a="1"/>
  <c r="AG23" i="56" s="1"/>
  <c r="AH23" i="56" s="1"/>
  <c r="AI23" i="56" s="1"/>
  <c r="AJ23" i="56" s="1"/>
  <c r="AK23" i="56" s="1"/>
  <c r="AA23" i="56"/>
  <c r="AF23" i="56"/>
  <c r="O24" i="56"/>
  <c r="AG24" i="56" a="1"/>
  <c r="AG24" i="56" s="1"/>
  <c r="AH24" i="56" s="1"/>
  <c r="AI24" i="56" s="1"/>
  <c r="AJ24" i="56" s="1"/>
  <c r="AK24" i="56" s="1"/>
  <c r="AA24" i="56"/>
  <c r="AF24" i="56"/>
  <c r="O25" i="56"/>
  <c r="AG25" i="56" a="1"/>
  <c r="AG25" i="56" s="1"/>
  <c r="AH25" i="56" s="1"/>
  <c r="AI25" i="56" s="1"/>
  <c r="AJ25" i="56" s="1"/>
  <c r="AK25" i="56" s="1"/>
  <c r="AA25" i="56"/>
  <c r="AF25" i="56"/>
  <c r="O26" i="56"/>
  <c r="AG26" i="56" a="1"/>
  <c r="AG26" i="56" s="1"/>
  <c r="AH26" i="56" s="1"/>
  <c r="AI26" i="56" s="1"/>
  <c r="AJ26" i="56" s="1"/>
  <c r="AK26" i="56" s="1"/>
  <c r="AA26" i="56"/>
  <c r="AF26" i="56"/>
  <c r="O27" i="56"/>
  <c r="AG27" i="56" a="1"/>
  <c r="AG27" i="56" s="1"/>
  <c r="AH27" i="56" s="1"/>
  <c r="AI27" i="56" s="1"/>
  <c r="AJ27" i="56" s="1"/>
  <c r="AK27" i="56" s="1"/>
  <c r="AA27" i="56"/>
  <c r="AF27" i="56"/>
  <c r="O28" i="56"/>
  <c r="AG28" i="56" a="1"/>
  <c r="AG28" i="56" s="1"/>
  <c r="AH28" i="56" s="1"/>
  <c r="AI28" i="56" s="1"/>
  <c r="AJ28" i="56" s="1"/>
  <c r="AK28" i="56" s="1"/>
  <c r="AA28" i="56"/>
  <c r="AF28" i="56"/>
  <c r="O29" i="56"/>
  <c r="AG29" i="56" a="1"/>
  <c r="AG29" i="56" s="1"/>
  <c r="AH29" i="56" s="1"/>
  <c r="AI29" i="56" s="1"/>
  <c r="AJ29" i="56" s="1"/>
  <c r="AK29" i="56" s="1"/>
  <c r="AA29" i="56"/>
  <c r="AF29" i="56"/>
  <c r="O30" i="56"/>
  <c r="AG30" i="56" a="1"/>
  <c r="AG30" i="56" s="1"/>
  <c r="AH30" i="56" s="1"/>
  <c r="AI30" i="56" s="1"/>
  <c r="AJ30" i="56" s="1"/>
  <c r="AK30" i="56" s="1"/>
  <c r="AA30" i="56"/>
  <c r="AF30" i="56"/>
  <c r="O31" i="56"/>
  <c r="AG31" i="56" a="1"/>
  <c r="AG31" i="56" s="1"/>
  <c r="AH31" i="56" s="1"/>
  <c r="AI31" i="56" s="1"/>
  <c r="AJ31" i="56" s="1"/>
  <c r="AK31" i="56" s="1"/>
  <c r="AA31" i="56"/>
  <c r="AF31" i="56"/>
  <c r="O32" i="56"/>
  <c r="AG32" i="56" a="1"/>
  <c r="AG32" i="56" s="1"/>
  <c r="AH32" i="56" s="1"/>
  <c r="AI32" i="56" s="1"/>
  <c r="AJ32" i="56" s="1"/>
  <c r="AK32" i="56" s="1"/>
  <c r="AA32" i="56"/>
  <c r="AF32" i="56"/>
  <c r="O33" i="56"/>
  <c r="AG33" i="56" a="1"/>
  <c r="AG33" i="56" s="1"/>
  <c r="AH33" i="56" s="1"/>
  <c r="AI33" i="56" s="1"/>
  <c r="AJ33" i="56" s="1"/>
  <c r="AK33" i="56" s="1"/>
  <c r="AA33" i="56"/>
  <c r="AF33" i="56"/>
  <c r="D42" i="55"/>
  <c r="G24" i="6" s="1"/>
  <c r="O19" i="55"/>
  <c r="AG19" i="55" a="1"/>
  <c r="AG19" i="55" s="1"/>
  <c r="AH19" i="55" s="1"/>
  <c r="AA19" i="55"/>
  <c r="AF19" i="55"/>
  <c r="O20" i="55"/>
  <c r="AG20" i="55" a="1"/>
  <c r="AG20" i="55" s="1"/>
  <c r="AH20" i="55" s="1"/>
  <c r="AI20" i="55" s="1"/>
  <c r="AJ20" i="55" s="1"/>
  <c r="AK20" i="55" s="1"/>
  <c r="AA20" i="55"/>
  <c r="AF20" i="55"/>
  <c r="O21" i="55"/>
  <c r="AG21" i="55" a="1"/>
  <c r="AG21" i="55" s="1"/>
  <c r="AH21" i="55" s="1"/>
  <c r="AI21" i="55" s="1"/>
  <c r="AJ21" i="55" s="1"/>
  <c r="AK21" i="55" s="1"/>
  <c r="AA21" i="55"/>
  <c r="AF21" i="55"/>
  <c r="O22" i="55"/>
  <c r="AG22" i="55" a="1"/>
  <c r="AG22" i="55" s="1"/>
  <c r="AH22" i="55" s="1"/>
  <c r="AI22" i="55" s="1"/>
  <c r="AJ22" i="55" s="1"/>
  <c r="AK22" i="55" s="1"/>
  <c r="AA22" i="55"/>
  <c r="AF22" i="55"/>
  <c r="O23" i="55"/>
  <c r="AG23" i="55" a="1"/>
  <c r="AG23" i="55" s="1"/>
  <c r="AH23" i="55" s="1"/>
  <c r="AI23" i="55" s="1"/>
  <c r="AJ23" i="55" s="1"/>
  <c r="AK23" i="55" s="1"/>
  <c r="AA23" i="55"/>
  <c r="AF23" i="55"/>
  <c r="O24" i="55"/>
  <c r="AG24" i="55" a="1"/>
  <c r="AG24" i="55" s="1"/>
  <c r="AH24" i="55" s="1"/>
  <c r="AI24" i="55" s="1"/>
  <c r="AJ24" i="55" s="1"/>
  <c r="AK24" i="55" s="1"/>
  <c r="AA24" i="55"/>
  <c r="AF24" i="55"/>
  <c r="O25" i="55"/>
  <c r="AG25" i="55" a="1"/>
  <c r="AG25" i="55" s="1"/>
  <c r="AH25" i="55" s="1"/>
  <c r="AI25" i="55" s="1"/>
  <c r="AJ25" i="55" s="1"/>
  <c r="AK25" i="55" s="1"/>
  <c r="AA25" i="55"/>
  <c r="AF25" i="55"/>
  <c r="O26" i="55"/>
  <c r="AG26" i="55" a="1"/>
  <c r="AG26" i="55" s="1"/>
  <c r="AH26" i="55" s="1"/>
  <c r="AI26" i="55" s="1"/>
  <c r="AJ26" i="55" s="1"/>
  <c r="AK26" i="55" s="1"/>
  <c r="AA26" i="55"/>
  <c r="AF26" i="55"/>
  <c r="O27" i="55"/>
  <c r="AG27" i="55" a="1"/>
  <c r="AG27" i="55" s="1"/>
  <c r="AH27" i="55" s="1"/>
  <c r="AI27" i="55" s="1"/>
  <c r="AJ27" i="55" s="1"/>
  <c r="AK27" i="55" s="1"/>
  <c r="AA27" i="55"/>
  <c r="AF27" i="55"/>
  <c r="O28" i="55"/>
  <c r="AG28" i="55" a="1"/>
  <c r="AG28" i="55" s="1"/>
  <c r="AH28" i="55" s="1"/>
  <c r="AI28" i="55" s="1"/>
  <c r="AJ28" i="55" s="1"/>
  <c r="AK28" i="55" s="1"/>
  <c r="AA28" i="55"/>
  <c r="AF28" i="55"/>
  <c r="O29" i="55"/>
  <c r="AG29" i="55" a="1"/>
  <c r="AG29" i="55" s="1"/>
  <c r="AH29" i="55" s="1"/>
  <c r="AI29" i="55" s="1"/>
  <c r="AJ29" i="55" s="1"/>
  <c r="AK29" i="55" s="1"/>
  <c r="AA29" i="55"/>
  <c r="AF29" i="55"/>
  <c r="O30" i="55"/>
  <c r="AG30" i="55" a="1"/>
  <c r="AG30" i="55" s="1"/>
  <c r="AH30" i="55" s="1"/>
  <c r="AI30" i="55" s="1"/>
  <c r="AJ30" i="55" s="1"/>
  <c r="AK30" i="55" s="1"/>
  <c r="AA30" i="55"/>
  <c r="AF30" i="55"/>
  <c r="O31" i="55"/>
  <c r="AG31" i="55" a="1"/>
  <c r="AG31" i="55" s="1"/>
  <c r="AH31" i="55" s="1"/>
  <c r="AI31" i="55" s="1"/>
  <c r="AJ31" i="55" s="1"/>
  <c r="AK31" i="55" s="1"/>
  <c r="AA31" i="55"/>
  <c r="AF31" i="55"/>
  <c r="O32" i="55"/>
  <c r="AG32" i="55" a="1"/>
  <c r="AG32" i="55" s="1"/>
  <c r="AH32" i="55" s="1"/>
  <c r="AI32" i="55" s="1"/>
  <c r="AJ32" i="55" s="1"/>
  <c r="AK32" i="55" s="1"/>
  <c r="AA32" i="55"/>
  <c r="AF32" i="55"/>
  <c r="O33" i="55"/>
  <c r="AG33" i="55" a="1"/>
  <c r="AG33" i="55" s="1"/>
  <c r="AH33" i="55" s="1"/>
  <c r="AI33" i="55" s="1"/>
  <c r="AJ33" i="55" s="1"/>
  <c r="AK33" i="55" s="1"/>
  <c r="AA33" i="55"/>
  <c r="AF33" i="55"/>
  <c r="D42" i="54"/>
  <c r="G23" i="6" s="1"/>
  <c r="O19" i="54"/>
  <c r="AG19" i="54" a="1"/>
  <c r="AG19" i="54" s="1"/>
  <c r="AH19" i="54" s="1"/>
  <c r="AA19" i="54"/>
  <c r="AF19" i="54"/>
  <c r="O20" i="54"/>
  <c r="AG20" i="54" a="1"/>
  <c r="AG20" i="54" s="1"/>
  <c r="AH20" i="54" s="1"/>
  <c r="AI20" i="54" s="1"/>
  <c r="AJ20" i="54" s="1"/>
  <c r="AK20" i="54" s="1"/>
  <c r="AA20" i="54"/>
  <c r="AF20" i="54"/>
  <c r="O21" i="54"/>
  <c r="AG21" i="54" a="1"/>
  <c r="AG21" i="54" s="1"/>
  <c r="AH21" i="54" s="1"/>
  <c r="AI21" i="54" s="1"/>
  <c r="AJ21" i="54" s="1"/>
  <c r="AK21" i="54" s="1"/>
  <c r="AA21" i="54"/>
  <c r="AF21" i="54"/>
  <c r="O22" i="54"/>
  <c r="AG22" i="54" a="1"/>
  <c r="AG22" i="54" s="1"/>
  <c r="AH22" i="54" s="1"/>
  <c r="AI22" i="54" s="1"/>
  <c r="AJ22" i="54" s="1"/>
  <c r="AK22" i="54" s="1"/>
  <c r="AA22" i="54"/>
  <c r="AF22" i="54"/>
  <c r="O23" i="54"/>
  <c r="AG23" i="54" a="1"/>
  <c r="AG23" i="54" s="1"/>
  <c r="AH23" i="54" s="1"/>
  <c r="AI23" i="54" s="1"/>
  <c r="AJ23" i="54" s="1"/>
  <c r="AK23" i="54" s="1"/>
  <c r="AA23" i="54"/>
  <c r="AF23" i="54"/>
  <c r="O24" i="54"/>
  <c r="AG24" i="54" a="1"/>
  <c r="AG24" i="54" s="1"/>
  <c r="AH24" i="54" s="1"/>
  <c r="AI24" i="54" s="1"/>
  <c r="AJ24" i="54" s="1"/>
  <c r="AK24" i="54" s="1"/>
  <c r="AA24" i="54"/>
  <c r="AF24" i="54"/>
  <c r="O25" i="54"/>
  <c r="AG25" i="54" a="1"/>
  <c r="AG25" i="54" s="1"/>
  <c r="AH25" i="54" s="1"/>
  <c r="AI25" i="54" s="1"/>
  <c r="AJ25" i="54" s="1"/>
  <c r="AK25" i="54" s="1"/>
  <c r="AA25" i="54"/>
  <c r="AF25" i="54"/>
  <c r="O26" i="54"/>
  <c r="AG26" i="54" a="1"/>
  <c r="AG26" i="54" s="1"/>
  <c r="AH26" i="54" s="1"/>
  <c r="AI26" i="54" s="1"/>
  <c r="AJ26" i="54" s="1"/>
  <c r="AK26" i="54" s="1"/>
  <c r="AA26" i="54"/>
  <c r="AF26" i="54"/>
  <c r="O27" i="54"/>
  <c r="AG27" i="54" a="1"/>
  <c r="AG27" i="54" s="1"/>
  <c r="AH27" i="54" s="1"/>
  <c r="AI27" i="54" s="1"/>
  <c r="AJ27" i="54" s="1"/>
  <c r="AK27" i="54" s="1"/>
  <c r="AA27" i="54"/>
  <c r="AF27" i="54"/>
  <c r="O28" i="54"/>
  <c r="AG28" i="54" a="1"/>
  <c r="AG28" i="54" s="1"/>
  <c r="AH28" i="54" s="1"/>
  <c r="AI28" i="54" s="1"/>
  <c r="AJ28" i="54" s="1"/>
  <c r="AK28" i="54" s="1"/>
  <c r="AA28" i="54"/>
  <c r="AF28" i="54"/>
  <c r="O29" i="54"/>
  <c r="AG29" i="54" a="1"/>
  <c r="AG29" i="54" s="1"/>
  <c r="AH29" i="54" s="1"/>
  <c r="AI29" i="54" s="1"/>
  <c r="AJ29" i="54" s="1"/>
  <c r="AK29" i="54" s="1"/>
  <c r="AA29" i="54"/>
  <c r="AF29" i="54"/>
  <c r="O30" i="54"/>
  <c r="AG30" i="54" a="1"/>
  <c r="AG30" i="54" s="1"/>
  <c r="AH30" i="54" s="1"/>
  <c r="AI30" i="54" s="1"/>
  <c r="AJ30" i="54" s="1"/>
  <c r="AK30" i="54" s="1"/>
  <c r="AA30" i="54"/>
  <c r="AF30" i="54"/>
  <c r="O31" i="54"/>
  <c r="AG31" i="54" a="1"/>
  <c r="AG31" i="54" s="1"/>
  <c r="AH31" i="54" s="1"/>
  <c r="AI31" i="54" s="1"/>
  <c r="AJ31" i="54" s="1"/>
  <c r="AK31" i="54" s="1"/>
  <c r="AA31" i="54"/>
  <c r="AF31" i="54"/>
  <c r="O32" i="54"/>
  <c r="AG32" i="54" a="1"/>
  <c r="AG32" i="54" s="1"/>
  <c r="AH32" i="54" s="1"/>
  <c r="AI32" i="54" s="1"/>
  <c r="AJ32" i="54" s="1"/>
  <c r="AK32" i="54" s="1"/>
  <c r="AA32" i="54"/>
  <c r="AF32" i="54"/>
  <c r="O33" i="54"/>
  <c r="AG33" i="54" a="1"/>
  <c r="AG33" i="54" s="1"/>
  <c r="AH33" i="54" s="1"/>
  <c r="AI33" i="54" s="1"/>
  <c r="AJ33" i="54" s="1"/>
  <c r="AK33" i="54" s="1"/>
  <c r="AA33" i="54"/>
  <c r="AF33" i="54"/>
  <c r="D42" i="53"/>
  <c r="G22" i="6" s="1"/>
  <c r="O19" i="53"/>
  <c r="AG19" i="53" a="1"/>
  <c r="AG19" i="53" s="1"/>
  <c r="AH19" i="53" s="1"/>
  <c r="AA19" i="53"/>
  <c r="AF19" i="53"/>
  <c r="O20" i="53"/>
  <c r="AG20" i="53" a="1"/>
  <c r="AG20" i="53" s="1"/>
  <c r="AH20" i="53" s="1"/>
  <c r="AI20" i="53" s="1"/>
  <c r="AJ20" i="53" s="1"/>
  <c r="AK20" i="53" s="1"/>
  <c r="AA20" i="53"/>
  <c r="AF20" i="53"/>
  <c r="O21" i="53"/>
  <c r="AG21" i="53" a="1"/>
  <c r="AG21" i="53" s="1"/>
  <c r="AH21" i="53" s="1"/>
  <c r="AI21" i="53" s="1"/>
  <c r="AJ21" i="53" s="1"/>
  <c r="AK21" i="53" s="1"/>
  <c r="AA21" i="53"/>
  <c r="AF21" i="53"/>
  <c r="O22" i="53"/>
  <c r="AG22" i="53" a="1"/>
  <c r="AG22" i="53" s="1"/>
  <c r="AH22" i="53" s="1"/>
  <c r="AI22" i="53" s="1"/>
  <c r="AJ22" i="53" s="1"/>
  <c r="AK22" i="53" s="1"/>
  <c r="AA22" i="53"/>
  <c r="AF22" i="53"/>
  <c r="O23" i="53"/>
  <c r="AG23" i="53" a="1"/>
  <c r="AG23" i="53" s="1"/>
  <c r="AH23" i="53" s="1"/>
  <c r="AI23" i="53" s="1"/>
  <c r="AJ23" i="53" s="1"/>
  <c r="AK23" i="53" s="1"/>
  <c r="AA23" i="53"/>
  <c r="AF23" i="53"/>
  <c r="O24" i="53"/>
  <c r="AG24" i="53" a="1"/>
  <c r="AG24" i="53" s="1"/>
  <c r="AH24" i="53" s="1"/>
  <c r="AI24" i="53" s="1"/>
  <c r="AJ24" i="53" s="1"/>
  <c r="AK24" i="53" s="1"/>
  <c r="AA24" i="53"/>
  <c r="AF24" i="53"/>
  <c r="O25" i="53"/>
  <c r="AG25" i="53" a="1"/>
  <c r="AG25" i="53" s="1"/>
  <c r="AH25" i="53" s="1"/>
  <c r="AI25" i="53" s="1"/>
  <c r="AJ25" i="53" s="1"/>
  <c r="AK25" i="53" s="1"/>
  <c r="AA25" i="53"/>
  <c r="AF25" i="53"/>
  <c r="O26" i="53"/>
  <c r="AG26" i="53" a="1"/>
  <c r="AG26" i="53" s="1"/>
  <c r="AH26" i="53" s="1"/>
  <c r="AI26" i="53" s="1"/>
  <c r="AJ26" i="53" s="1"/>
  <c r="AK26" i="53" s="1"/>
  <c r="AA26" i="53"/>
  <c r="AF26" i="53"/>
  <c r="O27" i="53"/>
  <c r="AG27" i="53" a="1"/>
  <c r="AG27" i="53" s="1"/>
  <c r="AH27" i="53" s="1"/>
  <c r="AI27" i="53" s="1"/>
  <c r="AJ27" i="53" s="1"/>
  <c r="AK27" i="53" s="1"/>
  <c r="AA27" i="53"/>
  <c r="AF27" i="53"/>
  <c r="O28" i="53"/>
  <c r="AG28" i="53" a="1"/>
  <c r="AG28" i="53" s="1"/>
  <c r="AH28" i="53" s="1"/>
  <c r="AI28" i="53" s="1"/>
  <c r="AJ28" i="53" s="1"/>
  <c r="AK28" i="53" s="1"/>
  <c r="AA28" i="53"/>
  <c r="AF28" i="53"/>
  <c r="O29" i="53"/>
  <c r="AG29" i="53" a="1"/>
  <c r="AG29" i="53" s="1"/>
  <c r="AH29" i="53" s="1"/>
  <c r="AI29" i="53" s="1"/>
  <c r="AJ29" i="53" s="1"/>
  <c r="AK29" i="53" s="1"/>
  <c r="AA29" i="53"/>
  <c r="AF29" i="53"/>
  <c r="O30" i="53"/>
  <c r="AG30" i="53" a="1"/>
  <c r="AG30" i="53" s="1"/>
  <c r="AH30" i="53" s="1"/>
  <c r="AI30" i="53" s="1"/>
  <c r="AJ30" i="53" s="1"/>
  <c r="AK30" i="53" s="1"/>
  <c r="AA30" i="53"/>
  <c r="AF30" i="53"/>
  <c r="O31" i="53"/>
  <c r="AG31" i="53" a="1"/>
  <c r="AG31" i="53" s="1"/>
  <c r="AH31" i="53" s="1"/>
  <c r="AI31" i="53" s="1"/>
  <c r="AJ31" i="53" s="1"/>
  <c r="AK31" i="53" s="1"/>
  <c r="AA31" i="53"/>
  <c r="AF31" i="53"/>
  <c r="O32" i="53"/>
  <c r="AG32" i="53" a="1"/>
  <c r="AG32" i="53" s="1"/>
  <c r="AH32" i="53" s="1"/>
  <c r="AI32" i="53" s="1"/>
  <c r="AJ32" i="53" s="1"/>
  <c r="AK32" i="53" s="1"/>
  <c r="AA32" i="53"/>
  <c r="AF32" i="53"/>
  <c r="O33" i="53"/>
  <c r="AG33" i="53" a="1"/>
  <c r="AG33" i="53" s="1"/>
  <c r="AH33" i="53" s="1"/>
  <c r="AI33" i="53" s="1"/>
  <c r="AJ33" i="53" s="1"/>
  <c r="AK33" i="53" s="1"/>
  <c r="AA33" i="53"/>
  <c r="AF33" i="53"/>
  <c r="D42" i="52"/>
  <c r="G21" i="6" s="1"/>
  <c r="O19" i="52"/>
  <c r="AG19" i="52" a="1"/>
  <c r="AG19" i="52" s="1"/>
  <c r="AH19" i="52" s="1"/>
  <c r="AA19" i="52"/>
  <c r="AF19" i="52"/>
  <c r="O20" i="52"/>
  <c r="AG20" i="52" a="1"/>
  <c r="AG20" i="52" s="1"/>
  <c r="AH20" i="52" s="1"/>
  <c r="AI20" i="52" s="1"/>
  <c r="AJ20" i="52" s="1"/>
  <c r="AK20" i="52" s="1"/>
  <c r="AA20" i="52"/>
  <c r="AF20" i="52"/>
  <c r="O21" i="52"/>
  <c r="AG21" i="52" a="1"/>
  <c r="AG21" i="52" s="1"/>
  <c r="AH21" i="52" s="1"/>
  <c r="AI21" i="52" s="1"/>
  <c r="AJ21" i="52" s="1"/>
  <c r="AK21" i="52" s="1"/>
  <c r="AA21" i="52"/>
  <c r="AF21" i="52"/>
  <c r="O22" i="52"/>
  <c r="AG22" i="52" a="1"/>
  <c r="AG22" i="52" s="1"/>
  <c r="AH22" i="52" s="1"/>
  <c r="AI22" i="52" s="1"/>
  <c r="AJ22" i="52" s="1"/>
  <c r="AK22" i="52" s="1"/>
  <c r="AA22" i="52"/>
  <c r="AF22" i="52"/>
  <c r="O23" i="52"/>
  <c r="AG23" i="52" a="1"/>
  <c r="AG23" i="52" s="1"/>
  <c r="AH23" i="52" s="1"/>
  <c r="AI23" i="52" s="1"/>
  <c r="AJ23" i="52" s="1"/>
  <c r="AK23" i="52" s="1"/>
  <c r="AA23" i="52"/>
  <c r="AF23" i="52"/>
  <c r="O24" i="52"/>
  <c r="AG24" i="52" a="1"/>
  <c r="AG24" i="52" s="1"/>
  <c r="AH24" i="52" s="1"/>
  <c r="AI24" i="52" s="1"/>
  <c r="AJ24" i="52" s="1"/>
  <c r="AK24" i="52" s="1"/>
  <c r="AA24" i="52"/>
  <c r="AF24" i="52"/>
  <c r="O25" i="52"/>
  <c r="AG25" i="52" a="1"/>
  <c r="AG25" i="52" s="1"/>
  <c r="AH25" i="52" s="1"/>
  <c r="AI25" i="52" s="1"/>
  <c r="AJ25" i="52" s="1"/>
  <c r="AK25" i="52" s="1"/>
  <c r="AA25" i="52"/>
  <c r="AF25" i="52"/>
  <c r="O26" i="52"/>
  <c r="AG26" i="52" a="1"/>
  <c r="AG26" i="52" s="1"/>
  <c r="AH26" i="52" s="1"/>
  <c r="AI26" i="52" s="1"/>
  <c r="AJ26" i="52" s="1"/>
  <c r="AK26" i="52" s="1"/>
  <c r="AA26" i="52"/>
  <c r="AF26" i="52"/>
  <c r="O27" i="52"/>
  <c r="AG27" i="52" a="1"/>
  <c r="AG27" i="52" s="1"/>
  <c r="AH27" i="52" s="1"/>
  <c r="AI27" i="52" s="1"/>
  <c r="AJ27" i="52" s="1"/>
  <c r="AK27" i="52" s="1"/>
  <c r="AA27" i="52"/>
  <c r="AF27" i="52"/>
  <c r="O28" i="52"/>
  <c r="AG28" i="52" a="1"/>
  <c r="AG28" i="52" s="1"/>
  <c r="AH28" i="52" s="1"/>
  <c r="AI28" i="52" s="1"/>
  <c r="AJ28" i="52" s="1"/>
  <c r="AK28" i="52" s="1"/>
  <c r="AA28" i="52"/>
  <c r="AF28" i="52"/>
  <c r="O29" i="52"/>
  <c r="AG29" i="52" a="1"/>
  <c r="AG29" i="52" s="1"/>
  <c r="AH29" i="52" s="1"/>
  <c r="AI29" i="52" s="1"/>
  <c r="AJ29" i="52" s="1"/>
  <c r="AK29" i="52" s="1"/>
  <c r="AA29" i="52"/>
  <c r="AF29" i="52"/>
  <c r="O30" i="52"/>
  <c r="AG30" i="52" a="1"/>
  <c r="AG30" i="52" s="1"/>
  <c r="AH30" i="52" s="1"/>
  <c r="AI30" i="52" s="1"/>
  <c r="AJ30" i="52" s="1"/>
  <c r="AK30" i="52" s="1"/>
  <c r="AA30" i="52"/>
  <c r="AF30" i="52"/>
  <c r="O31" i="52"/>
  <c r="AG31" i="52" a="1"/>
  <c r="AG31" i="52" s="1"/>
  <c r="AH31" i="52" s="1"/>
  <c r="AI31" i="52" s="1"/>
  <c r="AJ31" i="52" s="1"/>
  <c r="AK31" i="52" s="1"/>
  <c r="AA31" i="52"/>
  <c r="AF31" i="52"/>
  <c r="O32" i="52"/>
  <c r="AG32" i="52" a="1"/>
  <c r="AG32" i="52" s="1"/>
  <c r="AH32" i="52" s="1"/>
  <c r="AI32" i="52" s="1"/>
  <c r="AJ32" i="52" s="1"/>
  <c r="AK32" i="52" s="1"/>
  <c r="AA32" i="52"/>
  <c r="AF32" i="52"/>
  <c r="O33" i="52"/>
  <c r="AG33" i="52" a="1"/>
  <c r="AG33" i="52" s="1"/>
  <c r="AH33" i="52" s="1"/>
  <c r="AI33" i="52" s="1"/>
  <c r="AJ33" i="52" s="1"/>
  <c r="AK33" i="52" s="1"/>
  <c r="AA33" i="52"/>
  <c r="AF33" i="52"/>
  <c r="D42" i="51"/>
  <c r="G20" i="6" s="1"/>
  <c r="O19" i="51"/>
  <c r="AG19" i="51" a="1"/>
  <c r="AG19" i="51" s="1"/>
  <c r="AH19" i="51" s="1"/>
  <c r="AA19" i="51"/>
  <c r="AF19" i="51"/>
  <c r="O20" i="51"/>
  <c r="AG20" i="51" a="1"/>
  <c r="AG20" i="51" s="1"/>
  <c r="AH20" i="51" s="1"/>
  <c r="AI20" i="51" s="1"/>
  <c r="AJ20" i="51" s="1"/>
  <c r="AK20" i="51" s="1"/>
  <c r="AA20" i="51"/>
  <c r="AF20" i="51"/>
  <c r="O21" i="51"/>
  <c r="AG21" i="51" a="1"/>
  <c r="AG21" i="51" s="1"/>
  <c r="AH21" i="51" s="1"/>
  <c r="AI21" i="51" s="1"/>
  <c r="AJ21" i="51" s="1"/>
  <c r="AK21" i="51" s="1"/>
  <c r="AA21" i="51"/>
  <c r="AF21" i="51"/>
  <c r="O22" i="51"/>
  <c r="AG22" i="51" a="1"/>
  <c r="AG22" i="51" s="1"/>
  <c r="AH22" i="51" s="1"/>
  <c r="AI22" i="51" s="1"/>
  <c r="AJ22" i="51" s="1"/>
  <c r="AK22" i="51" s="1"/>
  <c r="AA22" i="51"/>
  <c r="AF22" i="51"/>
  <c r="O23" i="51"/>
  <c r="AG23" i="51" a="1"/>
  <c r="AG23" i="51" s="1"/>
  <c r="AH23" i="51" s="1"/>
  <c r="AI23" i="51" s="1"/>
  <c r="AJ23" i="51" s="1"/>
  <c r="AK23" i="51" s="1"/>
  <c r="AA23" i="51"/>
  <c r="AF23" i="51"/>
  <c r="O24" i="51"/>
  <c r="AG24" i="51" a="1"/>
  <c r="AG24" i="51" s="1"/>
  <c r="AH24" i="51" s="1"/>
  <c r="AI24" i="51" s="1"/>
  <c r="AJ24" i="51" s="1"/>
  <c r="AK24" i="51" s="1"/>
  <c r="AA24" i="51"/>
  <c r="AF24" i="51"/>
  <c r="O25" i="51"/>
  <c r="AG25" i="51" a="1"/>
  <c r="AG25" i="51" s="1"/>
  <c r="AH25" i="51" s="1"/>
  <c r="AI25" i="51" s="1"/>
  <c r="AJ25" i="51" s="1"/>
  <c r="AK25" i="51" s="1"/>
  <c r="AA25" i="51"/>
  <c r="AF25" i="51"/>
  <c r="O26" i="51"/>
  <c r="AG26" i="51" a="1"/>
  <c r="AG26" i="51" s="1"/>
  <c r="AH26" i="51" s="1"/>
  <c r="AI26" i="51" s="1"/>
  <c r="AJ26" i="51" s="1"/>
  <c r="AK26" i="51" s="1"/>
  <c r="AA26" i="51"/>
  <c r="AF26" i="51"/>
  <c r="O27" i="51"/>
  <c r="AG27" i="51" a="1"/>
  <c r="AG27" i="51" s="1"/>
  <c r="AH27" i="51" s="1"/>
  <c r="AI27" i="51" s="1"/>
  <c r="AJ27" i="51" s="1"/>
  <c r="AK27" i="51" s="1"/>
  <c r="AA27" i="51"/>
  <c r="AF27" i="51"/>
  <c r="O28" i="51"/>
  <c r="AG28" i="51" a="1"/>
  <c r="AG28" i="51" s="1"/>
  <c r="AH28" i="51" s="1"/>
  <c r="AI28" i="51" s="1"/>
  <c r="AJ28" i="51" s="1"/>
  <c r="AK28" i="51" s="1"/>
  <c r="AA28" i="51"/>
  <c r="AF28" i="51"/>
  <c r="O29" i="51"/>
  <c r="AG29" i="51" a="1"/>
  <c r="AG29" i="51" s="1"/>
  <c r="AH29" i="51" s="1"/>
  <c r="AI29" i="51" s="1"/>
  <c r="AJ29" i="51" s="1"/>
  <c r="AK29" i="51" s="1"/>
  <c r="AA29" i="51"/>
  <c r="AF29" i="51"/>
  <c r="O30" i="51"/>
  <c r="AG30" i="51" a="1"/>
  <c r="AG30" i="51" s="1"/>
  <c r="AH30" i="51" s="1"/>
  <c r="AI30" i="51" s="1"/>
  <c r="AJ30" i="51" s="1"/>
  <c r="AK30" i="51" s="1"/>
  <c r="AA30" i="51"/>
  <c r="AF30" i="51"/>
  <c r="O31" i="51"/>
  <c r="AG31" i="51" a="1"/>
  <c r="AG31" i="51" s="1"/>
  <c r="AH31" i="51" s="1"/>
  <c r="AI31" i="51" s="1"/>
  <c r="AJ31" i="51" s="1"/>
  <c r="AK31" i="51" s="1"/>
  <c r="AA31" i="51"/>
  <c r="AF31" i="51"/>
  <c r="O32" i="51"/>
  <c r="AG32" i="51" a="1"/>
  <c r="AG32" i="51" s="1"/>
  <c r="AH32" i="51" s="1"/>
  <c r="AI32" i="51" s="1"/>
  <c r="AJ32" i="51" s="1"/>
  <c r="AK32" i="51" s="1"/>
  <c r="AA32" i="51"/>
  <c r="AF32" i="51"/>
  <c r="O33" i="51"/>
  <c r="AG33" i="51" a="1"/>
  <c r="AG33" i="51" s="1"/>
  <c r="AH33" i="51" s="1"/>
  <c r="AI33" i="51" s="1"/>
  <c r="AJ33" i="51" s="1"/>
  <c r="AK33" i="51" s="1"/>
  <c r="AA33" i="51"/>
  <c r="AF33" i="51"/>
  <c r="D42" i="50"/>
  <c r="G19" i="6" s="1"/>
  <c r="O19" i="50"/>
  <c r="AG19" i="50" a="1"/>
  <c r="AG19" i="50" s="1"/>
  <c r="AH19" i="50" s="1"/>
  <c r="AA19" i="50"/>
  <c r="AF19" i="50"/>
  <c r="O20" i="50"/>
  <c r="AG20" i="50" a="1"/>
  <c r="AG20" i="50" s="1"/>
  <c r="AH20" i="50" s="1"/>
  <c r="AI20" i="50" s="1"/>
  <c r="AJ20" i="50" s="1"/>
  <c r="AK20" i="50" s="1"/>
  <c r="AA20" i="50"/>
  <c r="AF20" i="50"/>
  <c r="O21" i="50"/>
  <c r="AG21" i="50" a="1"/>
  <c r="AG21" i="50" s="1"/>
  <c r="AH21" i="50" s="1"/>
  <c r="AI21" i="50" s="1"/>
  <c r="AJ21" i="50" s="1"/>
  <c r="AK21" i="50" s="1"/>
  <c r="AA21" i="50"/>
  <c r="AF21" i="50"/>
  <c r="O22" i="50"/>
  <c r="AG22" i="50" a="1"/>
  <c r="AG22" i="50" s="1"/>
  <c r="AH22" i="50" s="1"/>
  <c r="AI22" i="50" s="1"/>
  <c r="AJ22" i="50" s="1"/>
  <c r="AK22" i="50" s="1"/>
  <c r="AA22" i="50"/>
  <c r="AF22" i="50"/>
  <c r="O23" i="50"/>
  <c r="AG23" i="50" a="1"/>
  <c r="AG23" i="50" s="1"/>
  <c r="AH23" i="50" s="1"/>
  <c r="AI23" i="50" s="1"/>
  <c r="AJ23" i="50" s="1"/>
  <c r="AK23" i="50" s="1"/>
  <c r="AA23" i="50"/>
  <c r="AF23" i="50"/>
  <c r="O24" i="50"/>
  <c r="AG24" i="50" a="1"/>
  <c r="AG24" i="50" s="1"/>
  <c r="AH24" i="50" s="1"/>
  <c r="AI24" i="50" s="1"/>
  <c r="AJ24" i="50" s="1"/>
  <c r="AK24" i="50" s="1"/>
  <c r="AA24" i="50"/>
  <c r="AF24" i="50"/>
  <c r="O25" i="50"/>
  <c r="AG25" i="50" a="1"/>
  <c r="AG25" i="50" s="1"/>
  <c r="AH25" i="50" s="1"/>
  <c r="AI25" i="50" s="1"/>
  <c r="AJ25" i="50" s="1"/>
  <c r="AK25" i="50" s="1"/>
  <c r="AA25" i="50"/>
  <c r="AF25" i="50"/>
  <c r="O26" i="50"/>
  <c r="AG26" i="50" a="1"/>
  <c r="AG26" i="50" s="1"/>
  <c r="AH26" i="50" s="1"/>
  <c r="AI26" i="50" s="1"/>
  <c r="AJ26" i="50" s="1"/>
  <c r="AK26" i="50" s="1"/>
  <c r="AA26" i="50"/>
  <c r="AF26" i="50"/>
  <c r="O27" i="50"/>
  <c r="AG27" i="50" a="1"/>
  <c r="AG27" i="50" s="1"/>
  <c r="AH27" i="50" s="1"/>
  <c r="AI27" i="50" s="1"/>
  <c r="AJ27" i="50" s="1"/>
  <c r="AK27" i="50" s="1"/>
  <c r="AA27" i="50"/>
  <c r="AF27" i="50"/>
  <c r="O28" i="50"/>
  <c r="AG28" i="50" a="1"/>
  <c r="AG28" i="50" s="1"/>
  <c r="AH28" i="50" s="1"/>
  <c r="AI28" i="50" s="1"/>
  <c r="AJ28" i="50" s="1"/>
  <c r="AK28" i="50" s="1"/>
  <c r="AA28" i="50"/>
  <c r="AF28" i="50"/>
  <c r="O29" i="50"/>
  <c r="AG29" i="50" a="1"/>
  <c r="AG29" i="50" s="1"/>
  <c r="AH29" i="50" s="1"/>
  <c r="AI29" i="50" s="1"/>
  <c r="AJ29" i="50" s="1"/>
  <c r="AK29" i="50" s="1"/>
  <c r="AA29" i="50"/>
  <c r="AF29" i="50"/>
  <c r="O30" i="50"/>
  <c r="AG30" i="50" a="1"/>
  <c r="AG30" i="50" s="1"/>
  <c r="AH30" i="50" s="1"/>
  <c r="AI30" i="50" s="1"/>
  <c r="AJ30" i="50" s="1"/>
  <c r="AK30" i="50" s="1"/>
  <c r="AA30" i="50"/>
  <c r="AF30" i="50"/>
  <c r="O31" i="50"/>
  <c r="AG31" i="50" a="1"/>
  <c r="AG31" i="50" s="1"/>
  <c r="AH31" i="50" s="1"/>
  <c r="AI31" i="50" s="1"/>
  <c r="AJ31" i="50" s="1"/>
  <c r="AK31" i="50" s="1"/>
  <c r="AA31" i="50"/>
  <c r="AF31" i="50"/>
  <c r="O32" i="50"/>
  <c r="AG32" i="50" a="1"/>
  <c r="AG32" i="50" s="1"/>
  <c r="AH32" i="50" s="1"/>
  <c r="AI32" i="50" s="1"/>
  <c r="AJ32" i="50" s="1"/>
  <c r="AK32" i="50" s="1"/>
  <c r="AA32" i="50"/>
  <c r="AF32" i="50"/>
  <c r="O33" i="50"/>
  <c r="AG33" i="50" a="1"/>
  <c r="AG33" i="50" s="1"/>
  <c r="AH33" i="50" s="1"/>
  <c r="AI33" i="50" s="1"/>
  <c r="AJ33" i="50" s="1"/>
  <c r="AK33" i="50" s="1"/>
  <c r="AA33" i="50"/>
  <c r="AF33" i="50"/>
  <c r="D42" i="49"/>
  <c r="O19" i="49"/>
  <c r="AG19" i="49" a="1"/>
  <c r="AG19" i="49" s="1"/>
  <c r="AA19" i="49"/>
  <c r="AF19" i="49"/>
  <c r="O20" i="49"/>
  <c r="AG20" i="49" a="1"/>
  <c r="AG20" i="49" s="1"/>
  <c r="AA20" i="49"/>
  <c r="AF20" i="49"/>
  <c r="O21" i="49"/>
  <c r="AG21" i="49" a="1"/>
  <c r="AG21" i="49" s="1"/>
  <c r="AA21" i="49"/>
  <c r="AF21" i="49"/>
  <c r="O22" i="49"/>
  <c r="AG22" i="49" a="1"/>
  <c r="AG22" i="49" s="1"/>
  <c r="AA22" i="49"/>
  <c r="AF22" i="49"/>
  <c r="O23" i="49"/>
  <c r="AG23" i="49" a="1"/>
  <c r="AG23" i="49" s="1"/>
  <c r="AA23" i="49"/>
  <c r="AF23" i="49"/>
  <c r="O24" i="49"/>
  <c r="AG24" i="49" a="1"/>
  <c r="AG24" i="49" s="1"/>
  <c r="AA24" i="49"/>
  <c r="AF24" i="49"/>
  <c r="O25" i="49"/>
  <c r="AG25" i="49" a="1"/>
  <c r="AG25" i="49" s="1"/>
  <c r="AA25" i="49"/>
  <c r="AF25" i="49"/>
  <c r="O26" i="49"/>
  <c r="AG26" i="49" a="1"/>
  <c r="AG26" i="49" s="1"/>
  <c r="AA26" i="49"/>
  <c r="AF26" i="49"/>
  <c r="O27" i="49"/>
  <c r="AG27" i="49" a="1"/>
  <c r="AG27" i="49" s="1"/>
  <c r="AA27" i="49"/>
  <c r="AF27" i="49"/>
  <c r="O28" i="49"/>
  <c r="AG28" i="49" a="1"/>
  <c r="AG28" i="49" s="1"/>
  <c r="AA28" i="49"/>
  <c r="AF28" i="49"/>
  <c r="O29" i="49"/>
  <c r="AG29" i="49" a="1"/>
  <c r="AG29" i="49" s="1"/>
  <c r="AA29" i="49"/>
  <c r="AF29" i="49"/>
  <c r="O30" i="49"/>
  <c r="AG30" i="49" a="1"/>
  <c r="AG30" i="49" s="1"/>
  <c r="AA30" i="49"/>
  <c r="AF30" i="49"/>
  <c r="O31" i="49"/>
  <c r="AG31" i="49" a="1"/>
  <c r="AG31" i="49" s="1"/>
  <c r="AA31" i="49"/>
  <c r="AF31" i="49"/>
  <c r="O32" i="49"/>
  <c r="AG32" i="49" a="1"/>
  <c r="AG32" i="49" s="1"/>
  <c r="AA32" i="49"/>
  <c r="AF32" i="49"/>
  <c r="O33" i="49"/>
  <c r="AG33" i="49" a="1"/>
  <c r="AG33" i="49" s="1"/>
  <c r="AA33" i="49"/>
  <c r="AF33" i="49"/>
  <c r="AG19" i="44" a="1"/>
  <c r="AG19" i="44" s="1"/>
  <c r="AH19" i="44" s="1"/>
  <c r="AI19" i="44" s="1"/>
  <c r="D44" i="44"/>
  <c r="U23" i="44"/>
  <c r="P23" i="44"/>
  <c r="P24" i="44"/>
  <c r="U24" i="44"/>
  <c r="U29" i="44"/>
  <c r="P29" i="44"/>
  <c r="AG25" i="44" a="1"/>
  <c r="AG25" i="44" s="1"/>
  <c r="AH25" i="44" s="1"/>
  <c r="AI25" i="44" s="1"/>
  <c r="AJ25" i="44" s="1"/>
  <c r="AK25" i="44" s="1"/>
  <c r="AA25" i="44"/>
  <c r="AA24" i="44"/>
  <c r="AG24" i="44" a="1"/>
  <c r="AG24" i="44" s="1"/>
  <c r="AH24" i="44" s="1"/>
  <c r="AI24" i="44" s="1"/>
  <c r="AJ24" i="44" s="1"/>
  <c r="AK24" i="44" s="1"/>
  <c r="AG21" i="44" a="1"/>
  <c r="AG21" i="44" s="1"/>
  <c r="AH21" i="44" s="1"/>
  <c r="AI21" i="44" s="1"/>
  <c r="AJ21" i="44" s="1"/>
  <c r="AK21" i="44" s="1"/>
  <c r="AA21" i="44"/>
  <c r="D42" i="44"/>
  <c r="G13" i="6" s="1"/>
  <c r="O19" i="44"/>
  <c r="P30" i="44"/>
  <c r="U30" i="44"/>
  <c r="U20" i="44"/>
  <c r="P20" i="44"/>
  <c r="U25" i="44"/>
  <c r="P25" i="44"/>
  <c r="AG33" i="44" a="1"/>
  <c r="AG33" i="44" s="1"/>
  <c r="AH33" i="44" s="1"/>
  <c r="AI33" i="44" s="1"/>
  <c r="AJ33" i="44" s="1"/>
  <c r="AK33" i="44" s="1"/>
  <c r="AA33" i="44"/>
  <c r="AA32" i="44"/>
  <c r="AG32" i="44" a="1"/>
  <c r="AG32" i="44" s="1"/>
  <c r="AH32" i="44" s="1"/>
  <c r="AI32" i="44" s="1"/>
  <c r="AJ32" i="44" s="1"/>
  <c r="AK32" i="44" s="1"/>
  <c r="AG29" i="44" a="1"/>
  <c r="AG29" i="44" s="1"/>
  <c r="AH29" i="44" s="1"/>
  <c r="AI29" i="44" s="1"/>
  <c r="AJ29" i="44" s="1"/>
  <c r="AK29" i="44" s="1"/>
  <c r="AA29" i="44"/>
  <c r="Z41" i="44"/>
  <c r="U26" i="44"/>
  <c r="P26" i="44"/>
  <c r="U31" i="44"/>
  <c r="P31" i="44"/>
  <c r="AG23" i="44" a="1"/>
  <c r="AG23" i="44" s="1"/>
  <c r="AH23" i="44" s="1"/>
  <c r="AI23" i="44" s="1"/>
  <c r="AJ23" i="44" s="1"/>
  <c r="AK23" i="44" s="1"/>
  <c r="AA23" i="44"/>
  <c r="U21" i="44"/>
  <c r="P21" i="44"/>
  <c r="P22" i="44"/>
  <c r="U22" i="44"/>
  <c r="P27" i="44"/>
  <c r="U27" i="44"/>
  <c r="P32" i="44"/>
  <c r="U32" i="44"/>
  <c r="AG31" i="44" a="1"/>
  <c r="AG31" i="44" s="1"/>
  <c r="AH31" i="44" s="1"/>
  <c r="AI31" i="44" s="1"/>
  <c r="AJ31" i="44" s="1"/>
  <c r="AK31" i="44" s="1"/>
  <c r="AA31" i="44"/>
  <c r="AG22" i="44" a="1"/>
  <c r="AG22" i="44" s="1"/>
  <c r="AH22" i="44" s="1"/>
  <c r="AI22" i="44" s="1"/>
  <c r="AJ22" i="44" s="1"/>
  <c r="AK22" i="44" s="1"/>
  <c r="P28" i="44"/>
  <c r="U28" i="44"/>
  <c r="U33" i="44"/>
  <c r="P33" i="44"/>
  <c r="AA28" i="44"/>
  <c r="AA20" i="44"/>
  <c r="AG26" i="44" a="1"/>
  <c r="AG26" i="44" s="1"/>
  <c r="AH26" i="44" s="1"/>
  <c r="AI26" i="44" s="1"/>
  <c r="AJ26" i="44" s="1"/>
  <c r="AK26" i="44" s="1"/>
  <c r="AA27" i="44"/>
  <c r="AA19" i="44"/>
  <c r="D44" i="43"/>
  <c r="P26" i="43"/>
  <c r="U26" i="43"/>
  <c r="P22" i="43"/>
  <c r="U22" i="43"/>
  <c r="U20" i="43"/>
  <c r="P20" i="43"/>
  <c r="P30" i="43"/>
  <c r="U30" i="43"/>
  <c r="P29" i="43"/>
  <c r="U29" i="43"/>
  <c r="AG27" i="43" a="1"/>
  <c r="AG27" i="43" s="1"/>
  <c r="AH27" i="43" s="1"/>
  <c r="AI27" i="43" s="1"/>
  <c r="AJ27" i="43" s="1"/>
  <c r="D42" i="43"/>
  <c r="G12" i="6" s="1"/>
  <c r="AG32" i="43" a="1"/>
  <c r="AG32" i="43" s="1"/>
  <c r="AH32" i="43" s="1"/>
  <c r="AI32" i="43" s="1"/>
  <c r="AJ32" i="43" s="1"/>
  <c r="AA32" i="43"/>
  <c r="AG25" i="43" a="1"/>
  <c r="AG25" i="43" s="1"/>
  <c r="AH25" i="43" s="1"/>
  <c r="AI25" i="43" s="1"/>
  <c r="AJ25" i="43" s="1"/>
  <c r="AA25" i="43"/>
  <c r="AA26" i="43"/>
  <c r="AG26" i="43" a="1"/>
  <c r="AG26" i="43" s="1"/>
  <c r="AH26" i="43" s="1"/>
  <c r="AI26" i="43" s="1"/>
  <c r="AJ26" i="43" s="1"/>
  <c r="P24" i="43"/>
  <c r="U24" i="43"/>
  <c r="P32" i="43"/>
  <c r="U32" i="43"/>
  <c r="P21" i="43"/>
  <c r="U21" i="43"/>
  <c r="AG19" i="43" a="1"/>
  <c r="AG19" i="43" s="1"/>
  <c r="AH19" i="43" s="1"/>
  <c r="U27" i="43"/>
  <c r="P27" i="43"/>
  <c r="AA24" i="43"/>
  <c r="AG24" i="43" a="1"/>
  <c r="AG24" i="43" s="1"/>
  <c r="AH24" i="43" s="1"/>
  <c r="AI24" i="43" s="1"/>
  <c r="AJ24" i="43" s="1"/>
  <c r="U25" i="43"/>
  <c r="P25" i="43"/>
  <c r="U33" i="43"/>
  <c r="P33" i="43"/>
  <c r="U28" i="43"/>
  <c r="P28" i="43"/>
  <c r="AG33" i="43" a="1"/>
  <c r="AG33" i="43" s="1"/>
  <c r="AH33" i="43" s="1"/>
  <c r="AI33" i="43" s="1"/>
  <c r="AJ33" i="43" s="1"/>
  <c r="AA33" i="43"/>
  <c r="AF31" i="43"/>
  <c r="P31" i="43"/>
  <c r="AA28" i="43"/>
  <c r="P23" i="43"/>
  <c r="AA20" i="43"/>
  <c r="AF23" i="43"/>
  <c r="Z41" i="43" s="1"/>
  <c r="AG22" i="43" a="1"/>
  <c r="AG22" i="43" s="1"/>
  <c r="AH22" i="43" s="1"/>
  <c r="AI22" i="43" s="1"/>
  <c r="AJ22" i="43" s="1"/>
  <c r="AG30" i="43" a="1"/>
  <c r="AG30" i="43" s="1"/>
  <c r="AH30" i="43" s="1"/>
  <c r="AI30" i="43" s="1"/>
  <c r="AJ30" i="43" s="1"/>
  <c r="AA29" i="43"/>
  <c r="AA21" i="43"/>
  <c r="AA27" i="43"/>
  <c r="AA19" i="43"/>
  <c r="O19" i="43"/>
  <c r="D44" i="42"/>
  <c r="I11" i="6" s="1"/>
  <c r="Z22" i="42"/>
  <c r="AA20" i="42"/>
  <c r="AF20" i="42"/>
  <c r="Z41" i="42" s="1"/>
  <c r="D41" i="42"/>
  <c r="AH20" i="42"/>
  <c r="AI20" i="42" s="1"/>
  <c r="AJ20" i="42" s="1"/>
  <c r="AK20" i="42" s="1"/>
  <c r="D40" i="42"/>
  <c r="D47" i="42" s="1"/>
  <c r="K11" i="6" s="1"/>
  <c r="O23" i="42"/>
  <c r="P23" i="42" s="1"/>
  <c r="O22" i="42"/>
  <c r="S22" i="42" s="1"/>
  <c r="O21" i="42"/>
  <c r="S21" i="42" s="1"/>
  <c r="O20" i="42"/>
  <c r="P20" i="42" s="1"/>
  <c r="AG33" i="42" a="1"/>
  <c r="AG33" i="42" s="1"/>
  <c r="AH33" i="42" s="1"/>
  <c r="AI33" i="42" s="1"/>
  <c r="AJ33" i="42" s="1"/>
  <c r="AK33" i="42" s="1"/>
  <c r="P28" i="42"/>
  <c r="U28" i="42"/>
  <c r="AG24" i="42" a="1"/>
  <c r="AG24" i="42" s="1"/>
  <c r="AH24" i="42" s="1"/>
  <c r="AI24" i="42" s="1"/>
  <c r="AJ24" i="42" s="1"/>
  <c r="AK24" i="42" s="1"/>
  <c r="AA24" i="42"/>
  <c r="AG29" i="42" a="1"/>
  <c r="AG29" i="42" s="1"/>
  <c r="AH29" i="42" s="1"/>
  <c r="AI29" i="42" s="1"/>
  <c r="AJ29" i="42" s="1"/>
  <c r="AK29" i="42" s="1"/>
  <c r="D42" i="42"/>
  <c r="G11" i="6" s="1"/>
  <c r="O19" i="42"/>
  <c r="U29" i="42"/>
  <c r="P29" i="42"/>
  <c r="AA22" i="42"/>
  <c r="AG22" i="42" a="1"/>
  <c r="AG22" i="42" s="1"/>
  <c r="AH22" i="42" s="1"/>
  <c r="AI22" i="42" s="1"/>
  <c r="AA30" i="42"/>
  <c r="AG30" i="42" a="1"/>
  <c r="AG30" i="42" s="1"/>
  <c r="AH30" i="42" s="1"/>
  <c r="AI30" i="42" s="1"/>
  <c r="AJ30" i="42" s="1"/>
  <c r="AK30" i="42" s="1"/>
  <c r="U26" i="42"/>
  <c r="P26" i="42"/>
  <c r="AG21" i="42" a="1"/>
  <c r="AG21" i="42" s="1"/>
  <c r="AH21" i="42" s="1"/>
  <c r="AI21" i="42" s="1"/>
  <c r="AA21" i="42"/>
  <c r="P27" i="42"/>
  <c r="U27" i="42"/>
  <c r="AG32" i="42" a="1"/>
  <c r="AG32" i="42" s="1"/>
  <c r="AH32" i="42" s="1"/>
  <c r="AI32" i="42" s="1"/>
  <c r="AJ32" i="42" s="1"/>
  <c r="AK32" i="42" s="1"/>
  <c r="AA32" i="42"/>
  <c r="AG31" i="42" a="1"/>
  <c r="AG31" i="42" s="1"/>
  <c r="AH31" i="42" s="1"/>
  <c r="AI31" i="42" s="1"/>
  <c r="AJ31" i="42" s="1"/>
  <c r="AK31" i="42" s="1"/>
  <c r="AG28" i="42" a="1"/>
  <c r="AG28" i="42" s="1"/>
  <c r="AH28" i="42" s="1"/>
  <c r="AI28" i="42" s="1"/>
  <c r="AJ28" i="42" s="1"/>
  <c r="AK28" i="42" s="1"/>
  <c r="AA28" i="42"/>
  <c r="P30" i="42"/>
  <c r="U30" i="42"/>
  <c r="U31" i="42"/>
  <c r="P31" i="42"/>
  <c r="AG19" i="42" a="1"/>
  <c r="AG19" i="42" s="1"/>
  <c r="AH19" i="42" s="1"/>
  <c r="AA19" i="42"/>
  <c r="U24" i="42"/>
  <c r="P24" i="42"/>
  <c r="U32" i="42"/>
  <c r="P32" i="42"/>
  <c r="U25" i="42"/>
  <c r="P25" i="42"/>
  <c r="P33" i="42"/>
  <c r="U33" i="42"/>
  <c r="AA31" i="42"/>
  <c r="AA23" i="42"/>
  <c r="AA27" i="42"/>
  <c r="AA33" i="42"/>
  <c r="AA25" i="42"/>
  <c r="AF23" i="41"/>
  <c r="AA23" i="41"/>
  <c r="AF22" i="41"/>
  <c r="AG21" i="41" a="1"/>
  <c r="AG21" i="41" s="1"/>
  <c r="AH21" i="41" s="1"/>
  <c r="AI21" i="41" s="1"/>
  <c r="AF21" i="41"/>
  <c r="AF19" i="41"/>
  <c r="AG19" i="41" a="1"/>
  <c r="AG19" i="41" s="1"/>
  <c r="AH19" i="41" s="1"/>
  <c r="AI19" i="41" s="1"/>
  <c r="AA21" i="41"/>
  <c r="AG20" i="41" a="1"/>
  <c r="AG20" i="41" s="1"/>
  <c r="AH20" i="41" s="1"/>
  <c r="AI20" i="41" s="1"/>
  <c r="AA20" i="41"/>
  <c r="D40" i="41"/>
  <c r="D44" i="41"/>
  <c r="I10" i="6" s="1"/>
  <c r="D41" i="41"/>
  <c r="O23" i="41"/>
  <c r="S23" i="41" s="1"/>
  <c r="O20" i="41"/>
  <c r="U20" i="41" s="1"/>
  <c r="O21" i="41"/>
  <c r="U21" i="41" s="1"/>
  <c r="O22" i="41"/>
  <c r="U22" i="41" s="1"/>
  <c r="U29" i="41"/>
  <c r="P29" i="41"/>
  <c r="AG23" i="41" a="1"/>
  <c r="AG23" i="41" s="1"/>
  <c r="AH23" i="41" s="1"/>
  <c r="AI23" i="41" s="1"/>
  <c r="AJ23" i="41" s="1"/>
  <c r="AK23" i="41" s="1"/>
  <c r="U26" i="41"/>
  <c r="P26" i="41"/>
  <c r="U31" i="41"/>
  <c r="P31" i="41"/>
  <c r="U24" i="41"/>
  <c r="P24" i="41"/>
  <c r="D42" i="41"/>
  <c r="G10" i="6" s="1"/>
  <c r="O19" i="41"/>
  <c r="P30" i="41"/>
  <c r="U30" i="41"/>
  <c r="AA30" i="41"/>
  <c r="AG30" i="41" a="1"/>
  <c r="AG30" i="41" s="1"/>
  <c r="AH30" i="41" s="1"/>
  <c r="AI30" i="41" s="1"/>
  <c r="AJ30" i="41" s="1"/>
  <c r="AK30" i="41" s="1"/>
  <c r="AA24" i="41"/>
  <c r="AG24" i="41" a="1"/>
  <c r="AG24" i="41" s="1"/>
  <c r="AH24" i="41" s="1"/>
  <c r="AI24" i="41" s="1"/>
  <c r="AJ24" i="41" s="1"/>
  <c r="AK24" i="41" s="1"/>
  <c r="P25" i="41"/>
  <c r="U25" i="41"/>
  <c r="AG33" i="41" a="1"/>
  <c r="AG33" i="41" s="1"/>
  <c r="AH33" i="41" s="1"/>
  <c r="AI33" i="41" s="1"/>
  <c r="AJ33" i="41" s="1"/>
  <c r="AK33" i="41" s="1"/>
  <c r="AG22" i="41" a="1"/>
  <c r="AG22" i="41" s="1"/>
  <c r="AH22" i="41" s="1"/>
  <c r="AI22" i="41" s="1"/>
  <c r="AA22" i="41"/>
  <c r="P32" i="41"/>
  <c r="U32" i="41"/>
  <c r="U27" i="41"/>
  <c r="P27" i="41"/>
  <c r="AG32" i="41" a="1"/>
  <c r="AG32" i="41" s="1"/>
  <c r="AH32" i="41" s="1"/>
  <c r="AI32" i="41" s="1"/>
  <c r="AJ32" i="41" s="1"/>
  <c r="AK32" i="41" s="1"/>
  <c r="AA32" i="41"/>
  <c r="P28" i="41"/>
  <c r="U28" i="41"/>
  <c r="P33" i="41"/>
  <c r="U33" i="41"/>
  <c r="AA27" i="41"/>
  <c r="AA33" i="41"/>
  <c r="AA25" i="41"/>
  <c r="AA19" i="41"/>
  <c r="B65" i="8"/>
  <c r="B66" i="8"/>
  <c r="B67" i="8"/>
  <c r="B68" i="8"/>
  <c r="B69" i="8"/>
  <c r="B70" i="8"/>
  <c r="B71" i="8"/>
  <c r="B72" i="8"/>
  <c r="B73" i="8"/>
  <c r="B74" i="8"/>
  <c r="B75" i="8"/>
  <c r="B76" i="8"/>
  <c r="B77" i="8"/>
  <c r="B78" i="8"/>
  <c r="B79" i="8"/>
  <c r="B64" i="8"/>
  <c r="O441" i="68"/>
  <c r="O442" i="68"/>
  <c r="O447" i="68"/>
  <c r="O448" i="68"/>
  <c r="O449" i="68"/>
  <c r="O450" i="68"/>
  <c r="O451" i="68"/>
  <c r="O453" i="68"/>
  <c r="O440" i="68"/>
  <c r="O426" i="68"/>
  <c r="O427" i="68"/>
  <c r="O428" i="68"/>
  <c r="O429" i="68"/>
  <c r="O430" i="68"/>
  <c r="O432" i="68"/>
  <c r="O433" i="68"/>
  <c r="O434" i="68"/>
  <c r="O435" i="68"/>
  <c r="O436" i="68"/>
  <c r="O437" i="68"/>
  <c r="O438" i="68"/>
  <c r="O439" i="68"/>
  <c r="O425" i="68"/>
  <c r="O411" i="68"/>
  <c r="O412" i="68"/>
  <c r="O413" i="68"/>
  <c r="O414" i="68"/>
  <c r="O415" i="68"/>
  <c r="O416" i="68"/>
  <c r="O417" i="68"/>
  <c r="O418" i="68"/>
  <c r="O419" i="68"/>
  <c r="O421" i="68"/>
  <c r="O422" i="68"/>
  <c r="O423" i="68"/>
  <c r="O424" i="68"/>
  <c r="O410" i="68"/>
  <c r="O396" i="68"/>
  <c r="O397" i="68"/>
  <c r="O398" i="68"/>
  <c r="O399" i="68"/>
  <c r="O400" i="68"/>
  <c r="O401" i="68"/>
  <c r="O402" i="68"/>
  <c r="O403" i="68"/>
  <c r="O404" i="68"/>
  <c r="O405" i="68"/>
  <c r="O406" i="68"/>
  <c r="O407" i="68"/>
  <c r="O409" i="68"/>
  <c r="O381" i="68"/>
  <c r="O382" i="68"/>
  <c r="O383" i="68"/>
  <c r="O384" i="68"/>
  <c r="O386" i="68"/>
  <c r="O387" i="68"/>
  <c r="O388" i="68"/>
  <c r="O389" i="68"/>
  <c r="O390" i="68"/>
  <c r="O391" i="68"/>
  <c r="O392" i="68"/>
  <c r="O394" i="68"/>
  <c r="O380" i="68"/>
  <c r="O366" i="68"/>
  <c r="O368" i="68"/>
  <c r="O369" i="68"/>
  <c r="O370" i="68"/>
  <c r="O371" i="68"/>
  <c r="O372" i="68"/>
  <c r="O374" i="68"/>
  <c r="O375" i="68"/>
  <c r="O376" i="68"/>
  <c r="O378" i="68"/>
  <c r="O379" i="68"/>
  <c r="O351" i="68"/>
  <c r="O352" i="68"/>
  <c r="O353" i="68"/>
  <c r="O354" i="68"/>
  <c r="O355" i="68"/>
  <c r="O356" i="68"/>
  <c r="O357" i="68"/>
  <c r="O358" i="68"/>
  <c r="O359" i="68"/>
  <c r="O360" i="68"/>
  <c r="O361" i="68"/>
  <c r="O362" i="68"/>
  <c r="O363" i="68"/>
  <c r="O364" i="68"/>
  <c r="O336" i="68"/>
  <c r="O337" i="68"/>
  <c r="O338" i="68"/>
  <c r="O339" i="68"/>
  <c r="O340" i="68"/>
  <c r="O341" i="68"/>
  <c r="O343" i="68"/>
  <c r="O344" i="68"/>
  <c r="O345" i="68"/>
  <c r="O346" i="68"/>
  <c r="O347" i="68"/>
  <c r="O348" i="68"/>
  <c r="O335" i="68"/>
  <c r="O321" i="68"/>
  <c r="O322" i="68"/>
  <c r="O323" i="68"/>
  <c r="O324" i="68"/>
  <c r="O325" i="68"/>
  <c r="O326" i="68"/>
  <c r="O328" i="68"/>
  <c r="O329" i="68"/>
  <c r="O330" i="68"/>
  <c r="O331" i="68"/>
  <c r="O333" i="68"/>
  <c r="O334" i="68"/>
  <c r="O306" i="68"/>
  <c r="O307" i="68"/>
  <c r="O308" i="68"/>
  <c r="O309" i="68"/>
  <c r="O310" i="68"/>
  <c r="O311" i="68"/>
  <c r="O312" i="68"/>
  <c r="O313" i="68"/>
  <c r="O314" i="68"/>
  <c r="O315" i="68"/>
  <c r="O316" i="68"/>
  <c r="O317" i="68"/>
  <c r="O319" i="68"/>
  <c r="O305" i="68"/>
  <c r="O291" i="68"/>
  <c r="O292" i="68"/>
  <c r="O293" i="68"/>
  <c r="O294" i="68"/>
  <c r="O295" i="68"/>
  <c r="O296" i="68"/>
  <c r="O297" i="68"/>
  <c r="O298" i="68"/>
  <c r="O301" i="68"/>
  <c r="O302" i="68"/>
  <c r="O303" i="68"/>
  <c r="O304" i="68"/>
  <c r="O276" i="68"/>
  <c r="O277" i="68"/>
  <c r="O278" i="68"/>
  <c r="O280" i="68"/>
  <c r="O281" i="68"/>
  <c r="O282" i="68"/>
  <c r="O283" i="68"/>
  <c r="O284" i="68"/>
  <c r="O285" i="68"/>
  <c r="O286" i="68"/>
  <c r="O288" i="68"/>
  <c r="O289" i="68"/>
  <c r="O261" i="68"/>
  <c r="O262" i="68"/>
  <c r="O263" i="68"/>
  <c r="O265" i="68"/>
  <c r="O266" i="68"/>
  <c r="O267" i="68"/>
  <c r="O268" i="68"/>
  <c r="O269" i="68"/>
  <c r="O270" i="68"/>
  <c r="O271" i="68"/>
  <c r="O272" i="68"/>
  <c r="O273" i="68"/>
  <c r="O274" i="68"/>
  <c r="O260" i="68"/>
  <c r="O246" i="68"/>
  <c r="O247" i="68"/>
  <c r="O248" i="68"/>
  <c r="O251" i="68"/>
  <c r="O253" i="68"/>
  <c r="O254" i="68"/>
  <c r="O255" i="68"/>
  <c r="O256" i="68"/>
  <c r="O257" i="68"/>
  <c r="O258" i="68"/>
  <c r="O259" i="68"/>
  <c r="L27" i="69" l="1"/>
  <c r="L31" i="69" s="1"/>
  <c r="L127" i="40"/>
  <c r="K126" i="40"/>
  <c r="J31" i="69"/>
  <c r="G6" i="3" s="1"/>
  <c r="M27" i="69"/>
  <c r="S28" i="69"/>
  <c r="S29" i="69"/>
  <c r="S27" i="69"/>
  <c r="N33" i="6"/>
  <c r="F40" i="4" s="1"/>
  <c r="O365" i="68"/>
  <c r="O395" i="68"/>
  <c r="AK30" i="43"/>
  <c r="Q151" i="68" s="1"/>
  <c r="P151" i="68"/>
  <c r="AK22" i="43"/>
  <c r="Q143" i="68" s="1"/>
  <c r="P143" i="68"/>
  <c r="AK33" i="43"/>
  <c r="Q154" i="68" s="1"/>
  <c r="P154" i="68"/>
  <c r="AK24" i="43"/>
  <c r="Q145" i="68" s="1"/>
  <c r="P145" i="68"/>
  <c r="AK26" i="43"/>
  <c r="Q147" i="68" s="1"/>
  <c r="P147" i="68"/>
  <c r="AK25" i="43"/>
  <c r="Q146" i="68" s="1"/>
  <c r="P146" i="68"/>
  <c r="AK32" i="43"/>
  <c r="Q153" i="68" s="1"/>
  <c r="P153" i="68"/>
  <c r="AK27" i="43"/>
  <c r="Q148" i="68" s="1"/>
  <c r="P148" i="68"/>
  <c r="AH33" i="49"/>
  <c r="AI33" i="49" s="1"/>
  <c r="AJ33" i="49" s="1"/>
  <c r="O244" i="68"/>
  <c r="AH32" i="49"/>
  <c r="AI32" i="49" s="1"/>
  <c r="AJ32" i="49" s="1"/>
  <c r="O243" i="68"/>
  <c r="AH31" i="49"/>
  <c r="AI31" i="49" s="1"/>
  <c r="AJ31" i="49" s="1"/>
  <c r="O242" i="68"/>
  <c r="AH30" i="49"/>
  <c r="AI30" i="49" s="1"/>
  <c r="AJ30" i="49" s="1"/>
  <c r="O241" i="68"/>
  <c r="AH29" i="49"/>
  <c r="AI29" i="49" s="1"/>
  <c r="AJ29" i="49" s="1"/>
  <c r="O240" i="68"/>
  <c r="AH28" i="49"/>
  <c r="AI28" i="49" s="1"/>
  <c r="AJ28" i="49" s="1"/>
  <c r="O239" i="68"/>
  <c r="AH27" i="49"/>
  <c r="AI27" i="49" s="1"/>
  <c r="AJ27" i="49" s="1"/>
  <c r="O238" i="68"/>
  <c r="AH26" i="49"/>
  <c r="AI26" i="49" s="1"/>
  <c r="AJ26" i="49" s="1"/>
  <c r="O237" i="68"/>
  <c r="AH25" i="49"/>
  <c r="AI25" i="49" s="1"/>
  <c r="AJ25" i="49" s="1"/>
  <c r="O236" i="68"/>
  <c r="AH24" i="49"/>
  <c r="AI24" i="49" s="1"/>
  <c r="AJ24" i="49" s="1"/>
  <c r="O235" i="68"/>
  <c r="AH23" i="49"/>
  <c r="AI23" i="49" s="1"/>
  <c r="AJ23" i="49" s="1"/>
  <c r="O234" i="68"/>
  <c r="AH22" i="49"/>
  <c r="AI22" i="49" s="1"/>
  <c r="AJ22" i="49" s="1"/>
  <c r="O233" i="68"/>
  <c r="AH21" i="49"/>
  <c r="AI21" i="49" s="1"/>
  <c r="AJ21" i="49" s="1"/>
  <c r="O232" i="68"/>
  <c r="AH20" i="49"/>
  <c r="AI20" i="49" s="1"/>
  <c r="AJ20" i="49" s="1"/>
  <c r="O231" i="68"/>
  <c r="O350" i="68"/>
  <c r="O320" i="68"/>
  <c r="O275" i="68"/>
  <c r="O290" i="68"/>
  <c r="O245" i="68"/>
  <c r="AH19" i="49"/>
  <c r="O230" i="68"/>
  <c r="U33" i="45"/>
  <c r="P33" i="45"/>
  <c r="U32" i="45"/>
  <c r="P32" i="45"/>
  <c r="U31" i="45"/>
  <c r="P31" i="45"/>
  <c r="U30" i="45"/>
  <c r="P30" i="45"/>
  <c r="U29" i="45"/>
  <c r="P29" i="45"/>
  <c r="U28" i="45"/>
  <c r="P28" i="45"/>
  <c r="U27" i="45"/>
  <c r="P27" i="45"/>
  <c r="U26" i="45"/>
  <c r="P26" i="45"/>
  <c r="U25" i="45"/>
  <c r="P25" i="45"/>
  <c r="U24" i="45"/>
  <c r="P24" i="45"/>
  <c r="U23" i="45"/>
  <c r="P23" i="45"/>
  <c r="U22" i="45"/>
  <c r="P22" i="45"/>
  <c r="U21" i="45"/>
  <c r="P21" i="45"/>
  <c r="U20" i="45"/>
  <c r="P20" i="45"/>
  <c r="Z41" i="45"/>
  <c r="Z40" i="45"/>
  <c r="Z42" i="45"/>
  <c r="AI19" i="45"/>
  <c r="D43" i="45"/>
  <c r="D45" i="45" s="1"/>
  <c r="U19" i="45"/>
  <c r="P19" i="45"/>
  <c r="M16" i="45"/>
  <c r="U33" i="46"/>
  <c r="P33" i="46"/>
  <c r="U32" i="46"/>
  <c r="P32" i="46"/>
  <c r="U31" i="46"/>
  <c r="P31" i="46"/>
  <c r="U30" i="46"/>
  <c r="P30" i="46"/>
  <c r="U29" i="46"/>
  <c r="P29" i="46"/>
  <c r="U28" i="46"/>
  <c r="P28" i="46"/>
  <c r="U27" i="46"/>
  <c r="P27" i="46"/>
  <c r="U26" i="46"/>
  <c r="P26" i="46"/>
  <c r="U25" i="46"/>
  <c r="P25" i="46"/>
  <c r="U24" i="46"/>
  <c r="P24" i="46"/>
  <c r="U23" i="46"/>
  <c r="P23" i="46"/>
  <c r="U22" i="46"/>
  <c r="P22" i="46"/>
  <c r="U21" i="46"/>
  <c r="P21" i="46"/>
  <c r="U20" i="46"/>
  <c r="P20" i="46"/>
  <c r="Z41" i="46"/>
  <c r="Z40" i="46"/>
  <c r="Z42" i="46"/>
  <c r="AI19" i="46"/>
  <c r="D43" i="46"/>
  <c r="D45" i="46" s="1"/>
  <c r="U19" i="46"/>
  <c r="P19" i="46"/>
  <c r="M16" i="46"/>
  <c r="U33" i="47"/>
  <c r="P33" i="47"/>
  <c r="U32" i="47"/>
  <c r="P32" i="47"/>
  <c r="U31" i="47"/>
  <c r="P31" i="47"/>
  <c r="U30" i="47"/>
  <c r="P30" i="47"/>
  <c r="U29" i="47"/>
  <c r="P29" i="47"/>
  <c r="U28" i="47"/>
  <c r="P28" i="47"/>
  <c r="U27" i="47"/>
  <c r="P27" i="47"/>
  <c r="U26" i="47"/>
  <c r="P26" i="47"/>
  <c r="U25" i="47"/>
  <c r="P25" i="47"/>
  <c r="U24" i="47"/>
  <c r="P24" i="47"/>
  <c r="U23" i="47"/>
  <c r="P23" i="47"/>
  <c r="U22" i="47"/>
  <c r="P22" i="47"/>
  <c r="U21" i="47"/>
  <c r="P21" i="47"/>
  <c r="U20" i="47"/>
  <c r="P20" i="47"/>
  <c r="Z41" i="47"/>
  <c r="Z40" i="47"/>
  <c r="Z42" i="47"/>
  <c r="AI19" i="47"/>
  <c r="D43" i="47"/>
  <c r="D45" i="47" s="1"/>
  <c r="U19" i="47"/>
  <c r="P19" i="47"/>
  <c r="M16" i="47"/>
  <c r="U33" i="48"/>
  <c r="P33" i="48"/>
  <c r="U32" i="48"/>
  <c r="P32" i="48"/>
  <c r="U31" i="48"/>
  <c r="P31" i="48"/>
  <c r="U30" i="48"/>
  <c r="P30" i="48"/>
  <c r="U29" i="48"/>
  <c r="P29" i="48"/>
  <c r="U28" i="48"/>
  <c r="P28" i="48"/>
  <c r="U27" i="48"/>
  <c r="P27" i="48"/>
  <c r="U26" i="48"/>
  <c r="P26" i="48"/>
  <c r="U25" i="48"/>
  <c r="P25" i="48"/>
  <c r="U24" i="48"/>
  <c r="P24" i="48"/>
  <c r="U23" i="48"/>
  <c r="P23" i="48"/>
  <c r="U22" i="48"/>
  <c r="P22" i="48"/>
  <c r="U21" i="48"/>
  <c r="P21" i="48"/>
  <c r="U20" i="48"/>
  <c r="P20" i="48"/>
  <c r="Z41" i="48"/>
  <c r="Z40" i="48"/>
  <c r="Z42" i="48"/>
  <c r="AI19" i="48"/>
  <c r="D43" i="48"/>
  <c r="D45" i="48" s="1"/>
  <c r="U19" i="48"/>
  <c r="P19" i="48"/>
  <c r="M16" i="48"/>
  <c r="U33" i="63"/>
  <c r="P33" i="63"/>
  <c r="U32" i="63"/>
  <c r="P32" i="63"/>
  <c r="U31" i="63"/>
  <c r="P31" i="63"/>
  <c r="U30" i="63"/>
  <c r="P30" i="63"/>
  <c r="U29" i="63"/>
  <c r="P29" i="63"/>
  <c r="U28" i="63"/>
  <c r="P28" i="63"/>
  <c r="U27" i="63"/>
  <c r="P27" i="63"/>
  <c r="U26" i="63"/>
  <c r="P26" i="63"/>
  <c r="U25" i="63"/>
  <c r="P25" i="63"/>
  <c r="U24" i="63"/>
  <c r="P24" i="63"/>
  <c r="U23" i="63"/>
  <c r="P23" i="63"/>
  <c r="U22" i="63"/>
  <c r="P22" i="63"/>
  <c r="U21" i="63"/>
  <c r="P21" i="63"/>
  <c r="U20" i="63"/>
  <c r="P20" i="63"/>
  <c r="Z41" i="63"/>
  <c r="Z40" i="63"/>
  <c r="Z42" i="63"/>
  <c r="AI19" i="63"/>
  <c r="D43" i="63"/>
  <c r="D45" i="63" s="1"/>
  <c r="U19" i="63"/>
  <c r="P19" i="63"/>
  <c r="M16" i="63"/>
  <c r="U33" i="62"/>
  <c r="P33" i="62"/>
  <c r="U32" i="62"/>
  <c r="P32" i="62"/>
  <c r="U31" i="62"/>
  <c r="P31" i="62"/>
  <c r="U30" i="62"/>
  <c r="P30" i="62"/>
  <c r="U29" i="62"/>
  <c r="P29" i="62"/>
  <c r="U28" i="62"/>
  <c r="P28" i="62"/>
  <c r="U27" i="62"/>
  <c r="P27" i="62"/>
  <c r="U26" i="62"/>
  <c r="P26" i="62"/>
  <c r="U25" i="62"/>
  <c r="P25" i="62"/>
  <c r="U24" i="62"/>
  <c r="P24" i="62"/>
  <c r="U23" i="62"/>
  <c r="P23" i="62"/>
  <c r="U22" i="62"/>
  <c r="P22" i="62"/>
  <c r="U21" i="62"/>
  <c r="P21" i="62"/>
  <c r="U20" i="62"/>
  <c r="P20" i="62"/>
  <c r="Z41" i="62"/>
  <c r="Z40" i="62"/>
  <c r="Z42" i="62"/>
  <c r="M31" i="6" s="1"/>
  <c r="E38" i="4" s="1"/>
  <c r="AI19" i="62"/>
  <c r="D43" i="62"/>
  <c r="D45" i="62" s="1"/>
  <c r="U19" i="62"/>
  <c r="P19" i="62"/>
  <c r="M16" i="62"/>
  <c r="U33" i="61"/>
  <c r="P33" i="61"/>
  <c r="U32" i="61"/>
  <c r="P32" i="61"/>
  <c r="U31" i="61"/>
  <c r="P31" i="61"/>
  <c r="U30" i="61"/>
  <c r="P30" i="61"/>
  <c r="U29" i="61"/>
  <c r="P29" i="61"/>
  <c r="U28" i="61"/>
  <c r="P28" i="61"/>
  <c r="U27" i="61"/>
  <c r="P27" i="61"/>
  <c r="U26" i="61"/>
  <c r="P26" i="61"/>
  <c r="U25" i="61"/>
  <c r="P25" i="61"/>
  <c r="U24" i="61"/>
  <c r="P24" i="61"/>
  <c r="U23" i="61"/>
  <c r="P23" i="61"/>
  <c r="U22" i="61"/>
  <c r="P22" i="61"/>
  <c r="U21" i="61"/>
  <c r="P21" i="61"/>
  <c r="U20" i="61"/>
  <c r="P20" i="61"/>
  <c r="Z41" i="61"/>
  <c r="Z40" i="61"/>
  <c r="Z42" i="61"/>
  <c r="M30" i="6" s="1"/>
  <c r="E37" i="4" s="1"/>
  <c r="AI19" i="61"/>
  <c r="D43" i="61"/>
  <c r="D45" i="61" s="1"/>
  <c r="U19" i="61"/>
  <c r="P19" i="61"/>
  <c r="M16" i="61"/>
  <c r="U33" i="60"/>
  <c r="P33" i="60"/>
  <c r="U32" i="60"/>
  <c r="P32" i="60"/>
  <c r="U31" i="60"/>
  <c r="P31" i="60"/>
  <c r="U30" i="60"/>
  <c r="P30" i="60"/>
  <c r="U29" i="60"/>
  <c r="P29" i="60"/>
  <c r="U28" i="60"/>
  <c r="P28" i="60"/>
  <c r="U27" i="60"/>
  <c r="P27" i="60"/>
  <c r="U26" i="60"/>
  <c r="P26" i="60"/>
  <c r="U25" i="60"/>
  <c r="P25" i="60"/>
  <c r="U24" i="60"/>
  <c r="P24" i="60"/>
  <c r="U23" i="60"/>
  <c r="P23" i="60"/>
  <c r="U22" i="60"/>
  <c r="P22" i="60"/>
  <c r="U21" i="60"/>
  <c r="P21" i="60"/>
  <c r="U20" i="60"/>
  <c r="P20" i="60"/>
  <c r="Z41" i="60"/>
  <c r="Z40" i="60"/>
  <c r="Z42" i="60"/>
  <c r="M29" i="6" s="1"/>
  <c r="E36" i="4" s="1"/>
  <c r="AI19" i="60"/>
  <c r="D43" i="60"/>
  <c r="D45" i="60" s="1"/>
  <c r="U19" i="60"/>
  <c r="P19" i="60"/>
  <c r="M16" i="60"/>
  <c r="U33" i="59"/>
  <c r="P33" i="59"/>
  <c r="U32" i="59"/>
  <c r="P32" i="59"/>
  <c r="U31" i="59"/>
  <c r="P31" i="59"/>
  <c r="U30" i="59"/>
  <c r="P30" i="59"/>
  <c r="U29" i="59"/>
  <c r="P29" i="59"/>
  <c r="U28" i="59"/>
  <c r="P28" i="59"/>
  <c r="U27" i="59"/>
  <c r="P27" i="59"/>
  <c r="U26" i="59"/>
  <c r="P26" i="59"/>
  <c r="U25" i="59"/>
  <c r="P25" i="59"/>
  <c r="U24" i="59"/>
  <c r="P24" i="59"/>
  <c r="U23" i="59"/>
  <c r="P23" i="59"/>
  <c r="U22" i="59"/>
  <c r="P22" i="59"/>
  <c r="U21" i="59"/>
  <c r="P21" i="59"/>
  <c r="U20" i="59"/>
  <c r="P20" i="59"/>
  <c r="Z41" i="59"/>
  <c r="Z40" i="59"/>
  <c r="Z42" i="59"/>
  <c r="M28" i="6" s="1"/>
  <c r="E35" i="4" s="1"/>
  <c r="AI19" i="59"/>
  <c r="D43" i="59"/>
  <c r="D45" i="59" s="1"/>
  <c r="U19" i="59"/>
  <c r="P19" i="59"/>
  <c r="M16" i="59"/>
  <c r="U33" i="58"/>
  <c r="P33" i="58"/>
  <c r="U32" i="58"/>
  <c r="P32" i="58"/>
  <c r="U31" i="58"/>
  <c r="P31" i="58"/>
  <c r="U30" i="58"/>
  <c r="P30" i="58"/>
  <c r="U29" i="58"/>
  <c r="P29" i="58"/>
  <c r="U28" i="58"/>
  <c r="P28" i="58"/>
  <c r="U27" i="58"/>
  <c r="P27" i="58"/>
  <c r="U26" i="58"/>
  <c r="P26" i="58"/>
  <c r="U25" i="58"/>
  <c r="P25" i="58"/>
  <c r="U24" i="58"/>
  <c r="P24" i="58"/>
  <c r="U23" i="58"/>
  <c r="P23" i="58"/>
  <c r="U22" i="58"/>
  <c r="P22" i="58"/>
  <c r="U21" i="58"/>
  <c r="P21" i="58"/>
  <c r="U20" i="58"/>
  <c r="P20" i="58"/>
  <c r="Z41" i="58"/>
  <c r="Z40" i="58"/>
  <c r="Z42" i="58"/>
  <c r="M27" i="6" s="1"/>
  <c r="E34" i="4" s="1"/>
  <c r="AI19" i="58"/>
  <c r="D43" i="58"/>
  <c r="D45" i="58" s="1"/>
  <c r="U19" i="58"/>
  <c r="P19" i="58"/>
  <c r="M16" i="58"/>
  <c r="U33" i="57"/>
  <c r="P33" i="57"/>
  <c r="U32" i="57"/>
  <c r="P32" i="57"/>
  <c r="U31" i="57"/>
  <c r="P31" i="57"/>
  <c r="U30" i="57"/>
  <c r="P30" i="57"/>
  <c r="U29" i="57"/>
  <c r="P29" i="57"/>
  <c r="U28" i="57"/>
  <c r="P28" i="57"/>
  <c r="U27" i="57"/>
  <c r="P27" i="57"/>
  <c r="U26" i="57"/>
  <c r="P26" i="57"/>
  <c r="U25" i="57"/>
  <c r="P25" i="57"/>
  <c r="U24" i="57"/>
  <c r="P24" i="57"/>
  <c r="U23" i="57"/>
  <c r="P23" i="57"/>
  <c r="U22" i="57"/>
  <c r="P22" i="57"/>
  <c r="U21" i="57"/>
  <c r="P21" i="57"/>
  <c r="U20" i="57"/>
  <c r="P20" i="57"/>
  <c r="Z41" i="57"/>
  <c r="Z40" i="57"/>
  <c r="Z42" i="57"/>
  <c r="AI19" i="57"/>
  <c r="D43" i="57"/>
  <c r="D45" i="57" s="1"/>
  <c r="U19" i="57"/>
  <c r="P19" i="57"/>
  <c r="M16" i="57"/>
  <c r="U33" i="56"/>
  <c r="P33" i="56"/>
  <c r="U32" i="56"/>
  <c r="P32" i="56"/>
  <c r="U31" i="56"/>
  <c r="P31" i="56"/>
  <c r="U30" i="56"/>
  <c r="P30" i="56"/>
  <c r="U29" i="56"/>
  <c r="P29" i="56"/>
  <c r="U28" i="56"/>
  <c r="P28" i="56"/>
  <c r="U27" i="56"/>
  <c r="P27" i="56"/>
  <c r="U26" i="56"/>
  <c r="P26" i="56"/>
  <c r="U25" i="56"/>
  <c r="P25" i="56"/>
  <c r="U24" i="56"/>
  <c r="P24" i="56"/>
  <c r="U23" i="56"/>
  <c r="P23" i="56"/>
  <c r="U22" i="56"/>
  <c r="P22" i="56"/>
  <c r="U21" i="56"/>
  <c r="P21" i="56"/>
  <c r="U20" i="56"/>
  <c r="P20" i="56"/>
  <c r="Z41" i="56"/>
  <c r="Z40" i="56"/>
  <c r="Z42" i="56"/>
  <c r="AI19" i="56"/>
  <c r="D43" i="56"/>
  <c r="D45" i="56" s="1"/>
  <c r="U19" i="56"/>
  <c r="P19" i="56"/>
  <c r="M16" i="56"/>
  <c r="U33" i="55"/>
  <c r="P33" i="55"/>
  <c r="U32" i="55"/>
  <c r="P32" i="55"/>
  <c r="U31" i="55"/>
  <c r="P31" i="55"/>
  <c r="U30" i="55"/>
  <c r="P30" i="55"/>
  <c r="U29" i="55"/>
  <c r="P29" i="55"/>
  <c r="U28" i="55"/>
  <c r="P28" i="55"/>
  <c r="U27" i="55"/>
  <c r="P27" i="55"/>
  <c r="U26" i="55"/>
  <c r="P26" i="55"/>
  <c r="U25" i="55"/>
  <c r="P25" i="55"/>
  <c r="U24" i="55"/>
  <c r="P24" i="55"/>
  <c r="U23" i="55"/>
  <c r="P23" i="55"/>
  <c r="U22" i="55"/>
  <c r="P22" i="55"/>
  <c r="U21" i="55"/>
  <c r="P21" i="55"/>
  <c r="U20" i="55"/>
  <c r="P20" i="55"/>
  <c r="Z41" i="55"/>
  <c r="Z40" i="55"/>
  <c r="Z42" i="55"/>
  <c r="M24" i="6" s="1"/>
  <c r="E31" i="4" s="1"/>
  <c r="AI19" i="55"/>
  <c r="D43" i="55"/>
  <c r="D45" i="55" s="1"/>
  <c r="U19" i="55"/>
  <c r="P19" i="55"/>
  <c r="M16" i="55"/>
  <c r="U33" i="54"/>
  <c r="P33" i="54"/>
  <c r="U32" i="54"/>
  <c r="P32" i="54"/>
  <c r="U31" i="54"/>
  <c r="P31" i="54"/>
  <c r="U30" i="54"/>
  <c r="P30" i="54"/>
  <c r="U29" i="54"/>
  <c r="P29" i="54"/>
  <c r="U28" i="54"/>
  <c r="P28" i="54"/>
  <c r="U27" i="54"/>
  <c r="P27" i="54"/>
  <c r="U26" i="54"/>
  <c r="P26" i="54"/>
  <c r="U25" i="54"/>
  <c r="P25" i="54"/>
  <c r="U24" i="54"/>
  <c r="P24" i="54"/>
  <c r="U23" i="54"/>
  <c r="P23" i="54"/>
  <c r="U22" i="54"/>
  <c r="P22" i="54"/>
  <c r="U21" i="54"/>
  <c r="P21" i="54"/>
  <c r="U20" i="54"/>
  <c r="P20" i="54"/>
  <c r="Z41" i="54"/>
  <c r="Z40" i="54"/>
  <c r="Z42" i="54"/>
  <c r="M23" i="6" s="1"/>
  <c r="E30" i="4" s="1"/>
  <c r="AI19" i="54"/>
  <c r="D43" i="54"/>
  <c r="D45" i="54" s="1"/>
  <c r="U19" i="54"/>
  <c r="P19" i="54"/>
  <c r="M16" i="54"/>
  <c r="U33" i="53"/>
  <c r="P33" i="53"/>
  <c r="U32" i="53"/>
  <c r="P32" i="53"/>
  <c r="U31" i="53"/>
  <c r="P31" i="53"/>
  <c r="U30" i="53"/>
  <c r="P30" i="53"/>
  <c r="U29" i="53"/>
  <c r="P29" i="53"/>
  <c r="U28" i="53"/>
  <c r="P28" i="53"/>
  <c r="U27" i="53"/>
  <c r="P27" i="53"/>
  <c r="U26" i="53"/>
  <c r="P26" i="53"/>
  <c r="U25" i="53"/>
  <c r="P25" i="53"/>
  <c r="U24" i="53"/>
  <c r="P24" i="53"/>
  <c r="U23" i="53"/>
  <c r="P23" i="53"/>
  <c r="U22" i="53"/>
  <c r="P22" i="53"/>
  <c r="U21" i="53"/>
  <c r="P21" i="53"/>
  <c r="U20" i="53"/>
  <c r="P20" i="53"/>
  <c r="Z41" i="53"/>
  <c r="Z40" i="53"/>
  <c r="Z42" i="53"/>
  <c r="M22" i="6" s="1"/>
  <c r="E29" i="4" s="1"/>
  <c r="AI19" i="53"/>
  <c r="D43" i="53"/>
  <c r="D45" i="53" s="1"/>
  <c r="U19" i="53"/>
  <c r="P19" i="53"/>
  <c r="M16" i="53"/>
  <c r="U33" i="52"/>
  <c r="P33" i="52"/>
  <c r="U32" i="52"/>
  <c r="P32" i="52"/>
  <c r="U31" i="52"/>
  <c r="P31" i="52"/>
  <c r="U30" i="52"/>
  <c r="P30" i="52"/>
  <c r="U29" i="52"/>
  <c r="P29" i="52"/>
  <c r="U28" i="52"/>
  <c r="P28" i="52"/>
  <c r="U27" i="52"/>
  <c r="P27" i="52"/>
  <c r="U26" i="52"/>
  <c r="P26" i="52"/>
  <c r="U25" i="52"/>
  <c r="P25" i="52"/>
  <c r="U24" i="52"/>
  <c r="P24" i="52"/>
  <c r="U23" i="52"/>
  <c r="P23" i="52"/>
  <c r="U22" i="52"/>
  <c r="P22" i="52"/>
  <c r="U21" i="52"/>
  <c r="P21" i="52"/>
  <c r="U20" i="52"/>
  <c r="P20" i="52"/>
  <c r="Z41" i="52"/>
  <c r="Z40" i="52"/>
  <c r="Z42" i="52"/>
  <c r="M21" i="6" s="1"/>
  <c r="E28" i="4" s="1"/>
  <c r="AI19" i="52"/>
  <c r="D43" i="52"/>
  <c r="D45" i="52" s="1"/>
  <c r="U19" i="52"/>
  <c r="P19" i="52"/>
  <c r="M16" i="52"/>
  <c r="U33" i="51"/>
  <c r="P33" i="51"/>
  <c r="U32" i="51"/>
  <c r="P32" i="51"/>
  <c r="U31" i="51"/>
  <c r="P31" i="51"/>
  <c r="U30" i="51"/>
  <c r="P30" i="51"/>
  <c r="U29" i="51"/>
  <c r="P29" i="51"/>
  <c r="U28" i="51"/>
  <c r="P28" i="51"/>
  <c r="U27" i="51"/>
  <c r="P27" i="51"/>
  <c r="U26" i="51"/>
  <c r="P26" i="51"/>
  <c r="U25" i="51"/>
  <c r="P25" i="51"/>
  <c r="U24" i="51"/>
  <c r="P24" i="51"/>
  <c r="U23" i="51"/>
  <c r="P23" i="51"/>
  <c r="U22" i="51"/>
  <c r="P22" i="51"/>
  <c r="U21" i="51"/>
  <c r="P21" i="51"/>
  <c r="U20" i="51"/>
  <c r="P20" i="51"/>
  <c r="Z41" i="51"/>
  <c r="Z40" i="51"/>
  <c r="Z42" i="51"/>
  <c r="M20" i="6" s="1"/>
  <c r="E27" i="4" s="1"/>
  <c r="AI19" i="51"/>
  <c r="D43" i="51"/>
  <c r="D45" i="51" s="1"/>
  <c r="U19" i="51"/>
  <c r="P19" i="51"/>
  <c r="M16" i="51"/>
  <c r="U33" i="50"/>
  <c r="P33" i="50"/>
  <c r="U32" i="50"/>
  <c r="P32" i="50"/>
  <c r="U31" i="50"/>
  <c r="P31" i="50"/>
  <c r="U30" i="50"/>
  <c r="P30" i="50"/>
  <c r="U29" i="50"/>
  <c r="P29" i="50"/>
  <c r="U28" i="50"/>
  <c r="P28" i="50"/>
  <c r="U27" i="50"/>
  <c r="P27" i="50"/>
  <c r="U26" i="50"/>
  <c r="P26" i="50"/>
  <c r="U25" i="50"/>
  <c r="P25" i="50"/>
  <c r="U24" i="50"/>
  <c r="P24" i="50"/>
  <c r="U23" i="50"/>
  <c r="P23" i="50"/>
  <c r="U22" i="50"/>
  <c r="P22" i="50"/>
  <c r="U21" i="50"/>
  <c r="P21" i="50"/>
  <c r="U20" i="50"/>
  <c r="P20" i="50"/>
  <c r="Z41" i="50"/>
  <c r="Z40" i="50"/>
  <c r="Z42" i="50"/>
  <c r="M19" i="6" s="1"/>
  <c r="E26" i="4" s="1"/>
  <c r="AI19" i="50"/>
  <c r="D43" i="50"/>
  <c r="D45" i="50" s="1"/>
  <c r="U19" i="50"/>
  <c r="P19" i="50"/>
  <c r="M16" i="50"/>
  <c r="U33" i="49"/>
  <c r="P33" i="49"/>
  <c r="U32" i="49"/>
  <c r="P32" i="49"/>
  <c r="U31" i="49"/>
  <c r="P31" i="49"/>
  <c r="U30" i="49"/>
  <c r="P30" i="49"/>
  <c r="U29" i="49"/>
  <c r="P29" i="49"/>
  <c r="U28" i="49"/>
  <c r="P28" i="49"/>
  <c r="U27" i="49"/>
  <c r="P27" i="49"/>
  <c r="U26" i="49"/>
  <c r="P26" i="49"/>
  <c r="U25" i="49"/>
  <c r="P25" i="49"/>
  <c r="U24" i="49"/>
  <c r="P24" i="49"/>
  <c r="U23" i="49"/>
  <c r="P23" i="49"/>
  <c r="U22" i="49"/>
  <c r="P22" i="49"/>
  <c r="U21" i="49"/>
  <c r="P21" i="49"/>
  <c r="U20" i="49"/>
  <c r="P20" i="49"/>
  <c r="Z41" i="49"/>
  <c r="Z40" i="49"/>
  <c r="Z42" i="49"/>
  <c r="M18" i="6" s="1"/>
  <c r="E25" i="4" s="1"/>
  <c r="AI19" i="49"/>
  <c r="D43" i="49"/>
  <c r="D45" i="49" s="1"/>
  <c r="U19" i="49"/>
  <c r="P19" i="49"/>
  <c r="M16" i="49"/>
  <c r="M15" i="44"/>
  <c r="I13" i="6"/>
  <c r="M15" i="43"/>
  <c r="I12" i="6"/>
  <c r="M15" i="42"/>
  <c r="Z41" i="41"/>
  <c r="M15" i="41"/>
  <c r="O443" i="68"/>
  <c r="O454" i="68"/>
  <c r="O446" i="68"/>
  <c r="M32" i="6"/>
  <c r="E39" i="4" s="1"/>
  <c r="O445" i="68"/>
  <c r="O452" i="68"/>
  <c r="O444" i="68"/>
  <c r="O431" i="68"/>
  <c r="O420" i="68"/>
  <c r="O408" i="68"/>
  <c r="O393" i="68"/>
  <c r="O385" i="68"/>
  <c r="O377" i="68"/>
  <c r="O367" i="68"/>
  <c r="O373" i="68"/>
  <c r="M26" i="6"/>
  <c r="E33" i="4" s="1"/>
  <c r="O342" i="68"/>
  <c r="O349" i="68"/>
  <c r="O327" i="68"/>
  <c r="O332" i="68"/>
  <c r="O318" i="68"/>
  <c r="O300" i="68"/>
  <c r="O299" i="68"/>
  <c r="O287" i="68"/>
  <c r="O279" i="68"/>
  <c r="O264" i="68"/>
  <c r="O249" i="68"/>
  <c r="O250" i="68"/>
  <c r="O252" i="68"/>
  <c r="K14" i="6"/>
  <c r="D47" i="44"/>
  <c r="K13" i="6" s="1"/>
  <c r="Z40" i="44"/>
  <c r="S19" i="44"/>
  <c r="AJ19" i="44" s="1"/>
  <c r="P19" i="44"/>
  <c r="D43" i="44"/>
  <c r="D45" i="44" s="1"/>
  <c r="U19" i="44"/>
  <c r="Z43" i="44"/>
  <c r="Z42" i="44"/>
  <c r="D47" i="43"/>
  <c r="K12" i="6" s="1"/>
  <c r="P19" i="43"/>
  <c r="D43" i="43"/>
  <c r="D45" i="43" s="1"/>
  <c r="S19" i="43"/>
  <c r="U19" i="43"/>
  <c r="Z40" i="43"/>
  <c r="Z42" i="43"/>
  <c r="AI19" i="43"/>
  <c r="U22" i="42"/>
  <c r="U23" i="42"/>
  <c r="S23" i="42"/>
  <c r="P21" i="42"/>
  <c r="U20" i="42"/>
  <c r="U21" i="42"/>
  <c r="S20" i="42"/>
  <c r="P22" i="42"/>
  <c r="Z42" i="42"/>
  <c r="AI19" i="42"/>
  <c r="AJ22" i="42"/>
  <c r="AK22" i="42" s="1"/>
  <c r="P19" i="42"/>
  <c r="D43" i="42"/>
  <c r="D45" i="42" s="1"/>
  <c r="S19" i="42"/>
  <c r="U19" i="42"/>
  <c r="Z40" i="42"/>
  <c r="AJ21" i="42"/>
  <c r="AK21" i="42" s="1"/>
  <c r="D47" i="41"/>
  <c r="K10" i="6" s="1"/>
  <c r="S22" i="41"/>
  <c r="AJ22" i="41" s="1"/>
  <c r="AK22" i="41" s="1"/>
  <c r="U23" i="41"/>
  <c r="P23" i="41"/>
  <c r="S20" i="41"/>
  <c r="AJ20" i="41" s="1"/>
  <c r="AK20" i="41" s="1"/>
  <c r="P20" i="41"/>
  <c r="P22" i="41"/>
  <c r="P21" i="41"/>
  <c r="S21" i="41"/>
  <c r="AJ21" i="41" s="1"/>
  <c r="AK21" i="41" s="1"/>
  <c r="Z40" i="41"/>
  <c r="Z43" i="41"/>
  <c r="N10" i="6" s="1"/>
  <c r="F17" i="4" s="1"/>
  <c r="Z42" i="41"/>
  <c r="P19" i="41"/>
  <c r="D43" i="41"/>
  <c r="S19" i="41"/>
  <c r="AJ19" i="41" s="1"/>
  <c r="U19" i="41"/>
  <c r="O188" i="68"/>
  <c r="O192" i="68"/>
  <c r="O196" i="68"/>
  <c r="O193" i="68"/>
  <c r="K184" i="68"/>
  <c r="O167" i="68"/>
  <c r="O137" i="68"/>
  <c r="O133" i="68"/>
  <c r="D25" i="4"/>
  <c r="D26" i="4"/>
  <c r="D27" i="4"/>
  <c r="D28" i="4"/>
  <c r="D29" i="4"/>
  <c r="D30" i="4"/>
  <c r="D31" i="4"/>
  <c r="D32" i="4"/>
  <c r="D33" i="4"/>
  <c r="D34" i="4"/>
  <c r="D35" i="4"/>
  <c r="D36" i="4"/>
  <c r="D37" i="4"/>
  <c r="D38" i="4"/>
  <c r="D39" i="4"/>
  <c r="G32" i="4"/>
  <c r="P32" i="6"/>
  <c r="I39" i="4" s="1"/>
  <c r="P31" i="6"/>
  <c r="I38" i="4" s="1"/>
  <c r="P30" i="6"/>
  <c r="I37" i="4" s="1"/>
  <c r="P29" i="6"/>
  <c r="I36" i="4" s="1"/>
  <c r="P28" i="6"/>
  <c r="I35" i="4" s="1"/>
  <c r="P27" i="6"/>
  <c r="I34" i="4" s="1"/>
  <c r="P26" i="6"/>
  <c r="I33" i="4" s="1"/>
  <c r="P25" i="6"/>
  <c r="I32" i="4" s="1"/>
  <c r="P24" i="6"/>
  <c r="I31" i="4" s="1"/>
  <c r="P23" i="6"/>
  <c r="I30" i="4" s="1"/>
  <c r="P22" i="6"/>
  <c r="I29" i="4" s="1"/>
  <c r="P21" i="6"/>
  <c r="I28" i="4" s="1"/>
  <c r="P20" i="6"/>
  <c r="I27" i="4" s="1"/>
  <c r="P19" i="6"/>
  <c r="I26" i="4" s="1"/>
  <c r="P17" i="6"/>
  <c r="I24" i="4" s="1"/>
  <c r="P16" i="6"/>
  <c r="I23" i="4" s="1"/>
  <c r="P15" i="6"/>
  <c r="I22" i="4" s="1"/>
  <c r="P14" i="6"/>
  <c r="I21" i="4" s="1"/>
  <c r="P13" i="6"/>
  <c r="I20" i="4" s="1"/>
  <c r="P12" i="6"/>
  <c r="I19" i="4" s="1"/>
  <c r="P11" i="6"/>
  <c r="I18" i="4" s="1"/>
  <c r="P10" i="6"/>
  <c r="I17" i="4" s="1"/>
  <c r="M25" i="6"/>
  <c r="E32" i="4" s="1"/>
  <c r="K441" i="68"/>
  <c r="L441" i="68"/>
  <c r="K442" i="68"/>
  <c r="L442" i="68"/>
  <c r="K443" i="68"/>
  <c r="L443" i="68"/>
  <c r="K444" i="68"/>
  <c r="L444" i="68"/>
  <c r="K445" i="68"/>
  <c r="L445" i="68"/>
  <c r="K446" i="68"/>
  <c r="L446" i="68"/>
  <c r="K447" i="68"/>
  <c r="L447" i="68"/>
  <c r="K448" i="68"/>
  <c r="L448" i="68"/>
  <c r="K449" i="68"/>
  <c r="L449" i="68"/>
  <c r="K450" i="68"/>
  <c r="L450" i="68"/>
  <c r="K451" i="68"/>
  <c r="L451" i="68"/>
  <c r="K452" i="68"/>
  <c r="L452" i="68"/>
  <c r="K453" i="68"/>
  <c r="L453" i="68"/>
  <c r="K454" i="68"/>
  <c r="L454" i="68"/>
  <c r="L440" i="68"/>
  <c r="K440" i="68"/>
  <c r="K426" i="68"/>
  <c r="L426" i="68"/>
  <c r="K427" i="68"/>
  <c r="L427" i="68"/>
  <c r="K428" i="68"/>
  <c r="L428" i="68"/>
  <c r="K429" i="68"/>
  <c r="L429" i="68"/>
  <c r="K430" i="68"/>
  <c r="L430" i="68"/>
  <c r="K431" i="68"/>
  <c r="L431" i="68"/>
  <c r="K432" i="68"/>
  <c r="L432" i="68"/>
  <c r="K433" i="68"/>
  <c r="L433" i="68"/>
  <c r="K434" i="68"/>
  <c r="L434" i="68"/>
  <c r="K435" i="68"/>
  <c r="L435" i="68"/>
  <c r="K436" i="68"/>
  <c r="L436" i="68"/>
  <c r="K437" i="68"/>
  <c r="L437" i="68"/>
  <c r="K438" i="68"/>
  <c r="L438" i="68"/>
  <c r="K439" i="68"/>
  <c r="L439" i="68"/>
  <c r="L425" i="68"/>
  <c r="K425" i="68"/>
  <c r="K411" i="68"/>
  <c r="L411" i="68"/>
  <c r="K412" i="68"/>
  <c r="L412" i="68"/>
  <c r="K413" i="68"/>
  <c r="L413" i="68"/>
  <c r="K414" i="68"/>
  <c r="L414" i="68"/>
  <c r="K415" i="68"/>
  <c r="L415" i="68"/>
  <c r="K416" i="68"/>
  <c r="L416" i="68"/>
  <c r="K417" i="68"/>
  <c r="L417" i="68"/>
  <c r="K418" i="68"/>
  <c r="L418" i="68"/>
  <c r="K419" i="68"/>
  <c r="L419" i="68"/>
  <c r="K420" i="68"/>
  <c r="L420" i="68"/>
  <c r="K421" i="68"/>
  <c r="L421" i="68"/>
  <c r="K422" i="68"/>
  <c r="L422" i="68"/>
  <c r="K423" i="68"/>
  <c r="L423" i="68"/>
  <c r="K424" i="68"/>
  <c r="L424" i="68"/>
  <c r="L410" i="68"/>
  <c r="K410" i="68"/>
  <c r="K396" i="68"/>
  <c r="L396" i="68"/>
  <c r="K397" i="68"/>
  <c r="L397" i="68"/>
  <c r="K398" i="68"/>
  <c r="L398" i="68"/>
  <c r="K399" i="68"/>
  <c r="L399" i="68"/>
  <c r="K400" i="68"/>
  <c r="L400" i="68"/>
  <c r="K401" i="68"/>
  <c r="L401" i="68"/>
  <c r="K402" i="68"/>
  <c r="L402" i="68"/>
  <c r="K403" i="68"/>
  <c r="L403" i="68"/>
  <c r="K404" i="68"/>
  <c r="L404" i="68"/>
  <c r="K405" i="68"/>
  <c r="L405" i="68"/>
  <c r="K406" i="68"/>
  <c r="L406" i="68"/>
  <c r="K407" i="68"/>
  <c r="L407" i="68"/>
  <c r="K408" i="68"/>
  <c r="L408" i="68"/>
  <c r="K409" i="68"/>
  <c r="L409" i="68"/>
  <c r="L395" i="68"/>
  <c r="K395" i="68"/>
  <c r="K381" i="68"/>
  <c r="L381" i="68"/>
  <c r="K382" i="68"/>
  <c r="L382" i="68"/>
  <c r="K383" i="68"/>
  <c r="L383" i="68"/>
  <c r="K384" i="68"/>
  <c r="L384" i="68"/>
  <c r="K385" i="68"/>
  <c r="L385" i="68"/>
  <c r="K386" i="68"/>
  <c r="L386" i="68"/>
  <c r="K387" i="68"/>
  <c r="L387" i="68"/>
  <c r="K388" i="68"/>
  <c r="L388" i="68"/>
  <c r="K389" i="68"/>
  <c r="L389" i="68"/>
  <c r="K390" i="68"/>
  <c r="L390" i="68"/>
  <c r="K391" i="68"/>
  <c r="L391" i="68"/>
  <c r="K392" i="68"/>
  <c r="L392" i="68"/>
  <c r="K393" i="68"/>
  <c r="L393" i="68"/>
  <c r="K394" i="68"/>
  <c r="L394" i="68"/>
  <c r="L380" i="68"/>
  <c r="K380" i="68"/>
  <c r="K366" i="68"/>
  <c r="L366" i="68"/>
  <c r="K367" i="68"/>
  <c r="L367" i="68"/>
  <c r="K368" i="68"/>
  <c r="L368" i="68"/>
  <c r="K369" i="68"/>
  <c r="L369" i="68"/>
  <c r="K370" i="68"/>
  <c r="L370" i="68"/>
  <c r="K371" i="68"/>
  <c r="L371" i="68"/>
  <c r="K372" i="68"/>
  <c r="L372" i="68"/>
  <c r="K373" i="68"/>
  <c r="L373" i="68"/>
  <c r="K374" i="68"/>
  <c r="L374" i="68"/>
  <c r="K375" i="68"/>
  <c r="L375" i="68"/>
  <c r="K376" i="68"/>
  <c r="L376" i="68"/>
  <c r="K377" i="68"/>
  <c r="L377" i="68"/>
  <c r="K378" i="68"/>
  <c r="L378" i="68"/>
  <c r="K379" i="68"/>
  <c r="L379" i="68"/>
  <c r="L365" i="68"/>
  <c r="K365" i="68"/>
  <c r="K351" i="68"/>
  <c r="L351" i="68"/>
  <c r="K352" i="68"/>
  <c r="L352" i="68"/>
  <c r="K353" i="68"/>
  <c r="L353" i="68"/>
  <c r="K354" i="68"/>
  <c r="L354" i="68"/>
  <c r="K355" i="68"/>
  <c r="L355" i="68"/>
  <c r="K356" i="68"/>
  <c r="L356" i="68"/>
  <c r="K357" i="68"/>
  <c r="L357" i="68"/>
  <c r="K358" i="68"/>
  <c r="L358" i="68"/>
  <c r="K359" i="68"/>
  <c r="L359" i="68"/>
  <c r="K360" i="68"/>
  <c r="L360" i="68"/>
  <c r="K361" i="68"/>
  <c r="L361" i="68"/>
  <c r="K362" i="68"/>
  <c r="L362" i="68"/>
  <c r="K363" i="68"/>
  <c r="L363" i="68"/>
  <c r="K364" i="68"/>
  <c r="L364" i="68"/>
  <c r="L350" i="68"/>
  <c r="K350" i="68"/>
  <c r="K336" i="68"/>
  <c r="L336" i="68"/>
  <c r="K337" i="68"/>
  <c r="L337" i="68"/>
  <c r="K338" i="68"/>
  <c r="L338" i="68"/>
  <c r="K339" i="68"/>
  <c r="L339" i="68"/>
  <c r="K340" i="68"/>
  <c r="L340" i="68"/>
  <c r="K341" i="68"/>
  <c r="L341" i="68"/>
  <c r="K342" i="68"/>
  <c r="L342" i="68"/>
  <c r="K343" i="68"/>
  <c r="L343" i="68"/>
  <c r="K344" i="68"/>
  <c r="L344" i="68"/>
  <c r="K345" i="68"/>
  <c r="L345" i="68"/>
  <c r="K346" i="68"/>
  <c r="L346" i="68"/>
  <c r="K347" i="68"/>
  <c r="L347" i="68"/>
  <c r="K348" i="68"/>
  <c r="L348" i="68"/>
  <c r="K349" i="68"/>
  <c r="L349" i="68"/>
  <c r="L335" i="68"/>
  <c r="K335" i="68"/>
  <c r="K321" i="68"/>
  <c r="L321" i="68"/>
  <c r="K322" i="68"/>
  <c r="L322" i="68"/>
  <c r="K323" i="68"/>
  <c r="L323" i="68"/>
  <c r="K324" i="68"/>
  <c r="L324" i="68"/>
  <c r="K325" i="68"/>
  <c r="L325" i="68"/>
  <c r="K326" i="68"/>
  <c r="L326" i="68"/>
  <c r="K327" i="68"/>
  <c r="L327" i="68"/>
  <c r="K328" i="68"/>
  <c r="L328" i="68"/>
  <c r="K329" i="68"/>
  <c r="L329" i="68"/>
  <c r="K330" i="68"/>
  <c r="L330" i="68"/>
  <c r="K331" i="68"/>
  <c r="L331" i="68"/>
  <c r="K332" i="68"/>
  <c r="L332" i="68"/>
  <c r="K333" i="68"/>
  <c r="L333" i="68"/>
  <c r="K334" i="68"/>
  <c r="L334" i="68"/>
  <c r="L320" i="68"/>
  <c r="K320" i="68"/>
  <c r="K306" i="68"/>
  <c r="L306" i="68"/>
  <c r="K307" i="68"/>
  <c r="L307" i="68"/>
  <c r="K308" i="68"/>
  <c r="L308" i="68"/>
  <c r="K309" i="68"/>
  <c r="L309" i="68"/>
  <c r="K310" i="68"/>
  <c r="L310" i="68"/>
  <c r="K311" i="68"/>
  <c r="L311" i="68"/>
  <c r="K312" i="68"/>
  <c r="L312" i="68"/>
  <c r="K313" i="68"/>
  <c r="L313" i="68"/>
  <c r="K314" i="68"/>
  <c r="L314" i="68"/>
  <c r="K315" i="68"/>
  <c r="L315" i="68"/>
  <c r="K316" i="68"/>
  <c r="L316" i="68"/>
  <c r="K317" i="68"/>
  <c r="L317" i="68"/>
  <c r="K318" i="68"/>
  <c r="L318" i="68"/>
  <c r="K319" i="68"/>
  <c r="L319" i="68"/>
  <c r="L305" i="68"/>
  <c r="K305" i="68"/>
  <c r="K291" i="68"/>
  <c r="L291" i="68"/>
  <c r="K292" i="68"/>
  <c r="L292" i="68"/>
  <c r="K293" i="68"/>
  <c r="L293" i="68"/>
  <c r="K294" i="68"/>
  <c r="L294" i="68"/>
  <c r="K295" i="68"/>
  <c r="L295" i="68"/>
  <c r="K296" i="68"/>
  <c r="L296" i="68"/>
  <c r="K297" i="68"/>
  <c r="L297" i="68"/>
  <c r="K298" i="68"/>
  <c r="L298" i="68"/>
  <c r="K299" i="68"/>
  <c r="L299" i="68"/>
  <c r="K300" i="68"/>
  <c r="L300" i="68"/>
  <c r="K301" i="68"/>
  <c r="L301" i="68"/>
  <c r="K302" i="68"/>
  <c r="L302" i="68"/>
  <c r="K303" i="68"/>
  <c r="L303" i="68"/>
  <c r="K304" i="68"/>
  <c r="L304" i="68"/>
  <c r="L290" i="68"/>
  <c r="K290" i="68"/>
  <c r="K276" i="68"/>
  <c r="L276" i="68"/>
  <c r="K277" i="68"/>
  <c r="L277" i="68"/>
  <c r="K278" i="68"/>
  <c r="L278" i="68"/>
  <c r="K279" i="68"/>
  <c r="L279" i="68"/>
  <c r="K280" i="68"/>
  <c r="L280" i="68"/>
  <c r="K281" i="68"/>
  <c r="L281" i="68"/>
  <c r="K282" i="68"/>
  <c r="L282" i="68"/>
  <c r="K283" i="68"/>
  <c r="L283" i="68"/>
  <c r="K284" i="68"/>
  <c r="L284" i="68"/>
  <c r="K285" i="68"/>
  <c r="L285" i="68"/>
  <c r="K286" i="68"/>
  <c r="L286" i="68"/>
  <c r="K287" i="68"/>
  <c r="L287" i="68"/>
  <c r="K288" i="68"/>
  <c r="L288" i="68"/>
  <c r="K289" i="68"/>
  <c r="L289" i="68"/>
  <c r="L275" i="68"/>
  <c r="K275" i="68"/>
  <c r="K261" i="68"/>
  <c r="L261" i="68"/>
  <c r="K262" i="68"/>
  <c r="L262" i="68"/>
  <c r="K263" i="68"/>
  <c r="L263" i="68"/>
  <c r="K264" i="68"/>
  <c r="L264" i="68"/>
  <c r="K265" i="68"/>
  <c r="L265" i="68"/>
  <c r="K266" i="68"/>
  <c r="L266" i="68"/>
  <c r="K267" i="68"/>
  <c r="L267" i="68"/>
  <c r="K268" i="68"/>
  <c r="L268" i="68"/>
  <c r="K269" i="68"/>
  <c r="L269" i="68"/>
  <c r="K270" i="68"/>
  <c r="L270" i="68"/>
  <c r="K271" i="68"/>
  <c r="L271" i="68"/>
  <c r="K272" i="68"/>
  <c r="L272" i="68"/>
  <c r="K273" i="68"/>
  <c r="L273" i="68"/>
  <c r="K274" i="68"/>
  <c r="L274" i="68"/>
  <c r="L260" i="68"/>
  <c r="K260" i="68"/>
  <c r="L246" i="68"/>
  <c r="L247" i="68"/>
  <c r="L248" i="68"/>
  <c r="L249" i="68"/>
  <c r="L250" i="68"/>
  <c r="L251" i="68"/>
  <c r="L252" i="68"/>
  <c r="L253" i="68"/>
  <c r="L254" i="68"/>
  <c r="L255" i="68"/>
  <c r="L256" i="68"/>
  <c r="L257" i="68"/>
  <c r="L258" i="68"/>
  <c r="L259" i="68"/>
  <c r="L245" i="68"/>
  <c r="K217" i="68"/>
  <c r="L217" i="68"/>
  <c r="K218" i="68"/>
  <c r="L218" i="68"/>
  <c r="K219" i="68"/>
  <c r="L219" i="68"/>
  <c r="K220" i="68"/>
  <c r="L220" i="68"/>
  <c r="K221" i="68"/>
  <c r="L221" i="68"/>
  <c r="K222" i="68"/>
  <c r="L222" i="68"/>
  <c r="K223" i="68"/>
  <c r="L223" i="68"/>
  <c r="K224" i="68"/>
  <c r="L224" i="68"/>
  <c r="K225" i="68"/>
  <c r="L225" i="68"/>
  <c r="K226" i="68"/>
  <c r="L226" i="68"/>
  <c r="K227" i="68"/>
  <c r="L227" i="68"/>
  <c r="K228" i="68"/>
  <c r="L228" i="68"/>
  <c r="K229" i="68"/>
  <c r="L229" i="68"/>
  <c r="K201" i="68"/>
  <c r="L201" i="68"/>
  <c r="K202" i="68"/>
  <c r="L202" i="68"/>
  <c r="K203" i="68"/>
  <c r="L203" i="68"/>
  <c r="K204" i="68"/>
  <c r="L204" i="68"/>
  <c r="K205" i="68"/>
  <c r="L205" i="68"/>
  <c r="K206" i="68"/>
  <c r="L206" i="68"/>
  <c r="K207" i="68"/>
  <c r="L207" i="68"/>
  <c r="K208" i="68"/>
  <c r="L208" i="68"/>
  <c r="K209" i="68"/>
  <c r="L209" i="68"/>
  <c r="K210" i="68"/>
  <c r="L210" i="68"/>
  <c r="K211" i="68"/>
  <c r="L211" i="68"/>
  <c r="K212" i="68"/>
  <c r="L212" i="68"/>
  <c r="K213" i="68"/>
  <c r="L213" i="68"/>
  <c r="K214" i="68"/>
  <c r="L214" i="68"/>
  <c r="K186" i="68"/>
  <c r="L186" i="68"/>
  <c r="K187" i="68"/>
  <c r="L187" i="68"/>
  <c r="K188" i="68"/>
  <c r="L188" i="68"/>
  <c r="K189" i="68"/>
  <c r="L189" i="68"/>
  <c r="K190" i="68"/>
  <c r="L190" i="68"/>
  <c r="K191" i="68"/>
  <c r="L191" i="68"/>
  <c r="K192" i="68"/>
  <c r="L192" i="68"/>
  <c r="K193" i="68"/>
  <c r="L193" i="68"/>
  <c r="K194" i="68"/>
  <c r="L194" i="68"/>
  <c r="K195" i="68"/>
  <c r="L195" i="68"/>
  <c r="K196" i="68"/>
  <c r="L196" i="68"/>
  <c r="K197" i="68"/>
  <c r="L197" i="68"/>
  <c r="K198" i="68"/>
  <c r="L198" i="68"/>
  <c r="K199" i="68"/>
  <c r="L199" i="68"/>
  <c r="L171" i="68"/>
  <c r="K172" i="68"/>
  <c r="L172" i="68"/>
  <c r="K173" i="68"/>
  <c r="L173" i="68"/>
  <c r="K174" i="68"/>
  <c r="K175" i="68"/>
  <c r="L175" i="68"/>
  <c r="K176" i="68"/>
  <c r="L176" i="68"/>
  <c r="K177" i="68"/>
  <c r="L177" i="68"/>
  <c r="K178" i="68"/>
  <c r="L178" i="68"/>
  <c r="K179" i="68"/>
  <c r="L179" i="68"/>
  <c r="K180" i="68"/>
  <c r="L180" i="68"/>
  <c r="K181" i="68"/>
  <c r="L181" i="68"/>
  <c r="K182" i="68"/>
  <c r="K183" i="68"/>
  <c r="L183" i="68"/>
  <c r="L184" i="68"/>
  <c r="K157" i="68"/>
  <c r="L157" i="68"/>
  <c r="K158" i="68"/>
  <c r="L158" i="68"/>
  <c r="K159" i="68"/>
  <c r="L159" i="68"/>
  <c r="K160" i="68"/>
  <c r="L160" i="68"/>
  <c r="K161" i="68"/>
  <c r="L161" i="68"/>
  <c r="K162" i="68"/>
  <c r="L162" i="68"/>
  <c r="K163" i="68"/>
  <c r="L163" i="68"/>
  <c r="K164" i="68"/>
  <c r="L164" i="68"/>
  <c r="K165" i="68"/>
  <c r="L165" i="68"/>
  <c r="K166" i="68"/>
  <c r="L166" i="68"/>
  <c r="K167" i="68"/>
  <c r="L167" i="68"/>
  <c r="K169" i="68"/>
  <c r="L169" i="68"/>
  <c r="P441" i="68"/>
  <c r="Q441" i="68"/>
  <c r="P442" i="68"/>
  <c r="Q442" i="68"/>
  <c r="P443" i="68"/>
  <c r="Q443" i="68"/>
  <c r="P444" i="68"/>
  <c r="Q444" i="68"/>
  <c r="P445" i="68"/>
  <c r="Q445" i="68"/>
  <c r="P446" i="68"/>
  <c r="Q446" i="68"/>
  <c r="P447" i="68"/>
  <c r="Q447" i="68"/>
  <c r="P448" i="68"/>
  <c r="Q448" i="68"/>
  <c r="P449" i="68"/>
  <c r="Q449" i="68"/>
  <c r="P450" i="68"/>
  <c r="Q450" i="68"/>
  <c r="P451" i="68"/>
  <c r="Q451" i="68"/>
  <c r="P452" i="68"/>
  <c r="Q452" i="68"/>
  <c r="P453" i="68"/>
  <c r="Q453" i="68"/>
  <c r="P454" i="68"/>
  <c r="Q454" i="68"/>
  <c r="P426" i="68"/>
  <c r="Q426" i="68"/>
  <c r="P427" i="68"/>
  <c r="Q427" i="68"/>
  <c r="P428" i="68"/>
  <c r="Q428" i="68"/>
  <c r="P429" i="68"/>
  <c r="Q429" i="68"/>
  <c r="P430" i="68"/>
  <c r="Q430" i="68"/>
  <c r="P431" i="68"/>
  <c r="Q431" i="68"/>
  <c r="P432" i="68"/>
  <c r="Q432" i="68"/>
  <c r="P433" i="68"/>
  <c r="Q433" i="68"/>
  <c r="P434" i="68"/>
  <c r="Q434" i="68"/>
  <c r="P435" i="68"/>
  <c r="Q435" i="68"/>
  <c r="P436" i="68"/>
  <c r="Q436" i="68"/>
  <c r="P437" i="68"/>
  <c r="Q437" i="68"/>
  <c r="P438" i="68"/>
  <c r="Q438" i="68"/>
  <c r="P439" i="68"/>
  <c r="Q439" i="68"/>
  <c r="P411" i="68"/>
  <c r="Q411" i="68"/>
  <c r="P412" i="68"/>
  <c r="Q412" i="68"/>
  <c r="P413" i="68"/>
  <c r="Q413" i="68"/>
  <c r="P414" i="68"/>
  <c r="Q414" i="68"/>
  <c r="P415" i="68"/>
  <c r="Q415" i="68"/>
  <c r="P416" i="68"/>
  <c r="Q416" i="68"/>
  <c r="P417" i="68"/>
  <c r="Q417" i="68"/>
  <c r="P418" i="68"/>
  <c r="Q418" i="68"/>
  <c r="P419" i="68"/>
  <c r="Q419" i="68"/>
  <c r="P420" i="68"/>
  <c r="Q420" i="68"/>
  <c r="P421" i="68"/>
  <c r="Q421" i="68"/>
  <c r="P422" i="68"/>
  <c r="Q422" i="68"/>
  <c r="P423" i="68"/>
  <c r="Q423" i="68"/>
  <c r="P424" i="68"/>
  <c r="Q424" i="68"/>
  <c r="P396" i="68"/>
  <c r="Q396" i="68"/>
  <c r="P397" i="68"/>
  <c r="Q397" i="68"/>
  <c r="P398" i="68"/>
  <c r="Q398" i="68"/>
  <c r="P399" i="68"/>
  <c r="Q399" i="68"/>
  <c r="P400" i="68"/>
  <c r="Q400" i="68"/>
  <c r="P401" i="68"/>
  <c r="Q401" i="68"/>
  <c r="P402" i="68"/>
  <c r="Q402" i="68"/>
  <c r="P403" i="68"/>
  <c r="Q403" i="68"/>
  <c r="P404" i="68"/>
  <c r="Q404" i="68"/>
  <c r="P405" i="68"/>
  <c r="Q405" i="68"/>
  <c r="P406" i="68"/>
  <c r="Q406" i="68"/>
  <c r="P407" i="68"/>
  <c r="Q407" i="68"/>
  <c r="P408" i="68"/>
  <c r="Q408" i="68"/>
  <c r="P409" i="68"/>
  <c r="Q409" i="68"/>
  <c r="P381" i="68"/>
  <c r="Q381" i="68"/>
  <c r="P382" i="68"/>
  <c r="Q382" i="68"/>
  <c r="P383" i="68"/>
  <c r="Q383" i="68"/>
  <c r="P384" i="68"/>
  <c r="Q384" i="68"/>
  <c r="P385" i="68"/>
  <c r="Q385" i="68"/>
  <c r="P386" i="68"/>
  <c r="Q386" i="68"/>
  <c r="P387" i="68"/>
  <c r="Q387" i="68"/>
  <c r="P388" i="68"/>
  <c r="Q388" i="68"/>
  <c r="P389" i="68"/>
  <c r="Q389" i="68"/>
  <c r="P390" i="68"/>
  <c r="Q390" i="68"/>
  <c r="P391" i="68"/>
  <c r="Q391" i="68"/>
  <c r="P392" i="68"/>
  <c r="Q392" i="68"/>
  <c r="P393" i="68"/>
  <c r="Q393" i="68"/>
  <c r="P394" i="68"/>
  <c r="Q394" i="68"/>
  <c r="P366" i="68"/>
  <c r="Q366" i="68"/>
  <c r="P367" i="68"/>
  <c r="Q367" i="68"/>
  <c r="P368" i="68"/>
  <c r="Q368" i="68"/>
  <c r="P369" i="68"/>
  <c r="Q369" i="68"/>
  <c r="P370" i="68"/>
  <c r="Q370" i="68"/>
  <c r="P371" i="68"/>
  <c r="Q371" i="68"/>
  <c r="P372" i="68"/>
  <c r="Q372" i="68"/>
  <c r="P373" i="68"/>
  <c r="Q373" i="68"/>
  <c r="P374" i="68"/>
  <c r="Q374" i="68"/>
  <c r="P375" i="68"/>
  <c r="Q375" i="68"/>
  <c r="P376" i="68"/>
  <c r="Q376" i="68"/>
  <c r="P377" i="68"/>
  <c r="Q377" i="68"/>
  <c r="P378" i="68"/>
  <c r="Q378" i="68"/>
  <c r="P379" i="68"/>
  <c r="Q379" i="68"/>
  <c r="P351" i="68"/>
  <c r="Q351" i="68"/>
  <c r="P352" i="68"/>
  <c r="Q352" i="68"/>
  <c r="P353" i="68"/>
  <c r="Q353" i="68"/>
  <c r="P354" i="68"/>
  <c r="Q354" i="68"/>
  <c r="P355" i="68"/>
  <c r="Q355" i="68"/>
  <c r="P356" i="68"/>
  <c r="Q356" i="68"/>
  <c r="P357" i="68"/>
  <c r="Q357" i="68"/>
  <c r="P358" i="68"/>
  <c r="Q358" i="68"/>
  <c r="P359" i="68"/>
  <c r="Q359" i="68"/>
  <c r="P360" i="68"/>
  <c r="Q360" i="68"/>
  <c r="P361" i="68"/>
  <c r="Q361" i="68"/>
  <c r="P362" i="68"/>
  <c r="Q362" i="68"/>
  <c r="P363" i="68"/>
  <c r="Q363" i="68"/>
  <c r="P364" i="68"/>
  <c r="Q364" i="68"/>
  <c r="P336" i="68"/>
  <c r="Q336" i="68"/>
  <c r="P337" i="68"/>
  <c r="Q337" i="68"/>
  <c r="P338" i="68"/>
  <c r="Q338" i="68"/>
  <c r="P339" i="68"/>
  <c r="Q339" i="68"/>
  <c r="P340" i="68"/>
  <c r="Q340" i="68"/>
  <c r="P341" i="68"/>
  <c r="Q341" i="68"/>
  <c r="P342" i="68"/>
  <c r="Q342" i="68"/>
  <c r="P343" i="68"/>
  <c r="Q343" i="68"/>
  <c r="P344" i="68"/>
  <c r="Q344" i="68"/>
  <c r="P345" i="68"/>
  <c r="Q345" i="68"/>
  <c r="P346" i="68"/>
  <c r="Q346" i="68"/>
  <c r="P347" i="68"/>
  <c r="Q347" i="68"/>
  <c r="P348" i="68"/>
  <c r="Q348" i="68"/>
  <c r="P349" i="68"/>
  <c r="Q349" i="68"/>
  <c r="P321" i="68"/>
  <c r="Q321" i="68"/>
  <c r="P322" i="68"/>
  <c r="Q322" i="68"/>
  <c r="P323" i="68"/>
  <c r="Q323" i="68"/>
  <c r="P324" i="68"/>
  <c r="Q324" i="68"/>
  <c r="P325" i="68"/>
  <c r="Q325" i="68"/>
  <c r="P326" i="68"/>
  <c r="Q326" i="68"/>
  <c r="P327" i="68"/>
  <c r="Q327" i="68"/>
  <c r="P328" i="68"/>
  <c r="Q328" i="68"/>
  <c r="P329" i="68"/>
  <c r="Q329" i="68"/>
  <c r="P330" i="68"/>
  <c r="Q330" i="68"/>
  <c r="P331" i="68"/>
  <c r="Q331" i="68"/>
  <c r="P332" i="68"/>
  <c r="Q332" i="68"/>
  <c r="P333" i="68"/>
  <c r="Q333" i="68"/>
  <c r="P334" i="68"/>
  <c r="Q334" i="68"/>
  <c r="P306" i="68"/>
  <c r="Q306" i="68"/>
  <c r="P307" i="68"/>
  <c r="Q307" i="68"/>
  <c r="P308" i="68"/>
  <c r="Q308" i="68"/>
  <c r="P309" i="68"/>
  <c r="Q309" i="68"/>
  <c r="P310" i="68"/>
  <c r="Q310" i="68"/>
  <c r="P311" i="68"/>
  <c r="Q311" i="68"/>
  <c r="P312" i="68"/>
  <c r="Q312" i="68"/>
  <c r="P313" i="68"/>
  <c r="Q313" i="68"/>
  <c r="P314" i="68"/>
  <c r="Q314" i="68"/>
  <c r="P315" i="68"/>
  <c r="Q315" i="68"/>
  <c r="P316" i="68"/>
  <c r="Q316" i="68"/>
  <c r="P317" i="68"/>
  <c r="Q317" i="68"/>
  <c r="P318" i="68"/>
  <c r="Q318" i="68"/>
  <c r="P319" i="68"/>
  <c r="Q319" i="68"/>
  <c r="P291" i="68"/>
  <c r="Q291" i="68"/>
  <c r="P292" i="68"/>
  <c r="Q292" i="68"/>
  <c r="P293" i="68"/>
  <c r="Q293" i="68"/>
  <c r="P294" i="68"/>
  <c r="Q294" i="68"/>
  <c r="P295" i="68"/>
  <c r="Q295" i="68"/>
  <c r="P296" i="68"/>
  <c r="Q296" i="68"/>
  <c r="P297" i="68"/>
  <c r="Q297" i="68"/>
  <c r="P298" i="68"/>
  <c r="Q298" i="68"/>
  <c r="P299" i="68"/>
  <c r="Q299" i="68"/>
  <c r="P300" i="68"/>
  <c r="Q300" i="68"/>
  <c r="P301" i="68"/>
  <c r="Q301" i="68"/>
  <c r="P302" i="68"/>
  <c r="Q302" i="68"/>
  <c r="P303" i="68"/>
  <c r="Q303" i="68"/>
  <c r="P304" i="68"/>
  <c r="Q304" i="68"/>
  <c r="P276" i="68"/>
  <c r="Q276" i="68"/>
  <c r="P277" i="68"/>
  <c r="Q277" i="68"/>
  <c r="P278" i="68"/>
  <c r="Q278" i="68"/>
  <c r="P279" i="68"/>
  <c r="Q279" i="68"/>
  <c r="P280" i="68"/>
  <c r="Q280" i="68"/>
  <c r="P281" i="68"/>
  <c r="Q281" i="68"/>
  <c r="P282" i="68"/>
  <c r="Q282" i="68"/>
  <c r="P283" i="68"/>
  <c r="Q283" i="68"/>
  <c r="P284" i="68"/>
  <c r="Q284" i="68"/>
  <c r="P285" i="68"/>
  <c r="Q285" i="68"/>
  <c r="P286" i="68"/>
  <c r="Q286" i="68"/>
  <c r="P287" i="68"/>
  <c r="Q287" i="68"/>
  <c r="P288" i="68"/>
  <c r="Q288" i="68"/>
  <c r="P289" i="68"/>
  <c r="Q289" i="68"/>
  <c r="P261" i="68"/>
  <c r="Q261" i="68"/>
  <c r="P262" i="68"/>
  <c r="Q262" i="68"/>
  <c r="P263" i="68"/>
  <c r="Q263" i="68"/>
  <c r="P264" i="68"/>
  <c r="Q264" i="68"/>
  <c r="P265" i="68"/>
  <c r="Q265" i="68"/>
  <c r="P266" i="68"/>
  <c r="Q266" i="68"/>
  <c r="P267" i="68"/>
  <c r="Q267" i="68"/>
  <c r="P268" i="68"/>
  <c r="Q268" i="68"/>
  <c r="P269" i="68"/>
  <c r="Q269" i="68"/>
  <c r="P270" i="68"/>
  <c r="Q270" i="68"/>
  <c r="P271" i="68"/>
  <c r="Q271" i="68"/>
  <c r="P272" i="68"/>
  <c r="Q272" i="68"/>
  <c r="P273" i="68"/>
  <c r="Q273" i="68"/>
  <c r="P274" i="68"/>
  <c r="Q274" i="68"/>
  <c r="P246" i="68"/>
  <c r="Q246" i="68"/>
  <c r="P247" i="68"/>
  <c r="Q247" i="68"/>
  <c r="P248" i="68"/>
  <c r="Q248" i="68"/>
  <c r="P249" i="68"/>
  <c r="Q249" i="68"/>
  <c r="P250" i="68"/>
  <c r="Q250" i="68"/>
  <c r="P251" i="68"/>
  <c r="Q251" i="68"/>
  <c r="P252" i="68"/>
  <c r="Q252" i="68"/>
  <c r="P253" i="68"/>
  <c r="Q253" i="68"/>
  <c r="P254" i="68"/>
  <c r="Q254" i="68"/>
  <c r="P255" i="68"/>
  <c r="Q255" i="68"/>
  <c r="P256" i="68"/>
  <c r="Q256" i="68"/>
  <c r="P257" i="68"/>
  <c r="Q257" i="68"/>
  <c r="P258" i="68"/>
  <c r="Q258" i="68"/>
  <c r="P259" i="68"/>
  <c r="Q259" i="68"/>
  <c r="K141" i="68"/>
  <c r="L141" i="68"/>
  <c r="K142" i="68"/>
  <c r="L142" i="68"/>
  <c r="K143" i="68"/>
  <c r="L143" i="68"/>
  <c r="K144" i="68"/>
  <c r="L144" i="68"/>
  <c r="K145" i="68"/>
  <c r="L145" i="68"/>
  <c r="K146" i="68"/>
  <c r="L146" i="68"/>
  <c r="K147" i="68"/>
  <c r="L147" i="68"/>
  <c r="K148" i="68"/>
  <c r="L148" i="68"/>
  <c r="K149" i="68"/>
  <c r="L149" i="68"/>
  <c r="K150" i="68"/>
  <c r="L150" i="68"/>
  <c r="K151" i="68"/>
  <c r="L151" i="68"/>
  <c r="K152" i="68"/>
  <c r="L152" i="68"/>
  <c r="K153" i="68"/>
  <c r="L153" i="68"/>
  <c r="K154" i="68"/>
  <c r="L154" i="68"/>
  <c r="L127" i="68"/>
  <c r="L128" i="68"/>
  <c r="L129" i="68"/>
  <c r="L130" i="68"/>
  <c r="L131" i="68"/>
  <c r="L132" i="68"/>
  <c r="L133" i="68"/>
  <c r="L134" i="68"/>
  <c r="L135" i="68"/>
  <c r="L136" i="68"/>
  <c r="L137" i="68"/>
  <c r="L138" i="68"/>
  <c r="L139" i="68"/>
  <c r="K126" i="68"/>
  <c r="K127" i="68"/>
  <c r="K128" i="68"/>
  <c r="K129" i="68"/>
  <c r="K130" i="68"/>
  <c r="K131" i="68"/>
  <c r="K132" i="68"/>
  <c r="K133" i="68"/>
  <c r="K134" i="68"/>
  <c r="K135" i="68"/>
  <c r="K136" i="68"/>
  <c r="K137" i="68"/>
  <c r="K138" i="68"/>
  <c r="K139" i="68"/>
  <c r="I232" i="68"/>
  <c r="I233" i="68"/>
  <c r="I234" i="68"/>
  <c r="I235" i="68"/>
  <c r="I236" i="68"/>
  <c r="I237" i="68"/>
  <c r="I238" i="68"/>
  <c r="I239" i="68"/>
  <c r="I240" i="68"/>
  <c r="I241" i="68"/>
  <c r="I242" i="68"/>
  <c r="I243" i="68"/>
  <c r="I244" i="68"/>
  <c r="I231" i="68"/>
  <c r="I230" i="68"/>
  <c r="G232" i="68"/>
  <c r="G233" i="68"/>
  <c r="G234" i="68"/>
  <c r="G235" i="68"/>
  <c r="G236" i="68"/>
  <c r="G237" i="68"/>
  <c r="G238" i="68"/>
  <c r="G239" i="68"/>
  <c r="G240" i="68"/>
  <c r="G241" i="68"/>
  <c r="G242" i="68"/>
  <c r="G243" i="68"/>
  <c r="G244" i="68"/>
  <c r="G231" i="68"/>
  <c r="G230" i="68"/>
  <c r="F231" i="68"/>
  <c r="F232" i="68"/>
  <c r="F233" i="68"/>
  <c r="F234" i="68"/>
  <c r="F235" i="68"/>
  <c r="F236" i="68"/>
  <c r="F237" i="68"/>
  <c r="F238" i="68"/>
  <c r="F239" i="68"/>
  <c r="F240" i="68"/>
  <c r="F241" i="68"/>
  <c r="F242" i="68"/>
  <c r="F243" i="68"/>
  <c r="F244" i="68"/>
  <c r="F230" i="68"/>
  <c r="T111" i="40"/>
  <c r="T110" i="40"/>
  <c r="T109" i="40"/>
  <c r="T108" i="40"/>
  <c r="T107" i="40"/>
  <c r="T106" i="40"/>
  <c r="T105" i="40"/>
  <c r="T100" i="40"/>
  <c r="T99" i="40"/>
  <c r="T98" i="40"/>
  <c r="T97" i="40"/>
  <c r="T96" i="40"/>
  <c r="T95" i="40"/>
  <c r="T94" i="40"/>
  <c r="T89" i="40"/>
  <c r="T88" i="40"/>
  <c r="T87" i="40"/>
  <c r="T86" i="40"/>
  <c r="T85" i="40"/>
  <c r="T84" i="40"/>
  <c r="T83" i="40"/>
  <c r="T78" i="40"/>
  <c r="T77" i="40"/>
  <c r="T76" i="40"/>
  <c r="T75" i="40"/>
  <c r="T74" i="40"/>
  <c r="T73" i="40"/>
  <c r="T72" i="40"/>
  <c r="T62" i="40"/>
  <c r="T63" i="40"/>
  <c r="T64" i="40"/>
  <c r="T65" i="40"/>
  <c r="T66" i="40"/>
  <c r="T67" i="40"/>
  <c r="T61" i="40"/>
  <c r="T41" i="40"/>
  <c r="T42" i="40"/>
  <c r="T43" i="40"/>
  <c r="T44" i="40"/>
  <c r="T45" i="40"/>
  <c r="T40" i="40"/>
  <c r="T39" i="40"/>
  <c r="P228" i="68"/>
  <c r="P227" i="68"/>
  <c r="Q226" i="68"/>
  <c r="P220" i="68"/>
  <c r="P219" i="68"/>
  <c r="Q218" i="68"/>
  <c r="P217" i="68"/>
  <c r="K216" i="68"/>
  <c r="K215" i="68"/>
  <c r="Q211" i="68"/>
  <c r="P210" i="68"/>
  <c r="K200" i="68"/>
  <c r="Q198" i="68"/>
  <c r="P198" i="68"/>
  <c r="Q195" i="68"/>
  <c r="P193" i="68"/>
  <c r="Q190" i="68"/>
  <c r="P190" i="68"/>
  <c r="K185" i="68"/>
  <c r="P181" i="68"/>
  <c r="Q180" i="68"/>
  <c r="P178" i="68"/>
  <c r="P172" i="68"/>
  <c r="K171" i="68"/>
  <c r="K170" i="68"/>
  <c r="P166" i="68"/>
  <c r="Q163" i="68"/>
  <c r="P158" i="68"/>
  <c r="L155" i="68"/>
  <c r="K155" i="68"/>
  <c r="K140" i="68"/>
  <c r="P133" i="68"/>
  <c r="Q132" i="68"/>
  <c r="K125" i="68"/>
  <c r="P122" i="68"/>
  <c r="Q122" i="68"/>
  <c r="P121" i="68"/>
  <c r="Q120" i="68"/>
  <c r="P118" i="68"/>
  <c r="P115" i="68"/>
  <c r="K113" i="68"/>
  <c r="G31" i="3"/>
  <c r="E80" i="6"/>
  <c r="E31" i="3" s="1"/>
  <c r="K115" i="68"/>
  <c r="K120" i="68"/>
  <c r="K121" i="68"/>
  <c r="J8" i="6"/>
  <c r="J34" i="6" s="1"/>
  <c r="G28" i="3"/>
  <c r="E78" i="6"/>
  <c r="E77" i="6"/>
  <c r="R132" i="40"/>
  <c r="P126" i="40"/>
  <c r="P127" i="40"/>
  <c r="P128" i="40"/>
  <c r="P129" i="40"/>
  <c r="J130" i="40"/>
  <c r="G39" i="4"/>
  <c r="G38" i="4"/>
  <c r="G37" i="4"/>
  <c r="G36" i="4"/>
  <c r="G35" i="4"/>
  <c r="G34" i="4"/>
  <c r="G33" i="4"/>
  <c r="G31" i="4"/>
  <c r="G30" i="4"/>
  <c r="G29" i="4"/>
  <c r="G28" i="4"/>
  <c r="G27" i="4"/>
  <c r="F20" i="6"/>
  <c r="C27" i="4" s="1"/>
  <c r="F21" i="6"/>
  <c r="C28" i="4" s="1"/>
  <c r="B28" i="4"/>
  <c r="B27" i="4"/>
  <c r="B29" i="4"/>
  <c r="B39" i="4"/>
  <c r="B38" i="4"/>
  <c r="B37" i="4"/>
  <c r="B36" i="4"/>
  <c r="B35" i="4"/>
  <c r="B34" i="4"/>
  <c r="B33" i="4"/>
  <c r="B32" i="4"/>
  <c r="B31" i="4"/>
  <c r="B30" i="4"/>
  <c r="C18" i="6"/>
  <c r="C9" i="6"/>
  <c r="C8" i="6"/>
  <c r="AB19" i="8"/>
  <c r="AE19" i="8" s="1"/>
  <c r="J95" i="68"/>
  <c r="F19" i="6"/>
  <c r="C26" i="4" s="1"/>
  <c r="F18" i="6"/>
  <c r="C25" i="4" s="1"/>
  <c r="F17" i="6"/>
  <c r="F16" i="6"/>
  <c r="F15" i="6"/>
  <c r="F14" i="6"/>
  <c r="F13" i="6"/>
  <c r="F12" i="6"/>
  <c r="F11" i="6"/>
  <c r="F10" i="6"/>
  <c r="D9" i="6"/>
  <c r="F9" i="6" s="1"/>
  <c r="D8" i="6"/>
  <c r="F22" i="6"/>
  <c r="C29" i="4" s="1"/>
  <c r="F23" i="6"/>
  <c r="C30" i="4" s="1"/>
  <c r="F24" i="6"/>
  <c r="C31" i="4" s="1"/>
  <c r="F25" i="6"/>
  <c r="C32" i="4" s="1"/>
  <c r="F26" i="6"/>
  <c r="C33" i="4" s="1"/>
  <c r="F27" i="6"/>
  <c r="C34" i="4" s="1"/>
  <c r="F28" i="6"/>
  <c r="C35" i="4" s="1"/>
  <c r="F29" i="6"/>
  <c r="C36" i="4" s="1"/>
  <c r="F30" i="6"/>
  <c r="C37" i="4" s="1"/>
  <c r="F31" i="6"/>
  <c r="C38" i="4" s="1"/>
  <c r="F32" i="6"/>
  <c r="C39" i="4" s="1"/>
  <c r="P145" i="40"/>
  <c r="Q68" i="40"/>
  <c r="Q79" i="40"/>
  <c r="Q90" i="40"/>
  <c r="Q101" i="40"/>
  <c r="N40" i="40"/>
  <c r="N41" i="40"/>
  <c r="N42" i="40"/>
  <c r="N43" i="40"/>
  <c r="N44" i="40"/>
  <c r="N45" i="40"/>
  <c r="N47" i="40"/>
  <c r="N58" i="40"/>
  <c r="N59" i="40"/>
  <c r="N60" i="40"/>
  <c r="N61" i="40"/>
  <c r="N62" i="40"/>
  <c r="N63" i="40"/>
  <c r="N64" i="40"/>
  <c r="N65" i="40"/>
  <c r="N66" i="40"/>
  <c r="N67" i="40"/>
  <c r="N69" i="40"/>
  <c r="N70" i="40"/>
  <c r="N71" i="40"/>
  <c r="N72" i="40"/>
  <c r="N73" i="40"/>
  <c r="N74" i="40"/>
  <c r="N75" i="40"/>
  <c r="N76" i="40"/>
  <c r="N77" i="40"/>
  <c r="N78" i="40"/>
  <c r="N80" i="40"/>
  <c r="N81" i="40"/>
  <c r="N82" i="40"/>
  <c r="N83" i="40"/>
  <c r="N84" i="40"/>
  <c r="N85" i="40"/>
  <c r="N86" i="40"/>
  <c r="N87" i="40"/>
  <c r="N88" i="40"/>
  <c r="N89" i="40"/>
  <c r="N91" i="40"/>
  <c r="N92" i="40"/>
  <c r="N93" i="40"/>
  <c r="N94" i="40"/>
  <c r="N95" i="40"/>
  <c r="N96" i="40"/>
  <c r="N97" i="40"/>
  <c r="N98" i="40"/>
  <c r="N99" i="40"/>
  <c r="N100" i="40"/>
  <c r="N102" i="40"/>
  <c r="N103" i="40"/>
  <c r="N104" i="40"/>
  <c r="N105" i="40"/>
  <c r="N106" i="40"/>
  <c r="N107" i="40"/>
  <c r="N108" i="40"/>
  <c r="N109" i="40"/>
  <c r="N110" i="40"/>
  <c r="N111" i="40"/>
  <c r="N113" i="40"/>
  <c r="N114" i="40"/>
  <c r="N115" i="40"/>
  <c r="R106" i="40"/>
  <c r="R107" i="40"/>
  <c r="R108" i="40"/>
  <c r="R109" i="40"/>
  <c r="R110" i="40"/>
  <c r="R111" i="40"/>
  <c r="R105" i="40"/>
  <c r="R95" i="40"/>
  <c r="R96" i="40"/>
  <c r="R97" i="40"/>
  <c r="R98" i="40"/>
  <c r="R99" i="40"/>
  <c r="R100" i="40"/>
  <c r="R94" i="40"/>
  <c r="R84" i="40"/>
  <c r="R85" i="40"/>
  <c r="R86" i="40"/>
  <c r="R87" i="40"/>
  <c r="R88" i="40"/>
  <c r="R89" i="40"/>
  <c r="R83" i="40"/>
  <c r="R73" i="40"/>
  <c r="R74" i="40"/>
  <c r="R75" i="40"/>
  <c r="R76" i="40"/>
  <c r="R77" i="40"/>
  <c r="R78" i="40"/>
  <c r="R72" i="40"/>
  <c r="R62" i="40"/>
  <c r="R63" i="40"/>
  <c r="R64" i="40"/>
  <c r="R65" i="40"/>
  <c r="R66" i="40"/>
  <c r="R67" i="40"/>
  <c r="R61" i="40"/>
  <c r="R40" i="40"/>
  <c r="R41" i="40"/>
  <c r="R42" i="40"/>
  <c r="R43" i="40"/>
  <c r="R44" i="40"/>
  <c r="R45" i="40"/>
  <c r="R39" i="40"/>
  <c r="N39" i="40"/>
  <c r="M116" i="40"/>
  <c r="M117" i="40"/>
  <c r="M118" i="40"/>
  <c r="M120" i="40"/>
  <c r="M121" i="40"/>
  <c r="R121" i="40" s="1"/>
  <c r="M122" i="40"/>
  <c r="R122" i="40" s="1"/>
  <c r="M119" i="40"/>
  <c r="B28" i="28"/>
  <c r="B27" i="28"/>
  <c r="B26" i="28"/>
  <c r="I20" i="8"/>
  <c r="I21" i="8"/>
  <c r="I22" i="8"/>
  <c r="I23" i="8"/>
  <c r="I24" i="8"/>
  <c r="I25" i="8"/>
  <c r="I26" i="8"/>
  <c r="I27" i="8"/>
  <c r="I28" i="8"/>
  <c r="I29" i="8"/>
  <c r="I30" i="8"/>
  <c r="I31" i="8"/>
  <c r="I32" i="8"/>
  <c r="I33" i="8"/>
  <c r="K20" i="8"/>
  <c r="K21" i="8"/>
  <c r="K22" i="8"/>
  <c r="K23" i="8"/>
  <c r="K24" i="8"/>
  <c r="K25" i="8"/>
  <c r="K26" i="8"/>
  <c r="K27" i="8"/>
  <c r="K28" i="8"/>
  <c r="K29" i="8"/>
  <c r="K30" i="8"/>
  <c r="K31" i="8"/>
  <c r="K32" i="8"/>
  <c r="K33" i="8"/>
  <c r="M20" i="8" a="1"/>
  <c r="M20" i="8" s="1"/>
  <c r="M21" i="8" a="1"/>
  <c r="M21" i="8" s="1"/>
  <c r="M22" i="8" a="1"/>
  <c r="M22" i="8" s="1"/>
  <c r="M23" i="8" a="1"/>
  <c r="M23" i="8" s="1"/>
  <c r="M24" i="8" a="1"/>
  <c r="M24" i="8" s="1"/>
  <c r="M25" i="8" a="1"/>
  <c r="M25" i="8" s="1"/>
  <c r="M26" i="8" a="1"/>
  <c r="M26" i="8" s="1"/>
  <c r="N26" i="8" s="1"/>
  <c r="M27" i="8" a="1"/>
  <c r="M27" i="8" s="1"/>
  <c r="M28" i="8" a="1"/>
  <c r="M28" i="8" s="1"/>
  <c r="M29" i="8" a="1"/>
  <c r="M29" i="8" s="1"/>
  <c r="M30" i="8" a="1"/>
  <c r="M30" i="8" s="1"/>
  <c r="N30" i="8" s="1"/>
  <c r="M31" i="8" a="1"/>
  <c r="M31" i="8" s="1"/>
  <c r="M32" i="8" a="1"/>
  <c r="M32" i="8" s="1"/>
  <c r="M33" i="8" a="1"/>
  <c r="M33" i="8" s="1"/>
  <c r="T20" i="8"/>
  <c r="T21" i="8"/>
  <c r="T22" i="8"/>
  <c r="T23" i="8"/>
  <c r="T24" i="8"/>
  <c r="T25" i="8"/>
  <c r="T26" i="8"/>
  <c r="T27" i="8"/>
  <c r="T28" i="8"/>
  <c r="T29" i="8"/>
  <c r="T30" i="8"/>
  <c r="T31" i="8"/>
  <c r="T32" i="8"/>
  <c r="T33" i="8"/>
  <c r="W20" i="8"/>
  <c r="Z20" i="8" s="1"/>
  <c r="W21" i="8"/>
  <c r="Z21" i="8" s="1"/>
  <c r="K97" i="68" s="1"/>
  <c r="W22" i="8"/>
  <c r="Z22" i="8" s="1"/>
  <c r="K98" i="68" s="1"/>
  <c r="W23" i="8"/>
  <c r="Z23" i="8" s="1"/>
  <c r="K99" i="68" s="1"/>
  <c r="W24" i="8"/>
  <c r="Z24" i="8" s="1"/>
  <c r="K100" i="68" s="1"/>
  <c r="W25" i="8"/>
  <c r="Z25" i="8" s="1"/>
  <c r="K101" i="68" s="1"/>
  <c r="W26" i="8"/>
  <c r="Z26" i="8" s="1"/>
  <c r="K102" i="68" s="1"/>
  <c r="W27" i="8"/>
  <c r="Z27" i="8" s="1"/>
  <c r="K103" i="68" s="1"/>
  <c r="W28" i="8"/>
  <c r="Z28" i="8" s="1"/>
  <c r="W29" i="8"/>
  <c r="Z29" i="8" s="1"/>
  <c r="W30" i="8"/>
  <c r="Z30" i="8" s="1"/>
  <c r="W31" i="8"/>
  <c r="Z31" i="8" s="1"/>
  <c r="W32" i="8"/>
  <c r="Z32" i="8" s="1"/>
  <c r="W33" i="8"/>
  <c r="Z33" i="8" s="1"/>
  <c r="K109" i="68" s="1"/>
  <c r="AB20" i="8"/>
  <c r="AE20" i="8" s="1"/>
  <c r="AB21" i="8"/>
  <c r="L97" i="68" s="1"/>
  <c r="AB22" i="8"/>
  <c r="L98" i="68" s="1"/>
  <c r="AB23" i="8"/>
  <c r="L99" i="68" s="1"/>
  <c r="AB24" i="8"/>
  <c r="L100" i="68" s="1"/>
  <c r="AB25" i="8"/>
  <c r="L101" i="68" s="1"/>
  <c r="AB26" i="8"/>
  <c r="L102" i="68" s="1"/>
  <c r="AB27" i="8"/>
  <c r="L103" i="68" s="1"/>
  <c r="AB28" i="8"/>
  <c r="AB29" i="8"/>
  <c r="L105" i="68" s="1"/>
  <c r="AB30" i="8"/>
  <c r="L106" i="68" s="1"/>
  <c r="AB31" i="8"/>
  <c r="L107" i="68" s="1"/>
  <c r="AB32" i="8"/>
  <c r="AB33" i="8"/>
  <c r="L109" i="68" s="1"/>
  <c r="Z46" i="8"/>
  <c r="P9" i="6" s="1"/>
  <c r="I16" i="4" s="1"/>
  <c r="T30" i="69" l="1"/>
  <c r="T28" i="69"/>
  <c r="T29" i="69"/>
  <c r="T27" i="69"/>
  <c r="M31" i="69"/>
  <c r="V27" i="69"/>
  <c r="H31" i="6"/>
  <c r="J32" i="69"/>
  <c r="Z127" i="40"/>
  <c r="Z130" i="40"/>
  <c r="Z126" i="40"/>
  <c r="E6" i="3"/>
  <c r="I33" i="6"/>
  <c r="G40" i="4" s="1"/>
  <c r="E34" i="69"/>
  <c r="K33" i="6" s="1"/>
  <c r="L126" i="40"/>
  <c r="K130" i="40"/>
  <c r="AK20" i="49"/>
  <c r="Q231" i="68" s="1"/>
  <c r="P231" i="68"/>
  <c r="AK21" i="49"/>
  <c r="Q232" i="68" s="1"/>
  <c r="P232" i="68"/>
  <c r="AK22" i="49"/>
  <c r="Q233" i="68" s="1"/>
  <c r="P233" i="68"/>
  <c r="AK23" i="49"/>
  <c r="Q234" i="68" s="1"/>
  <c r="P234" i="68"/>
  <c r="AK24" i="49"/>
  <c r="Q235" i="68" s="1"/>
  <c r="P235" i="68"/>
  <c r="AK25" i="49"/>
  <c r="Q236" i="68" s="1"/>
  <c r="P236" i="68"/>
  <c r="AK26" i="49"/>
  <c r="Q237" i="68" s="1"/>
  <c r="P237" i="68"/>
  <c r="AK27" i="49"/>
  <c r="Q238" i="68" s="1"/>
  <c r="P238" i="68"/>
  <c r="AK28" i="49"/>
  <c r="Q239" i="68" s="1"/>
  <c r="P239" i="68"/>
  <c r="AK29" i="49"/>
  <c r="Q240" i="68" s="1"/>
  <c r="P240" i="68"/>
  <c r="AK30" i="49"/>
  <c r="Q241" i="68" s="1"/>
  <c r="P241" i="68"/>
  <c r="AK31" i="49"/>
  <c r="Q242" i="68" s="1"/>
  <c r="P242" i="68"/>
  <c r="AK32" i="49"/>
  <c r="Q243" i="68" s="1"/>
  <c r="P243" i="68"/>
  <c r="AK33" i="49"/>
  <c r="Q244" i="68" s="1"/>
  <c r="P244" i="68"/>
  <c r="G5" i="3"/>
  <c r="E5" i="3"/>
  <c r="E7" i="3" s="1"/>
  <c r="P8" i="6"/>
  <c r="I15" i="4"/>
  <c r="I41" i="4" s="1"/>
  <c r="H14" i="6"/>
  <c r="Z43" i="45"/>
  <c r="Z45" i="45" s="1"/>
  <c r="AJ19" i="45"/>
  <c r="H15" i="6"/>
  <c r="Z43" i="46"/>
  <c r="Z45" i="46" s="1"/>
  <c r="AJ19" i="46"/>
  <c r="H16" i="6"/>
  <c r="Z43" i="47"/>
  <c r="Z45" i="47" s="1"/>
  <c r="AJ19" i="47"/>
  <c r="H17" i="6"/>
  <c r="Z43" i="48"/>
  <c r="Z45" i="48" s="1"/>
  <c r="AJ19" i="48"/>
  <c r="H32" i="6"/>
  <c r="Z43" i="63"/>
  <c r="AJ19" i="63"/>
  <c r="Z43" i="62"/>
  <c r="AJ19" i="62"/>
  <c r="H30" i="6"/>
  <c r="Z43" i="61"/>
  <c r="AJ19" i="61"/>
  <c r="H29" i="6"/>
  <c r="Z43" i="60"/>
  <c r="AJ19" i="60"/>
  <c r="P395" i="68" s="1"/>
  <c r="H28" i="6"/>
  <c r="Z43" i="59"/>
  <c r="Z45" i="59" s="1"/>
  <c r="AJ19" i="59"/>
  <c r="H27" i="6"/>
  <c r="Z43" i="58"/>
  <c r="AJ19" i="58"/>
  <c r="H26" i="6"/>
  <c r="Z43" i="57"/>
  <c r="AJ19" i="57"/>
  <c r="H25" i="6"/>
  <c r="Z43" i="56"/>
  <c r="AJ19" i="56"/>
  <c r="H24" i="6"/>
  <c r="Z43" i="55"/>
  <c r="Z45" i="55" s="1"/>
  <c r="AJ19" i="55"/>
  <c r="P320" i="68" s="1"/>
  <c r="H23" i="6"/>
  <c r="Z43" i="54"/>
  <c r="Z45" i="54" s="1"/>
  <c r="AJ19" i="54"/>
  <c r="H22" i="6"/>
  <c r="Z43" i="53"/>
  <c r="Z45" i="53" s="1"/>
  <c r="AJ19" i="53"/>
  <c r="H21" i="6"/>
  <c r="Z43" i="52"/>
  <c r="Z45" i="52" s="1"/>
  <c r="AJ19" i="52"/>
  <c r="H20" i="6"/>
  <c r="Z43" i="51"/>
  <c r="Z45" i="51" s="1"/>
  <c r="AJ19" i="51"/>
  <c r="H19" i="6"/>
  <c r="Z43" i="50"/>
  <c r="Z45" i="50" s="1"/>
  <c r="AJ19" i="50"/>
  <c r="Z43" i="49"/>
  <c r="AJ19" i="49"/>
  <c r="P230" i="68" s="1"/>
  <c r="H13" i="6"/>
  <c r="H12" i="6"/>
  <c r="H11" i="6"/>
  <c r="H10" i="6"/>
  <c r="AK19" i="44"/>
  <c r="Z44" i="44"/>
  <c r="M16" i="44"/>
  <c r="M16" i="43"/>
  <c r="Z43" i="43"/>
  <c r="AJ19" i="43"/>
  <c r="P140" i="68" s="1"/>
  <c r="M16" i="42"/>
  <c r="AJ19" i="42"/>
  <c r="Z43" i="42"/>
  <c r="AK19" i="41"/>
  <c r="Z44" i="41"/>
  <c r="O10" i="6" s="1"/>
  <c r="M16" i="41"/>
  <c r="P34" i="6"/>
  <c r="O221" i="68"/>
  <c r="O225" i="68"/>
  <c r="O222" i="68"/>
  <c r="O217" i="68"/>
  <c r="O220" i="68"/>
  <c r="O226" i="68"/>
  <c r="O228" i="68"/>
  <c r="O229" i="68"/>
  <c r="O218" i="68"/>
  <c r="O200" i="68"/>
  <c r="O213" i="68"/>
  <c r="O203" i="68"/>
  <c r="O208" i="68"/>
  <c r="O207" i="68"/>
  <c r="O211" i="68"/>
  <c r="O195" i="68"/>
  <c r="O198" i="68"/>
  <c r="O190" i="68"/>
  <c r="O194" i="68"/>
  <c r="P173" i="68"/>
  <c r="O173" i="68"/>
  <c r="L182" i="68"/>
  <c r="L174" i="68"/>
  <c r="O177" i="68"/>
  <c r="O181" i="68"/>
  <c r="O155" i="68"/>
  <c r="O162" i="68"/>
  <c r="O166" i="68"/>
  <c r="O163" i="68"/>
  <c r="O158" i="68"/>
  <c r="O169" i="68"/>
  <c r="L168" i="68"/>
  <c r="L156" i="68"/>
  <c r="K168" i="68"/>
  <c r="K156" i="68"/>
  <c r="O159" i="68"/>
  <c r="O165" i="68"/>
  <c r="O141" i="68"/>
  <c r="O154" i="68"/>
  <c r="O146" i="68"/>
  <c r="O147" i="68"/>
  <c r="O153" i="68"/>
  <c r="O151" i="68"/>
  <c r="O142" i="68"/>
  <c r="O143" i="68"/>
  <c r="O150" i="68"/>
  <c r="O132" i="68"/>
  <c r="O131" i="68"/>
  <c r="O139" i="68"/>
  <c r="O135" i="68"/>
  <c r="O136" i="68"/>
  <c r="O127" i="68"/>
  <c r="L126" i="68"/>
  <c r="O125" i="68"/>
  <c r="L215" i="68"/>
  <c r="L200" i="68"/>
  <c r="L185" i="68"/>
  <c r="L140" i="68"/>
  <c r="L110" i="68"/>
  <c r="K112" i="68"/>
  <c r="K111" i="68"/>
  <c r="Q172" i="68"/>
  <c r="Q219" i="68"/>
  <c r="Q115" i="68"/>
  <c r="Q220" i="68"/>
  <c r="Q210" i="68"/>
  <c r="Q227" i="68"/>
  <c r="Q118" i="68"/>
  <c r="Q223" i="68"/>
  <c r="P223" i="68"/>
  <c r="Q225" i="68"/>
  <c r="P225" i="68"/>
  <c r="P123" i="68"/>
  <c r="Q123" i="68"/>
  <c r="P117" i="68"/>
  <c r="Q117" i="68"/>
  <c r="Q196" i="68"/>
  <c r="P196" i="68"/>
  <c r="Q187" i="68"/>
  <c r="P187" i="68"/>
  <c r="P208" i="68"/>
  <c r="Q208" i="68"/>
  <c r="Q188" i="68"/>
  <c r="P188" i="68"/>
  <c r="Q162" i="68"/>
  <c r="P162" i="68"/>
  <c r="Q168" i="68"/>
  <c r="P168" i="68"/>
  <c r="Q175" i="68"/>
  <c r="P175" i="68"/>
  <c r="Q177" i="68"/>
  <c r="P177" i="68"/>
  <c r="Q160" i="68"/>
  <c r="P160" i="68"/>
  <c r="Q138" i="68"/>
  <c r="Q130" i="68"/>
  <c r="Q165" i="68"/>
  <c r="P165" i="68"/>
  <c r="Q217" i="68"/>
  <c r="P138" i="68"/>
  <c r="P130" i="68"/>
  <c r="P180" i="68"/>
  <c r="Q178" i="68"/>
  <c r="Q183" i="68"/>
  <c r="P183" i="68"/>
  <c r="Q205" i="68"/>
  <c r="P205" i="68"/>
  <c r="Q228" i="68"/>
  <c r="P136" i="68"/>
  <c r="Q157" i="68"/>
  <c r="P157" i="68"/>
  <c r="Q193" i="68"/>
  <c r="P135" i="68"/>
  <c r="P163" i="68"/>
  <c r="P226" i="68"/>
  <c r="P218" i="68"/>
  <c r="P132" i="68"/>
  <c r="P120" i="68"/>
  <c r="P211" i="68"/>
  <c r="Q213" i="68"/>
  <c r="P213" i="68"/>
  <c r="P195" i="68"/>
  <c r="L216" i="68"/>
  <c r="C6" i="6"/>
  <c r="Q222" i="68"/>
  <c r="P222" i="68"/>
  <c r="P224" i="68"/>
  <c r="P212" i="68"/>
  <c r="P192" i="68"/>
  <c r="P189" i="68"/>
  <c r="P186" i="68"/>
  <c r="P194" i="68"/>
  <c r="Q173" i="68"/>
  <c r="Q181" i="68"/>
  <c r="Q158" i="68"/>
  <c r="Q166" i="68"/>
  <c r="L125" i="68"/>
  <c r="O120" i="68"/>
  <c r="O121" i="68"/>
  <c r="K123" i="68"/>
  <c r="O117" i="68"/>
  <c r="K114" i="68"/>
  <c r="P113" i="68"/>
  <c r="K110" i="68"/>
  <c r="K122" i="68"/>
  <c r="O115" i="68"/>
  <c r="K118" i="68"/>
  <c r="O113" i="68"/>
  <c r="Q121" i="68"/>
  <c r="K117" i="68"/>
  <c r="P111" i="68"/>
  <c r="P116" i="68"/>
  <c r="I8" i="6"/>
  <c r="E39" i="6" s="1"/>
  <c r="N118" i="40"/>
  <c r="R118" i="40"/>
  <c r="N117" i="40"/>
  <c r="R117" i="40"/>
  <c r="N116" i="40"/>
  <c r="R116" i="40"/>
  <c r="K108" i="68"/>
  <c r="K96" i="68"/>
  <c r="L104" i="68"/>
  <c r="K107" i="68"/>
  <c r="K106" i="68"/>
  <c r="K105" i="68"/>
  <c r="K104" i="68"/>
  <c r="L108" i="68"/>
  <c r="AG20" i="8" a="1"/>
  <c r="AG20" i="8" s="1"/>
  <c r="L96" i="68"/>
  <c r="N122" i="40"/>
  <c r="N121" i="40"/>
  <c r="R119" i="40"/>
  <c r="N119" i="40"/>
  <c r="N120" i="40"/>
  <c r="R120" i="40"/>
  <c r="N22" i="8"/>
  <c r="N32" i="8"/>
  <c r="N25" i="8"/>
  <c r="N31" i="8"/>
  <c r="N24" i="8"/>
  <c r="N23" i="8"/>
  <c r="N29" i="8"/>
  <c r="N27" i="8"/>
  <c r="N21" i="8"/>
  <c r="N28" i="8"/>
  <c r="N33" i="8"/>
  <c r="N20" i="8"/>
  <c r="AG29" i="8" a="1"/>
  <c r="AG29" i="8" s="1"/>
  <c r="AG26" i="8" a="1"/>
  <c r="AG26" i="8" s="1"/>
  <c r="AG33" i="8" a="1"/>
  <c r="AG33" i="8" s="1"/>
  <c r="AG25" i="8" a="1"/>
  <c r="AG25" i="8" s="1"/>
  <c r="AG30" i="8" a="1"/>
  <c r="AG30" i="8" s="1"/>
  <c r="AG22" i="8" a="1"/>
  <c r="AG22" i="8" s="1"/>
  <c r="O98" i="68" s="1"/>
  <c r="AG21" i="8" a="1"/>
  <c r="AG21" i="8" s="1"/>
  <c r="O97" i="68" s="1"/>
  <c r="AG27" i="8" a="1"/>
  <c r="AG27" i="8" s="1"/>
  <c r="AG28" i="8" a="1"/>
  <c r="AG28" i="8" s="1"/>
  <c r="AG32" i="8" a="1"/>
  <c r="AG32" i="8" s="1"/>
  <c r="AG31" i="8" a="1"/>
  <c r="AG31" i="8" s="1"/>
  <c r="AG24" i="8" a="1"/>
  <c r="AG24" i="8" s="1"/>
  <c r="O100" i="68" s="1"/>
  <c r="AG23" i="8" a="1"/>
  <c r="AG23" i="8" s="1"/>
  <c r="O99" i="68" s="1"/>
  <c r="H17" i="4" a="1"/>
  <c r="H20" i="4" a="1"/>
  <c r="W126" i="40" l="1"/>
  <c r="W27" i="69"/>
  <c r="L130" i="40"/>
  <c r="E76" i="6"/>
  <c r="H20" i="4"/>
  <c r="Z45" i="49"/>
  <c r="N18" i="6"/>
  <c r="F25" i="4" s="1"/>
  <c r="N24" i="6"/>
  <c r="F31" i="4" s="1"/>
  <c r="Z45" i="44"/>
  <c r="H17" i="4"/>
  <c r="Z47" i="41"/>
  <c r="Z44" i="45"/>
  <c r="AK19" i="45"/>
  <c r="Z44" i="46"/>
  <c r="AK19" i="46"/>
  <c r="Z44" i="47"/>
  <c r="AK19" i="47"/>
  <c r="Z44" i="48"/>
  <c r="AK19" i="48"/>
  <c r="Z44" i="63"/>
  <c r="AK19" i="63"/>
  <c r="Q440" i="68" s="1"/>
  <c r="P440" i="68"/>
  <c r="Z45" i="63"/>
  <c r="N32" i="6"/>
  <c r="F39" i="4" s="1"/>
  <c r="Z44" i="62"/>
  <c r="AK19" i="62"/>
  <c r="Q425" i="68" s="1"/>
  <c r="P425" i="68"/>
  <c r="Z45" i="62"/>
  <c r="N31" i="6"/>
  <c r="F38" i="4" s="1"/>
  <c r="Z44" i="61"/>
  <c r="AK19" i="61"/>
  <c r="Q410" i="68" s="1"/>
  <c r="P410" i="68"/>
  <c r="Z45" i="61"/>
  <c r="N30" i="6"/>
  <c r="F37" i="4" s="1"/>
  <c r="Z44" i="60"/>
  <c r="AK19" i="60"/>
  <c r="Q395" i="68" s="1"/>
  <c r="Z45" i="60"/>
  <c r="N29" i="6"/>
  <c r="F36" i="4" s="1"/>
  <c r="Z44" i="59"/>
  <c r="AK19" i="59"/>
  <c r="Q380" i="68" s="1"/>
  <c r="Z44" i="58"/>
  <c r="Z45" i="58" s="1"/>
  <c r="AK19" i="58"/>
  <c r="Q365" i="68" s="1"/>
  <c r="Z44" i="57"/>
  <c r="AK19" i="57"/>
  <c r="Q350" i="68" s="1"/>
  <c r="P350" i="68"/>
  <c r="Z45" i="57"/>
  <c r="N26" i="6"/>
  <c r="F33" i="4" s="1"/>
  <c r="Z44" i="56"/>
  <c r="AK19" i="56"/>
  <c r="Q335" i="68" s="1"/>
  <c r="P335" i="68"/>
  <c r="Z45" i="56"/>
  <c r="N25" i="6"/>
  <c r="F32" i="4" s="1"/>
  <c r="Z44" i="55"/>
  <c r="AK19" i="55"/>
  <c r="Q320" i="68" s="1"/>
  <c r="Z44" i="54"/>
  <c r="AK19" i="54"/>
  <c r="Q305" i="68" s="1"/>
  <c r="Z44" i="53"/>
  <c r="AK19" i="53"/>
  <c r="Q290" i="68" s="1"/>
  <c r="Z44" i="52"/>
  <c r="AK19" i="52"/>
  <c r="Q275" i="68" s="1"/>
  <c r="Z44" i="51"/>
  <c r="AK19" i="51"/>
  <c r="Q260" i="68" s="1"/>
  <c r="Z44" i="50"/>
  <c r="AK19" i="50"/>
  <c r="Q245" i="68" s="1"/>
  <c r="Z44" i="49"/>
  <c r="AK19" i="49"/>
  <c r="Q230" i="68" s="1"/>
  <c r="O30" i="6"/>
  <c r="P380" i="68"/>
  <c r="N28" i="6"/>
  <c r="F35" i="4" s="1"/>
  <c r="N27" i="6"/>
  <c r="F34" i="4" s="1"/>
  <c r="P365" i="68"/>
  <c r="N23" i="6"/>
  <c r="F30" i="4" s="1"/>
  <c r="P305" i="68"/>
  <c r="P290" i="68"/>
  <c r="N22" i="6"/>
  <c r="F29" i="4" s="1"/>
  <c r="P275" i="68"/>
  <c r="N21" i="6"/>
  <c r="F28" i="4" s="1"/>
  <c r="N20" i="6"/>
  <c r="F27" i="4" s="1"/>
  <c r="P260" i="68"/>
  <c r="P245" i="68"/>
  <c r="N19" i="6"/>
  <c r="F26" i="4" s="1"/>
  <c r="Z47" i="44"/>
  <c r="AK19" i="43"/>
  <c r="Q140" i="68" s="1"/>
  <c r="Z44" i="43"/>
  <c r="Z44" i="42"/>
  <c r="O11" i="6" s="1"/>
  <c r="AK19" i="42"/>
  <c r="Z45" i="41"/>
  <c r="P124" i="68"/>
  <c r="Q124" i="68"/>
  <c r="O219" i="68"/>
  <c r="O223" i="68"/>
  <c r="O224" i="68"/>
  <c r="O216" i="68"/>
  <c r="O227" i="68"/>
  <c r="O215" i="68"/>
  <c r="O204" i="68"/>
  <c r="O202" i="68"/>
  <c r="O209" i="68"/>
  <c r="O214" i="68"/>
  <c r="O210" i="68"/>
  <c r="O205" i="68"/>
  <c r="O212" i="68"/>
  <c r="O201" i="68"/>
  <c r="O206" i="68"/>
  <c r="O189" i="68"/>
  <c r="O185" i="68"/>
  <c r="O197" i="68"/>
  <c r="O187" i="68"/>
  <c r="O191" i="68"/>
  <c r="O186" i="68"/>
  <c r="O199" i="68"/>
  <c r="O170" i="68"/>
  <c r="O174" i="68"/>
  <c r="O179" i="68"/>
  <c r="O175" i="68"/>
  <c r="O176" i="68"/>
  <c r="O183" i="68"/>
  <c r="O171" i="68"/>
  <c r="O180" i="68"/>
  <c r="O172" i="68"/>
  <c r="O182" i="68"/>
  <c r="O184" i="68"/>
  <c r="O178" i="68"/>
  <c r="O164" i="68"/>
  <c r="O157" i="68"/>
  <c r="O160" i="68"/>
  <c r="O161" i="68"/>
  <c r="O168" i="68"/>
  <c r="O156" i="68"/>
  <c r="O149" i="68"/>
  <c r="O140" i="68"/>
  <c r="O145" i="68"/>
  <c r="O152" i="68"/>
  <c r="O148" i="68"/>
  <c r="O144" i="68"/>
  <c r="O129" i="68"/>
  <c r="O134" i="68"/>
  <c r="O138" i="68"/>
  <c r="O128" i="68"/>
  <c r="O130" i="68"/>
  <c r="O126" i="68"/>
  <c r="L170" i="68"/>
  <c r="Q111" i="68"/>
  <c r="Q116" i="68"/>
  <c r="Q192" i="68"/>
  <c r="Q189" i="68"/>
  <c r="Q212" i="68"/>
  <c r="Q113" i="68"/>
  <c r="Q119" i="68"/>
  <c r="P119" i="68"/>
  <c r="Q159" i="68"/>
  <c r="P159" i="68"/>
  <c r="Q171" i="68"/>
  <c r="P171" i="68"/>
  <c r="Q206" i="68"/>
  <c r="P206" i="68"/>
  <c r="Q207" i="68"/>
  <c r="P207" i="68"/>
  <c r="Q221" i="68"/>
  <c r="P221" i="68"/>
  <c r="P134" i="68"/>
  <c r="Q209" i="68"/>
  <c r="P209" i="68"/>
  <c r="Q133" i="68"/>
  <c r="Q112" i="68"/>
  <c r="P112" i="68"/>
  <c r="Q136" i="68"/>
  <c r="Q169" i="68"/>
  <c r="P169" i="68"/>
  <c r="P137" i="68"/>
  <c r="Q161" i="68"/>
  <c r="P161" i="68"/>
  <c r="Q184" i="68"/>
  <c r="P184" i="68"/>
  <c r="Q182" i="68"/>
  <c r="P182" i="68"/>
  <c r="Q176" i="68"/>
  <c r="P176" i="68"/>
  <c r="Q197" i="68"/>
  <c r="P197" i="68"/>
  <c r="P128" i="68"/>
  <c r="Q164" i="68"/>
  <c r="P164" i="68"/>
  <c r="Q174" i="68"/>
  <c r="P174" i="68"/>
  <c r="Q199" i="68"/>
  <c r="P199" i="68"/>
  <c r="Q194" i="68"/>
  <c r="Q224" i="68"/>
  <c r="Q191" i="68"/>
  <c r="P191" i="68"/>
  <c r="Q114" i="68"/>
  <c r="P114" i="68"/>
  <c r="P139" i="68"/>
  <c r="Q156" i="68"/>
  <c r="P156" i="68"/>
  <c r="P131" i="68"/>
  <c r="Q167" i="68"/>
  <c r="P167" i="68"/>
  <c r="Q179" i="68"/>
  <c r="P179" i="68"/>
  <c r="Q186" i="68"/>
  <c r="Q214" i="68"/>
  <c r="P214" i="68"/>
  <c r="Q204" i="68"/>
  <c r="P204" i="68"/>
  <c r="Q229" i="68"/>
  <c r="P229" i="68"/>
  <c r="Q135" i="68"/>
  <c r="P216" i="68"/>
  <c r="K116" i="68"/>
  <c r="O122" i="68"/>
  <c r="K124" i="68"/>
  <c r="O110" i="68"/>
  <c r="K119" i="68"/>
  <c r="O118" i="68"/>
  <c r="O114" i="68"/>
  <c r="O111" i="68"/>
  <c r="O105" i="68"/>
  <c r="O108" i="68"/>
  <c r="O107" i="68"/>
  <c r="O106" i="68"/>
  <c r="O104" i="68"/>
  <c r="O101" i="68"/>
  <c r="O103" i="68"/>
  <c r="O109" i="68"/>
  <c r="O102" i="68"/>
  <c r="O96" i="68"/>
  <c r="D75" i="8"/>
  <c r="D76" i="8"/>
  <c r="D77" i="8"/>
  <c r="D78" i="8"/>
  <c r="D79" i="8"/>
  <c r="H22" i="4" a="1"/>
  <c r="H18" i="4" a="1"/>
  <c r="H28" i="4" a="1"/>
  <c r="H21" i="4" a="1"/>
  <c r="H32" i="4" a="1"/>
  <c r="H23" i="4" a="1"/>
  <c r="H31" i="4" a="1"/>
  <c r="H27" i="4" a="1"/>
  <c r="H38" i="4" a="1"/>
  <c r="H36" i="4" a="1"/>
  <c r="H26" i="4" a="1"/>
  <c r="H19" i="4" a="1"/>
  <c r="H39" i="4" a="1"/>
  <c r="H24" i="4" a="1"/>
  <c r="H29" i="4" a="1"/>
  <c r="H30" i="4" a="1"/>
  <c r="H34" i="4" a="1"/>
  <c r="H35" i="4" a="1"/>
  <c r="H25" i="4" a="1"/>
  <c r="H37" i="4" a="1"/>
  <c r="H33" i="4" a="1"/>
  <c r="V28" i="69" l="1"/>
  <c r="V30" i="69"/>
  <c r="W129" i="40"/>
  <c r="H39" i="4"/>
  <c r="K39" i="4" s="1"/>
  <c r="H21" i="4"/>
  <c r="H36" i="4"/>
  <c r="H28" i="4"/>
  <c r="H33" i="4"/>
  <c r="H24" i="4"/>
  <c r="H23" i="4"/>
  <c r="H19" i="4"/>
  <c r="H29" i="4"/>
  <c r="H34" i="4"/>
  <c r="H32" i="4"/>
  <c r="H26" i="4"/>
  <c r="H30" i="4"/>
  <c r="H35" i="4"/>
  <c r="H37" i="4"/>
  <c r="H22" i="4"/>
  <c r="H25" i="4"/>
  <c r="H38" i="4"/>
  <c r="H18" i="4"/>
  <c r="H27" i="4"/>
  <c r="H31" i="4"/>
  <c r="Z47" i="45"/>
  <c r="Z47" i="52"/>
  <c r="Q21" i="6" s="1"/>
  <c r="J28" i="4" s="1"/>
  <c r="Z47" i="48"/>
  <c r="Z47" i="47"/>
  <c r="Z47" i="43"/>
  <c r="Z47" i="53"/>
  <c r="Q22" i="6" s="1"/>
  <c r="J29" i="4" s="1"/>
  <c r="Z47" i="58"/>
  <c r="Q27" i="6" s="1"/>
  <c r="J34" i="4" s="1"/>
  <c r="Z47" i="50"/>
  <c r="Q19" i="6" s="1"/>
  <c r="J26" i="4" s="1"/>
  <c r="Z47" i="54"/>
  <c r="Q23" i="6" s="1"/>
  <c r="J30" i="4" s="1"/>
  <c r="Z47" i="59"/>
  <c r="Q28" i="6" s="1"/>
  <c r="J35" i="4" s="1"/>
  <c r="Z47" i="61"/>
  <c r="Q30" i="6" s="1"/>
  <c r="J37" i="4" s="1"/>
  <c r="Z47" i="46"/>
  <c r="Z47" i="49"/>
  <c r="Q18" i="6" s="1"/>
  <c r="J25" i="4" s="1"/>
  <c r="O18" i="6"/>
  <c r="Z47" i="42"/>
  <c r="Z47" i="51"/>
  <c r="Q20" i="6" s="1"/>
  <c r="J27" i="4" s="1"/>
  <c r="F62" i="6"/>
  <c r="I62" i="6" s="1"/>
  <c r="F61" i="6"/>
  <c r="I61" i="6" s="1"/>
  <c r="F60" i="6"/>
  <c r="I60" i="6" s="1"/>
  <c r="F59" i="6"/>
  <c r="I59" i="6" s="1"/>
  <c r="F58" i="6"/>
  <c r="I58" i="6" s="1"/>
  <c r="Z47" i="63"/>
  <c r="Q32" i="6" s="1"/>
  <c r="J39" i="4" s="1"/>
  <c r="O32" i="6"/>
  <c r="Z47" i="62"/>
  <c r="Q31" i="6" s="1"/>
  <c r="J38" i="4" s="1"/>
  <c r="O31" i="6"/>
  <c r="Z47" i="60"/>
  <c r="Q29" i="6" s="1"/>
  <c r="J36" i="4" s="1"/>
  <c r="O29" i="6"/>
  <c r="Z47" i="57"/>
  <c r="Q26" i="6" s="1"/>
  <c r="J33" i="4" s="1"/>
  <c r="O26" i="6"/>
  <c r="Z47" i="56"/>
  <c r="Q25" i="6" s="1"/>
  <c r="J32" i="4" s="1"/>
  <c r="O25" i="6"/>
  <c r="Z47" i="55"/>
  <c r="Q24" i="6" s="1"/>
  <c r="J31" i="4" s="1"/>
  <c r="O24" i="6"/>
  <c r="O28" i="6"/>
  <c r="O27" i="6"/>
  <c r="O23" i="6"/>
  <c r="O22" i="6"/>
  <c r="O21" i="6"/>
  <c r="O20" i="6"/>
  <c r="O19" i="6"/>
  <c r="Z45" i="43"/>
  <c r="Z45" i="42"/>
  <c r="O112" i="68"/>
  <c r="Q203" i="68"/>
  <c r="P203" i="68"/>
  <c r="Q215" i="68"/>
  <c r="P215" i="68"/>
  <c r="Q128" i="68"/>
  <c r="Q110" i="68"/>
  <c r="P110" i="68"/>
  <c r="Q201" i="68"/>
  <c r="P201" i="68"/>
  <c r="Q139" i="68"/>
  <c r="Q134" i="68"/>
  <c r="P125" i="68"/>
  <c r="P126" i="68"/>
  <c r="P129" i="68"/>
  <c r="Q131" i="68"/>
  <c r="Q185" i="68"/>
  <c r="P185" i="68"/>
  <c r="Q202" i="68"/>
  <c r="P202" i="68"/>
  <c r="Q137" i="68"/>
  <c r="Q155" i="68"/>
  <c r="P155" i="68"/>
  <c r="Q216" i="68"/>
  <c r="Q200" i="68"/>
  <c r="P200" i="68"/>
  <c r="O124" i="68"/>
  <c r="O119" i="68"/>
  <c r="O116" i="68"/>
  <c r="O123" i="68"/>
  <c r="M145" i="40"/>
  <c r="M46" i="40"/>
  <c r="J96" i="68"/>
  <c r="J98" i="68"/>
  <c r="J100" i="68"/>
  <c r="J101" i="68"/>
  <c r="J102" i="68"/>
  <c r="J103" i="68"/>
  <c r="J104" i="68"/>
  <c r="V29" i="8"/>
  <c r="J105" i="68" s="1"/>
  <c r="J106" i="68"/>
  <c r="V31" i="8"/>
  <c r="J107" i="68" s="1"/>
  <c r="V32" i="8"/>
  <c r="J108" i="68" s="1"/>
  <c r="V33" i="8"/>
  <c r="J109" i="68" s="1"/>
  <c r="W19" i="8"/>
  <c r="H139" i="68"/>
  <c r="H138" i="68"/>
  <c r="H137" i="68"/>
  <c r="H136" i="68"/>
  <c r="H135" i="68"/>
  <c r="H134" i="68"/>
  <c r="H133" i="68"/>
  <c r="H132" i="68"/>
  <c r="H131" i="68"/>
  <c r="H130" i="68"/>
  <c r="H129" i="68"/>
  <c r="H128" i="68"/>
  <c r="H127" i="68"/>
  <c r="H126" i="68"/>
  <c r="H125" i="68"/>
  <c r="I109" i="68"/>
  <c r="I108" i="68"/>
  <c r="I107" i="68"/>
  <c r="I106" i="68"/>
  <c r="I105" i="68"/>
  <c r="I104" i="68"/>
  <c r="I103" i="68"/>
  <c r="I102" i="68"/>
  <c r="I101" i="68"/>
  <c r="I100" i="68"/>
  <c r="I99" i="68"/>
  <c r="I98" i="68"/>
  <c r="I97" i="68"/>
  <c r="I96" i="68"/>
  <c r="I95" i="68"/>
  <c r="H124" i="68"/>
  <c r="H123" i="68"/>
  <c r="H122" i="68"/>
  <c r="H121" i="68"/>
  <c r="H120" i="68"/>
  <c r="H119" i="68"/>
  <c r="H118" i="68"/>
  <c r="H117" i="68"/>
  <c r="H116" i="68"/>
  <c r="H115" i="68"/>
  <c r="H114" i="68"/>
  <c r="H113" i="68"/>
  <c r="H112" i="68"/>
  <c r="H111" i="68"/>
  <c r="H110" i="68"/>
  <c r="G96" i="68"/>
  <c r="H96" i="68" s="1"/>
  <c r="G97" i="68"/>
  <c r="H97" i="68" s="1"/>
  <c r="G98" i="68"/>
  <c r="H98" i="68" s="1"/>
  <c r="G99" i="68"/>
  <c r="H99" i="68" s="1"/>
  <c r="G100" i="68"/>
  <c r="H100" i="68" s="1"/>
  <c r="G101" i="68"/>
  <c r="H101" i="68" s="1"/>
  <c r="G102" i="68"/>
  <c r="H102" i="68" s="1"/>
  <c r="G103" i="68"/>
  <c r="H103" i="68" s="1"/>
  <c r="G104" i="68"/>
  <c r="H104" i="68" s="1"/>
  <c r="G105" i="68"/>
  <c r="H105" i="68" s="1"/>
  <c r="G106" i="68"/>
  <c r="H106" i="68" s="1"/>
  <c r="G107" i="68"/>
  <c r="H107" i="68" s="1"/>
  <c r="G108" i="68"/>
  <c r="H108" i="68" s="1"/>
  <c r="G109" i="68"/>
  <c r="H109" i="68" s="1"/>
  <c r="G95" i="68"/>
  <c r="H95" i="68" s="1"/>
  <c r="F96" i="68"/>
  <c r="F97" i="68"/>
  <c r="F98" i="68"/>
  <c r="F99" i="68"/>
  <c r="F100" i="68"/>
  <c r="F101" i="68"/>
  <c r="F102" i="68"/>
  <c r="F103" i="68"/>
  <c r="F104" i="68"/>
  <c r="F105" i="68"/>
  <c r="F106" i="68"/>
  <c r="F107" i="68"/>
  <c r="F108" i="68"/>
  <c r="F109" i="68"/>
  <c r="F95" i="68"/>
  <c r="W127" i="40" l="1"/>
  <c r="W28" i="69"/>
  <c r="J97" i="68"/>
  <c r="AM21" i="8"/>
  <c r="AM18" i="8" s="1"/>
  <c r="V17" i="8"/>
  <c r="Q125" i="68"/>
  <c r="Q170" i="68"/>
  <c r="P170" i="68"/>
  <c r="Q16" i="6"/>
  <c r="J23" i="4" s="1"/>
  <c r="Q129" i="68"/>
  <c r="P127" i="68"/>
  <c r="Q126" i="68"/>
  <c r="O15" i="6"/>
  <c r="O13" i="6"/>
  <c r="O17" i="6"/>
  <c r="M17" i="6"/>
  <c r="E24" i="4" s="1"/>
  <c r="N17" i="6"/>
  <c r="F24" i="4" s="1"/>
  <c r="N16" i="6"/>
  <c r="F23" i="4" s="1"/>
  <c r="M16" i="6"/>
  <c r="E23" i="4" s="1"/>
  <c r="N15" i="6"/>
  <c r="F22" i="4" s="1"/>
  <c r="M15" i="6"/>
  <c r="E22" i="4" s="1"/>
  <c r="N14" i="6"/>
  <c r="F21" i="4" s="1"/>
  <c r="M14" i="6"/>
  <c r="E21" i="4" s="1"/>
  <c r="N13" i="6"/>
  <c r="F20" i="4" s="1"/>
  <c r="M13" i="6"/>
  <c r="E20" i="4" s="1"/>
  <c r="O12" i="6"/>
  <c r="M12" i="6"/>
  <c r="E19" i="4" s="1"/>
  <c r="N12" i="6"/>
  <c r="F19" i="4" s="1"/>
  <c r="N11" i="6"/>
  <c r="F18" i="4" s="1"/>
  <c r="M11" i="6"/>
  <c r="E18" i="4" s="1"/>
  <c r="M10" i="6"/>
  <c r="E17" i="4" s="1"/>
  <c r="Q10" i="6"/>
  <c r="J17" i="4" s="1"/>
  <c r="AA31" i="8"/>
  <c r="AF31" i="8"/>
  <c r="AH31" i="8"/>
  <c r="AA30" i="8"/>
  <c r="AF30" i="8"/>
  <c r="AH30" i="8"/>
  <c r="AA29" i="8"/>
  <c r="AF29" i="8"/>
  <c r="AH29" i="8"/>
  <c r="AA28" i="8"/>
  <c r="AF28" i="8"/>
  <c r="AH28" i="8"/>
  <c r="AA26" i="8"/>
  <c r="AF26" i="8"/>
  <c r="AH26" i="8"/>
  <c r="AF32" i="8"/>
  <c r="AA32" i="8"/>
  <c r="AH32" i="8"/>
  <c r="AA20" i="8"/>
  <c r="AF20" i="8"/>
  <c r="AH20" i="8"/>
  <c r="AF27" i="8"/>
  <c r="AA27" i="8"/>
  <c r="AH27" i="8"/>
  <c r="AF33" i="8"/>
  <c r="AA33" i="8"/>
  <c r="AH33" i="8"/>
  <c r="AF25" i="8"/>
  <c r="AA25" i="8"/>
  <c r="AH25" i="8"/>
  <c r="AF19" i="8"/>
  <c r="L95" i="68"/>
  <c r="N46" i="40"/>
  <c r="Q145" i="40"/>
  <c r="AA24" i="8"/>
  <c r="AF24" i="8"/>
  <c r="AH24" i="8"/>
  <c r="AF23" i="8"/>
  <c r="AA23" i="8"/>
  <c r="AH23" i="8"/>
  <c r="AA22" i="8"/>
  <c r="AF22" i="8"/>
  <c r="AH22" i="8"/>
  <c r="AF21" i="8"/>
  <c r="AA21" i="8"/>
  <c r="AH21" i="8"/>
  <c r="Z19" i="8"/>
  <c r="D20" i="8"/>
  <c r="D21" i="8"/>
  <c r="D22" i="8"/>
  <c r="D23" i="8"/>
  <c r="O23" i="8" s="1"/>
  <c r="P23" i="8" s="1"/>
  <c r="D24" i="8"/>
  <c r="O24" i="8" s="1"/>
  <c r="S24" i="8" s="1"/>
  <c r="D25" i="8"/>
  <c r="D26" i="8"/>
  <c r="D27" i="8"/>
  <c r="D28" i="8"/>
  <c r="D29" i="8"/>
  <c r="D30" i="8"/>
  <c r="D31" i="8"/>
  <c r="D32" i="8"/>
  <c r="D33" i="8"/>
  <c r="D19" i="8"/>
  <c r="A19" i="8" s="1"/>
  <c r="D95" i="68" s="1"/>
  <c r="U24" i="8" l="1"/>
  <c r="P24" i="8"/>
  <c r="U23" i="8"/>
  <c r="S23" i="8"/>
  <c r="O16" i="6"/>
  <c r="O14" i="6"/>
  <c r="Q127" i="68"/>
  <c r="Q15" i="6"/>
  <c r="J22" i="4" s="1"/>
  <c r="Q13" i="6"/>
  <c r="J20" i="4" s="1"/>
  <c r="Q12" i="6"/>
  <c r="J19" i="4" s="1"/>
  <c r="Q17" i="6"/>
  <c r="J24" i="4" s="1"/>
  <c r="AI24" i="8"/>
  <c r="Z41" i="8"/>
  <c r="AI33" i="8"/>
  <c r="O33" i="8"/>
  <c r="O25" i="8"/>
  <c r="AI25" i="8"/>
  <c r="O30" i="8"/>
  <c r="AI30" i="8"/>
  <c r="O29" i="8"/>
  <c r="AI29" i="8"/>
  <c r="AI21" i="8"/>
  <c r="A20" i="8"/>
  <c r="D96" i="68" s="1"/>
  <c r="O20" i="8"/>
  <c r="P20" i="8" s="1"/>
  <c r="AI20" i="8"/>
  <c r="O32" i="8"/>
  <c r="AI32" i="8"/>
  <c r="AA19" i="8"/>
  <c r="K95" i="68"/>
  <c r="A22" i="8"/>
  <c r="D98" i="68" s="1"/>
  <c r="O22" i="8"/>
  <c r="P22" i="8" s="1"/>
  <c r="A21" i="8"/>
  <c r="D97" i="68" s="1"/>
  <c r="O21" i="8"/>
  <c r="P21" i="8" s="1"/>
  <c r="AI28" i="8"/>
  <c r="O28" i="8"/>
  <c r="AI27" i="8"/>
  <c r="O27" i="8"/>
  <c r="O26" i="8"/>
  <c r="AI26" i="8"/>
  <c r="AI22" i="8"/>
  <c r="AI31" i="8"/>
  <c r="O31" i="8"/>
  <c r="AI23" i="8"/>
  <c r="AG19" i="8" a="1"/>
  <c r="AG19" i="8" s="1"/>
  <c r="M19" i="8" a="1"/>
  <c r="M19" i="8" s="1"/>
  <c r="F9" i="68"/>
  <c r="F8" i="68"/>
  <c r="C10" i="4"/>
  <c r="C9" i="4"/>
  <c r="H454" i="68"/>
  <c r="H453" i="68"/>
  <c r="H452" i="68"/>
  <c r="H451" i="68"/>
  <c r="H450" i="68"/>
  <c r="H449" i="68"/>
  <c r="H448" i="68"/>
  <c r="H447" i="68"/>
  <c r="H446" i="68"/>
  <c r="H445" i="68"/>
  <c r="H444" i="68"/>
  <c r="H443" i="68"/>
  <c r="H442" i="68"/>
  <c r="H441" i="68"/>
  <c r="H440" i="68"/>
  <c r="H439" i="68"/>
  <c r="H438" i="68"/>
  <c r="H437" i="68"/>
  <c r="H436" i="68"/>
  <c r="H435" i="68"/>
  <c r="H434" i="68"/>
  <c r="H433" i="68"/>
  <c r="H432" i="68"/>
  <c r="H431" i="68"/>
  <c r="H430" i="68"/>
  <c r="H429" i="68"/>
  <c r="H428" i="68"/>
  <c r="H427" i="68"/>
  <c r="H426" i="68"/>
  <c r="H425" i="68"/>
  <c r="H424" i="68"/>
  <c r="H423" i="68"/>
  <c r="H422" i="68"/>
  <c r="H421" i="68"/>
  <c r="H420" i="68"/>
  <c r="H419" i="68"/>
  <c r="H418" i="68"/>
  <c r="H417" i="68"/>
  <c r="H416" i="68"/>
  <c r="H415" i="68"/>
  <c r="H414" i="68"/>
  <c r="H413" i="68"/>
  <c r="H412" i="68"/>
  <c r="H411" i="68"/>
  <c r="H410" i="68"/>
  <c r="H409" i="68"/>
  <c r="H408" i="68"/>
  <c r="H407" i="68"/>
  <c r="H406" i="68"/>
  <c r="H405" i="68"/>
  <c r="H404" i="68"/>
  <c r="H403" i="68"/>
  <c r="H402" i="68"/>
  <c r="H401" i="68"/>
  <c r="H400" i="68"/>
  <c r="H399" i="68"/>
  <c r="H398" i="68"/>
  <c r="H397" i="68"/>
  <c r="H396" i="68"/>
  <c r="H395" i="68"/>
  <c r="H394" i="68"/>
  <c r="H393" i="68"/>
  <c r="H392" i="68"/>
  <c r="H391" i="68"/>
  <c r="H390" i="68"/>
  <c r="H389" i="68"/>
  <c r="H388" i="68"/>
  <c r="H387" i="68"/>
  <c r="H386" i="68"/>
  <c r="H385" i="68"/>
  <c r="H384" i="68"/>
  <c r="H383" i="68"/>
  <c r="H382" i="68"/>
  <c r="H381" i="68"/>
  <c r="H380" i="68"/>
  <c r="H379" i="68"/>
  <c r="H378" i="68"/>
  <c r="H377" i="68"/>
  <c r="H376" i="68"/>
  <c r="H375" i="68"/>
  <c r="H374" i="68"/>
  <c r="H373" i="68"/>
  <c r="H372" i="68"/>
  <c r="H371" i="68"/>
  <c r="H370" i="68"/>
  <c r="H369" i="68"/>
  <c r="H368" i="68"/>
  <c r="H367" i="68"/>
  <c r="H366" i="68"/>
  <c r="H365" i="68"/>
  <c r="H364" i="68"/>
  <c r="H363" i="68"/>
  <c r="H362" i="68"/>
  <c r="H361" i="68"/>
  <c r="H360" i="68"/>
  <c r="H359" i="68"/>
  <c r="H358" i="68"/>
  <c r="H357" i="68"/>
  <c r="H356" i="68"/>
  <c r="H355" i="68"/>
  <c r="H354" i="68"/>
  <c r="H353" i="68"/>
  <c r="H352" i="68"/>
  <c r="H351" i="68"/>
  <c r="H350" i="68"/>
  <c r="H349" i="68"/>
  <c r="H348" i="68"/>
  <c r="H347" i="68"/>
  <c r="H346" i="68"/>
  <c r="H345" i="68"/>
  <c r="H344" i="68"/>
  <c r="H343" i="68"/>
  <c r="H342" i="68"/>
  <c r="H341" i="68"/>
  <c r="H340" i="68"/>
  <c r="H339" i="68"/>
  <c r="H338" i="68"/>
  <c r="H337" i="68"/>
  <c r="H336" i="68"/>
  <c r="H335" i="68"/>
  <c r="H334" i="68"/>
  <c r="H333" i="68"/>
  <c r="H332" i="68"/>
  <c r="H331" i="68"/>
  <c r="H330" i="68"/>
  <c r="H329" i="68"/>
  <c r="H328" i="68"/>
  <c r="H327" i="68"/>
  <c r="H326" i="68"/>
  <c r="H325" i="68"/>
  <c r="H324" i="68"/>
  <c r="H323" i="68"/>
  <c r="H322" i="68"/>
  <c r="H321" i="68"/>
  <c r="H320" i="68"/>
  <c r="H319" i="68"/>
  <c r="H318" i="68"/>
  <c r="H317" i="68"/>
  <c r="H316" i="68"/>
  <c r="H315" i="68"/>
  <c r="H314" i="68"/>
  <c r="H313" i="68"/>
  <c r="H312" i="68"/>
  <c r="H311" i="68"/>
  <c r="H310" i="68"/>
  <c r="H309" i="68"/>
  <c r="H308" i="68"/>
  <c r="H307" i="68"/>
  <c r="H306" i="68"/>
  <c r="H305" i="68"/>
  <c r="H304" i="68"/>
  <c r="H303" i="68"/>
  <c r="H302" i="68"/>
  <c r="H301" i="68"/>
  <c r="H300" i="68"/>
  <c r="H299" i="68"/>
  <c r="H298" i="68"/>
  <c r="H297" i="68"/>
  <c r="H296" i="68"/>
  <c r="H295" i="68"/>
  <c r="H294" i="68"/>
  <c r="H293" i="68"/>
  <c r="H292" i="68"/>
  <c r="H291" i="68"/>
  <c r="H290" i="68"/>
  <c r="H289" i="68"/>
  <c r="H288" i="68"/>
  <c r="H287" i="68"/>
  <c r="H286" i="68"/>
  <c r="H285" i="68"/>
  <c r="H284" i="68"/>
  <c r="H283" i="68"/>
  <c r="H282" i="68"/>
  <c r="H281" i="68"/>
  <c r="H280" i="68"/>
  <c r="H279" i="68"/>
  <c r="H278" i="68"/>
  <c r="H277" i="68"/>
  <c r="H276" i="68"/>
  <c r="H275" i="68"/>
  <c r="H274" i="68"/>
  <c r="H273" i="68"/>
  <c r="H272" i="68"/>
  <c r="H271" i="68"/>
  <c r="H270" i="68"/>
  <c r="H269" i="68"/>
  <c r="H268" i="68"/>
  <c r="H267" i="68"/>
  <c r="H266" i="68"/>
  <c r="H265" i="68"/>
  <c r="H264" i="68"/>
  <c r="H263" i="68"/>
  <c r="H262" i="68"/>
  <c r="H261" i="68"/>
  <c r="H260" i="68"/>
  <c r="H259" i="68"/>
  <c r="H258" i="68"/>
  <c r="H257" i="68"/>
  <c r="H256" i="68"/>
  <c r="H255" i="68"/>
  <c r="H254" i="68"/>
  <c r="H253" i="68"/>
  <c r="H252" i="68"/>
  <c r="H251" i="68"/>
  <c r="H250" i="68"/>
  <c r="H249" i="68"/>
  <c r="H248" i="68"/>
  <c r="H247" i="68"/>
  <c r="H246" i="68"/>
  <c r="H245" i="68"/>
  <c r="H244" i="68"/>
  <c r="H243" i="68"/>
  <c r="H242" i="68"/>
  <c r="H241" i="68"/>
  <c r="H240" i="68"/>
  <c r="H239" i="68"/>
  <c r="H238" i="68"/>
  <c r="H237" i="68"/>
  <c r="H236" i="68"/>
  <c r="H235" i="68"/>
  <c r="H234" i="68"/>
  <c r="H233" i="68"/>
  <c r="H232" i="68"/>
  <c r="H231" i="68"/>
  <c r="H230" i="68"/>
  <c r="H229" i="68"/>
  <c r="H228" i="68"/>
  <c r="H227" i="68"/>
  <c r="H226" i="68"/>
  <c r="H225" i="68"/>
  <c r="H224" i="68"/>
  <c r="H223" i="68"/>
  <c r="H222" i="68"/>
  <c r="H221" i="68"/>
  <c r="H220" i="68"/>
  <c r="H219" i="68"/>
  <c r="H218" i="68"/>
  <c r="H217" i="68"/>
  <c r="H216" i="68"/>
  <c r="H215" i="68"/>
  <c r="H214" i="68"/>
  <c r="H213" i="68"/>
  <c r="H212" i="68"/>
  <c r="H211" i="68"/>
  <c r="H210" i="68"/>
  <c r="H209" i="68"/>
  <c r="H208" i="68"/>
  <c r="H207" i="68"/>
  <c r="H206" i="68"/>
  <c r="H205" i="68"/>
  <c r="H204" i="68"/>
  <c r="H203" i="68"/>
  <c r="H202" i="68"/>
  <c r="H201" i="68"/>
  <c r="H200" i="68"/>
  <c r="H199" i="68"/>
  <c r="H198" i="68"/>
  <c r="H197" i="68"/>
  <c r="H196" i="68"/>
  <c r="H195" i="68"/>
  <c r="H194" i="68"/>
  <c r="H193" i="68"/>
  <c r="H192" i="68"/>
  <c r="H191" i="68"/>
  <c r="H190" i="68"/>
  <c r="H189" i="68"/>
  <c r="H188" i="68"/>
  <c r="H187" i="68"/>
  <c r="H186" i="68"/>
  <c r="H185" i="68"/>
  <c r="H184" i="68"/>
  <c r="H183" i="68"/>
  <c r="H182" i="68"/>
  <c r="H181" i="68"/>
  <c r="H180" i="68"/>
  <c r="H179" i="68"/>
  <c r="H178" i="68"/>
  <c r="H177" i="68"/>
  <c r="H176" i="68"/>
  <c r="H175" i="68"/>
  <c r="H174" i="68"/>
  <c r="H173" i="68"/>
  <c r="H172" i="68"/>
  <c r="H171" i="68"/>
  <c r="H170" i="68"/>
  <c r="H169" i="68"/>
  <c r="H168" i="68"/>
  <c r="H167" i="68"/>
  <c r="H166" i="68"/>
  <c r="H165" i="68"/>
  <c r="H164" i="68"/>
  <c r="H163" i="68"/>
  <c r="H162" i="68"/>
  <c r="H161" i="68"/>
  <c r="H160" i="68"/>
  <c r="H159" i="68"/>
  <c r="H158" i="68"/>
  <c r="H157" i="68"/>
  <c r="H156" i="68"/>
  <c r="H155" i="68"/>
  <c r="H154" i="68"/>
  <c r="H153" i="68"/>
  <c r="H152" i="68"/>
  <c r="H151" i="68"/>
  <c r="H150" i="68"/>
  <c r="H149" i="68"/>
  <c r="H148" i="68"/>
  <c r="H147" i="68"/>
  <c r="H146" i="68"/>
  <c r="H145" i="68"/>
  <c r="H144" i="68"/>
  <c r="H143" i="68"/>
  <c r="H142" i="68"/>
  <c r="H141" i="68"/>
  <c r="H140" i="68"/>
  <c r="G11" i="68"/>
  <c r="AJ23" i="8" l="1"/>
  <c r="AK23" i="8" s="1"/>
  <c r="B125" i="68"/>
  <c r="U31" i="8"/>
  <c r="P31" i="8"/>
  <c r="U26" i="8"/>
  <c r="P26" i="8"/>
  <c r="U27" i="8"/>
  <c r="P27" i="8"/>
  <c r="U28" i="8"/>
  <c r="P28" i="8"/>
  <c r="U32" i="8"/>
  <c r="P32" i="8"/>
  <c r="U29" i="8"/>
  <c r="P29" i="8"/>
  <c r="U30" i="8"/>
  <c r="P30" i="8"/>
  <c r="U25" i="8"/>
  <c r="P25" i="8"/>
  <c r="U33" i="8"/>
  <c r="P33" i="8"/>
  <c r="AJ31" i="8"/>
  <c r="AJ26" i="8"/>
  <c r="AJ27" i="8"/>
  <c r="AJ28" i="8"/>
  <c r="AJ32" i="8"/>
  <c r="AJ29" i="8"/>
  <c r="AJ30" i="8"/>
  <c r="AJ25" i="8"/>
  <c r="AJ33" i="8"/>
  <c r="AJ24" i="8"/>
  <c r="U21" i="8"/>
  <c r="S21" i="8"/>
  <c r="U22" i="8"/>
  <c r="S22" i="8"/>
  <c r="U20" i="8"/>
  <c r="S20" i="8"/>
  <c r="Q11" i="6"/>
  <c r="J18" i="4" s="1"/>
  <c r="Q14" i="6"/>
  <c r="J21" i="4" s="1"/>
  <c r="M107" i="68"/>
  <c r="N107" i="68"/>
  <c r="N106" i="68"/>
  <c r="M106" i="68"/>
  <c r="N97" i="68"/>
  <c r="M97" i="68"/>
  <c r="M105" i="68"/>
  <c r="N105" i="68"/>
  <c r="M96" i="68"/>
  <c r="N96" i="68"/>
  <c r="N104" i="68"/>
  <c r="M104" i="68"/>
  <c r="O95" i="68"/>
  <c r="M103" i="68"/>
  <c r="N103" i="68"/>
  <c r="N99" i="68"/>
  <c r="M99" i="68"/>
  <c r="N98" i="68"/>
  <c r="M98" i="68"/>
  <c r="N102" i="68"/>
  <c r="M102" i="68"/>
  <c r="N108" i="68"/>
  <c r="M108" i="68"/>
  <c r="M109" i="68"/>
  <c r="N109" i="68"/>
  <c r="M101" i="68"/>
  <c r="N101" i="68"/>
  <c r="N100" i="68"/>
  <c r="M100" i="68"/>
  <c r="AH19" i="8"/>
  <c r="R79" i="40"/>
  <c r="R68" i="40"/>
  <c r="R46" i="40"/>
  <c r="N95" i="68"/>
  <c r="N125" i="68"/>
  <c r="N124" i="68"/>
  <c r="M124" i="68"/>
  <c r="N123" i="68"/>
  <c r="M123" i="68"/>
  <c r="N122" i="68"/>
  <c r="M122" i="68"/>
  <c r="N121" i="68"/>
  <c r="M121" i="68"/>
  <c r="N120" i="68"/>
  <c r="M120" i="68"/>
  <c r="N119" i="68"/>
  <c r="M119" i="68"/>
  <c r="N118" i="68"/>
  <c r="M118" i="68"/>
  <c r="N117" i="68"/>
  <c r="M117" i="68"/>
  <c r="N116" i="68"/>
  <c r="M116" i="68"/>
  <c r="N114" i="68"/>
  <c r="M114" i="68"/>
  <c r="N113" i="68"/>
  <c r="M113" i="68"/>
  <c r="N112" i="68"/>
  <c r="M112" i="68"/>
  <c r="N111" i="68"/>
  <c r="M111" i="68"/>
  <c r="N115" i="68"/>
  <c r="M115" i="68"/>
  <c r="M110" i="68"/>
  <c r="N110" i="68"/>
  <c r="M125" i="68"/>
  <c r="M126" i="68"/>
  <c r="N126" i="68"/>
  <c r="M127" i="68"/>
  <c r="N127" i="68"/>
  <c r="M128" i="68"/>
  <c r="N128" i="68"/>
  <c r="M129" i="68"/>
  <c r="N129" i="68"/>
  <c r="M130" i="68"/>
  <c r="N130" i="68"/>
  <c r="M131" i="68"/>
  <c r="N131" i="68"/>
  <c r="M132" i="68"/>
  <c r="N132" i="68"/>
  <c r="M133" i="68"/>
  <c r="N133" i="68"/>
  <c r="M134" i="68"/>
  <c r="N134" i="68"/>
  <c r="M135" i="68"/>
  <c r="N135" i="68"/>
  <c r="M136" i="68"/>
  <c r="N136" i="68"/>
  <c r="M137" i="68"/>
  <c r="N137" i="68"/>
  <c r="M138" i="68"/>
  <c r="N138" i="68"/>
  <c r="M139" i="68"/>
  <c r="N139" i="68"/>
  <c r="M140" i="68"/>
  <c r="N140" i="68"/>
  <c r="M141" i="68"/>
  <c r="N141" i="68"/>
  <c r="M142" i="68"/>
  <c r="N142" i="68"/>
  <c r="M143" i="68"/>
  <c r="N143" i="68"/>
  <c r="M144" i="68"/>
  <c r="N144" i="68"/>
  <c r="M145" i="68"/>
  <c r="N145" i="68"/>
  <c r="M146" i="68"/>
  <c r="N146" i="68"/>
  <c r="M147" i="68"/>
  <c r="N147" i="68"/>
  <c r="M148" i="68"/>
  <c r="N148" i="68"/>
  <c r="M149" i="68"/>
  <c r="N149" i="68"/>
  <c r="M150" i="68"/>
  <c r="N150" i="68"/>
  <c r="M151" i="68"/>
  <c r="N151" i="68"/>
  <c r="M152" i="68"/>
  <c r="N152" i="68"/>
  <c r="M153" i="68"/>
  <c r="N153" i="68"/>
  <c r="M154" i="68"/>
  <c r="N154" i="68"/>
  <c r="M155" i="68"/>
  <c r="N155" i="68"/>
  <c r="M156" i="68"/>
  <c r="N156" i="68"/>
  <c r="M157" i="68"/>
  <c r="N157" i="68"/>
  <c r="M158" i="68"/>
  <c r="N158" i="68"/>
  <c r="M159" i="68"/>
  <c r="N159" i="68"/>
  <c r="M160" i="68"/>
  <c r="N160" i="68"/>
  <c r="M161" i="68"/>
  <c r="N161" i="68"/>
  <c r="M162" i="68"/>
  <c r="N162" i="68"/>
  <c r="M163" i="68"/>
  <c r="N163" i="68"/>
  <c r="M164" i="68"/>
  <c r="N164" i="68"/>
  <c r="M165" i="68"/>
  <c r="N165" i="68"/>
  <c r="M166" i="68"/>
  <c r="N166" i="68"/>
  <c r="M167" i="68"/>
  <c r="N167" i="68"/>
  <c r="M168" i="68"/>
  <c r="N168" i="68"/>
  <c r="M169" i="68"/>
  <c r="N169" i="68"/>
  <c r="M170" i="68"/>
  <c r="N170" i="68"/>
  <c r="M171" i="68"/>
  <c r="N171" i="68"/>
  <c r="M172" i="68"/>
  <c r="N172" i="68"/>
  <c r="M173" i="68"/>
  <c r="N173" i="68"/>
  <c r="M174" i="68"/>
  <c r="N174" i="68"/>
  <c r="M175" i="68"/>
  <c r="N175" i="68"/>
  <c r="M176" i="68"/>
  <c r="N176" i="68"/>
  <c r="M177" i="68"/>
  <c r="N177" i="68"/>
  <c r="M178" i="68"/>
  <c r="N178" i="68"/>
  <c r="M179" i="68"/>
  <c r="N179" i="68"/>
  <c r="M180" i="68"/>
  <c r="N180" i="68"/>
  <c r="M181" i="68"/>
  <c r="N181" i="68"/>
  <c r="M182" i="68"/>
  <c r="N182" i="68"/>
  <c r="M183" i="68"/>
  <c r="N183" i="68"/>
  <c r="M184" i="68"/>
  <c r="N184" i="68"/>
  <c r="M185" i="68"/>
  <c r="N185" i="68"/>
  <c r="M186" i="68"/>
  <c r="N186" i="68"/>
  <c r="M187" i="68"/>
  <c r="N187" i="68"/>
  <c r="M188" i="68"/>
  <c r="N188" i="68"/>
  <c r="M189" i="68"/>
  <c r="N189" i="68"/>
  <c r="M190" i="68"/>
  <c r="N190" i="68"/>
  <c r="M191" i="68"/>
  <c r="N191" i="68"/>
  <c r="M192" i="68"/>
  <c r="N192" i="68"/>
  <c r="M193" i="68"/>
  <c r="N193" i="68"/>
  <c r="M194" i="68"/>
  <c r="N194" i="68"/>
  <c r="M195" i="68"/>
  <c r="N195" i="68"/>
  <c r="M196" i="68"/>
  <c r="N196" i="68"/>
  <c r="M197" i="68"/>
  <c r="N197" i="68"/>
  <c r="M198" i="68"/>
  <c r="N198" i="68"/>
  <c r="M199" i="68"/>
  <c r="N199" i="68"/>
  <c r="M200" i="68"/>
  <c r="N200" i="68"/>
  <c r="M201" i="68"/>
  <c r="N201" i="68"/>
  <c r="M202" i="68"/>
  <c r="N202" i="68"/>
  <c r="M203" i="68"/>
  <c r="N203" i="68"/>
  <c r="M204" i="68"/>
  <c r="N204" i="68"/>
  <c r="M205" i="68"/>
  <c r="N205" i="68"/>
  <c r="M206" i="68"/>
  <c r="N206" i="68"/>
  <c r="M207" i="68"/>
  <c r="N207" i="68"/>
  <c r="M208" i="68"/>
  <c r="N208" i="68"/>
  <c r="M209" i="68"/>
  <c r="N209" i="68"/>
  <c r="M210" i="68"/>
  <c r="N210" i="68"/>
  <c r="M211" i="68"/>
  <c r="N211" i="68"/>
  <c r="M212" i="68"/>
  <c r="N212" i="68"/>
  <c r="M213" i="68"/>
  <c r="N213" i="68"/>
  <c r="M214" i="68"/>
  <c r="N214" i="68"/>
  <c r="M215" i="68"/>
  <c r="N215" i="68"/>
  <c r="M216" i="68"/>
  <c r="N216" i="68"/>
  <c r="M217" i="68"/>
  <c r="N217" i="68"/>
  <c r="M218" i="68"/>
  <c r="N218" i="68"/>
  <c r="M219" i="68"/>
  <c r="N219" i="68"/>
  <c r="M220" i="68"/>
  <c r="N220" i="68"/>
  <c r="M221" i="68"/>
  <c r="N221" i="68"/>
  <c r="M222" i="68"/>
  <c r="N222" i="68"/>
  <c r="M223" i="68"/>
  <c r="N223" i="68"/>
  <c r="M224" i="68"/>
  <c r="N224" i="68"/>
  <c r="M225" i="68"/>
  <c r="N225" i="68"/>
  <c r="M226" i="68"/>
  <c r="N226" i="68"/>
  <c r="M227" i="68"/>
  <c r="N227" i="68"/>
  <c r="M228" i="68"/>
  <c r="N228" i="68"/>
  <c r="M229" i="68"/>
  <c r="N229" i="68"/>
  <c r="E128" i="68" l="1"/>
  <c r="E136" i="68"/>
  <c r="E132" i="68"/>
  <c r="E129" i="68"/>
  <c r="E137" i="68"/>
  <c r="E130" i="68"/>
  <c r="E138" i="68"/>
  <c r="E125" i="68"/>
  <c r="E131" i="68"/>
  <c r="E139" i="68"/>
  <c r="E133" i="68"/>
  <c r="E127" i="68"/>
  <c r="E126" i="68"/>
  <c r="E134" i="68"/>
  <c r="E135" i="68"/>
  <c r="P99" i="68"/>
  <c r="B140" i="68"/>
  <c r="AJ20" i="8"/>
  <c r="AJ22" i="8"/>
  <c r="AJ21" i="8"/>
  <c r="AK24" i="8"/>
  <c r="P100" i="68"/>
  <c r="AK33" i="8"/>
  <c r="P109" i="68"/>
  <c r="AK25" i="8"/>
  <c r="P101" i="68"/>
  <c r="AK30" i="8"/>
  <c r="P106" i="68"/>
  <c r="AK29" i="8"/>
  <c r="P105" i="68"/>
  <c r="AK32" i="8"/>
  <c r="P108" i="68"/>
  <c r="AK28" i="8"/>
  <c r="P104" i="68"/>
  <c r="AK27" i="8"/>
  <c r="P103" i="68"/>
  <c r="AK26" i="8"/>
  <c r="P102" i="68"/>
  <c r="AK31" i="8"/>
  <c r="P107" i="68"/>
  <c r="M95" i="68"/>
  <c r="Q112" i="40"/>
  <c r="R112" i="40"/>
  <c r="R101" i="40"/>
  <c r="R90" i="40"/>
  <c r="Q123" i="40"/>
  <c r="Q46" i="40"/>
  <c r="I19" i="8"/>
  <c r="K19" i="8"/>
  <c r="D41" i="8" s="1"/>
  <c r="B155" i="68" l="1"/>
  <c r="E147" i="68"/>
  <c r="E144" i="68"/>
  <c r="E140" i="68"/>
  <c r="E152" i="68"/>
  <c r="E146" i="68"/>
  <c r="E149" i="68"/>
  <c r="E153" i="68"/>
  <c r="E150" i="68"/>
  <c r="E154" i="68"/>
  <c r="E148" i="68"/>
  <c r="E151" i="68"/>
  <c r="E141" i="68"/>
  <c r="E145" i="68"/>
  <c r="E142" i="68"/>
  <c r="E143" i="68"/>
  <c r="AK21" i="8"/>
  <c r="P97" i="68"/>
  <c r="AK22" i="8"/>
  <c r="P98" i="68"/>
  <c r="AK20" i="8"/>
  <c r="P96" i="68"/>
  <c r="D40" i="8"/>
  <c r="B170" i="68" l="1"/>
  <c r="E157" i="68"/>
  <c r="E165" i="68"/>
  <c r="E158" i="68"/>
  <c r="E166" i="68"/>
  <c r="E161" i="68"/>
  <c r="E169" i="68"/>
  <c r="E159" i="68"/>
  <c r="E167" i="68"/>
  <c r="E160" i="68"/>
  <c r="E168" i="68"/>
  <c r="E162" i="68"/>
  <c r="E155" i="68"/>
  <c r="E163" i="68"/>
  <c r="E156" i="68"/>
  <c r="E164" i="68"/>
  <c r="J18" i="6"/>
  <c r="B185" i="68" l="1"/>
  <c r="E171" i="68"/>
  <c r="E179" i="68"/>
  <c r="E172" i="68"/>
  <c r="E180" i="68"/>
  <c r="E175" i="68"/>
  <c r="E173" i="68"/>
  <c r="E181" i="68"/>
  <c r="E174" i="68"/>
  <c r="E182" i="68"/>
  <c r="E183" i="68"/>
  <c r="E176" i="68"/>
  <c r="E184" i="68"/>
  <c r="E178" i="68"/>
  <c r="E177" i="68"/>
  <c r="E170" i="68"/>
  <c r="D230" i="68"/>
  <c r="D231" i="68"/>
  <c r="D232" i="68"/>
  <c r="D233" i="68"/>
  <c r="D234" i="68"/>
  <c r="D235" i="68"/>
  <c r="D236" i="68"/>
  <c r="D237" i="68"/>
  <c r="D238" i="68"/>
  <c r="D239" i="68"/>
  <c r="D240" i="68"/>
  <c r="D241" i="68"/>
  <c r="D242" i="68"/>
  <c r="D243" i="68"/>
  <c r="D244" i="68"/>
  <c r="I18" i="6"/>
  <c r="G25" i="4" s="1"/>
  <c r="B200" i="68" l="1"/>
  <c r="E193" i="68"/>
  <c r="E197" i="68"/>
  <c r="E186" i="68"/>
  <c r="E194" i="68"/>
  <c r="E187" i="68"/>
  <c r="E195" i="68"/>
  <c r="E189" i="68"/>
  <c r="E188" i="68"/>
  <c r="E196" i="68"/>
  <c r="E190" i="68"/>
  <c r="E198" i="68"/>
  <c r="E192" i="68"/>
  <c r="E191" i="68"/>
  <c r="E199" i="68"/>
  <c r="E185" i="68"/>
  <c r="M380" i="68"/>
  <c r="N380" i="68"/>
  <c r="M260" i="68"/>
  <c r="N260" i="68"/>
  <c r="M395" i="68"/>
  <c r="N395" i="68"/>
  <c r="M275" i="68"/>
  <c r="N275" i="68"/>
  <c r="M410" i="68"/>
  <c r="N410" i="68"/>
  <c r="M290" i="68"/>
  <c r="N290" i="68"/>
  <c r="M425" i="68"/>
  <c r="N425" i="68"/>
  <c r="M305" i="68"/>
  <c r="N305" i="68"/>
  <c r="N440" i="68"/>
  <c r="M440" i="68"/>
  <c r="M320" i="68"/>
  <c r="N320" i="68"/>
  <c r="M335" i="68"/>
  <c r="N335" i="68"/>
  <c r="M350" i="68"/>
  <c r="N350" i="68"/>
  <c r="M230" i="68"/>
  <c r="N230" i="68"/>
  <c r="M365" i="68"/>
  <c r="N365" i="68"/>
  <c r="M245" i="68"/>
  <c r="N245" i="68"/>
  <c r="G18" i="6"/>
  <c r="G26" i="4"/>
  <c r="B215" i="68" l="1"/>
  <c r="E207" i="68"/>
  <c r="E200" i="68"/>
  <c r="E208" i="68"/>
  <c r="E203" i="68"/>
  <c r="E211" i="68"/>
  <c r="E201" i="68"/>
  <c r="E209" i="68"/>
  <c r="E202" i="68"/>
  <c r="E210" i="68"/>
  <c r="E204" i="68"/>
  <c r="E212" i="68"/>
  <c r="E206" i="68"/>
  <c r="E205" i="68"/>
  <c r="E213" i="68"/>
  <c r="E214" i="68"/>
  <c r="N249" i="68"/>
  <c r="M249" i="68"/>
  <c r="N280" i="68"/>
  <c r="M280" i="68"/>
  <c r="M311" i="68"/>
  <c r="N311" i="68"/>
  <c r="N342" i="68"/>
  <c r="M342" i="68"/>
  <c r="M373" i="68"/>
  <c r="N373" i="68"/>
  <c r="M435" i="68"/>
  <c r="N435" i="68"/>
  <c r="M238" i="68"/>
  <c r="N238" i="68"/>
  <c r="M269" i="68"/>
  <c r="N269" i="68"/>
  <c r="M300" i="68"/>
  <c r="N300" i="68"/>
  <c r="M331" i="68"/>
  <c r="N331" i="68"/>
  <c r="M362" i="68"/>
  <c r="N362" i="68"/>
  <c r="N393" i="68"/>
  <c r="M393" i="68"/>
  <c r="M424" i="68"/>
  <c r="N424" i="68"/>
  <c r="M258" i="68"/>
  <c r="N258" i="68"/>
  <c r="M289" i="68"/>
  <c r="N289" i="68"/>
  <c r="M366" i="68"/>
  <c r="N366" i="68"/>
  <c r="M397" i="68"/>
  <c r="N397" i="68"/>
  <c r="N428" i="68"/>
  <c r="M428" i="68"/>
  <c r="M231" i="68"/>
  <c r="N231" i="68"/>
  <c r="N262" i="68"/>
  <c r="M262" i="68"/>
  <c r="M293" i="68"/>
  <c r="N293" i="68"/>
  <c r="N324" i="68"/>
  <c r="M324" i="68"/>
  <c r="M355" i="68"/>
  <c r="N355" i="68"/>
  <c r="N386" i="68"/>
  <c r="M386" i="68"/>
  <c r="M417" i="68"/>
  <c r="N417" i="68"/>
  <c r="N452" i="68"/>
  <c r="M452" i="68"/>
  <c r="M259" i="68"/>
  <c r="N259" i="68"/>
  <c r="M336" i="68"/>
  <c r="N336" i="68"/>
  <c r="M367" i="68"/>
  <c r="N367" i="68"/>
  <c r="M398" i="68"/>
  <c r="N398" i="68"/>
  <c r="M429" i="68"/>
  <c r="N429" i="68"/>
  <c r="M236" i="68"/>
  <c r="N236" i="68"/>
  <c r="M267" i="68"/>
  <c r="N267" i="68"/>
  <c r="M298" i="68"/>
  <c r="N298" i="68"/>
  <c r="M329" i="68"/>
  <c r="N329" i="68"/>
  <c r="M360" i="68"/>
  <c r="N360" i="68"/>
  <c r="M391" i="68"/>
  <c r="N391" i="68"/>
  <c r="N422" i="68"/>
  <c r="M422" i="68"/>
  <c r="N453" i="68"/>
  <c r="M453" i="68"/>
  <c r="M306" i="68"/>
  <c r="N306" i="68"/>
  <c r="M337" i="68"/>
  <c r="N337" i="68"/>
  <c r="M368" i="68"/>
  <c r="N368" i="68"/>
  <c r="M399" i="68"/>
  <c r="N399" i="68"/>
  <c r="M430" i="68"/>
  <c r="N430" i="68"/>
  <c r="N233" i="68"/>
  <c r="M233" i="68"/>
  <c r="N264" i="68"/>
  <c r="M264" i="68"/>
  <c r="M295" i="68"/>
  <c r="N295" i="68"/>
  <c r="N326" i="68"/>
  <c r="M326" i="68"/>
  <c r="M357" i="68"/>
  <c r="N357" i="68"/>
  <c r="M388" i="68"/>
  <c r="N388" i="68"/>
  <c r="M419" i="68"/>
  <c r="N419" i="68"/>
  <c r="M450" i="68"/>
  <c r="N450" i="68"/>
  <c r="M408" i="68"/>
  <c r="N408" i="68"/>
  <c r="M253" i="68"/>
  <c r="N253" i="68"/>
  <c r="M284" i="68"/>
  <c r="N284" i="68"/>
  <c r="M315" i="68"/>
  <c r="N315" i="68"/>
  <c r="M346" i="68"/>
  <c r="N346" i="68"/>
  <c r="N377" i="68"/>
  <c r="M377" i="68"/>
  <c r="M439" i="68"/>
  <c r="N439" i="68"/>
  <c r="M242" i="68"/>
  <c r="N242" i="68"/>
  <c r="N273" i="68"/>
  <c r="M273" i="68"/>
  <c r="M304" i="68"/>
  <c r="N304" i="68"/>
  <c r="N381" i="68"/>
  <c r="M381" i="68"/>
  <c r="M412" i="68"/>
  <c r="N412" i="68"/>
  <c r="M246" i="68"/>
  <c r="N246" i="68"/>
  <c r="M277" i="68"/>
  <c r="N277" i="68"/>
  <c r="M308" i="68"/>
  <c r="N308" i="68"/>
  <c r="M339" i="68"/>
  <c r="N339" i="68"/>
  <c r="M370" i="68"/>
  <c r="N370" i="68"/>
  <c r="M401" i="68"/>
  <c r="N401" i="68"/>
  <c r="M432" i="68"/>
  <c r="N432" i="68"/>
  <c r="M235" i="68"/>
  <c r="N235" i="68"/>
  <c r="M266" i="68"/>
  <c r="N266" i="68"/>
  <c r="N297" i="68"/>
  <c r="M297" i="68"/>
  <c r="M328" i="68"/>
  <c r="N328" i="68"/>
  <c r="M359" i="68"/>
  <c r="N359" i="68"/>
  <c r="N390" i="68"/>
  <c r="M390" i="68"/>
  <c r="N421" i="68"/>
  <c r="M421" i="68"/>
  <c r="M247" i="68"/>
  <c r="N247" i="68"/>
  <c r="N278" i="68"/>
  <c r="M278" i="68"/>
  <c r="N309" i="68"/>
  <c r="M309" i="68"/>
  <c r="N340" i="68"/>
  <c r="M340" i="68"/>
  <c r="M371" i="68"/>
  <c r="N371" i="68"/>
  <c r="N402" i="68"/>
  <c r="M402" i="68"/>
  <c r="N433" i="68"/>
  <c r="M433" i="68"/>
  <c r="N240" i="68"/>
  <c r="M240" i="68"/>
  <c r="M271" i="68"/>
  <c r="N271" i="68"/>
  <c r="N302" i="68"/>
  <c r="M302" i="68"/>
  <c r="N333" i="68"/>
  <c r="M333" i="68"/>
  <c r="M364" i="68"/>
  <c r="N364" i="68"/>
  <c r="M441" i="68"/>
  <c r="N441" i="68"/>
  <c r="M248" i="68"/>
  <c r="N248" i="68"/>
  <c r="M279" i="68"/>
  <c r="N279" i="68"/>
  <c r="N310" i="68"/>
  <c r="M310" i="68"/>
  <c r="N341" i="68"/>
  <c r="M341" i="68"/>
  <c r="M372" i="68"/>
  <c r="N372" i="68"/>
  <c r="M403" i="68"/>
  <c r="N403" i="68"/>
  <c r="M434" i="68"/>
  <c r="N434" i="68"/>
  <c r="M237" i="68"/>
  <c r="N237" i="68"/>
  <c r="M268" i="68"/>
  <c r="N268" i="68"/>
  <c r="M299" i="68"/>
  <c r="N299" i="68"/>
  <c r="M330" i="68"/>
  <c r="N330" i="68"/>
  <c r="N361" i="68"/>
  <c r="M361" i="68"/>
  <c r="M392" i="68"/>
  <c r="N392" i="68"/>
  <c r="M423" i="68"/>
  <c r="N423" i="68"/>
  <c r="N454" i="68"/>
  <c r="M454" i="68"/>
  <c r="M443" i="68"/>
  <c r="N443" i="68"/>
  <c r="M257" i="68"/>
  <c r="N257" i="68"/>
  <c r="M288" i="68"/>
  <c r="N288" i="68"/>
  <c r="M319" i="68"/>
  <c r="N319" i="68"/>
  <c r="M427" i="68"/>
  <c r="N427" i="68"/>
  <c r="N261" i="68"/>
  <c r="M261" i="68"/>
  <c r="M292" i="68"/>
  <c r="N292" i="68"/>
  <c r="M323" i="68"/>
  <c r="N323" i="68"/>
  <c r="M354" i="68"/>
  <c r="N354" i="68"/>
  <c r="M385" i="68"/>
  <c r="N385" i="68"/>
  <c r="N416" i="68"/>
  <c r="M416" i="68"/>
  <c r="M250" i="68"/>
  <c r="N250" i="68"/>
  <c r="M281" i="68"/>
  <c r="N281" i="68"/>
  <c r="N312" i="68"/>
  <c r="M312" i="68"/>
  <c r="M343" i="68"/>
  <c r="N343" i="68"/>
  <c r="N374" i="68"/>
  <c r="M374" i="68"/>
  <c r="M405" i="68"/>
  <c r="N405" i="68"/>
  <c r="M436" i="68"/>
  <c r="N436" i="68"/>
  <c r="M239" i="68"/>
  <c r="N239" i="68"/>
  <c r="M270" i="68"/>
  <c r="N270" i="68"/>
  <c r="N301" i="68"/>
  <c r="M301" i="68"/>
  <c r="M332" i="68"/>
  <c r="N332" i="68"/>
  <c r="M363" i="68"/>
  <c r="N363" i="68"/>
  <c r="M394" i="68"/>
  <c r="N394" i="68"/>
  <c r="M251" i="68"/>
  <c r="N251" i="68"/>
  <c r="M282" i="68"/>
  <c r="N282" i="68"/>
  <c r="M313" i="68"/>
  <c r="N313" i="68"/>
  <c r="M344" i="68"/>
  <c r="N344" i="68"/>
  <c r="M375" i="68"/>
  <c r="N375" i="68"/>
  <c r="N406" i="68"/>
  <c r="M406" i="68"/>
  <c r="N437" i="68"/>
  <c r="M437" i="68"/>
  <c r="N244" i="68"/>
  <c r="M244" i="68"/>
  <c r="M321" i="68"/>
  <c r="N321" i="68"/>
  <c r="M352" i="68"/>
  <c r="N352" i="68"/>
  <c r="M383" i="68"/>
  <c r="N383" i="68"/>
  <c r="M414" i="68"/>
  <c r="N414" i="68"/>
  <c r="M445" i="68"/>
  <c r="N445" i="68"/>
  <c r="M252" i="68"/>
  <c r="N252" i="68"/>
  <c r="M283" i="68"/>
  <c r="N283" i="68"/>
  <c r="M314" i="68"/>
  <c r="N314" i="68"/>
  <c r="N345" i="68"/>
  <c r="M345" i="68"/>
  <c r="M376" i="68"/>
  <c r="N376" i="68"/>
  <c r="M407" i="68"/>
  <c r="N407" i="68"/>
  <c r="N438" i="68"/>
  <c r="M438" i="68"/>
  <c r="M241" i="68"/>
  <c r="N241" i="68"/>
  <c r="M272" i="68"/>
  <c r="N272" i="68"/>
  <c r="M303" i="68"/>
  <c r="N303" i="68"/>
  <c r="M334" i="68"/>
  <c r="N334" i="68"/>
  <c r="M411" i="68"/>
  <c r="N411" i="68"/>
  <c r="M442" i="68"/>
  <c r="N442" i="68"/>
  <c r="N400" i="68"/>
  <c r="M400" i="68"/>
  <c r="M447" i="68"/>
  <c r="N447" i="68"/>
  <c r="N276" i="68"/>
  <c r="M276" i="68"/>
  <c r="M307" i="68"/>
  <c r="N307" i="68"/>
  <c r="N338" i="68"/>
  <c r="M338" i="68"/>
  <c r="M369" i="68"/>
  <c r="N369" i="68"/>
  <c r="M431" i="68"/>
  <c r="N431" i="68"/>
  <c r="M234" i="68"/>
  <c r="N234" i="68"/>
  <c r="M265" i="68"/>
  <c r="N265" i="68"/>
  <c r="M296" i="68"/>
  <c r="N296" i="68"/>
  <c r="M327" i="68"/>
  <c r="N327" i="68"/>
  <c r="N358" i="68"/>
  <c r="M358" i="68"/>
  <c r="M389" i="68"/>
  <c r="N389" i="68"/>
  <c r="M420" i="68"/>
  <c r="N420" i="68"/>
  <c r="M254" i="68"/>
  <c r="N254" i="68"/>
  <c r="N285" i="68"/>
  <c r="M285" i="68"/>
  <c r="M316" i="68"/>
  <c r="N316" i="68"/>
  <c r="M347" i="68"/>
  <c r="N347" i="68"/>
  <c r="M378" i="68"/>
  <c r="N378" i="68"/>
  <c r="N409" i="68"/>
  <c r="M409" i="68"/>
  <c r="M444" i="68"/>
  <c r="N444" i="68"/>
  <c r="M243" i="68"/>
  <c r="N243" i="68"/>
  <c r="N274" i="68"/>
  <c r="M274" i="68"/>
  <c r="M351" i="68"/>
  <c r="N351" i="68"/>
  <c r="M382" i="68"/>
  <c r="N382" i="68"/>
  <c r="N413" i="68"/>
  <c r="M413" i="68"/>
  <c r="M448" i="68"/>
  <c r="N448" i="68"/>
  <c r="M255" i="68"/>
  <c r="N255" i="68"/>
  <c r="M286" i="68"/>
  <c r="N286" i="68"/>
  <c r="N317" i="68"/>
  <c r="M317" i="68"/>
  <c r="M348" i="68"/>
  <c r="N348" i="68"/>
  <c r="M379" i="68"/>
  <c r="N379" i="68"/>
  <c r="M232" i="68"/>
  <c r="N232" i="68"/>
  <c r="M263" i="68"/>
  <c r="N263" i="68"/>
  <c r="N294" i="68"/>
  <c r="M294" i="68"/>
  <c r="N325" i="68"/>
  <c r="M325" i="68"/>
  <c r="N356" i="68"/>
  <c r="M356" i="68"/>
  <c r="M387" i="68"/>
  <c r="N387" i="68"/>
  <c r="M418" i="68"/>
  <c r="N418" i="68"/>
  <c r="M449" i="68"/>
  <c r="N449" i="68"/>
  <c r="N256" i="68"/>
  <c r="M256" i="68"/>
  <c r="M287" i="68"/>
  <c r="N287" i="68"/>
  <c r="M318" i="68"/>
  <c r="N318" i="68"/>
  <c r="N349" i="68"/>
  <c r="M349" i="68"/>
  <c r="M426" i="68"/>
  <c r="N426" i="68"/>
  <c r="M396" i="68"/>
  <c r="N396" i="68"/>
  <c r="M291" i="68"/>
  <c r="N291" i="68"/>
  <c r="M322" i="68"/>
  <c r="N322" i="68"/>
  <c r="M353" i="68"/>
  <c r="N353" i="68"/>
  <c r="N384" i="68"/>
  <c r="M384" i="68"/>
  <c r="M415" i="68"/>
  <c r="N415" i="68"/>
  <c r="M446" i="68"/>
  <c r="N446" i="68"/>
  <c r="M404" i="68"/>
  <c r="N404" i="68"/>
  <c r="M451" i="68"/>
  <c r="N451" i="68"/>
  <c r="H18" i="6"/>
  <c r="B230" i="68" l="1"/>
  <c r="E221" i="68"/>
  <c r="E229" i="68"/>
  <c r="E217" i="68"/>
  <c r="E222" i="68"/>
  <c r="E215" i="68"/>
  <c r="E225" i="68"/>
  <c r="E223" i="68"/>
  <c r="E216" i="68"/>
  <c r="E224" i="68"/>
  <c r="E218" i="68"/>
  <c r="E226" i="68"/>
  <c r="E220" i="68"/>
  <c r="E219" i="68"/>
  <c r="E227" i="68"/>
  <c r="E228" i="68"/>
  <c r="K36" i="4"/>
  <c r="K32" i="4"/>
  <c r="K28" i="4"/>
  <c r="K31" i="4"/>
  <c r="K30" i="4"/>
  <c r="K26" i="4"/>
  <c r="K37" i="4"/>
  <c r="K33" i="4"/>
  <c r="K29" i="4"/>
  <c r="K25" i="4"/>
  <c r="E81" i="6"/>
  <c r="M112" i="40"/>
  <c r="M101" i="40"/>
  <c r="M90" i="40"/>
  <c r="M79" i="40"/>
  <c r="M68" i="40"/>
  <c r="L68" i="40"/>
  <c r="H60" i="40"/>
  <c r="H71" i="40" s="1"/>
  <c r="H82" i="40" s="1"/>
  <c r="H93" i="40" s="1"/>
  <c r="H104" i="40" s="1"/>
  <c r="E14" i="40"/>
  <c r="E13" i="40"/>
  <c r="B245" i="68" l="1"/>
  <c r="E235" i="68"/>
  <c r="E243" i="68"/>
  <c r="E236" i="68"/>
  <c r="E244" i="68"/>
  <c r="E239" i="68"/>
  <c r="E237" i="68"/>
  <c r="E230" i="68"/>
  <c r="E238" i="68"/>
  <c r="E231" i="68"/>
  <c r="E232" i="68"/>
  <c r="E240" i="68"/>
  <c r="E234" i="68"/>
  <c r="E233" i="68"/>
  <c r="E241" i="68"/>
  <c r="E242" i="68"/>
  <c r="K34" i="4"/>
  <c r="K38" i="4"/>
  <c r="K27" i="4"/>
  <c r="K35" i="4"/>
  <c r="N68" i="40"/>
  <c r="R123" i="40"/>
  <c r="L79" i="40"/>
  <c r="M123" i="40"/>
  <c r="F130" i="40" s="1"/>
  <c r="B260" i="68" l="1"/>
  <c r="E246" i="68"/>
  <c r="E254" i="68"/>
  <c r="E247" i="68"/>
  <c r="E255" i="68"/>
  <c r="E248" i="68"/>
  <c r="E256" i="68"/>
  <c r="E249" i="68"/>
  <c r="E257" i="68"/>
  <c r="E250" i="68"/>
  <c r="E258" i="68"/>
  <c r="E251" i="68"/>
  <c r="E259" i="68"/>
  <c r="E253" i="68"/>
  <c r="E252" i="68"/>
  <c r="E245" i="68"/>
  <c r="L90" i="40"/>
  <c r="N79" i="40"/>
  <c r="E133" i="40"/>
  <c r="T19" i="8"/>
  <c r="B275" i="68" l="1"/>
  <c r="E268" i="68"/>
  <c r="E261" i="68"/>
  <c r="E269" i="68"/>
  <c r="E262" i="68"/>
  <c r="E270" i="68"/>
  <c r="E263" i="68"/>
  <c r="E271" i="68"/>
  <c r="E264" i="68"/>
  <c r="E272" i="68"/>
  <c r="E265" i="68"/>
  <c r="E273" i="68"/>
  <c r="E266" i="68"/>
  <c r="E274" i="68"/>
  <c r="E260" i="68"/>
  <c r="E267" i="68"/>
  <c r="L101" i="40"/>
  <c r="N90" i="40"/>
  <c r="G8" i="6"/>
  <c r="B290" i="68" l="1"/>
  <c r="E282" i="68"/>
  <c r="E275" i="68"/>
  <c r="E283" i="68"/>
  <c r="E276" i="68"/>
  <c r="E284" i="68"/>
  <c r="E277" i="68"/>
  <c r="E285" i="68"/>
  <c r="E278" i="68"/>
  <c r="E286" i="68"/>
  <c r="E279" i="68"/>
  <c r="E287" i="68"/>
  <c r="E280" i="68"/>
  <c r="E288" i="68"/>
  <c r="E281" i="68"/>
  <c r="E289" i="68"/>
  <c r="L112" i="40"/>
  <c r="F126" i="40" s="1"/>
  <c r="N101" i="40"/>
  <c r="Q127" i="40"/>
  <c r="Q128" i="40"/>
  <c r="Q129" i="40"/>
  <c r="F129" i="40"/>
  <c r="F127" i="40"/>
  <c r="Q107" i="68"/>
  <c r="Q106" i="68"/>
  <c r="Q105" i="68"/>
  <c r="Q108" i="68"/>
  <c r="A32" i="8"/>
  <c r="D108" i="68" s="1"/>
  <c r="A31" i="8"/>
  <c r="D107" i="68" s="1"/>
  <c r="A30" i="8"/>
  <c r="D106" i="68" s="1"/>
  <c r="A29" i="8"/>
  <c r="D105" i="68" s="1"/>
  <c r="N19" i="8"/>
  <c r="F128" i="40" l="1"/>
  <c r="H128" i="40" s="1"/>
  <c r="Q126" i="40"/>
  <c r="B305" i="68"/>
  <c r="E295" i="68"/>
  <c r="E303" i="68"/>
  <c r="E296" i="68"/>
  <c r="E304" i="68"/>
  <c r="E297" i="68"/>
  <c r="E290" i="68"/>
  <c r="E298" i="68"/>
  <c r="E291" i="68"/>
  <c r="E299" i="68"/>
  <c r="E292" i="68"/>
  <c r="E300" i="68"/>
  <c r="E293" i="68"/>
  <c r="E301" i="68"/>
  <c r="E294" i="68"/>
  <c r="E302" i="68"/>
  <c r="R128" i="40"/>
  <c r="H129" i="40"/>
  <c r="H127" i="40"/>
  <c r="M127" i="40" s="1"/>
  <c r="H126" i="40"/>
  <c r="M126" i="40" s="1"/>
  <c r="Q130" i="40"/>
  <c r="L123" i="40"/>
  <c r="N112" i="40"/>
  <c r="D42" i="8"/>
  <c r="J9" i="6"/>
  <c r="M129" i="40" l="1"/>
  <c r="AB129" i="40"/>
  <c r="M128" i="40"/>
  <c r="AB128" i="40"/>
  <c r="AB127" i="40"/>
  <c r="AB126" i="40"/>
  <c r="B320" i="68"/>
  <c r="E309" i="68"/>
  <c r="E317" i="68"/>
  <c r="E310" i="68"/>
  <c r="E318" i="68"/>
  <c r="E311" i="68"/>
  <c r="E319" i="68"/>
  <c r="E312" i="68"/>
  <c r="E305" i="68"/>
  <c r="E313" i="68"/>
  <c r="E306" i="68"/>
  <c r="E314" i="68"/>
  <c r="E307" i="68"/>
  <c r="E315" i="68"/>
  <c r="E308" i="68"/>
  <c r="E316" i="68"/>
  <c r="R129" i="40"/>
  <c r="R126" i="40"/>
  <c r="R127" i="40"/>
  <c r="H130" i="40"/>
  <c r="J132" i="40" l="1"/>
  <c r="M130" i="40"/>
  <c r="J33" i="69"/>
  <c r="AB130" i="40"/>
  <c r="K8" i="6"/>
  <c r="K34" i="6" s="1"/>
  <c r="B335" i="68"/>
  <c r="E323" i="68"/>
  <c r="E331" i="68"/>
  <c r="E324" i="68"/>
  <c r="E332" i="68"/>
  <c r="E325" i="68"/>
  <c r="E333" i="68"/>
  <c r="E326" i="68"/>
  <c r="E334" i="68"/>
  <c r="E327" i="68"/>
  <c r="E320" i="68"/>
  <c r="E328" i="68"/>
  <c r="E321" i="68"/>
  <c r="E329" i="68"/>
  <c r="E322" i="68"/>
  <c r="E330" i="68"/>
  <c r="R130" i="40"/>
  <c r="I130" i="40"/>
  <c r="D67" i="8"/>
  <c r="F50" i="6" s="1"/>
  <c r="D66" i="8"/>
  <c r="F49" i="6" s="1"/>
  <c r="D65" i="8"/>
  <c r="F48" i="6" s="1"/>
  <c r="D64" i="8"/>
  <c r="F47" i="6" s="1"/>
  <c r="D74" i="8"/>
  <c r="F57" i="6" s="1"/>
  <c r="D72" i="8"/>
  <c r="F55" i="6" s="1"/>
  <c r="D73" i="8"/>
  <c r="F56" i="6" s="1"/>
  <c r="D71" i="8"/>
  <c r="F54" i="6" s="1"/>
  <c r="D70" i="8"/>
  <c r="F53" i="6" s="1"/>
  <c r="D69" i="8"/>
  <c r="F52" i="6" s="1"/>
  <c r="D68" i="8"/>
  <c r="F51" i="6" s="1"/>
  <c r="T31" i="69" l="1"/>
  <c r="J131" i="40"/>
  <c r="E75" i="6"/>
  <c r="E33" i="3" s="1"/>
  <c r="I128" i="40"/>
  <c r="B350" i="68"/>
  <c r="E337" i="68"/>
  <c r="E345" i="68"/>
  <c r="E338" i="68"/>
  <c r="E346" i="68"/>
  <c r="E339" i="68"/>
  <c r="E347" i="68"/>
  <c r="E340" i="68"/>
  <c r="E348" i="68"/>
  <c r="E341" i="68"/>
  <c r="E349" i="68"/>
  <c r="E342" i="68"/>
  <c r="E335" i="68"/>
  <c r="E343" i="68"/>
  <c r="E336" i="68"/>
  <c r="E344" i="68"/>
  <c r="M8" i="6"/>
  <c r="S130" i="40"/>
  <c r="I127" i="40"/>
  <c r="I129" i="40"/>
  <c r="I126" i="40"/>
  <c r="H8" i="6"/>
  <c r="AI19" i="8"/>
  <c r="A23" i="8"/>
  <c r="D99" i="68" s="1"/>
  <c r="A24" i="8"/>
  <c r="D100" i="68" s="1"/>
  <c r="A25" i="8"/>
  <c r="D101" i="68" s="1"/>
  <c r="A26" i="8"/>
  <c r="D102" i="68" s="1"/>
  <c r="A27" i="8"/>
  <c r="D103" i="68" s="1"/>
  <c r="A28" i="8"/>
  <c r="D104" i="68" s="1"/>
  <c r="A33" i="8"/>
  <c r="D109" i="68" s="1"/>
  <c r="I51" i="6"/>
  <c r="I52" i="6"/>
  <c r="I53" i="6"/>
  <c r="I54" i="6"/>
  <c r="I56" i="6"/>
  <c r="I55" i="6"/>
  <c r="I57" i="6"/>
  <c r="I49" i="6"/>
  <c r="I50" i="6"/>
  <c r="I47" i="6"/>
  <c r="E30" i="3"/>
  <c r="E29" i="3"/>
  <c r="E28" i="3"/>
  <c r="D24" i="4"/>
  <c r="D22" i="4"/>
  <c r="D21" i="4"/>
  <c r="D20" i="4"/>
  <c r="D19" i="4"/>
  <c r="D18" i="4"/>
  <c r="D17" i="4"/>
  <c r="B17" i="4"/>
  <c r="D16" i="4"/>
  <c r="D15" i="4"/>
  <c r="B15" i="4"/>
  <c r="B10" i="5"/>
  <c r="C24" i="4"/>
  <c r="D23" i="4"/>
  <c r="C23" i="4"/>
  <c r="C22" i="4"/>
  <c r="K21" i="4"/>
  <c r="C21" i="4"/>
  <c r="C20" i="4"/>
  <c r="C19" i="4"/>
  <c r="C18" i="4"/>
  <c r="C17" i="4"/>
  <c r="C16" i="4"/>
  <c r="C15" i="4"/>
  <c r="G32" i="3"/>
  <c r="E32" i="3"/>
  <c r="E70" i="6" l="1"/>
  <c r="T129" i="40"/>
  <c r="T127" i="40"/>
  <c r="T128" i="40"/>
  <c r="T126" i="40"/>
  <c r="G7" i="3"/>
  <c r="G27" i="3" s="1"/>
  <c r="G33" i="3" s="1"/>
  <c r="V29" i="69"/>
  <c r="U31" i="69"/>
  <c r="V129" i="40"/>
  <c r="V127" i="40"/>
  <c r="V128" i="40"/>
  <c r="V126" i="40"/>
  <c r="V130" i="40" s="1"/>
  <c r="H15" i="4" s="1"/>
  <c r="E15" i="4"/>
  <c r="E38" i="6"/>
  <c r="S128" i="40"/>
  <c r="B365" i="68"/>
  <c r="E351" i="68"/>
  <c r="E359" i="68"/>
  <c r="E352" i="68"/>
  <c r="E360" i="68"/>
  <c r="E353" i="68"/>
  <c r="E361" i="68"/>
  <c r="E354" i="68"/>
  <c r="E362" i="68"/>
  <c r="E355" i="68"/>
  <c r="E363" i="68"/>
  <c r="E356" i="68"/>
  <c r="E364" i="68"/>
  <c r="E357" i="68"/>
  <c r="E350" i="68"/>
  <c r="E358" i="68"/>
  <c r="S129" i="40"/>
  <c r="X129" i="40" s="1"/>
  <c r="N8" i="6"/>
  <c r="S127" i="40"/>
  <c r="X127" i="40" s="1"/>
  <c r="Q99" i="68"/>
  <c r="Q101" i="68"/>
  <c r="Q103" i="68"/>
  <c r="Q100" i="68"/>
  <c r="Q104" i="68"/>
  <c r="Q97" i="68"/>
  <c r="Q109" i="68"/>
  <c r="Q98" i="68"/>
  <c r="Q96" i="68"/>
  <c r="I48" i="6"/>
  <c r="E68" i="6" s="1"/>
  <c r="G68" i="6" s="1"/>
  <c r="E66" i="6"/>
  <c r="B18" i="4"/>
  <c r="B19" i="4"/>
  <c r="B20" i="4"/>
  <c r="B21" i="4"/>
  <c r="B22" i="4"/>
  <c r="B23" i="4"/>
  <c r="B25" i="4"/>
  <c r="B26" i="4"/>
  <c r="D44" i="8"/>
  <c r="I9" i="6" s="1"/>
  <c r="O19" i="8"/>
  <c r="G15" i="4"/>
  <c r="B24" i="4"/>
  <c r="K23" i="4"/>
  <c r="E27" i="3"/>
  <c r="K18" i="4"/>
  <c r="K19" i="4"/>
  <c r="K17" i="4"/>
  <c r="K20" i="4"/>
  <c r="K22" i="4"/>
  <c r="K24" i="4"/>
  <c r="O8" i="6" l="1"/>
  <c r="R133" i="40"/>
  <c r="W128" i="40"/>
  <c r="X128" i="40" s="1"/>
  <c r="V31" i="69"/>
  <c r="H40" i="4" s="1"/>
  <c r="K40" i="4" s="1"/>
  <c r="F39" i="6"/>
  <c r="E42" i="6"/>
  <c r="I34" i="6"/>
  <c r="F15" i="4"/>
  <c r="O38" i="6"/>
  <c r="B380" i="68"/>
  <c r="E373" i="68"/>
  <c r="E366" i="68"/>
  <c r="E374" i="68"/>
  <c r="E367" i="68"/>
  <c r="E375" i="68"/>
  <c r="E368" i="68"/>
  <c r="E376" i="68"/>
  <c r="E369" i="68"/>
  <c r="E377" i="68"/>
  <c r="E370" i="68"/>
  <c r="E378" i="68"/>
  <c r="E371" i="68"/>
  <c r="E379" i="68"/>
  <c r="E372" i="68"/>
  <c r="E365" i="68"/>
  <c r="P19" i="8"/>
  <c r="F70" i="6"/>
  <c r="U19" i="8"/>
  <c r="S19" i="8"/>
  <c r="E69" i="6"/>
  <c r="G70" i="6" s="1"/>
  <c r="H69" i="6"/>
  <c r="Z40" i="8"/>
  <c r="Q102" i="68"/>
  <c r="Z43" i="8"/>
  <c r="M15" i="8"/>
  <c r="D47" i="8"/>
  <c r="D43" i="8"/>
  <c r="M16" i="8" s="1"/>
  <c r="B16" i="4"/>
  <c r="G9" i="6"/>
  <c r="G34" i="6" s="1"/>
  <c r="O33" i="6" l="1"/>
  <c r="Q34" i="69"/>
  <c r="Q33" i="6" s="1"/>
  <c r="J40" i="4" s="1"/>
  <c r="W31" i="69"/>
  <c r="W130" i="40"/>
  <c r="B395" i="68"/>
  <c r="E387" i="68"/>
  <c r="E380" i="68"/>
  <c r="E388" i="68"/>
  <c r="E381" i="68"/>
  <c r="E389" i="68"/>
  <c r="E382" i="68"/>
  <c r="E390" i="68"/>
  <c r="E383" i="68"/>
  <c r="E391" i="68"/>
  <c r="E384" i="68"/>
  <c r="E392" i="68"/>
  <c r="E385" i="68"/>
  <c r="E393" i="68"/>
  <c r="E386" i="68"/>
  <c r="E394" i="68"/>
  <c r="H9" i="6"/>
  <c r="AJ19" i="8"/>
  <c r="Z44" i="8" s="1"/>
  <c r="O9" i="6" s="1"/>
  <c r="N9" i="6"/>
  <c r="N34" i="6" s="1"/>
  <c r="D45" i="8"/>
  <c r="Z42" i="8"/>
  <c r="Z45" i="8" s="1"/>
  <c r="K9" i="6"/>
  <c r="G23" i="4"/>
  <c r="G17" i="4"/>
  <c r="G22" i="4"/>
  <c r="G19" i="4"/>
  <c r="G21" i="4"/>
  <c r="G20" i="4"/>
  <c r="G18" i="4"/>
  <c r="G24" i="4"/>
  <c r="E41" i="6" l="1"/>
  <c r="H34" i="6"/>
  <c r="F16" i="4"/>
  <c r="F41" i="4" s="1"/>
  <c r="O41" i="6"/>
  <c r="M9" i="6"/>
  <c r="M34" i="6" s="1"/>
  <c r="E19" i="3"/>
  <c r="B410" i="68"/>
  <c r="E401" i="68"/>
  <c r="E409" i="68"/>
  <c r="E402" i="68"/>
  <c r="E395" i="68"/>
  <c r="E403" i="68"/>
  <c r="E396" i="68"/>
  <c r="E404" i="68"/>
  <c r="E397" i="68"/>
  <c r="E405" i="68"/>
  <c r="E398" i="68"/>
  <c r="E406" i="68"/>
  <c r="E399" i="68"/>
  <c r="E407" i="68"/>
  <c r="E400" i="68"/>
  <c r="E408" i="68"/>
  <c r="E16" i="4"/>
  <c r="E41" i="4" s="1"/>
  <c r="AK19" i="8"/>
  <c r="P95" i="68"/>
  <c r="G16" i="4"/>
  <c r="G41" i="4" s="1"/>
  <c r="E83" i="6"/>
  <c r="G5" i="6"/>
  <c r="I4" i="6"/>
  <c r="H16" i="4" a="1"/>
  <c r="F84" i="6" l="1"/>
  <c r="F83" i="6"/>
  <c r="F42" i="6"/>
  <c r="E85" i="6"/>
  <c r="B425" i="68"/>
  <c r="E415" i="68"/>
  <c r="E423" i="68"/>
  <c r="E416" i="68"/>
  <c r="E424" i="68"/>
  <c r="E417" i="68"/>
  <c r="E410" i="68"/>
  <c r="E418" i="68"/>
  <c r="E411" i="68"/>
  <c r="E419" i="68"/>
  <c r="E412" i="68"/>
  <c r="E420" i="68"/>
  <c r="E413" i="68"/>
  <c r="E421" i="68"/>
  <c r="E414" i="68"/>
  <c r="E422" i="68"/>
  <c r="H16" i="4"/>
  <c r="Q95" i="68"/>
  <c r="E35" i="3"/>
  <c r="E37" i="3" s="1"/>
  <c r="B440" i="68" l="1"/>
  <c r="E429" i="68"/>
  <c r="E437" i="68"/>
  <c r="E430" i="68"/>
  <c r="E438" i="68"/>
  <c r="E431" i="68"/>
  <c r="E439" i="68"/>
  <c r="E432" i="68"/>
  <c r="E425" i="68"/>
  <c r="E433" i="68"/>
  <c r="E426" i="68"/>
  <c r="E434" i="68"/>
  <c r="E427" i="68"/>
  <c r="E435" i="68"/>
  <c r="E428" i="68"/>
  <c r="E436" i="68"/>
  <c r="D12" i="68" a="1"/>
  <c r="Q455" i="68"/>
  <c r="Z47" i="8"/>
  <c r="Q9" i="6" s="1"/>
  <c r="J16" i="4" s="1"/>
  <c r="S126" i="40"/>
  <c r="W131" i="40" l="1"/>
  <c r="X126" i="40"/>
  <c r="T130" i="40"/>
  <c r="Q8" i="6"/>
  <c r="J15" i="4" s="1"/>
  <c r="Q80" i="68"/>
  <c r="P80" i="68"/>
  <c r="O80" i="68"/>
  <c r="N80" i="68"/>
  <c r="M80" i="68"/>
  <c r="L80" i="68"/>
  <c r="K80" i="68"/>
  <c r="J80" i="68"/>
  <c r="E443" i="68"/>
  <c r="E451" i="68"/>
  <c r="E444" i="68"/>
  <c r="E452" i="68"/>
  <c r="E445" i="68"/>
  <c r="E453" i="68"/>
  <c r="E446" i="68"/>
  <c r="E454" i="68"/>
  <c r="E447" i="68"/>
  <c r="E440" i="68"/>
  <c r="E448" i="68"/>
  <c r="E441" i="68"/>
  <c r="E449" i="68"/>
  <c r="E442" i="68"/>
  <c r="E450" i="68"/>
  <c r="K16" i="4"/>
  <c r="D12" i="68"/>
  <c r="O42" i="6"/>
  <c r="O35" i="6"/>
  <c r="N35" i="6" s="1"/>
  <c r="Q34" i="6" l="1"/>
  <c r="X130" i="40"/>
  <c r="X131" i="40" s="1"/>
  <c r="O39" i="6"/>
  <c r="O34" i="6"/>
  <c r="K15" i="4"/>
  <c r="K41" i="4" s="1"/>
  <c r="J41" i="4"/>
  <c r="H41" i="4"/>
  <c r="E18" i="3"/>
  <c r="G35" i="3" s="1"/>
  <c r="G37" i="3" s="1"/>
  <c r="P42" i="6"/>
  <c r="S9" i="6"/>
  <c r="S7" i="6"/>
  <c r="S32" i="6"/>
  <c r="S31" i="6"/>
  <c r="S30" i="6"/>
  <c r="S29" i="6"/>
  <c r="S28" i="6"/>
  <c r="S27" i="6"/>
  <c r="S26" i="6"/>
  <c r="S25" i="6"/>
  <c r="S24" i="6"/>
  <c r="S23" i="6"/>
  <c r="S22" i="6"/>
  <c r="S21" i="6"/>
  <c r="S20" i="6"/>
  <c r="S19" i="6"/>
  <c r="S18" i="6"/>
  <c r="S17" i="6"/>
  <c r="S16" i="6"/>
  <c r="S15" i="6"/>
  <c r="S14" i="6"/>
  <c r="S13" i="6"/>
  <c r="S12" i="6"/>
  <c r="S11" i="6"/>
  <c r="S10" i="6"/>
  <c r="V32" i="69" l="1"/>
  <c r="P39" i="6"/>
  <c r="S34"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<sst xmlns="http://schemas.openxmlformats.org/spreadsheetml/2006/main" count="2507" uniqueCount="388">
  <si>
    <t>Overzicht - Voertuigen</t>
  </si>
  <si>
    <t>Categorie</t>
  </si>
  <si>
    <t>Maximaal subsidie bedrag</t>
  </si>
  <si>
    <t>Soort</t>
  </si>
  <si>
    <t xml:space="preserve"> - </t>
  </si>
  <si>
    <t>-</t>
  </si>
  <si>
    <t xml:space="preserve">M1, rolstoeltoegankelijk en meer dan 4 zitplaatsen </t>
  </si>
  <si>
    <t>voertuig</t>
  </si>
  <si>
    <t xml:space="preserve">M2, emissievrij licht waterstofvoertuig </t>
  </si>
  <si>
    <t>M3, emissievrij zwaar waterstofvoertuig (brandstofcel)</t>
  </si>
  <si>
    <t xml:space="preserve">M3, emissievrij zwaar waterstofvoertuig (waterstofverbrandingsmotor) </t>
  </si>
  <si>
    <t>N1, emissievrij licht waterstofvoertuig</t>
  </si>
  <si>
    <t>N2, emissievrij zwaar waterstofvoertuig (brandstofcel)</t>
  </si>
  <si>
    <t>N2, emissievrij zwaar waterstofvoertuig (waterstofverbrandingsmotor)</t>
  </si>
  <si>
    <t>N3, emissievrij zwaar waterstofvoertuig &lt; 30.000 kg (brandstofcel)</t>
  </si>
  <si>
    <t>N3, emissievrij zwaar waterstofvoertuig &lt; 30.000kg (waterstofverbrandingsmotor)</t>
  </si>
  <si>
    <r>
      <t xml:space="preserve">N3, emissievrij zwaar waterstofvoertuig </t>
    </r>
    <r>
      <rPr>
        <sz val="9"/>
        <color theme="1"/>
        <rFont val="Aptos Narrow"/>
        <family val="2"/>
      </rPr>
      <t>≥</t>
    </r>
    <r>
      <rPr>
        <sz val="9"/>
        <color theme="1"/>
        <rFont val="Calibri"/>
        <family val="2"/>
        <scheme val="minor"/>
      </rPr>
      <t xml:space="preserve"> 30.000kg (brandstofcel)</t>
    </r>
  </si>
  <si>
    <r>
      <t xml:space="preserve">N3, emissievrij zwaar waterstofvoertuig </t>
    </r>
    <r>
      <rPr>
        <sz val="9"/>
        <color theme="1"/>
        <rFont val="Aptos Narrow"/>
        <family val="2"/>
      </rPr>
      <t>≥</t>
    </r>
    <r>
      <rPr>
        <sz val="9"/>
        <color theme="1"/>
        <rFont val="Calibri"/>
        <family val="2"/>
        <scheme val="minor"/>
      </rPr>
      <t xml:space="preserve"> 30.000 kg (waterstofverbrandingsmotor)</t>
    </r>
  </si>
  <si>
    <t>emissievrije overslagmachine (brandstofcel)</t>
  </si>
  <si>
    <t>werktuig</t>
  </si>
  <si>
    <t>emissievrije vorkheftruck (brandstofcel)</t>
  </si>
  <si>
    <t>emissievrije verreiker (brandstofcel)</t>
  </si>
  <si>
    <t>emissievrije pushbacktruck (brandstofcel)</t>
  </si>
  <si>
    <t>emissievrije terminaltrekker (brandstofcel)</t>
  </si>
  <si>
    <t>Tankstation</t>
  </si>
  <si>
    <t>Wegvervoer</t>
  </si>
  <si>
    <t>Multimodaal</t>
  </si>
  <si>
    <t>N.v.t.</t>
  </si>
  <si>
    <t xml:space="preserve"> -</t>
  </si>
  <si>
    <t>A1</t>
  </si>
  <si>
    <t xml:space="preserve">A1: Tankinfrastructuur </t>
  </si>
  <si>
    <t>A2</t>
  </si>
  <si>
    <t>A2: Tubetrailers</t>
  </si>
  <si>
    <t>A3</t>
  </si>
  <si>
    <t xml:space="preserve">A3: Aansluiting tankinfrastructuur </t>
  </si>
  <si>
    <t>A4</t>
  </si>
  <si>
    <t>A4: Civieltechnische werken</t>
  </si>
  <si>
    <t>A5</t>
  </si>
  <si>
    <t>A5: Terrein- of wegaanpassingen</t>
  </si>
  <si>
    <t>A6</t>
  </si>
  <si>
    <t>A6: Installatiekosten</t>
  </si>
  <si>
    <t>A7</t>
  </si>
  <si>
    <t>A7: Nog aan te vragen vergunning(en)</t>
  </si>
  <si>
    <t>Nieuw</t>
  </si>
  <si>
    <t>Retrofit</t>
  </si>
  <si>
    <t xml:space="preserve">Grondslag voor Correctie </t>
  </si>
  <si>
    <t>Grondslag voor referentievoertuig</t>
  </si>
  <si>
    <t>Upgrade niet noodzakelijk voor retrofit</t>
  </si>
  <si>
    <t>BPM</t>
  </si>
  <si>
    <t>Extra's welke niet subsidiabel zijn</t>
  </si>
  <si>
    <t>Overig, namelijk</t>
  </si>
  <si>
    <t>Laadbak</t>
  </si>
  <si>
    <t>Donorvoertuig</t>
  </si>
  <si>
    <t>Subsidieregeling Mobiliteit in Waterstof 2026</t>
  </si>
  <si>
    <t>Toelichting op begroting</t>
  </si>
  <si>
    <t>Algemeen</t>
  </si>
  <si>
    <t xml:space="preserve">
- Deze begroting gebruikt u voor het indienen van een aanvraag voor de Subsidieregeling Waterstof in Mobiliteit (SWiM). 
- Gebruik dit document alleen voor een aanvraag in het jaar 2026. Latere jaren hebben een eigen begrotingsformulier.  
- Deze begroting is opgebouwd uit gele en blauwe tabbladen. Op de gele tabbladen vult u gegevens in, blauwe tabbladen zijn informatief. 
- Deze begroting vult u in voordat u het aanvraagformulier invult. Een ingevuld begrotingsformat helpt u om sneller het aanvraagformulier in te vullen. 
- In deze begroting krijgt u ook een indicatie van de score van uw aanvraag. RVO kan deze punten nog aanpassen na de beoordeling van de subsidieaanvraag. 
</t>
  </si>
  <si>
    <t>Aandachtspunten</t>
  </si>
  <si>
    <t xml:space="preserve">
- Iedere deelnemer die subsidie aanvraagt, vult afzonderlijk de relevante tabbladen van deze begroting in. 
- De penvoerder controleert het totaaloverzicht van de gevraagde subsidie en de kosten per deelnemer (tabblad 'totaaloverzicht'). 
</t>
  </si>
  <si>
    <t>Waterstoftankstation</t>
  </si>
  <si>
    <t xml:space="preserve">
In het tabblad 'Deelnemer 1 tankstation' vult u gegevens aan van het betrokken waterstoftankstation. Indien uw aanvraag een te verbouwen of nieuw waterstoftankstation bevat, dan vult u ook de kosten en gevraagde subsidie voor dat onderdeel in op dit tabblad. </t>
  </si>
  <si>
    <t>- rechtstreeks zijn toe te rekenen aan de bouw, installatie, upgrade of uitbreiding van tankinfrastructuur;</t>
  </si>
  <si>
    <t>- voor eigen rekening komen van de aanvrager;</t>
  </si>
  <si>
    <t>- werkelijk worden gemaakt ná indiening van de aanvraag en vóór het einde van het project.</t>
  </si>
  <si>
    <t>- de subsidie is maximaal 40% van de subsidiabele kosten, als u minder aanvraagt, scoort uw aanvraag hoger.</t>
  </si>
  <si>
    <t>De kosten voor een regulier waterstoftankstation voor (zwaar) wegvervoer vallen onder staatssteunregels van artikel 36 bis AGVV.</t>
  </si>
  <si>
    <t>De kosten voor een multimodaal tankstation vallen onder staatssteunregels van:</t>
  </si>
  <si>
    <t>- Spoorvervoer, artikel 36 bis AGVV;</t>
  </si>
  <si>
    <t>- Vervoer over binnenwateren, artikel 56 quater AGVV (steun voor binnenhavens);</t>
  </si>
  <si>
    <t>- Zeevervoer, artikel 56 ter AGVV (steun voor zeehavens).</t>
  </si>
  <si>
    <t xml:space="preserve">Derhalve wordt bij het invullen van de kosten voor aan waterstoftankstation ook gevraagd op welke modaliteit de kosten betrekking hebben. De maximale subsidie voor het tankstation is € 3.000.000. In het geval van een multimodaal tankstation dat naast zwaar wegvervoer ook geschikt is voor minimaal één van de andere modaliteitein (spoor, binnenwateren, zee) is de maximale subsidie €4.000.000. 
Bij een multimodaal tankstation dat ook geschikt is voor vervoer over binnenwateren moet, conform artikel 56 quater vierde en achtste lid AGVV, bij een gevraagd subsidiebedrag vanaf €2.200.000 voor deze activiteiten ook een exploitatieberekening meegestuurd worden en moet bij een positief saldo (exploitatieopbrengsten - exploitatiekosten) deze exploitatiewinst in mindering gebracht worden op de subsidiabele kosten. </t>
  </si>
  <si>
    <t xml:space="preserve"> </t>
  </si>
  <si>
    <t>Subsidiabele kosten waterstoftankstation</t>
  </si>
  <si>
    <t xml:space="preserve">- kosten voor de tankinfrastructuur zelf en daarmee verband houdende technische uitrusting, 
</t>
  </si>
  <si>
    <t xml:space="preserve">- de installatie of verbetering van elektrische of andere onderdelen, inclusief elektriciteitskabels en transformatoren die nodig zijn voor de aansluiting van de tankinfrastructuur op een lokale productie- of opslageenheid voor waterstof, </t>
  </si>
  <si>
    <t xml:space="preserve">- civieltechnische werken, </t>
  </si>
  <si>
    <t xml:space="preserve">- terrein- of wegaanpassingen, </t>
  </si>
  <si>
    <t>- installatiekosten</t>
  </si>
  <si>
    <t>- kosten voor het verkrijgen van de nodige vergunningen</t>
  </si>
  <si>
    <t>Indien loonkosten vallen onder de bovengenoemde kosten, dan worden deze berekend op basis van een uurtarief voor directe loonkosten. Dit wordt bepaald door de directe loonkosten per jaar te delen door de contracturen. Dit tarief wordt vermenigvuldigd met het aantal uren dat aan het project wordt gewerkt. U geeft in deze begroting de contracturen per maand op. Deze worden in de berekening automatisch omgerekend naar uren per jaar.</t>
  </si>
  <si>
    <t>Voertuigen</t>
  </si>
  <si>
    <t>Voor nieuwe voertuigen zijn de meerkosten voor aanschaf van een waterstofvoertuig ten opzichte van een vergelijkbaar voertuig op fossiele brandstof subsidiabel. Vanaf 2026 komen naast waterstofvoertuigen voor het wegvervoer ook waterstofwerktuigen in aanmerking voor subsidie. Dit geldt ook voor de volgende logistieke werktuigen die voorzien zijn van een brandstofcel: overslagmachines, een vorkheftruck, verreiker, pushbacktruck en een terminaltrekker.</t>
  </si>
  <si>
    <t xml:space="preserve">U geeft daarom voor nieuwe voertuigen de aanschafprijs van het waterstofvoertuig op en de aanschafprijs van een vergelijkbaar voertuig, met dezelfde opties, op fossiele brandstof. Ook kosten zoals BPM (indien van toepassing in de voertuigcategorie) zijn onderdeel van de referentiekosten. Voor beide voertuigen levert u ook een offerte aan. Die kunt u uploaden in het aanvraagformulier. 
</t>
  </si>
  <si>
    <t>Voor retrofit komen alleen de kosten voor de ombouw van de aandrijflijn in aanmerking, dus exclusief de aanschaf van het donorvoertuig en eventuele "refurbishing"-kosten zoals nieuwe stoelbekleding of extra opties.</t>
  </si>
  <si>
    <t xml:space="preserve">De subsidie voor voertuigen is maximaal 80% van de subsidiabele kosten. Als u minder subsidie aanvraagt, scoort uw aanvraag hoger. </t>
  </si>
  <si>
    <t>Rangschikking</t>
  </si>
  <si>
    <t xml:space="preserve">
Deze regeling werkt met de tendermethode. Dit betekent dat alle aanvragen die aan de voorwaarden van de subsidieregeling voldoen een score krijgen op basis van rangschikkingscriteria.</t>
  </si>
  <si>
    <t>Wat deze precies zijn vindt u in de regeling en op onze website:</t>
  </si>
  <si>
    <t xml:space="preserve">rvo.nl/swim </t>
  </si>
  <si>
    <t xml:space="preserve">In het tabblad Totaaloverzicht wordt uw score voor de rangschikking berekend op basis van de door u ingevulde gegevens.  
Wanneer u ook subsidie aanvraagt voor een waterstoftankstation, dan kunt u in het bovenste blok in het tabblad 'deelnemer 1 tankstation' extra informatie invullen over het waterstoftankstation waardoor ook de score voor het tankstation berekend wordt. 
Na beoordeling van uw subsidieaanvraag wordt door RVO de definitieve score bepaald, deze is leidend voor de rangschikking. </t>
  </si>
  <si>
    <t>scoreberekening</t>
  </si>
  <si>
    <t>waterstoftankstation</t>
  </si>
  <si>
    <t xml:space="preserve">Uit aanvraag: </t>
  </si>
  <si>
    <t>Aangevraagd subsidiebedrag waterstoftankstation</t>
  </si>
  <si>
    <t>Let op! Geen correctie toepassen op basis van niet subsidiabele kosten</t>
  </si>
  <si>
    <t>Dagcapaciteit</t>
  </si>
  <si>
    <t>Opschaalbaarheid</t>
  </si>
  <si>
    <t>Totaal aantal onafhankelijk van elkaar werkende tankpunten op het tankstation</t>
  </si>
  <si>
    <t xml:space="preserve">  -  Waarvan geschikt voor wegvervoer</t>
  </si>
  <si>
    <t xml:space="preserve">  -  Waarvan geschikt voor overige modaliteiten (alleen invullen bij multimodaal tankstation)</t>
  </si>
  <si>
    <t xml:space="preserve">Fase van de vergunningaanvraag </t>
  </si>
  <si>
    <t xml:space="preserve">Publiek toegankelijk tankstation? </t>
  </si>
  <si>
    <t>Hernieuwbare waterstof?</t>
  </si>
  <si>
    <t>voertuigen</t>
  </si>
  <si>
    <t>Gevraagde subsidie (gecorrigeerde)</t>
  </si>
  <si>
    <t>Maximale subsidie</t>
  </si>
  <si>
    <t>Uiteindelijke score:</t>
  </si>
  <si>
    <t>Voor de Investering in een waterstoftankstation</t>
  </si>
  <si>
    <t>berekende score</t>
  </si>
  <si>
    <t>score volgens adviseur</t>
  </si>
  <si>
    <t>onderbouwing</t>
  </si>
  <si>
    <t>Inzet financiële middelen</t>
  </si>
  <si>
    <t>Score onafhankelijke tankpunten</t>
  </si>
  <si>
    <t>Fase van de vergunningaanvraag :</t>
  </si>
  <si>
    <t xml:space="preserve">Publiek toegankelijk? </t>
  </si>
  <si>
    <t>hernieuwbare waterstof?</t>
  </si>
  <si>
    <t>totaal tankstation</t>
  </si>
  <si>
    <t xml:space="preserve">Voor de emissievrije waterstofvoertuigen </t>
  </si>
  <si>
    <t>Totaalscore</t>
  </si>
  <si>
    <t>nieuw in stedelijk knooppunt?</t>
  </si>
  <si>
    <t>Subsidieregeling waterstof in mobiliteit</t>
  </si>
  <si>
    <t>Projecttitel</t>
  </si>
  <si>
    <t>Zaaknummer</t>
  </si>
  <si>
    <t>Voertuig</t>
  </si>
  <si>
    <t>Deelnemer</t>
  </si>
  <si>
    <t>Naam</t>
  </si>
  <si>
    <t>Type voertuig
(Nieuw/Retrofit)</t>
  </si>
  <si>
    <t>Aantal voertuigen
(per categorie)</t>
  </si>
  <si>
    <t xml:space="preserve">Kosten per voertuig
(op basis van offerte) </t>
  </si>
  <si>
    <t xml:space="preserve">Kosten referentievoertuig
(op basis van offerte) </t>
  </si>
  <si>
    <t>Totale kosten voertuigen
(op basis van offerte)</t>
  </si>
  <si>
    <t>Totale kosten Ref.-voertuigen
(op basis van offerte)</t>
  </si>
  <si>
    <t>Subsidiabele kosten 
(per voertuig)</t>
  </si>
  <si>
    <t>Totale gevraagde subsidiebedrag 
(per voertuig categorie)</t>
  </si>
  <si>
    <t>Gevraagde subsidiebedrag 
(per voertuig)</t>
  </si>
  <si>
    <t>Totaal</t>
  </si>
  <si>
    <t>Voertuigcategorie</t>
  </si>
  <si>
    <t>Voertuig/werktuig</t>
  </si>
  <si>
    <r>
      <t xml:space="preserve">In het tabblad 'deelnemer 1 tankstation' kunnen correcties ingevoerd worden door </t>
    </r>
    <r>
      <rPr>
        <b/>
        <sz val="9"/>
        <color rgb="FFFF0000"/>
        <rFont val="Verdana"/>
        <family val="2"/>
      </rPr>
      <t xml:space="preserve">kolommen P t/m T </t>
    </r>
    <r>
      <rPr>
        <b/>
        <sz val="9"/>
        <color theme="1"/>
        <rFont val="Verdana"/>
        <family val="2"/>
      </rPr>
      <t>zichtbaar te maken, nadat je de beveiliging hebt opgeheven. Correcties worden hier automatisch verwerkt</t>
    </r>
  </si>
  <si>
    <r>
      <t xml:space="preserve">Bij de tabladden van de overige deelnemers (vtg) kan dit door </t>
    </r>
    <r>
      <rPr>
        <b/>
        <sz val="9"/>
        <color rgb="FFFF0000"/>
        <rFont val="Verdana"/>
        <family val="2"/>
      </rPr>
      <t>kolommen</t>
    </r>
    <r>
      <rPr>
        <b/>
        <sz val="9"/>
        <color theme="1"/>
        <rFont val="Verdana"/>
        <family val="2"/>
      </rPr>
      <t xml:space="preserve"> </t>
    </r>
    <r>
      <rPr>
        <b/>
        <sz val="9"/>
        <color rgb="FFFF0000"/>
        <rFont val="Verdana"/>
        <family val="2"/>
      </rPr>
      <t>V t/m AK</t>
    </r>
    <r>
      <rPr>
        <b/>
        <sz val="9"/>
        <color theme="1"/>
        <rFont val="Verdana"/>
        <family val="2"/>
      </rPr>
      <t xml:space="preserve"> zichtbaar te maken. </t>
    </r>
  </si>
  <si>
    <t>Overzicht - Deelnemers en subsidie</t>
  </si>
  <si>
    <t>Aangepaste berekening subsidie</t>
  </si>
  <si>
    <t>deelnemer</t>
  </si>
  <si>
    <t>naam</t>
  </si>
  <si>
    <t>Subsiabele kosten (na correctie)</t>
  </si>
  <si>
    <t>gevraagde subsidie</t>
  </si>
  <si>
    <t>andere subsidies</t>
  </si>
  <si>
    <t>eigen bijdrage</t>
  </si>
  <si>
    <t>50% voorschot</t>
  </si>
  <si>
    <t>Toelichting bij aanpassing begroting</t>
  </si>
  <si>
    <t>Totaaloverzicht en hoogte score</t>
  </si>
  <si>
    <t>Subsidie overzicht - Waterstoftankstation en Voertuigen/Werktuigen</t>
  </si>
  <si>
    <t>Correcties RVO</t>
  </si>
  <si>
    <t>Subsidiabele activiteit</t>
  </si>
  <si>
    <t>Totale subsidiabele kosten</t>
  </si>
  <si>
    <t xml:space="preserve">Totale maximale subsidie </t>
  </si>
  <si>
    <t>Totale gevraagde subsidie</t>
  </si>
  <si>
    <t>Andere subsidie</t>
  </si>
  <si>
    <t>Eigen bijdrage</t>
  </si>
  <si>
    <t>Totale subsidiabele kosten (na correctie)</t>
  </si>
  <si>
    <t>Totale maximale subsidie (na correctie)</t>
  </si>
  <si>
    <t>Totaal gecommiteerd subsidiebedrag</t>
  </si>
  <si>
    <t>Totalen</t>
  </si>
  <si>
    <t>Subsidie</t>
  </si>
  <si>
    <r>
      <t xml:space="preserve">Maximale subsidie waterstoftankstation </t>
    </r>
    <r>
      <rPr>
        <vertAlign val="superscript"/>
        <sz val="9"/>
        <color theme="1"/>
        <rFont val="Verdana"/>
        <family val="2"/>
      </rPr>
      <t>1</t>
    </r>
  </si>
  <si>
    <r>
      <t>Maximale subsidie waterstoftankstation</t>
    </r>
    <r>
      <rPr>
        <sz val="8"/>
        <color theme="1"/>
        <rFont val="Verdana"/>
        <family val="2"/>
      </rPr>
      <t xml:space="preserve"> </t>
    </r>
    <r>
      <rPr>
        <vertAlign val="superscript"/>
        <sz val="8"/>
        <color theme="1"/>
        <rFont val="Verdana"/>
        <family val="2"/>
      </rPr>
      <t>1</t>
    </r>
  </si>
  <si>
    <t>Gevraagde subsidie waterstoftankstation</t>
  </si>
  <si>
    <t>Toe te kennen subsidie waterstoftankstation</t>
  </si>
  <si>
    <r>
      <t xml:space="preserve">Maximale subsidie voertuigen / werktuigen </t>
    </r>
    <r>
      <rPr>
        <vertAlign val="superscript"/>
        <sz val="9"/>
        <color theme="1"/>
        <rFont val="Verdana"/>
        <family val="2"/>
      </rPr>
      <t>2</t>
    </r>
  </si>
  <si>
    <t>Totale gevraagde subsidie voertuigen / werktuigen</t>
  </si>
  <si>
    <t xml:space="preserve">Overzicht brandstof verbruik </t>
  </si>
  <si>
    <t>Voertuig categorie</t>
  </si>
  <si>
    <t>Aantal voertuigen per categorie
(Nieuw en Retrofit)</t>
  </si>
  <si>
    <t>Brandstof verbruik 
(kg/dag per voertuig)</t>
  </si>
  <si>
    <t>Brandstof verbruik per categorie kg/dag
(Nieuw en Retrofit)</t>
  </si>
  <si>
    <t>H2-afname door voertuigen in het project</t>
  </si>
  <si>
    <t xml:space="preserve">Totale aantal voertuigen </t>
  </si>
  <si>
    <t>Vereiste minimale basisafname in kg/dag</t>
  </si>
  <si>
    <t>Totale basisafname H2 in kg/dag</t>
  </si>
  <si>
    <t>Vereiste minimale basisafname (50%) door zware wegvoertuigen (N2, N3 &amp; M3)</t>
  </si>
  <si>
    <t>Totale basiafname door zware wegvoertuigen (N2, N3 &amp; M3)</t>
  </si>
  <si>
    <t>Inschatting van de hoogte van de score voor uw project</t>
  </si>
  <si>
    <t>Score - Waterstoftankstation</t>
  </si>
  <si>
    <t>Score voor onafhankelijke tankpunten wegvervoer</t>
  </si>
  <si>
    <t>Fase van de vergunningaanvraag</t>
  </si>
  <si>
    <t>Publiek tankstation</t>
  </si>
  <si>
    <t>Hernieuwbare waterstof</t>
  </si>
  <si>
    <t xml:space="preserve">Score - Emissievrije waterstofvoertuigen </t>
  </si>
  <si>
    <t>Totale score</t>
  </si>
  <si>
    <r>
      <rPr>
        <vertAlign val="superscript"/>
        <sz val="9"/>
        <color theme="1"/>
        <rFont val="Verdana"/>
        <family val="2"/>
      </rPr>
      <t>1</t>
    </r>
    <r>
      <rPr>
        <sz val="9"/>
        <color theme="1"/>
        <rFont val="Verdana"/>
        <family val="2"/>
      </rPr>
      <t xml:space="preserve"> De maximale subsidie bedraagt 40% van de totale subsidiabele kosten (aanleg of opwaardering) tot een maximum van €3.000.000 voor een waterstoftankstation en €4.000.000 voor een multimodaal waterstoftankstation</t>
    </r>
  </si>
  <si>
    <r>
      <rPr>
        <vertAlign val="superscript"/>
        <sz val="9"/>
        <color theme="1"/>
        <rFont val="Verdana"/>
        <family val="2"/>
      </rPr>
      <t>2</t>
    </r>
    <r>
      <rPr>
        <sz val="9"/>
        <color theme="1"/>
        <rFont val="Verdana"/>
        <family val="2"/>
      </rPr>
      <t xml:space="preserve"> De maximale subsidie bedraagt 80% van de totale subsidiabele kosten met in totaal een maximum van €4000 * dagcapaciteit tankstation maar nooit meer dan €8.000.000</t>
    </r>
  </si>
  <si>
    <t>Toelichting kostenposten Waterstoftankstation</t>
  </si>
  <si>
    <t>A1 Kosten voor tankinfrastructuur</t>
  </si>
  <si>
    <r>
      <t xml:space="preserve">Dit betreft de kosten voor de tankinfrastructuur zelf. 
Hier vult u de kosten in voor (de upgrade of uitbreiding van) de waterstoftankinstallatie zelf met directe toebehoren. Denk hierbij aan de pomp, tankslangen, tanknozzles, benodigde compressor, voorraadtank en koeling voor het tanken.
N.B.: Een </t>
    </r>
    <r>
      <rPr>
        <u/>
        <sz val="9"/>
        <color theme="1"/>
        <rFont val="Verdana"/>
        <family val="2"/>
      </rPr>
      <t>externe</t>
    </r>
    <r>
      <rPr>
        <sz val="9"/>
        <color theme="1"/>
        <rFont val="Verdana"/>
        <family val="2"/>
      </rPr>
      <t xml:space="preserve"> installatie om duurzame waterstof zelf te produceren en daarbij behorende apparatuur, bijvoorbeeld een ontvochtigingsinstallatie (“chiller”), hoort expliciet niet bij de tankinfrastructuur waar deze subsidie voor bedoeld is. Een </t>
    </r>
    <r>
      <rPr>
        <u/>
        <sz val="9"/>
        <color theme="1"/>
        <rFont val="Verdana"/>
        <family val="2"/>
      </rPr>
      <t>on-site</t>
    </r>
    <r>
      <rPr>
        <sz val="9"/>
        <color theme="1"/>
        <rFont val="Verdana"/>
        <family val="2"/>
      </rPr>
      <t xml:space="preserve"> productie- en/of opslag-unit voor hernieuwbare waterstof kan wel tot de subsidiabele waterstoftankinfrastructuur gerekend worden, mits de nominale productiecapaciteit niet groter is dan de tankcapaciteit van de waterstoftankinstallatie waar zij op aangesloten is. 
</t>
    </r>
  </si>
  <si>
    <t>A3 Kosten aansluiting tankinfrastructuur op een lokale productie- of opslageenheid voor waterstof</t>
  </si>
  <si>
    <t>Het gaat hier om kosten voor aansluiting van elektrische of andere onderdelen, met inbegrip van leidingen en koppelstukken, afsluiters en ventielen, die nodig zijn voor de aansluiting van de tankinfrastructuur op het net of op een lokale productie- of opslageenheid voor waterstof. De kosten voor de lokale productie-eenheid van waterstof zijn uitgesloten.</t>
  </si>
  <si>
    <t>A4 Civieltechnische werken</t>
  </si>
  <si>
    <t>Grondgebonden werkzaamheden op het terrein van het waterstoftankstation aan werken zoals leidingen en riolering, die noodzakelijk zijn voor de nieuwbouw of verbouw van het waterstoftankstation.</t>
  </si>
  <si>
    <t>A5 Terrein- of wegaanpassingen</t>
  </si>
  <si>
    <t xml:space="preserve">Het betreft hier aanpassingen die nodig zijn om het tankstation te bereiken vanuit de openbare weg. Het gaat alleen om werkzaamheden op het terrein van het waterstoftankstation. </t>
  </si>
  <si>
    <t>A6 Installatiekosten</t>
  </si>
  <si>
    <t>Kosten voor het installeren en testen van de waterstoftankinstallatie met directe toebehoren zelf.</t>
  </si>
  <si>
    <t>A7 Kosten voor nog aan te vragen vergunningen</t>
  </si>
  <si>
    <t xml:space="preserve">Dit betreft eventuele andere vergunningen dan de omgevingsvergunning voor de bouw/ opwaardering van het waterstoftankstation. 
De vergunning of ontheffing moet direct te relateren zijn aan het waterstoftankstation. </t>
  </si>
  <si>
    <t>A8 Loonkosten</t>
  </si>
  <si>
    <t xml:space="preserve">
Als de exploitant deze werkzaamheden zelf uitvoert, kunnen ook loonkosten hieronder vallen. Deze berekent u door de begrote uren te vermenigvuldigen met het uurtarief. Het uurtarief berekent u door de directe loonkosten per jaar te delen door de contracturen. De contracturen per jaar berekent u door de contracturen per week te vermenigvuldigen met 52. 
In het tabblad "Deelnemer 1 tankstation" is bovenstaande voor u al verwerkt in de formules. U vult in: het totaal aantal begrote uren in de projectperiode t.b.v. het project, het totaal directe loonkosten per jaar en het aantal contracturen per week. 
</t>
  </si>
  <si>
    <t>Directe loonkosten bestaan uit:</t>
  </si>
  <si>
    <t>- Brutoloon volgens salaristabel behorend bij CAO (schaal/trede) of de individuele arbeidsovereenkomst</t>
  </si>
  <si>
    <t>- Vakantie-uitkering</t>
  </si>
  <si>
    <t>- Niet van winst afhankelijke eindejaarsuitkering/13e maand</t>
  </si>
  <si>
    <t>- Werkgeverslasten:
  º Werkgeversdeel pensioenpremie
  º WW premie
  º WIA/WAO-premie
  º Bijdrage Zorgverzekeringswet (ZVW)</t>
  </si>
  <si>
    <t>- Overige werkgeverspremies voor werkloosheids- en ziektekostenuitkeringen</t>
  </si>
  <si>
    <t>Subsidieregeling Waterstof in Mobiliteit</t>
  </si>
  <si>
    <t>Begroting - Aanleg of opwaardering van een (multimodaal) waterstoftankstation</t>
  </si>
  <si>
    <t>Project gegevens</t>
  </si>
  <si>
    <t>in te vullen door RVO</t>
  </si>
  <si>
    <t xml:space="preserve">Startdatum </t>
  </si>
  <si>
    <t xml:space="preserve">Einddatum  </t>
  </si>
  <si>
    <t xml:space="preserve">Gegevens deelnemer </t>
  </si>
  <si>
    <t xml:space="preserve">Penvoerder </t>
  </si>
  <si>
    <t>Nee</t>
  </si>
  <si>
    <t>Gegevens waterstoftankstation dat geschikt is voor zwaar wegvervoer</t>
  </si>
  <si>
    <r>
      <t>Dagcapaciteit na uitvoering project (kg/dag)</t>
    </r>
    <r>
      <rPr>
        <vertAlign val="superscript"/>
        <sz val="9"/>
        <color theme="1"/>
        <rFont val="Verdana"/>
        <family val="2"/>
      </rPr>
      <t>1</t>
    </r>
  </si>
  <si>
    <r>
      <t>Dagcapaciteit op basis van de vergunning (opschaalbaarheid)</t>
    </r>
    <r>
      <rPr>
        <vertAlign val="superscript"/>
        <sz val="9"/>
        <color rgb="FF000000"/>
        <rFont val="Verdana"/>
        <family val="2"/>
      </rPr>
      <t>2</t>
    </r>
  </si>
  <si>
    <t xml:space="preserve">Status van vergunning </t>
  </si>
  <si>
    <t xml:space="preserve">Is het tankstation publiekelijk toegankelijk? </t>
  </si>
  <si>
    <r>
      <t xml:space="preserve">Wordt vanaf de start gebruik gemaakt van hernieuwbare waterstof? </t>
    </r>
    <r>
      <rPr>
        <b/>
        <vertAlign val="superscript"/>
        <sz val="9"/>
        <color theme="1"/>
        <rFont val="Verdana"/>
        <family val="2"/>
      </rPr>
      <t>3</t>
    </r>
    <r>
      <rPr>
        <sz val="9"/>
        <color theme="1"/>
        <rFont val="Verdana"/>
        <family val="2"/>
      </rPr>
      <t xml:space="preserve"> </t>
    </r>
  </si>
  <si>
    <t>Gegevens multimodaal tankstation</t>
  </si>
  <si>
    <r>
      <t xml:space="preserve">Voldoet het waterstoftankstation aan de definitie van een multimodaal tankstation? </t>
    </r>
    <r>
      <rPr>
        <vertAlign val="superscript"/>
        <sz val="9"/>
        <color theme="1"/>
        <rFont val="Verdana"/>
        <family val="2"/>
      </rPr>
      <t>4</t>
    </r>
  </si>
  <si>
    <t>Voor welke modaliteit is of wordt het waterstof tankstation, naast zwaar wegvervoer, nog meer geschikt?</t>
  </si>
  <si>
    <t>Spoorvervoer</t>
  </si>
  <si>
    <t>Vervoer over de binnenwateren</t>
  </si>
  <si>
    <t>Zeevervoer</t>
  </si>
  <si>
    <t>Gegevens tankpunten</t>
  </si>
  <si>
    <t xml:space="preserve">  -  Waarvan geschikt voor overige modaliteiten 
     (alleen invullen bij multimodaal tankstation)</t>
  </si>
  <si>
    <t>Kosten Waterstoftankstation</t>
  </si>
  <si>
    <t>Vul in de onderste tabellen (A1 t/m A8) de kosten van uw project. In het tabblad 'Uitleg posten tankstation' leest u welke kosten voor subsidie in aanmerking komen</t>
  </si>
  <si>
    <t>Omschrijving van de kosten</t>
  </si>
  <si>
    <t xml:space="preserve">Naam document (bijlage) </t>
  </si>
  <si>
    <t>Soort modaliteit</t>
  </si>
  <si>
    <t>Kosten</t>
  </si>
  <si>
    <t>Correctie</t>
  </si>
  <si>
    <t>Na correctie</t>
  </si>
  <si>
    <t>toelichting correctie</t>
  </si>
  <si>
    <t/>
  </si>
  <si>
    <t>Subtotaal</t>
  </si>
  <si>
    <t>A3: Aansluiting tankinfrastructuur (op een lokale productie- of opslageenheid voor waterstof)</t>
  </si>
  <si>
    <t xml:space="preserve">  </t>
  </si>
  <si>
    <t>A8: Loonkosten</t>
  </si>
  <si>
    <t>Subsidiabele kosten</t>
  </si>
  <si>
    <t>Omschrijving van de werkzaamheden</t>
  </si>
  <si>
    <t>Functie van de medewerker</t>
  </si>
  <si>
    <t>Aantal uren</t>
  </si>
  <si>
    <t>Directe loonkosten 
(per jaar)</t>
  </si>
  <si>
    <t>Contracturen 
(per week)</t>
  </si>
  <si>
    <t xml:space="preserve">Overzicht financiering waterstoftankstation </t>
  </si>
  <si>
    <t>Subsidiabele kosten na eventuele verrekening exploitatiewinst</t>
  </si>
  <si>
    <t>Gevraagd subsidiepercentage:</t>
  </si>
  <si>
    <t>Correctie(s)</t>
  </si>
  <si>
    <t>Subsdiabele kosten na correctie</t>
  </si>
  <si>
    <t>Maximale subsidie na correctie</t>
  </si>
  <si>
    <t xml:space="preserve">Waarvan toe te rekenen aan: </t>
  </si>
  <si>
    <r>
      <t xml:space="preserve">Overige subsidiebedragen </t>
    </r>
    <r>
      <rPr>
        <vertAlign val="superscript"/>
        <sz val="9"/>
        <color theme="1"/>
        <rFont val="Verdana"/>
        <family val="2"/>
      </rPr>
      <t>8</t>
    </r>
  </si>
  <si>
    <t>Overige subsidiebedragen</t>
  </si>
  <si>
    <r>
      <rPr>
        <b/>
        <vertAlign val="superscript"/>
        <sz val="9"/>
        <color theme="1"/>
        <rFont val="Verdana"/>
        <family val="2"/>
      </rPr>
      <t>1</t>
    </r>
    <r>
      <rPr>
        <b/>
        <sz val="9"/>
        <color theme="1"/>
        <rFont val="Verdana"/>
        <family val="2"/>
      </rPr>
      <t xml:space="preserve"> De fysieke dagcapaciteit op basis van een offerte van het tankstation</t>
    </r>
  </si>
  <si>
    <r>
      <rPr>
        <b/>
        <vertAlign val="superscript"/>
        <sz val="9"/>
        <color theme="1"/>
        <rFont val="Verdana"/>
        <family val="2"/>
      </rPr>
      <t>2</t>
    </r>
    <r>
      <rPr>
        <b/>
        <sz val="9"/>
        <color theme="1"/>
        <rFont val="Verdana"/>
        <family val="2"/>
      </rPr>
      <t xml:space="preserve"> Toegestane dagcapaciteit volgens vergunning(aanvraag). U dient hiervoor bewijs aan te leveren in het aanvraagformulier.</t>
    </r>
  </si>
  <si>
    <r>
      <t>4</t>
    </r>
    <r>
      <rPr>
        <b/>
        <sz val="9"/>
        <color theme="1"/>
        <rFont val="Verdana"/>
        <family val="2"/>
      </rPr>
      <t xml:space="preserve"> waterstoftankstation dat geschikt is voor het leveren van waterstof aan vrachtvervoer over de weg en aan ten minste één van de volgende vervoersmodaliteiten: spoorvervoer, vervoer over de binnenwateren, zeevervoer.</t>
    </r>
  </si>
  <si>
    <r>
      <rPr>
        <b/>
        <vertAlign val="superscript"/>
        <sz val="9"/>
        <color theme="1"/>
        <rFont val="Verdana"/>
        <family val="2"/>
      </rPr>
      <t>8</t>
    </r>
    <r>
      <rPr>
        <b/>
        <sz val="9"/>
        <color theme="1"/>
        <rFont val="Verdana"/>
        <family val="2"/>
      </rPr>
      <t xml:space="preserve"> Indien u elders subsidie heeft aangevraagd voor (een deel van) de tankstation-investeringen voor dit project, moet u hier de toegezegde subsidie opgeven. (niet bekend = €0)</t>
    </r>
  </si>
  <si>
    <t>Begroting - Voertuigen &amp; Werktuigen</t>
  </si>
  <si>
    <t>Gegevens deelnemer</t>
  </si>
  <si>
    <t>Penvoerder</t>
  </si>
  <si>
    <t xml:space="preserve">Vul in de onderstaande tabel de volgende gegevens van de voertuig(en) en/of werktuig(en) in: </t>
  </si>
  <si>
    <t>- Voertuig/werktuig categorie waar u subsidie voor aanvraagt</t>
  </si>
  <si>
    <t>- Type voertuig/werktuig (Nieuw/Retrofit) waar u subsidie voor aanvraagt.</t>
  </si>
  <si>
    <t>- Aantal voertuigen/werktuigen per categorie waar u subsidie voor aanvraagt.</t>
  </si>
  <si>
    <t>- De kosten van het voertuig/werktuig, op basis van de offerte. Dit is van toepassing voor het aanschaffen van voertuigen/werktuigen (nieuw en retrofit).</t>
  </si>
  <si>
    <t>- De kosten van het referentievoertuig/-werktuig, op basis van de offerte. Dit is alleen van toepassing voor het aanschaffen van nieuwe voertuigen/werktuigen.</t>
  </si>
  <si>
    <t>Correctie door RVO</t>
  </si>
  <si>
    <t>- Het gevraagde subsidiebedrag per voertuig/werktuig (nieuw en/of retrofit). Dit is mede bepalend voor de rangschikking van uw aanvraag.</t>
  </si>
  <si>
    <t>Voertuig / werktuig categorie</t>
  </si>
  <si>
    <r>
      <t>Max. subsidiebedrag
(per categorie)</t>
    </r>
    <r>
      <rPr>
        <b/>
        <vertAlign val="superscript"/>
        <sz val="9"/>
        <color theme="1"/>
        <rFont val="Verdana"/>
        <family val="2"/>
      </rPr>
      <t xml:space="preserve">1 </t>
    </r>
  </si>
  <si>
    <t xml:space="preserve">Type
(Nieuw/Retrofit) </t>
  </si>
  <si>
    <t>Aantal 
(per categorie)</t>
  </si>
  <si>
    <t xml:space="preserve">Kosten per voertuig/werktuig
(op basis van offerte) </t>
  </si>
  <si>
    <t xml:space="preserve">Totale kosten voertuigen/werktuigen
</t>
  </si>
  <si>
    <t xml:space="preserve">Kosten referentievoertuig/ -werktuig
(op basis van offerte) </t>
  </si>
  <si>
    <t>Totale kosten referentievoertuigen/ - werktuigen</t>
  </si>
  <si>
    <r>
      <t xml:space="preserve">Subsidiabele kosten 
(per voertuig/werktuig) </t>
    </r>
    <r>
      <rPr>
        <b/>
        <vertAlign val="superscript"/>
        <sz val="9"/>
        <color theme="1"/>
        <rFont val="Verdana"/>
        <family val="2"/>
      </rPr>
      <t>2</t>
    </r>
    <r>
      <rPr>
        <b/>
        <sz val="9"/>
        <color theme="1"/>
        <rFont val="Verdana"/>
        <family val="2"/>
      </rPr>
      <t xml:space="preserve"> </t>
    </r>
  </si>
  <si>
    <t>Totalen subsidiabele kosten 
(per categorie)</t>
  </si>
  <si>
    <t xml:space="preserve">Totale maximale subsidiebedrag
(per categorie) </t>
  </si>
  <si>
    <t xml:space="preserve">Totale maximale subsidiebedrag
(per voertuig/werktuig) </t>
  </si>
  <si>
    <r>
      <t xml:space="preserve">Gevraagde subsidiebedrag 
(per voertuig/werktuig) </t>
    </r>
    <r>
      <rPr>
        <b/>
        <vertAlign val="superscript"/>
        <sz val="9"/>
        <color theme="1"/>
        <rFont val="Verdana"/>
        <family val="2"/>
      </rPr>
      <t>3</t>
    </r>
    <r>
      <rPr>
        <b/>
        <sz val="9"/>
        <color theme="1"/>
        <rFont val="Verdana"/>
        <family val="2"/>
      </rPr>
      <t xml:space="preserve"> </t>
    </r>
  </si>
  <si>
    <t>Gevraagd subsidiepercentage t.o.v. maximale subsidie</t>
  </si>
  <si>
    <t>Totale gevraagde subsidiebedrag
(per categorie)</t>
  </si>
  <si>
    <t>Aantal (per categorie)</t>
  </si>
  <si>
    <t>Kosten per voertuig/werktuig</t>
  </si>
  <si>
    <t>Reden voor correctie</t>
  </si>
  <si>
    <t xml:space="preserve">Kosten voertuig/werktuig na correctie
</t>
  </si>
  <si>
    <t>Totale kosten voertuigen/werktuigen na correctie</t>
  </si>
  <si>
    <t xml:space="preserve">Kosten referentievoertuig/ - werktuig
(op basis van offerte) </t>
  </si>
  <si>
    <t>Gecorrigeerd referentievoertuig/ -werktuig</t>
  </si>
  <si>
    <t xml:space="preserve">Toelichting correctie (reden en bedrag) </t>
  </si>
  <si>
    <t>Kosten referentie voertuig/werktuig na correctie</t>
  </si>
  <si>
    <t>Totale kosten referentievoertuigen/ -werktuigen na correctie</t>
  </si>
  <si>
    <t>Subsidiabele kosten per voertuig/werktuig
na correctie</t>
  </si>
  <si>
    <t>Totale subsidiabele kosten 
(per categorie)</t>
  </si>
  <si>
    <t>Totale toe te kennen subsidiebedrag
(per categorie)</t>
  </si>
  <si>
    <t>Totale toe te kennen subsidiebedrag
(per voertuig / werktuig)</t>
  </si>
  <si>
    <r>
      <rPr>
        <b/>
        <vertAlign val="superscript"/>
        <sz val="8"/>
        <color theme="1"/>
        <rFont val="Verdana"/>
        <family val="2"/>
      </rPr>
      <t>1</t>
    </r>
    <r>
      <rPr>
        <b/>
        <sz val="8"/>
        <color theme="1"/>
        <rFont val="Verdana"/>
        <family val="2"/>
      </rPr>
      <t xml:space="preserve"> Maximale subsidiebedrag dat kan worden verleend per voertuig/werktuig per categorie conform de SWIM regeling.</t>
    </r>
  </si>
  <si>
    <r>
      <rPr>
        <b/>
        <vertAlign val="superscript"/>
        <sz val="8"/>
        <color theme="1"/>
        <rFont val="Verdana"/>
        <family val="2"/>
      </rPr>
      <t>2</t>
    </r>
    <r>
      <rPr>
        <b/>
        <sz val="8"/>
        <color theme="1"/>
        <rFont val="Verdana"/>
        <family val="2"/>
      </rPr>
      <t xml:space="preserve"> Subsidabele kosten per voertuig/werktuig; het verschil tussen kosten nieuw voertuig/werktuig en referentie voertuig/werktuig. Deze kosten dient u over te nemen in het aanvraagformulier.</t>
    </r>
  </si>
  <si>
    <r>
      <rPr>
        <b/>
        <vertAlign val="superscript"/>
        <sz val="8"/>
        <color theme="1"/>
        <rFont val="Verdana"/>
        <family val="2"/>
      </rPr>
      <t>3</t>
    </r>
    <r>
      <rPr>
        <b/>
        <sz val="8"/>
        <color theme="1"/>
        <rFont val="Verdana"/>
        <family val="2"/>
      </rPr>
      <t xml:space="preserve"> De hoogte van het subsidiebedrag dat u aanvraagt per voertuig/werktuig. Deze kosten dient u over te nemen in het aanvraagformulier.</t>
    </r>
  </si>
  <si>
    <t>Overzicht investeringskosten voertuigen</t>
  </si>
  <si>
    <t>Overzicht investeringskosten voertuigen en werktuigen na correcties</t>
  </si>
  <si>
    <t>Totale kosten voertuigen</t>
  </si>
  <si>
    <t>Totale Referentie voertuigen</t>
  </si>
  <si>
    <t>Totale subsidiabele kosten (nieuw/retrofit)</t>
  </si>
  <si>
    <t>Totale maximale subsidiebedrag (nieuwe/retrofit)</t>
  </si>
  <si>
    <t>Totale gevraagde subsidiebedrag (nieuw/retrofit)</t>
  </si>
  <si>
    <t>Totale gecommitteerde subsidiebedrag (nieuw/retrofit)</t>
  </si>
  <si>
    <t>Gevraagd subsidiepercentage (gewogen)</t>
  </si>
  <si>
    <t>Overige ontvangen subsidiebedragen</t>
  </si>
  <si>
    <t>Correctie begroting (indien van toepassing)</t>
  </si>
  <si>
    <t>Datum</t>
  </si>
  <si>
    <t>Toelichting correctie (PA)</t>
  </si>
  <si>
    <t>Toelichting correctie (FEM)</t>
  </si>
  <si>
    <t>Toelichting correctie          (Reden en bedrag)</t>
  </si>
  <si>
    <r>
      <t>3</t>
    </r>
    <r>
      <rPr>
        <b/>
        <sz val="8"/>
        <color theme="1"/>
        <rFont val="Verdana"/>
        <family val="2"/>
      </rPr>
      <t xml:space="preserve"> De hoogte van het subsidiebedrag dat u aanvraagt per voertuig/werktuig. Deze kosten dient u over te nemen in het aanvraagformulier.</t>
    </r>
  </si>
  <si>
    <t>Vul in de onderste tabel de kosten van mobiele waterstofopslag voor zover deze niet door de tankstationexploitant gemaakt worden. In het tabblad 'Uitleg posten tankstation' leest u welke kosten voor subsidie in aanmerking komen</t>
  </si>
  <si>
    <r>
      <t xml:space="preserve">Exploitatiewinst </t>
    </r>
    <r>
      <rPr>
        <b/>
        <vertAlign val="superscript"/>
        <sz val="9"/>
        <color theme="1"/>
        <rFont val="Verdana"/>
        <family val="2"/>
      </rPr>
      <t xml:space="preserve">1 </t>
    </r>
    <r>
      <rPr>
        <b/>
        <sz val="9"/>
        <color theme="1"/>
        <rFont val="Verdana"/>
        <family val="2"/>
      </rPr>
      <t>:</t>
    </r>
  </si>
  <si>
    <r>
      <t xml:space="preserve">Maximale subsidiebedrag </t>
    </r>
    <r>
      <rPr>
        <b/>
        <vertAlign val="superscript"/>
        <sz val="9"/>
        <color theme="1"/>
        <rFont val="Verdana"/>
        <family val="2"/>
      </rPr>
      <t xml:space="preserve">2 </t>
    </r>
    <r>
      <rPr>
        <b/>
        <sz val="9"/>
        <color theme="1"/>
        <rFont val="Verdana"/>
        <family val="2"/>
      </rPr>
      <t>:</t>
    </r>
  </si>
  <si>
    <r>
      <t xml:space="preserve">Gevraagde subsidie </t>
    </r>
    <r>
      <rPr>
        <b/>
        <vertAlign val="superscript"/>
        <sz val="9"/>
        <color theme="1"/>
        <rFont val="Verdana"/>
        <family val="2"/>
      </rPr>
      <t xml:space="preserve">3 </t>
    </r>
    <r>
      <rPr>
        <b/>
        <sz val="9"/>
        <color theme="1"/>
        <rFont val="Verdana"/>
        <family val="2"/>
      </rPr>
      <t xml:space="preserve">: </t>
    </r>
  </si>
  <si>
    <t>A2b: Mobiele waterstofopslag deelnemer 26</t>
  </si>
  <si>
    <t>Gecorrigeerd  voertuig/werktuig</t>
  </si>
  <si>
    <t>maximale subsidie 
(na correctie)</t>
  </si>
  <si>
    <t>gevraagde subsidie 
(na correctie)</t>
  </si>
  <si>
    <r>
      <t xml:space="preserve">Exploitatiewinst </t>
    </r>
    <r>
      <rPr>
        <b/>
        <vertAlign val="superscript"/>
        <sz val="9"/>
        <color theme="1"/>
        <rFont val="Verdana"/>
        <family val="2"/>
      </rPr>
      <t>5</t>
    </r>
  </si>
  <si>
    <r>
      <t xml:space="preserve">Maximale subsidiebedrag </t>
    </r>
    <r>
      <rPr>
        <b/>
        <vertAlign val="superscript"/>
        <sz val="9"/>
        <color theme="1"/>
        <rFont val="Verdana"/>
        <family val="2"/>
      </rPr>
      <t>6</t>
    </r>
  </si>
  <si>
    <r>
      <t xml:space="preserve">Gevraagde subsidie </t>
    </r>
    <r>
      <rPr>
        <b/>
        <vertAlign val="superscript"/>
        <sz val="9"/>
        <color theme="1"/>
        <rFont val="Verdana"/>
        <family val="2"/>
      </rPr>
      <t>7</t>
    </r>
  </si>
  <si>
    <t>Aangevraagd subsidiebedrag mobiel waterstofopslag deelnemer 26</t>
  </si>
  <si>
    <t>Aangevraagd subsidiebedrag tankstation + mobiel waterstofopslag</t>
  </si>
  <si>
    <t>Volgens adviseur:</t>
  </si>
  <si>
    <r>
      <t xml:space="preserve">- kosten voor maximaal drie mobiele waterstofopslagen, </t>
    </r>
    <r>
      <rPr>
        <vertAlign val="superscript"/>
        <sz val="10"/>
        <color theme="1"/>
        <rFont val="Verdana"/>
        <family val="2"/>
      </rPr>
      <t>1</t>
    </r>
    <r>
      <rPr>
        <sz val="10"/>
        <color theme="1"/>
        <rFont val="Verdana"/>
        <family val="2"/>
      </rPr>
      <t xml:space="preserve">
</t>
    </r>
  </si>
  <si>
    <t>Begroting - Aanschaf mobiele waterstofopslag; deze wordt gerekend tot de uitrusting van een (multimodaal) waterstoftankstation</t>
  </si>
  <si>
    <r>
      <rPr>
        <b/>
        <vertAlign val="superscript"/>
        <sz val="9"/>
        <color theme="1"/>
        <rFont val="Verdana"/>
        <family val="2"/>
      </rPr>
      <t>3</t>
    </r>
    <r>
      <rPr>
        <b/>
        <sz val="9"/>
        <color theme="1"/>
        <rFont val="Verdana"/>
        <family val="2"/>
      </rPr>
      <t xml:space="preserve"> Indien uw waterstoftankstation hernieuwbare waterstof gaat leveren, dan dient u hiervoor bewijs aan te leveren in het aanvraagformulier.</t>
    </r>
  </si>
  <si>
    <r>
      <rPr>
        <b/>
        <vertAlign val="superscript"/>
        <sz val="9"/>
        <rFont val="Verdana"/>
        <family val="2"/>
      </rPr>
      <t>5</t>
    </r>
    <r>
      <rPr>
        <b/>
        <sz val="9"/>
        <rFont val="Verdana"/>
        <family val="2"/>
      </rPr>
      <t xml:space="preserve"> Vul alleen in als u meer dan €2,2 miljoen subsidie aanvraagt voor de modaliteit "vervoer over de binnenwateren" en als uit de exploitatierekensheet een positief saldo (exploitatiewinst) blijkt.</t>
    </r>
  </si>
  <si>
    <r>
      <rPr>
        <b/>
        <vertAlign val="superscript"/>
        <sz val="9"/>
        <color theme="1"/>
        <rFont val="Verdana"/>
        <family val="2"/>
      </rPr>
      <t>4</t>
    </r>
    <r>
      <rPr>
        <b/>
        <sz val="9"/>
        <color theme="1"/>
        <rFont val="Verdana"/>
        <family val="2"/>
      </rPr>
      <t xml:space="preserve"> Indien u elders subsidie heeft aangevraagd voor (een deel van) de tankstation-investeringen voor dit project, moet u hier de toegezegde subsidie opgeven. (niet bekend = €0)</t>
    </r>
  </si>
  <si>
    <r>
      <t xml:space="preserve">Overige subsidiebedragen </t>
    </r>
    <r>
      <rPr>
        <vertAlign val="superscript"/>
        <sz val="9"/>
        <color theme="1"/>
        <rFont val="Verdana"/>
        <family val="2"/>
      </rPr>
      <t>4</t>
    </r>
  </si>
  <si>
    <t>a</t>
  </si>
  <si>
    <t>Vul de onderdelen in het blauwe kader altijd in, ook als u geen subsidie aanvraagt voor de bouw of uitbreiding van een waterstoftankstation. 
De antwoorden zijn namelijk alsnog relevant voor uw subsidieaanvraag.</t>
  </si>
  <si>
    <r>
      <t xml:space="preserve">Totaal gevraagde subsidie tankstation </t>
    </r>
    <r>
      <rPr>
        <b/>
        <vertAlign val="superscript"/>
        <sz val="9"/>
        <color theme="1"/>
        <rFont val="Verdana"/>
        <family val="2"/>
      </rPr>
      <t>9</t>
    </r>
  </si>
  <si>
    <r>
      <rPr>
        <b/>
        <vertAlign val="superscript"/>
        <sz val="9"/>
        <rFont val="Verdana"/>
        <family val="2"/>
      </rPr>
      <t>7</t>
    </r>
    <r>
      <rPr>
        <b/>
        <sz val="9"/>
        <rFont val="Verdana"/>
        <family val="2"/>
      </rPr>
      <t xml:space="preserve"> De hoogte van het gevraagde subsidiebedrag heeft invloed op het aantal punten. </t>
    </r>
  </si>
  <si>
    <r>
      <rPr>
        <b/>
        <vertAlign val="superscript"/>
        <sz val="9"/>
        <color theme="1"/>
        <rFont val="Verdana"/>
        <family val="2"/>
      </rPr>
      <t>9</t>
    </r>
    <r>
      <rPr>
        <b/>
        <sz val="9"/>
        <color theme="1"/>
        <rFont val="Verdana"/>
        <family val="2"/>
      </rPr>
      <t xml:space="preserve"> Deze bedragen dient u over te nemen in het aanvraagformulier.</t>
    </r>
  </si>
  <si>
    <r>
      <rPr>
        <b/>
        <vertAlign val="superscript"/>
        <sz val="9"/>
        <rFont val="Verdana"/>
        <family val="2"/>
      </rPr>
      <t>2</t>
    </r>
    <r>
      <rPr>
        <b/>
        <sz val="9"/>
        <rFont val="Verdana"/>
        <family val="2"/>
      </rPr>
      <t xml:space="preserve"> De maximale subsidie bedraagt 40% van de totale subsidiabele kosten (aanleg of opwaardering) tot een maximum van €3.000.000 voor een waterstoftankstation en €4.000.000 voor een multimodaal waterstoftankstation. Kosten voor mobiele waterstofopslag (tubetrailers; maximaal drie) vallen binnen ditzelfde maximum subsidiebedrag.</t>
    </r>
  </si>
  <si>
    <t>Procentueel toegekend</t>
  </si>
  <si>
    <t>Aandeel gevraagd</t>
  </si>
  <si>
    <r>
      <rPr>
        <b/>
        <vertAlign val="superscript"/>
        <sz val="9"/>
        <rFont val="Verdana"/>
        <family val="2"/>
      </rPr>
      <t>6</t>
    </r>
    <r>
      <rPr>
        <b/>
        <sz val="9"/>
        <rFont val="Verdana"/>
        <family val="2"/>
      </rPr>
      <t xml:space="preserve"> De maximale subsidie bedraagt 40% van de totale subsidiabele kosten (aanleg of opwaardering) tot een maximum van €3.000.000 voor een waterstoftankstation en €4.000.000 voor een multimodaal waterstoftankstation. Eventuele kosten voor mobiele waterstofopslag (tubetrailers; maximaal drie) vallen binnen ditzelfde maximum subsidiebedrag.</t>
    </r>
  </si>
  <si>
    <t>Voorlopig toe te kennen subsidie</t>
  </si>
  <si>
    <t>voorlopig, want moet samen met deelnemer1 binnen maximumsubsidie voor tankstation blijven</t>
  </si>
  <si>
    <t>Gevraagd subsidiepercentage deelnemer1</t>
  </si>
  <si>
    <t>Gevraagd subsidiepercentage deelnemers 1 + 26</t>
  </si>
  <si>
    <r>
      <rPr>
        <b/>
        <vertAlign val="superscript"/>
        <sz val="9"/>
        <rFont val="Verdana"/>
        <family val="2"/>
      </rPr>
      <t>3</t>
    </r>
    <r>
      <rPr>
        <b/>
        <sz val="9"/>
        <rFont val="Verdana"/>
        <family val="2"/>
      </rPr>
      <t xml:space="preserve"> De hoogte van het gevraagde subsidiebedrag heeft invloed op de aantal punten. </t>
    </r>
  </si>
  <si>
    <r>
      <rPr>
        <b/>
        <vertAlign val="superscript"/>
        <sz val="9"/>
        <color theme="1"/>
        <rFont val="Verdana"/>
        <family val="2"/>
      </rPr>
      <t>5</t>
    </r>
    <r>
      <rPr>
        <b/>
        <sz val="9"/>
        <color theme="1"/>
        <rFont val="Verdana"/>
        <family val="2"/>
      </rPr>
      <t xml:space="preserve"> Deze bedragen dient u als totaal bedrag voor het waterstoftankstation over te nemen in het aanvraagformulier.</t>
    </r>
  </si>
  <si>
    <r>
      <t xml:space="preserve">Totaal gevraagde subsidie tankstation </t>
    </r>
    <r>
      <rPr>
        <b/>
        <vertAlign val="superscript"/>
        <sz val="9"/>
        <color theme="1"/>
        <rFont val="Verdana"/>
        <family val="2"/>
      </rPr>
      <t>5</t>
    </r>
  </si>
  <si>
    <t>Correcties A2b: Mobiele waterstofopslag deelnemer 26</t>
  </si>
  <si>
    <t>Toe te kennen subsidie totaal</t>
  </si>
  <si>
    <t>A2 Mobiele waterstofopslag</t>
  </si>
  <si>
    <t xml:space="preserve">Dit betreffen de kosten voor hoogstens drie mobiele waterstofopslagen in het project die worden gebruikt voor het leveren van waterstof aan het waterstoftankstation waarop de aanvraag van het samenwerkingsverband betrekking heeft en dienen als voorraadvat van het waterstoftankstation. Vul A2 in indien de tankstationhouder zelf ook investeert in de mobiele waterstofopslag. Als een andere deelnemer dan de tankstationhouder investeert in de mobiele waterstofopslag vult u tabblad deelnemer 26 hiervoor in. </t>
  </si>
  <si>
    <t>Deelnemer 26: Mobiele waterstofopslag</t>
  </si>
  <si>
    <t>A2: Mobiele waterstofopslag</t>
  </si>
  <si>
    <t>handmatige verbetering toe te kennen subsidie</t>
  </si>
  <si>
    <t>Voorlopig toe te kennen subsidie deelnemer1</t>
  </si>
  <si>
    <t>handmatige verbetering toe te kennen subsidie deelnemer1</t>
  </si>
  <si>
    <t>Toe te kennen subsidie na evt. aanpassingen</t>
  </si>
  <si>
    <t>Toe te kennen subsidie na evt. correcties deelnemer26</t>
  </si>
  <si>
    <t>Toe te kennen subsidie na evt. correcties deelnemer1</t>
  </si>
  <si>
    <t>voorlopig, want moet samen met deelnemer26 binnen maximumsubsidie voor tankstation blijven</t>
  </si>
  <si>
    <r>
      <rPr>
        <b/>
        <vertAlign val="superscript"/>
        <sz val="9"/>
        <rFont val="Verdana"/>
        <family val="2"/>
      </rPr>
      <t>1</t>
    </r>
    <r>
      <rPr>
        <b/>
        <sz val="9"/>
        <rFont val="Verdana"/>
        <family val="2"/>
      </rPr>
      <t xml:space="preserve"> Vul alleen in als u meer dan €2,2 miljoen subsidie aanvraagt voor de modaliteit "vervoer over de binnenwateren" en als uit de exploitatierekensheet een positief saldo (exploitatiewinst) blijkt.</t>
    </r>
  </si>
  <si>
    <t>A2b Mobiele waterstofopslag</t>
  </si>
  <si>
    <t>Gevraagde subsidie mobiele waterstofopslag (deelnemer 26)</t>
  </si>
  <si>
    <t>Gevraagde subsidie tankstation (deelnemer 1)</t>
  </si>
  <si>
    <r>
      <rPr>
        <vertAlign val="superscript"/>
        <sz val="10"/>
        <color theme="1"/>
        <rFont val="Verdana"/>
        <family val="2"/>
      </rPr>
      <t>1</t>
    </r>
    <r>
      <rPr>
        <sz val="10"/>
        <color theme="1"/>
        <rFont val="Verdana"/>
        <family val="2"/>
      </rPr>
      <t xml:space="preserve"> Indien de investering in de mobiele waterstofopslag door een andere partij dan de tankstationhouder wordt gedaan vult u ook tabblad deelnemer 26 in. Dit kan betekenen dat voor deze deelnemer twee tabbladen ingevuld moeten worden: één voor mobiele waterstofopslag en één voor voertuigen/ werktuigen.</t>
    </r>
  </si>
  <si>
    <t xml:space="preserve">Gelijk aan onderdeel A2 betreffen dit ook de kosten van hoogstens drie mobiele waterstofopslagen in het project die worden gebruikt voor het leveren van waterstof aan het waterstoftankstation waarop de aanvraag van het samenwerkingsverband betrekking heeft en dienen als voorraadvat van het waterstoftankstation. Het gaat hierbij om semi-permanent gebruik op het tankstation in deze aanvraag. Vul tabblad deelnemer 26 in als iemand anders dan de tankstationhouder investeert in de mobiele waterstofopslag. </t>
  </si>
  <si>
    <t>Toe te kennen subsidiebedrag 
(per voertuig)</t>
  </si>
  <si>
    <t>Toe te kennen subsidiebedrag 
(per voertuig categorie)</t>
  </si>
  <si>
    <t xml:space="preserve">Totale kosten Ref.-voertuigen
</t>
  </si>
  <si>
    <t xml:space="preserve">Totale kosten voertuigen
</t>
  </si>
  <si>
    <t xml:space="preserve">Kosten referentievoertuig
</t>
  </si>
  <si>
    <t xml:space="preserve">Kosten per voertuig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</si>
</sst>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43" formatCode="_ * #,##0.00_ ;_ * \-#,##0.00_ ;_ * &quot;-&quot;??_ ;_ @_ "/>
    <numFmt numFmtId="164" formatCode="_(* #,##0.00_);_(* \(#,##0.00\);_(* &quot;-&quot;??_);_(@_)"/>
    <numFmt numFmtId="165" formatCode="_ * #,##0_ ;_ * \-#,##0_ ;_ * &quot;-&quot;??_ ;_ @_ "/>
    <numFmt numFmtId="166" formatCode="_ &quot;€&quot;\ * #,##0_ ;_ &quot;€&quot;\ * \-#,##0_ ;_ &quot;€&quot;\ * &quot;-&quot;??_ ;_ @_ "/>
    <numFmt numFmtId="167" formatCode="0.0"/>
    <numFmt numFmtId="168" formatCode="0.0%"/>
    <numFmt numFmtId="169" formatCode="_ * #,##0.0000000000000_ ;_ * \-#,##0.0000000000000_ ;_ * &quot;-&quot;??_ ;_ @_ "/>
    <numFmt numFmtId="170" formatCode="_ &quot;€&quot;\ * #,##0.000000000000_ ;_ &quot;€&quot;\ * \-#,##0.000000000000_ ;_ &quot;€&quot;\ * &quot;-&quot;??_ ;_ @_ "/>
  </numFmts>
  <fonts count="6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i/>
      <sz val="10"/>
      <color theme="1"/>
      <name val="Arial"/>
      <family val="2"/>
    </font>
    <font>
      <sz val="9"/>
      <color rgb="FF000000"/>
      <name val="Verdana"/>
      <family val="2"/>
    </font>
    <font>
      <sz val="9"/>
      <color theme="1"/>
      <name val="Verdana"/>
      <family val="2"/>
    </font>
    <font>
      <b/>
      <sz val="9"/>
      <color theme="1"/>
      <name val="Verdana"/>
      <family val="2"/>
    </font>
    <font>
      <b/>
      <sz val="11"/>
      <color theme="1"/>
      <name val="Verdana"/>
      <family val="2"/>
    </font>
    <font>
      <b/>
      <i/>
      <sz val="9"/>
      <color theme="1"/>
      <name val="Verdana"/>
      <family val="2"/>
    </font>
    <font>
      <sz val="11"/>
      <color theme="1"/>
      <name val="Verdana"/>
      <family val="2"/>
    </font>
    <font>
      <b/>
      <sz val="14"/>
      <color rgb="FF000000"/>
      <name val="Verdana"/>
      <family val="2"/>
    </font>
    <font>
      <b/>
      <sz val="9"/>
      <color rgb="FF000000"/>
      <name val="Verdana"/>
      <family val="2"/>
    </font>
    <font>
      <sz val="9"/>
      <color theme="0"/>
      <name val="Verdana"/>
      <family val="2"/>
    </font>
    <font>
      <i/>
      <sz val="9"/>
      <color theme="1"/>
      <name val="Verdana"/>
      <family val="2"/>
    </font>
    <font>
      <i/>
      <sz val="9"/>
      <color rgb="FF000000"/>
      <name val="Verdana"/>
      <family val="2"/>
    </font>
    <font>
      <sz val="9"/>
      <name val="Verdana"/>
      <family val="2"/>
    </font>
    <font>
      <b/>
      <sz val="9"/>
      <color theme="1"/>
      <name val="Calibri"/>
      <family val="2"/>
      <scheme val="minor"/>
    </font>
    <font>
      <sz val="9"/>
      <color theme="1"/>
      <name val="Calibri"/>
      <family val="2"/>
      <scheme val="minor"/>
    </font>
    <font>
      <sz val="9"/>
      <color theme="1"/>
      <name val="Aptos Narrow"/>
      <family val="2"/>
    </font>
    <font>
      <i/>
      <sz val="9"/>
      <name val="Verdana"/>
      <family val="2"/>
    </font>
    <font>
      <b/>
      <sz val="9"/>
      <color rgb="FFFF0000"/>
      <name val="Verdana"/>
      <family val="2"/>
    </font>
    <font>
      <sz val="9"/>
      <color rgb="FFFF0000"/>
      <name val="Verdana"/>
      <family val="2"/>
    </font>
    <font>
      <b/>
      <sz val="9"/>
      <name val="Verdana"/>
      <family val="2"/>
    </font>
    <font>
      <b/>
      <sz val="8"/>
      <color theme="1"/>
      <name val="Verdana"/>
      <family val="2"/>
    </font>
    <font>
      <i/>
      <sz val="9"/>
      <color rgb="FFFF0000"/>
      <name val="Verdana"/>
      <family val="2"/>
    </font>
    <font>
      <b/>
      <sz val="9"/>
      <color theme="0"/>
      <name val="Verdana"/>
      <family val="2"/>
    </font>
    <font>
      <sz val="8"/>
      <name val="Calibri"/>
      <family val="2"/>
      <scheme val="minor"/>
    </font>
    <font>
      <b/>
      <sz val="8"/>
      <name val="Verdana"/>
      <family val="2"/>
    </font>
    <font>
      <b/>
      <vertAlign val="superscript"/>
      <sz val="9"/>
      <color theme="1"/>
      <name val="Verdana"/>
      <family val="2"/>
    </font>
    <font>
      <sz val="8"/>
      <color theme="1"/>
      <name val="Verdana"/>
      <family val="2"/>
    </font>
    <font>
      <sz val="8"/>
      <name val="Verdana"/>
      <family val="2"/>
    </font>
    <font>
      <b/>
      <vertAlign val="superscript"/>
      <sz val="8"/>
      <color theme="1"/>
      <name val="Verdana"/>
      <family val="2"/>
    </font>
    <font>
      <b/>
      <sz val="8"/>
      <color rgb="FFFF0000"/>
      <name val="Verdana"/>
      <family val="2"/>
    </font>
    <font>
      <sz val="11"/>
      <name val="Verdana"/>
      <family val="2"/>
    </font>
    <font>
      <vertAlign val="superscript"/>
      <sz val="9"/>
      <color theme="1"/>
      <name val="Verdana"/>
      <family val="2"/>
    </font>
    <font>
      <sz val="11"/>
      <color theme="1"/>
      <name val="Calibri"/>
      <family val="2"/>
      <scheme val="minor"/>
    </font>
    <font>
      <vertAlign val="superscript"/>
      <sz val="9"/>
      <color rgb="FF000000"/>
      <name val="Verdana"/>
      <family val="2"/>
    </font>
    <font>
      <sz val="7.5"/>
      <color theme="1"/>
      <name val="Verdana"/>
      <family val="2"/>
    </font>
    <font>
      <b/>
      <sz val="7.5"/>
      <color theme="1"/>
      <name val="Verdana"/>
      <family val="2"/>
    </font>
    <font>
      <b/>
      <sz val="7.5"/>
      <name val="Verdana"/>
      <family val="2"/>
    </font>
    <font>
      <sz val="7.5"/>
      <name val="Verdana"/>
      <family val="2"/>
    </font>
    <font>
      <b/>
      <sz val="7.5"/>
      <color theme="0"/>
      <name val="Verdana"/>
      <family val="2"/>
    </font>
    <font>
      <sz val="7.5"/>
      <color theme="0"/>
      <name val="Verdana"/>
      <family val="2"/>
    </font>
    <font>
      <sz val="10"/>
      <color theme="1"/>
      <name val="Verdana"/>
      <family val="2"/>
    </font>
    <font>
      <u/>
      <sz val="11"/>
      <color theme="10"/>
      <name val="Calibri"/>
      <family val="2"/>
      <scheme val="minor"/>
    </font>
    <font>
      <b/>
      <sz val="18"/>
      <color theme="1"/>
      <name val="Verdana"/>
      <family val="2"/>
    </font>
    <font>
      <sz val="18"/>
      <color theme="1"/>
      <name val="Verdana"/>
      <family val="2"/>
    </font>
    <font>
      <sz val="12"/>
      <color theme="1"/>
      <name val="Verdana"/>
      <family val="2"/>
    </font>
    <font>
      <b/>
      <sz val="12"/>
      <color theme="1"/>
      <name val="Verdana"/>
      <family val="2"/>
    </font>
    <font>
      <b/>
      <i/>
      <sz val="18"/>
      <color theme="1"/>
      <name val="Verdana"/>
      <family val="2"/>
    </font>
    <font>
      <b/>
      <sz val="10"/>
      <color theme="1"/>
      <name val="Verdana"/>
      <family val="2"/>
    </font>
    <font>
      <sz val="10"/>
      <color rgb="FFC0C0C0"/>
      <name val="Verdana"/>
      <family val="2"/>
    </font>
    <font>
      <i/>
      <sz val="10"/>
      <color theme="1"/>
      <name val="Verdana"/>
      <family val="2"/>
    </font>
    <font>
      <sz val="10"/>
      <color rgb="FF000000"/>
      <name val="Verdana"/>
      <family val="2"/>
    </font>
    <font>
      <sz val="10"/>
      <name val="Verdana"/>
      <family val="2"/>
    </font>
    <font>
      <b/>
      <i/>
      <sz val="10"/>
      <color theme="1"/>
      <name val="Verdana"/>
      <family val="2"/>
    </font>
    <font>
      <u/>
      <sz val="9"/>
      <color theme="1"/>
      <name val="Verdana"/>
      <family val="2"/>
    </font>
    <font>
      <sz val="12"/>
      <color rgb="FFFF0000"/>
      <name val="Aptos"/>
      <family val="2"/>
    </font>
    <font>
      <sz val="9"/>
      <name val="Calibri"/>
      <family val="2"/>
      <scheme val="major"/>
    </font>
    <font>
      <strike/>
      <sz val="9"/>
      <color theme="1"/>
      <name val="Verdana"/>
      <family val="2"/>
    </font>
    <font>
      <b/>
      <vertAlign val="superscript"/>
      <sz val="9"/>
      <name val="Verdana"/>
      <family val="2"/>
    </font>
    <font>
      <sz val="12"/>
      <color rgb="FFFF0000"/>
      <name val="Calibri"/>
      <family val="2"/>
      <scheme val="minor"/>
    </font>
    <font>
      <u/>
      <sz val="10"/>
      <color theme="10"/>
      <name val="Verdana"/>
      <family val="2"/>
    </font>
    <font>
      <vertAlign val="superscript"/>
      <sz val="8"/>
      <color theme="1"/>
      <name val="Verdana"/>
      <family val="2"/>
    </font>
    <font>
      <b/>
      <sz val="9"/>
      <color theme="8"/>
      <name val="Verdana"/>
      <family val="2"/>
    </font>
    <font>
      <vertAlign val="superscript"/>
      <sz val="10"/>
      <color theme="1"/>
      <name val="Verdana"/>
      <family val="2"/>
    </font>
    <font>
      <sz val="11"/>
      <color theme="1"/>
      <name val="Calibri"/>
      <family val="2"/>
      <scheme val="minor"/>
    </font>
  </fonts>
  <fills count="29">
    <fill>
      <patternFill patternType="none"/>
    </fill>
    <fill>
      <patternFill patternType="gray125"/>
    </fill>
    <fill>
      <patternFill patternType="solid">
        <fgColor theme="0"/>
        <bgColor theme="0"/>
      </patternFill>
    </fill>
    <fill>
      <patternFill patternType="solid">
        <fgColor rgb="FFF7FFCD"/>
        <bgColor rgb="FFF7FFCD"/>
      </patternFill>
    </fill>
    <fill>
      <patternFill patternType="solid">
        <fgColor rgb="FFDEEAF6"/>
        <bgColor rgb="FFDEEAF6"/>
      </patternFill>
    </fill>
    <fill>
      <patternFill patternType="solid">
        <fgColor theme="8" tint="0.79998168889431442"/>
        <bgColor indexed="64"/>
      </patternFill>
    </fill>
    <fill>
      <patternFill patternType="solid">
        <fgColor theme="0" tint="-4.9989318521683403E-2"/>
        <bgColor rgb="FFDEEAF6"/>
      </patternFill>
    </fill>
    <fill>
      <patternFill patternType="solid">
        <fgColor theme="8" tint="0.79998168889431442"/>
        <bgColor rgb="FFDEEAF6"/>
      </patternFill>
    </fill>
    <fill>
      <patternFill patternType="solid">
        <fgColor rgb="FFF7FFCD"/>
        <bgColor rgb="FFDEEAF6"/>
      </patternFill>
    </fill>
    <fill>
      <patternFill patternType="solid">
        <fgColor theme="8" tint="0.79998168889431442"/>
        <bgColor rgb="FFF7FFCD"/>
      </patternFill>
    </fill>
    <fill>
      <patternFill patternType="solid">
        <fgColor theme="0"/>
        <bgColor indexed="64"/>
      </patternFill>
    </fill>
    <fill>
      <patternFill patternType="solid">
        <fgColor theme="0"/>
        <bgColor rgb="FFDEEAF6"/>
      </patternFill>
    </fill>
    <fill>
      <patternFill patternType="solid">
        <fgColor theme="8" tint="0.79998168889431442"/>
        <bgColor theme="0"/>
      </patternFill>
    </fill>
    <fill>
      <patternFill patternType="solid">
        <fgColor rgb="FFF7FFCD"/>
        <bgColor rgb="FFC5E0B3"/>
      </patternFill>
    </fill>
    <fill>
      <patternFill patternType="solid">
        <fgColor theme="8" tint="0.79998168889431442"/>
        <bgColor rgb="FFC5E0B3"/>
      </patternFill>
    </fill>
    <fill>
      <patternFill patternType="solid">
        <fgColor theme="0"/>
        <bgColor rgb="FFF7FFCD"/>
      </patternFill>
    </fill>
    <fill>
      <patternFill patternType="solid">
        <fgColor rgb="FFF7FFCD"/>
        <bgColor theme="0"/>
      </patternFill>
    </fill>
    <fill>
      <patternFill patternType="solid">
        <fgColor rgb="FF0070C0"/>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7FFCD"/>
        <bgColor indexed="64"/>
      </patternFill>
    </fill>
    <fill>
      <patternFill patternType="solid">
        <fgColor rgb="FFFFC000"/>
        <bgColor indexed="64"/>
      </patternFill>
    </fill>
    <fill>
      <patternFill patternType="solid">
        <fgColor theme="8" tint="0.79998168889431442"/>
        <bgColor rgb="FF000000"/>
      </patternFill>
    </fill>
    <fill>
      <patternFill patternType="solid">
        <fgColor theme="8" tint="0.79998168889431442"/>
        <bgColor theme="1"/>
      </patternFill>
    </fill>
    <fill>
      <patternFill patternType="solid">
        <fgColor theme="0"/>
        <bgColor rgb="FF000000"/>
      </patternFill>
    </fill>
    <fill>
      <patternFill patternType="solid">
        <fgColor theme="7" tint="0.59999389629810485"/>
        <bgColor indexed="64"/>
      </patternFill>
    </fill>
    <fill>
      <patternFill patternType="solid">
        <fgColor theme="7" tint="0.59999389629810485"/>
        <bgColor rgb="FFDEEAF6"/>
      </patternFill>
    </fill>
    <fill>
      <patternFill patternType="solid">
        <fgColor rgb="FFFFFF00"/>
        <bgColor indexed="64"/>
      </patternFill>
    </fill>
    <fill>
      <patternFill patternType="solid">
        <fgColor theme="7" tint="0.79998168889431442"/>
        <bgColor indexed="64"/>
      </patternFill>
    </fill>
  </fills>
  <borders count="51">
    <border>
      <left/>
      <right/>
      <top/>
      <bottom/>
      <diagonal/>
    </border>
    <border>
      <left style="hair">
        <color rgb="FF000000"/>
      </left>
      <right style="hair">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bottom/>
      <diagonal/>
    </border>
    <border>
      <left/>
      <right/>
      <top style="hair">
        <color rgb="FF000000"/>
      </top>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medium">
        <color theme="8"/>
      </left>
      <right/>
      <top style="medium">
        <color theme="8"/>
      </top>
      <bottom/>
      <diagonal/>
    </border>
    <border>
      <left/>
      <right/>
      <top style="medium">
        <color theme="8"/>
      </top>
      <bottom/>
      <diagonal/>
    </border>
    <border>
      <left/>
      <right style="medium">
        <color theme="8"/>
      </right>
      <top style="medium">
        <color theme="8"/>
      </top>
      <bottom/>
      <diagonal/>
    </border>
    <border>
      <left style="medium">
        <color theme="8"/>
      </left>
      <right/>
      <top/>
      <bottom/>
      <diagonal/>
    </border>
    <border>
      <left/>
      <right style="medium">
        <color theme="8"/>
      </right>
      <top/>
      <bottom/>
      <diagonal/>
    </border>
    <border>
      <left style="medium">
        <color theme="8"/>
      </left>
      <right/>
      <top/>
      <bottom style="medium">
        <color theme="8"/>
      </bottom>
      <diagonal/>
    </border>
    <border>
      <left/>
      <right/>
      <top/>
      <bottom style="medium">
        <color theme="8"/>
      </bottom>
      <diagonal/>
    </border>
    <border>
      <left/>
      <right style="medium">
        <color theme="8"/>
      </right>
      <top/>
      <bottom style="medium">
        <color theme="8"/>
      </bottom>
      <diagonal/>
    </border>
    <border>
      <left/>
      <right style="hair">
        <color rgb="FF000000"/>
      </right>
      <top/>
      <bottom/>
      <diagonal/>
    </border>
    <border>
      <left/>
      <right style="thin">
        <color indexed="64"/>
      </right>
      <top/>
      <bottom style="thin">
        <color indexed="64"/>
      </bottom>
      <diagonal/>
    </border>
  </borders>
  <cellStyleXfs count="7">
    <xf numFmtId="0" fontId="0" fillId="0" borderId="0"/>
    <xf numFmtId="0" fontId="3" fillId="0" borderId="8"/>
    <xf numFmtId="9" fontId="37" fillId="0" borderId="0" applyFont="0" applyFill="0" applyBorder="0" applyAlignment="0" applyProtection="0"/>
    <xf numFmtId="0" fontId="46" fillId="0" borderId="0" applyNumberFormat="0" applyFill="0" applyBorder="0" applyAlignment="0" applyProtection="0"/>
    <xf numFmtId="0" fontId="1" fillId="0" borderId="8"/>
    <xf numFmtId="0" fontId="63" fillId="0" borderId="0" applyNumberFormat="0" applyFill="0" applyBorder="0" applyAlignment="0" applyProtection="0"/>
    <xf numFmtId="43" fontId="68" fillId="0" borderId="0" applyFont="0" applyFill="0" applyBorder="0" applyAlignment="0" applyProtection="0"/>
  </cellStyleXfs>
  <cellXfs count="730">
    <xf numFmtId="0" fontId="0" fillId="0" borderId="0" xfId="0"/>
    <xf numFmtId="0" fontId="19" fillId="0" borderId="0" xfId="0" applyFont="1"/>
    <xf numFmtId="0" fontId="18" fillId="0" borderId="17" xfId="0" applyFont="1" applyBorder="1"/>
    <xf numFmtId="0" fontId="19" fillId="0" borderId="17" xfId="0" applyFont="1" applyBorder="1"/>
    <xf numFmtId="0" fontId="7" fillId="11" borderId="8" xfId="0" applyFont="1" applyFill="1" applyBorder="1" applyAlignment="1">
      <alignment horizontal="left" vertical="center"/>
    </xf>
    <xf numFmtId="0" fontId="7" fillId="11" borderId="8" xfId="0" applyFont="1" applyFill="1" applyBorder="1" applyAlignment="1">
      <alignment horizontal="center" vertical="center"/>
    </xf>
    <xf numFmtId="0" fontId="6" fillId="11" borderId="8" xfId="0" applyFont="1" applyFill="1" applyBorder="1" applyAlignment="1">
      <alignment horizontal="left" vertical="center"/>
    </xf>
    <xf numFmtId="0" fontId="7" fillId="11" borderId="8" xfId="0" applyFont="1" applyFill="1" applyBorder="1" applyAlignment="1">
      <alignment horizontal="right" vertical="center"/>
    </xf>
    <xf numFmtId="0" fontId="7" fillId="7" borderId="17" xfId="0" applyFont="1" applyFill="1" applyBorder="1" applyAlignment="1">
      <alignment horizontal="left" vertical="center"/>
    </xf>
    <xf numFmtId="0" fontId="8" fillId="7" borderId="17" xfId="0" applyFont="1" applyFill="1" applyBorder="1" applyAlignment="1">
      <alignment horizontal="left" vertical="center"/>
    </xf>
    <xf numFmtId="0" fontId="7" fillId="10" borderId="8" xfId="0" applyFont="1" applyFill="1" applyBorder="1" applyAlignment="1">
      <alignment horizontal="left" vertical="center"/>
    </xf>
    <xf numFmtId="0" fontId="8" fillId="7" borderId="17" xfId="0" applyFont="1" applyFill="1" applyBorder="1" applyAlignment="1">
      <alignment horizontal="center" vertical="center"/>
    </xf>
    <xf numFmtId="44" fontId="8" fillId="7" borderId="17" xfId="0" applyNumberFormat="1" applyFont="1" applyFill="1" applyBorder="1" applyAlignment="1">
      <alignment horizontal="center" vertical="center"/>
    </xf>
    <xf numFmtId="0" fontId="7" fillId="7" borderId="17" xfId="0" applyFont="1" applyFill="1" applyBorder="1" applyAlignment="1">
      <alignment horizontal="center" vertical="center"/>
    </xf>
    <xf numFmtId="44" fontId="7" fillId="14" borderId="17" xfId="0" applyNumberFormat="1" applyFont="1" applyFill="1" applyBorder="1" applyAlignment="1">
      <alignment horizontal="center" vertical="center"/>
    </xf>
    <xf numFmtId="44" fontId="7" fillId="7" borderId="17" xfId="0" applyNumberFormat="1" applyFont="1" applyFill="1" applyBorder="1" applyAlignment="1">
      <alignment horizontal="center" vertical="center"/>
    </xf>
    <xf numFmtId="167" fontId="17" fillId="7" borderId="17" xfId="0" applyNumberFormat="1" applyFont="1" applyFill="1" applyBorder="1" applyAlignment="1">
      <alignment horizontal="center" vertical="center"/>
    </xf>
    <xf numFmtId="0" fontId="12" fillId="2" borderId="8" xfId="0" applyFont="1" applyFill="1" applyBorder="1" applyAlignment="1">
      <alignment horizontal="left" vertical="center"/>
    </xf>
    <xf numFmtId="167" fontId="17" fillId="11" borderId="8" xfId="0" applyNumberFormat="1" applyFont="1" applyFill="1" applyBorder="1" applyAlignment="1">
      <alignment horizontal="right" vertical="center"/>
    </xf>
    <xf numFmtId="0" fontId="23" fillId="11" borderId="8" xfId="0" applyFont="1" applyFill="1" applyBorder="1" applyAlignment="1">
      <alignment horizontal="left" vertical="center"/>
    </xf>
    <xf numFmtId="2" fontId="8" fillId="7" borderId="17" xfId="0" applyNumberFormat="1" applyFont="1" applyFill="1" applyBorder="1" applyAlignment="1">
      <alignment horizontal="center" vertical="center"/>
    </xf>
    <xf numFmtId="2" fontId="7" fillId="7" borderId="17" xfId="0" applyNumberFormat="1" applyFont="1" applyFill="1" applyBorder="1" applyAlignment="1">
      <alignment horizontal="center" vertical="center"/>
    </xf>
    <xf numFmtId="0" fontId="8" fillId="11" borderId="8" xfId="0" applyFont="1" applyFill="1" applyBorder="1" applyAlignment="1">
      <alignment vertical="center"/>
    </xf>
    <xf numFmtId="0" fontId="8" fillId="11" borderId="8" xfId="0" applyFont="1" applyFill="1" applyBorder="1" applyAlignment="1">
      <alignment horizontal="left" vertical="center"/>
    </xf>
    <xf numFmtId="165" fontId="10" fillId="11" borderId="8" xfId="0" applyNumberFormat="1" applyFont="1" applyFill="1" applyBorder="1" applyAlignment="1">
      <alignment horizontal="left" vertical="center"/>
    </xf>
    <xf numFmtId="0" fontId="7" fillId="11" borderId="8" xfId="0" applyFont="1" applyFill="1" applyBorder="1" applyAlignment="1">
      <alignment vertical="center"/>
    </xf>
    <xf numFmtId="0" fontId="8" fillId="7" borderId="17" xfId="0" applyFont="1" applyFill="1" applyBorder="1" applyAlignment="1">
      <alignment horizontal="center" vertical="center" wrapText="1"/>
    </xf>
    <xf numFmtId="0" fontId="22" fillId="11" borderId="8" xfId="0" applyFont="1" applyFill="1" applyBorder="1" applyAlignment="1">
      <alignment horizontal="left" vertical="center"/>
    </xf>
    <xf numFmtId="0" fontId="7" fillId="10" borderId="0" xfId="0" applyFont="1" applyFill="1" applyAlignment="1">
      <alignment horizontal="left" vertical="center"/>
    </xf>
    <xf numFmtId="0" fontId="19" fillId="0" borderId="0" xfId="0" applyFont="1" applyAlignment="1">
      <alignment horizontal="center" vertical="center"/>
    </xf>
    <xf numFmtId="0" fontId="7" fillId="10" borderId="8" xfId="0" applyFont="1" applyFill="1" applyBorder="1" applyAlignment="1">
      <alignment vertical="center"/>
    </xf>
    <xf numFmtId="0" fontId="7" fillId="10" borderId="0" xfId="0" applyFont="1" applyFill="1" applyAlignment="1">
      <alignment vertical="center"/>
    </xf>
    <xf numFmtId="0" fontId="7" fillId="0" borderId="0" xfId="0" applyFont="1" applyAlignment="1">
      <alignment vertical="center"/>
    </xf>
    <xf numFmtId="0" fontId="7" fillId="0" borderId="8" xfId="0" applyFont="1" applyBorder="1" applyAlignment="1">
      <alignment vertical="center"/>
    </xf>
    <xf numFmtId="0" fontId="17" fillId="0" borderId="0" xfId="0" applyFont="1" applyAlignment="1">
      <alignment vertical="center"/>
    </xf>
    <xf numFmtId="0" fontId="7" fillId="0" borderId="0" xfId="0" applyFont="1" applyAlignment="1">
      <alignment horizontal="left" vertical="center"/>
    </xf>
    <xf numFmtId="0" fontId="7" fillId="0" borderId="8" xfId="0" applyFont="1" applyBorder="1" applyAlignment="1">
      <alignment horizontal="left" vertical="center"/>
    </xf>
    <xf numFmtId="0" fontId="7" fillId="7" borderId="19" xfId="0" applyFont="1" applyFill="1" applyBorder="1" applyAlignment="1">
      <alignment horizontal="left" vertical="center"/>
    </xf>
    <xf numFmtId="0" fontId="6" fillId="3" borderId="17" xfId="0" applyFont="1" applyFill="1" applyBorder="1" applyAlignment="1" applyProtection="1">
      <alignment horizontal="center" vertical="center"/>
      <protection locked="0"/>
    </xf>
    <xf numFmtId="44" fontId="7" fillId="3" borderId="17" xfId="0" applyNumberFormat="1" applyFont="1" applyFill="1" applyBorder="1" applyAlignment="1" applyProtection="1">
      <alignment horizontal="center" vertical="center"/>
      <protection locked="0"/>
    </xf>
    <xf numFmtId="44" fontId="6" fillId="13" borderId="17" xfId="0" applyNumberFormat="1" applyFont="1" applyFill="1" applyBorder="1" applyAlignment="1" applyProtection="1">
      <alignment horizontal="center" vertical="center"/>
      <protection locked="0"/>
    </xf>
    <xf numFmtId="44" fontId="7" fillId="13" borderId="17" xfId="0" applyNumberFormat="1" applyFont="1" applyFill="1" applyBorder="1" applyAlignment="1" applyProtection="1">
      <alignment vertical="center"/>
      <protection locked="0"/>
    </xf>
    <xf numFmtId="0" fontId="7" fillId="10" borderId="8" xfId="1" applyFont="1" applyFill="1" applyAlignment="1">
      <alignment horizontal="left" vertical="center"/>
    </xf>
    <xf numFmtId="0" fontId="7" fillId="10" borderId="8" xfId="1" applyFont="1" applyFill="1" applyAlignment="1">
      <alignment horizontal="center" vertical="center"/>
    </xf>
    <xf numFmtId="0" fontId="7" fillId="11" borderId="8" xfId="1" applyFont="1" applyFill="1" applyAlignment="1">
      <alignment horizontal="left" vertical="center"/>
    </xf>
    <xf numFmtId="0" fontId="7" fillId="11" borderId="8" xfId="1" applyFont="1" applyFill="1" applyAlignment="1">
      <alignment horizontal="center" vertical="center"/>
    </xf>
    <xf numFmtId="0" fontId="8" fillId="10" borderId="8" xfId="1" applyFont="1" applyFill="1" applyAlignment="1">
      <alignment horizontal="left" vertical="center"/>
    </xf>
    <xf numFmtId="0" fontId="7" fillId="7" borderId="17" xfId="1" applyFont="1" applyFill="1" applyBorder="1" applyAlignment="1">
      <alignment horizontal="left" vertical="center"/>
    </xf>
    <xf numFmtId="0" fontId="7" fillId="0" borderId="8" xfId="1" applyFont="1" applyAlignment="1">
      <alignment horizontal="left" vertical="center"/>
    </xf>
    <xf numFmtId="0" fontId="7" fillId="10" borderId="8" xfId="1" applyFont="1" applyFill="1" applyAlignment="1">
      <alignment vertical="center"/>
    </xf>
    <xf numFmtId="0" fontId="7" fillId="0" borderId="8" xfId="1" applyFont="1" applyAlignment="1">
      <alignment vertical="center"/>
    </xf>
    <xf numFmtId="0" fontId="8" fillId="11" borderId="8" xfId="1" applyFont="1" applyFill="1" applyAlignment="1">
      <alignment horizontal="left" vertical="center"/>
    </xf>
    <xf numFmtId="0" fontId="7" fillId="15" borderId="8" xfId="1" applyFont="1" applyFill="1" applyAlignment="1">
      <alignment horizontal="left" vertical="center"/>
    </xf>
    <xf numFmtId="0" fontId="7" fillId="7" borderId="18" xfId="1" applyFont="1" applyFill="1" applyBorder="1" applyAlignment="1">
      <alignment horizontal="left" vertical="center"/>
    </xf>
    <xf numFmtId="0" fontId="7" fillId="7" borderId="20" xfId="1" applyFont="1" applyFill="1" applyBorder="1" applyAlignment="1">
      <alignment horizontal="left" vertical="center"/>
    </xf>
    <xf numFmtId="0" fontId="6" fillId="7" borderId="18" xfId="1" applyFont="1" applyFill="1" applyBorder="1" applyAlignment="1">
      <alignment horizontal="left" vertical="center"/>
    </xf>
    <xf numFmtId="44" fontId="7" fillId="14" borderId="17" xfId="1" applyNumberFormat="1" applyFont="1" applyFill="1" applyBorder="1" applyAlignment="1">
      <alignment horizontal="left" vertical="center"/>
    </xf>
    <xf numFmtId="44" fontId="7" fillId="12" borderId="17" xfId="1" applyNumberFormat="1" applyFont="1" applyFill="1" applyBorder="1" applyAlignment="1">
      <alignment horizontal="left" vertical="center"/>
    </xf>
    <xf numFmtId="0" fontId="7" fillId="7" borderId="22" xfId="1" applyFont="1" applyFill="1" applyBorder="1" applyAlignment="1">
      <alignment horizontal="left" vertical="center"/>
    </xf>
    <xf numFmtId="0" fontId="8" fillId="15" borderId="8" xfId="1" applyFont="1" applyFill="1" applyAlignment="1">
      <alignment horizontal="left" vertical="center"/>
    </xf>
    <xf numFmtId="44" fontId="8" fillId="15" borderId="8" xfId="1" applyNumberFormat="1" applyFont="1" applyFill="1" applyAlignment="1">
      <alignment horizontal="left" vertical="center"/>
    </xf>
    <xf numFmtId="0" fontId="7" fillId="15" borderId="8" xfId="1" applyFont="1" applyFill="1" applyAlignment="1">
      <alignment horizontal="center" vertical="center"/>
    </xf>
    <xf numFmtId="0" fontId="8" fillId="9" borderId="17" xfId="1" applyFont="1" applyFill="1" applyBorder="1" applyAlignment="1">
      <alignment horizontal="center" vertical="center"/>
    </xf>
    <xf numFmtId="0" fontId="15" fillId="15" borderId="8" xfId="1" applyFont="1" applyFill="1" applyAlignment="1">
      <alignment horizontal="left" vertical="center"/>
    </xf>
    <xf numFmtId="0" fontId="7" fillId="15" borderId="8" xfId="1" applyFont="1" applyFill="1" applyAlignment="1">
      <alignment vertical="center"/>
    </xf>
    <xf numFmtId="44" fontId="7" fillId="15" borderId="8" xfId="1" applyNumberFormat="1" applyFont="1" applyFill="1" applyAlignment="1">
      <alignment horizontal="left" vertical="center"/>
    </xf>
    <xf numFmtId="44" fontId="7" fillId="15" borderId="8" xfId="1" applyNumberFormat="1" applyFont="1" applyFill="1" applyAlignment="1">
      <alignment horizontal="center" vertical="center"/>
    </xf>
    <xf numFmtId="0" fontId="8" fillId="15" borderId="8" xfId="1" applyFont="1" applyFill="1" applyAlignment="1">
      <alignment vertical="center" wrapText="1"/>
    </xf>
    <xf numFmtId="44" fontId="8" fillId="9" borderId="17" xfId="1" applyNumberFormat="1" applyFont="1" applyFill="1" applyBorder="1" applyAlignment="1">
      <alignment horizontal="center" vertical="center"/>
    </xf>
    <xf numFmtId="0" fontId="6" fillId="7" borderId="18" xfId="0" applyFont="1" applyFill="1" applyBorder="1" applyAlignment="1">
      <alignment horizontal="left" vertical="center"/>
    </xf>
    <xf numFmtId="0" fontId="6" fillId="7" borderId="19" xfId="0" applyFont="1" applyFill="1" applyBorder="1" applyAlignment="1">
      <alignment horizontal="left" vertical="center"/>
    </xf>
    <xf numFmtId="0" fontId="7" fillId="7" borderId="18" xfId="0" applyFont="1" applyFill="1" applyBorder="1" applyAlignment="1">
      <alignment vertical="center"/>
    </xf>
    <xf numFmtId="0" fontId="7" fillId="7" borderId="19" xfId="0" applyFont="1" applyFill="1" applyBorder="1" applyAlignment="1">
      <alignment vertical="center"/>
    </xf>
    <xf numFmtId="0" fontId="7" fillId="3" borderId="17" xfId="1" applyFont="1" applyFill="1" applyBorder="1" applyAlignment="1" applyProtection="1">
      <alignment horizontal="left" vertical="center"/>
      <protection locked="0"/>
    </xf>
    <xf numFmtId="44" fontId="7" fillId="3" borderId="17" xfId="1" applyNumberFormat="1" applyFont="1" applyFill="1" applyBorder="1" applyAlignment="1" applyProtection="1">
      <alignment horizontal="left" vertical="center"/>
      <protection locked="0"/>
    </xf>
    <xf numFmtId="44" fontId="7" fillId="3" borderId="17" xfId="1" applyNumberFormat="1" applyFont="1" applyFill="1" applyBorder="1" applyAlignment="1" applyProtection="1">
      <alignment horizontal="center" vertical="center"/>
      <protection locked="0"/>
    </xf>
    <xf numFmtId="0" fontId="7" fillId="3" borderId="17" xfId="1" applyFont="1" applyFill="1" applyBorder="1" applyAlignment="1" applyProtection="1">
      <alignment horizontal="center" vertical="center"/>
      <protection locked="0"/>
    </xf>
    <xf numFmtId="0" fontId="17" fillId="3" borderId="17" xfId="1" applyFont="1" applyFill="1" applyBorder="1" applyAlignment="1" applyProtection="1">
      <alignment horizontal="center" vertical="center"/>
      <protection locked="0"/>
    </xf>
    <xf numFmtId="44" fontId="7" fillId="9" borderId="17" xfId="1" applyNumberFormat="1" applyFont="1" applyFill="1" applyBorder="1" applyAlignment="1">
      <alignment horizontal="center" vertical="center"/>
    </xf>
    <xf numFmtId="0" fontId="6" fillId="7" borderId="17" xfId="0" applyFont="1" applyFill="1" applyBorder="1" applyAlignment="1">
      <alignment horizontal="left" vertical="center"/>
    </xf>
    <xf numFmtId="0" fontId="6" fillId="7" borderId="20" xfId="0" applyFont="1" applyFill="1" applyBorder="1" applyAlignment="1">
      <alignment horizontal="left" vertical="center"/>
    </xf>
    <xf numFmtId="0" fontId="6" fillId="7" borderId="18" xfId="0" applyFont="1" applyFill="1" applyBorder="1" applyAlignment="1">
      <alignment vertical="center"/>
    </xf>
    <xf numFmtId="0" fontId="6" fillId="7" borderId="20" xfId="0" applyFont="1" applyFill="1" applyBorder="1" applyAlignment="1">
      <alignment vertical="center"/>
    </xf>
    <xf numFmtId="0" fontId="6" fillId="7" borderId="19" xfId="0" applyFont="1" applyFill="1" applyBorder="1" applyAlignment="1">
      <alignment vertical="center"/>
    </xf>
    <xf numFmtId="0" fontId="23" fillId="10" borderId="8" xfId="0" applyFont="1" applyFill="1" applyBorder="1" applyAlignment="1">
      <alignment horizontal="left" vertical="center"/>
    </xf>
    <xf numFmtId="0" fontId="22" fillId="10" borderId="0" xfId="0" applyFont="1" applyFill="1" applyAlignment="1">
      <alignment horizontal="left" vertical="center"/>
    </xf>
    <xf numFmtId="0" fontId="22" fillId="10" borderId="8" xfId="0" applyFont="1" applyFill="1" applyBorder="1" applyAlignment="1">
      <alignment horizontal="left" vertical="center"/>
    </xf>
    <xf numFmtId="44" fontId="7" fillId="11" borderId="8" xfId="0" applyNumberFormat="1" applyFont="1" applyFill="1" applyBorder="1" applyAlignment="1">
      <alignment horizontal="left" vertical="center"/>
    </xf>
    <xf numFmtId="0" fontId="8" fillId="7" borderId="18" xfId="0" applyFont="1" applyFill="1" applyBorder="1" applyAlignment="1">
      <alignment vertical="center"/>
    </xf>
    <xf numFmtId="0" fontId="8" fillId="7" borderId="20" xfId="0" applyFont="1" applyFill="1" applyBorder="1" applyAlignment="1">
      <alignment vertical="center"/>
    </xf>
    <xf numFmtId="0" fontId="8" fillId="7" borderId="19" xfId="0" applyFont="1" applyFill="1" applyBorder="1" applyAlignment="1">
      <alignment vertical="center"/>
    </xf>
    <xf numFmtId="167" fontId="8" fillId="11" borderId="8" xfId="0" applyNumberFormat="1" applyFont="1" applyFill="1" applyBorder="1" applyAlignment="1">
      <alignment horizontal="center" vertical="center"/>
    </xf>
    <xf numFmtId="167" fontId="7" fillId="10" borderId="0" xfId="0" applyNumberFormat="1" applyFont="1" applyFill="1" applyAlignment="1">
      <alignment vertical="center"/>
    </xf>
    <xf numFmtId="0" fontId="7" fillId="7" borderId="17" xfId="0" applyFont="1" applyFill="1" applyBorder="1" applyAlignment="1">
      <alignment vertical="center"/>
    </xf>
    <xf numFmtId="167" fontId="7" fillId="7" borderId="17" xfId="0" applyNumberFormat="1" applyFont="1" applyFill="1" applyBorder="1" applyAlignment="1">
      <alignment horizontal="left" vertical="center"/>
    </xf>
    <xf numFmtId="10" fontId="7" fillId="10" borderId="0" xfId="0" applyNumberFormat="1" applyFont="1" applyFill="1" applyAlignment="1">
      <alignment vertical="center"/>
    </xf>
    <xf numFmtId="167" fontId="8" fillId="10" borderId="8" xfId="0" applyNumberFormat="1" applyFont="1" applyFill="1" applyBorder="1" applyAlignment="1">
      <alignment horizontal="center" vertical="center"/>
    </xf>
    <xf numFmtId="0" fontId="7" fillId="5" borderId="19" xfId="0" applyFont="1" applyFill="1" applyBorder="1" applyAlignment="1">
      <alignment vertical="center"/>
    </xf>
    <xf numFmtId="0" fontId="13" fillId="11" borderId="8" xfId="0" applyFont="1" applyFill="1" applyBorder="1" applyAlignment="1">
      <alignment vertical="center"/>
    </xf>
    <xf numFmtId="2" fontId="8" fillId="11" borderId="8" xfId="0" applyNumberFormat="1" applyFont="1" applyFill="1" applyBorder="1" applyAlignment="1">
      <alignment horizontal="center" vertical="center"/>
    </xf>
    <xf numFmtId="44" fontId="7" fillId="0" borderId="8" xfId="0" applyNumberFormat="1" applyFont="1" applyBorder="1" applyAlignment="1">
      <alignment horizontal="left" vertical="center"/>
    </xf>
    <xf numFmtId="44" fontId="7" fillId="5" borderId="18" xfId="0" applyNumberFormat="1" applyFont="1" applyFill="1" applyBorder="1" applyAlignment="1">
      <alignment horizontal="left" vertical="center"/>
    </xf>
    <xf numFmtId="0" fontId="7" fillId="16" borderId="17" xfId="0" applyFont="1" applyFill="1" applyBorder="1" applyAlignment="1" applyProtection="1">
      <alignment horizontal="center" vertical="center"/>
      <protection locked="0"/>
    </xf>
    <xf numFmtId="0" fontId="14" fillId="10" borderId="8" xfId="0" applyFont="1" applyFill="1" applyBorder="1" applyAlignment="1">
      <alignment vertical="center"/>
    </xf>
    <xf numFmtId="0" fontId="7" fillId="7" borderId="18" xfId="0" applyFont="1" applyFill="1" applyBorder="1" applyAlignment="1">
      <alignment horizontal="left" vertical="center"/>
    </xf>
    <xf numFmtId="0" fontId="7" fillId="0" borderId="8" xfId="1" applyFont="1" applyAlignment="1">
      <alignment horizontal="center" vertical="center"/>
    </xf>
    <xf numFmtId="0" fontId="8" fillId="5" borderId="17" xfId="1" applyFont="1" applyFill="1" applyBorder="1" applyAlignment="1">
      <alignment horizontal="center" vertical="center"/>
    </xf>
    <xf numFmtId="44" fontId="7" fillId="5" borderId="17" xfId="1" applyNumberFormat="1" applyFont="1" applyFill="1" applyBorder="1" applyAlignment="1">
      <alignment horizontal="center" vertical="center"/>
    </xf>
    <xf numFmtId="0" fontId="8" fillId="15" borderId="8" xfId="1" applyFont="1" applyFill="1" applyAlignment="1">
      <alignment horizontal="right" vertical="center"/>
    </xf>
    <xf numFmtId="44" fontId="8" fillId="15" borderId="8" xfId="1" applyNumberFormat="1" applyFont="1" applyFill="1" applyAlignment="1">
      <alignment horizontal="center" vertical="center"/>
    </xf>
    <xf numFmtId="0" fontId="0" fillId="0" borderId="0" xfId="0" applyAlignment="1">
      <alignment vertical="top"/>
    </xf>
    <xf numFmtId="0" fontId="5" fillId="0" borderId="0" xfId="0" applyFont="1" applyAlignment="1">
      <alignment vertical="top"/>
    </xf>
    <xf numFmtId="0" fontId="4" fillId="0" borderId="0" xfId="0" applyFont="1" applyAlignment="1">
      <alignment vertical="top"/>
    </xf>
    <xf numFmtId="0" fontId="0" fillId="10" borderId="0" xfId="0" applyFill="1" applyAlignment="1">
      <alignment vertical="top"/>
    </xf>
    <xf numFmtId="0" fontId="2" fillId="10" borderId="0" xfId="0" applyFont="1" applyFill="1" applyAlignment="1">
      <alignment vertical="top"/>
    </xf>
    <xf numFmtId="49" fontId="0" fillId="0" borderId="0" xfId="0" applyNumberFormat="1" applyAlignment="1">
      <alignment vertical="top"/>
    </xf>
    <xf numFmtId="49" fontId="0" fillId="10" borderId="0" xfId="0" applyNumberFormat="1" applyFill="1" applyAlignment="1">
      <alignment vertical="top"/>
    </xf>
    <xf numFmtId="44" fontId="7" fillId="3" borderId="17" xfId="1" applyNumberFormat="1" applyFont="1" applyFill="1" applyBorder="1" applyAlignment="1">
      <alignment horizontal="center" vertical="center"/>
    </xf>
    <xf numFmtId="49" fontId="4" fillId="2" borderId="8" xfId="0" applyNumberFormat="1" applyFont="1" applyFill="1" applyBorder="1" applyAlignment="1">
      <alignment horizontal="left" vertical="top"/>
    </xf>
    <xf numFmtId="0" fontId="39" fillId="0" borderId="0" xfId="0" applyFont="1"/>
    <xf numFmtId="0" fontId="39" fillId="4" borderId="17" xfId="0" applyFont="1" applyFill="1" applyBorder="1" applyAlignment="1">
      <alignment horizontal="left" vertical="top"/>
    </xf>
    <xf numFmtId="0" fontId="40" fillId="4" borderId="17" xfId="0" applyFont="1" applyFill="1" applyBorder="1" applyAlignment="1">
      <alignment horizontal="left" vertical="top"/>
    </xf>
    <xf numFmtId="0" fontId="39" fillId="5" borderId="0" xfId="0" applyFont="1" applyFill="1"/>
    <xf numFmtId="0" fontId="39" fillId="0" borderId="0" xfId="0" applyFont="1" applyAlignment="1">
      <alignment vertical="top"/>
    </xf>
    <xf numFmtId="44" fontId="39" fillId="4" borderId="17" xfId="0" applyNumberFormat="1" applyFont="1" applyFill="1" applyBorder="1" applyAlignment="1">
      <alignment horizontal="left" vertical="top"/>
    </xf>
    <xf numFmtId="0" fontId="39" fillId="10" borderId="0" xfId="0" applyFont="1" applyFill="1"/>
    <xf numFmtId="0" fontId="39" fillId="5" borderId="21" xfId="0" applyFont="1" applyFill="1" applyBorder="1"/>
    <xf numFmtId="0" fontId="39" fillId="5" borderId="25" xfId="0" applyFont="1" applyFill="1" applyBorder="1"/>
    <xf numFmtId="0" fontId="39" fillId="5" borderId="25" xfId="0" applyFont="1" applyFill="1" applyBorder="1" applyAlignment="1">
      <alignment vertical="top"/>
    </xf>
    <xf numFmtId="0" fontId="39" fillId="7" borderId="13" xfId="0" applyFont="1" applyFill="1" applyBorder="1" applyAlignment="1">
      <alignment horizontal="left" vertical="top"/>
    </xf>
    <xf numFmtId="0" fontId="44" fillId="0" borderId="0" xfId="0" applyFont="1"/>
    <xf numFmtId="49" fontId="4" fillId="2" borderId="8" xfId="0" applyNumberFormat="1" applyFont="1" applyFill="1" applyBorder="1" applyAlignment="1">
      <alignment vertical="top"/>
    </xf>
    <xf numFmtId="0" fontId="40" fillId="4" borderId="9" xfId="0" applyFont="1" applyFill="1" applyBorder="1" applyAlignment="1">
      <alignment horizontal="left" vertical="top"/>
    </xf>
    <xf numFmtId="0" fontId="39" fillId="4" borderId="10" xfId="0" applyFont="1" applyFill="1" applyBorder="1" applyAlignment="1">
      <alignment horizontal="left" vertical="top"/>
    </xf>
    <xf numFmtId="0" fontId="39" fillId="4" borderId="12" xfId="0" applyFont="1" applyFill="1" applyBorder="1" applyAlignment="1">
      <alignment horizontal="left" vertical="top"/>
    </xf>
    <xf numFmtId="0" fontId="39" fillId="4" borderId="8" xfId="0" applyFont="1" applyFill="1" applyBorder="1" applyAlignment="1">
      <alignment horizontal="left" vertical="top"/>
    </xf>
    <xf numFmtId="44" fontId="40" fillId="4" borderId="8" xfId="0" applyNumberFormat="1" applyFont="1" applyFill="1" applyBorder="1" applyAlignment="1">
      <alignment horizontal="left" wrapText="1"/>
    </xf>
    <xf numFmtId="0" fontId="39" fillId="7" borderId="12" xfId="0" applyFont="1" applyFill="1" applyBorder="1" applyAlignment="1">
      <alignment horizontal="left" vertical="top"/>
    </xf>
    <xf numFmtId="0" fontId="39" fillId="7" borderId="8" xfId="0" applyFont="1" applyFill="1" applyBorder="1" applyAlignment="1">
      <alignment horizontal="left" vertical="top"/>
    </xf>
    <xf numFmtId="44" fontId="40" fillId="7" borderId="8" xfId="0" applyNumberFormat="1" applyFont="1" applyFill="1" applyBorder="1" applyAlignment="1">
      <alignment horizontal="left" vertical="top"/>
    </xf>
    <xf numFmtId="0" fontId="39" fillId="7" borderId="14" xfId="0" applyFont="1" applyFill="1" applyBorder="1" applyAlignment="1">
      <alignment horizontal="left" vertical="top"/>
    </xf>
    <xf numFmtId="0" fontId="39" fillId="7" borderId="15" xfId="0" applyFont="1" applyFill="1" applyBorder="1" applyAlignment="1">
      <alignment horizontal="left" vertical="top"/>
    </xf>
    <xf numFmtId="44" fontId="39" fillId="7" borderId="15" xfId="0" applyNumberFormat="1" applyFont="1" applyFill="1" applyBorder="1" applyAlignment="1">
      <alignment horizontal="left" vertical="top"/>
    </xf>
    <xf numFmtId="0" fontId="39" fillId="7" borderId="16" xfId="0" applyFont="1" applyFill="1" applyBorder="1" applyAlignment="1">
      <alignment horizontal="left" vertical="top"/>
    </xf>
    <xf numFmtId="44" fontId="22" fillId="11" borderId="8" xfId="0" applyNumberFormat="1" applyFont="1" applyFill="1" applyBorder="1" applyAlignment="1">
      <alignment horizontal="left" vertical="center"/>
    </xf>
    <xf numFmtId="0" fontId="47" fillId="2" borderId="8" xfId="0" applyFont="1" applyFill="1" applyBorder="1" applyAlignment="1">
      <alignment horizontal="left" vertical="top"/>
    </xf>
    <xf numFmtId="0" fontId="48" fillId="2" borderId="8" xfId="0" applyFont="1" applyFill="1" applyBorder="1" applyAlignment="1">
      <alignment vertical="top"/>
    </xf>
    <xf numFmtId="0" fontId="49" fillId="2" borderId="8" xfId="0" applyFont="1" applyFill="1" applyBorder="1" applyAlignment="1">
      <alignment vertical="top"/>
    </xf>
    <xf numFmtId="0" fontId="50" fillId="2" borderId="8" xfId="0" applyFont="1" applyFill="1" applyBorder="1" applyAlignment="1">
      <alignment vertical="top"/>
    </xf>
    <xf numFmtId="0" fontId="51" fillId="2" borderId="8" xfId="0" applyFont="1" applyFill="1" applyBorder="1" applyAlignment="1">
      <alignment horizontal="left" vertical="top"/>
    </xf>
    <xf numFmtId="0" fontId="47" fillId="2" borderId="8" xfId="0" applyFont="1" applyFill="1" applyBorder="1" applyAlignment="1">
      <alignment vertical="top"/>
    </xf>
    <xf numFmtId="0" fontId="49" fillId="2" borderId="8" xfId="0" applyFont="1" applyFill="1" applyBorder="1" applyAlignment="1">
      <alignment horizontal="left" vertical="top"/>
    </xf>
    <xf numFmtId="0" fontId="9" fillId="22" borderId="8" xfId="0" applyFont="1" applyFill="1" applyBorder="1" applyAlignment="1">
      <alignment vertical="top"/>
    </xf>
    <xf numFmtId="0" fontId="45" fillId="22" borderId="8" xfId="0" applyFont="1" applyFill="1" applyBorder="1" applyAlignment="1">
      <alignment vertical="top"/>
    </xf>
    <xf numFmtId="0" fontId="52" fillId="22" borderId="8" xfId="0" applyFont="1" applyFill="1" applyBorder="1" applyAlignment="1">
      <alignment vertical="top"/>
    </xf>
    <xf numFmtId="49" fontId="53" fillId="2" borderId="8" xfId="0" applyNumberFormat="1" applyFont="1" applyFill="1" applyBorder="1" applyAlignment="1">
      <alignment horizontal="left" vertical="top"/>
    </xf>
    <xf numFmtId="49" fontId="45" fillId="2" borderId="8" xfId="0" applyNumberFormat="1" applyFont="1" applyFill="1" applyBorder="1" applyAlignment="1">
      <alignment vertical="top"/>
    </xf>
    <xf numFmtId="0" fontId="11" fillId="24" borderId="8" xfId="0" applyFont="1" applyFill="1" applyBorder="1" applyAlignment="1">
      <alignment vertical="top"/>
    </xf>
    <xf numFmtId="0" fontId="45" fillId="24" borderId="8" xfId="0" applyFont="1" applyFill="1" applyBorder="1" applyAlignment="1">
      <alignment vertical="top"/>
    </xf>
    <xf numFmtId="0" fontId="45" fillId="2" borderId="8" xfId="0" applyFont="1" applyFill="1" applyBorder="1" applyAlignment="1">
      <alignment horizontal="left" vertical="top" wrapText="1"/>
    </xf>
    <xf numFmtId="0" fontId="45" fillId="2" borderId="8" xfId="0" applyFont="1" applyFill="1" applyBorder="1" applyAlignment="1">
      <alignment vertical="top" wrapText="1"/>
    </xf>
    <xf numFmtId="0" fontId="39" fillId="10" borderId="8" xfId="4" applyFont="1" applyFill="1" applyAlignment="1">
      <alignment horizontal="center" vertical="center"/>
    </xf>
    <xf numFmtId="0" fontId="39" fillId="10" borderId="8" xfId="4" applyFont="1" applyFill="1" applyAlignment="1">
      <alignment horizontal="left" vertical="center"/>
    </xf>
    <xf numFmtId="44" fontId="39" fillId="10" borderId="8" xfId="4" applyNumberFormat="1" applyFont="1" applyFill="1" applyAlignment="1">
      <alignment horizontal="center" vertical="center"/>
    </xf>
    <xf numFmtId="0" fontId="12" fillId="2" borderId="8" xfId="4" applyFont="1" applyFill="1" applyAlignment="1">
      <alignment horizontal="left" vertical="center"/>
    </xf>
    <xf numFmtId="0" fontId="39" fillId="5" borderId="17" xfId="4" applyFont="1" applyFill="1" applyBorder="1" applyAlignment="1">
      <alignment horizontal="left" vertical="center"/>
    </xf>
    <xf numFmtId="0" fontId="43" fillId="10" borderId="8" xfId="4" applyFont="1" applyFill="1" applyAlignment="1">
      <alignment horizontal="center" vertical="center"/>
    </xf>
    <xf numFmtId="0" fontId="40" fillId="5" borderId="17" xfId="4" applyFont="1" applyFill="1" applyBorder="1" applyAlignment="1">
      <alignment horizontal="left" vertical="center"/>
    </xf>
    <xf numFmtId="0" fontId="40" fillId="5" borderId="17" xfId="4" applyFont="1" applyFill="1" applyBorder="1" applyAlignment="1">
      <alignment horizontal="center" vertical="center" wrapText="1"/>
    </xf>
    <xf numFmtId="44" fontId="40" fillId="5" borderId="17" xfId="4" applyNumberFormat="1" applyFont="1" applyFill="1" applyBorder="1" applyAlignment="1">
      <alignment horizontal="center" vertical="center" wrapText="1"/>
    </xf>
    <xf numFmtId="44" fontId="40" fillId="7" borderId="17" xfId="4" applyNumberFormat="1" applyFont="1" applyFill="1" applyBorder="1" applyAlignment="1">
      <alignment horizontal="center" vertical="center" wrapText="1"/>
    </xf>
    <xf numFmtId="0" fontId="44" fillId="10" borderId="8" xfId="4" applyFont="1" applyFill="1" applyAlignment="1">
      <alignment horizontal="center" vertical="center"/>
    </xf>
    <xf numFmtId="0" fontId="39" fillId="5" borderId="19" xfId="4" applyFont="1" applyFill="1" applyBorder="1" applyAlignment="1">
      <alignment horizontal="center" vertical="center"/>
    </xf>
    <xf numFmtId="0" fontId="39" fillId="5" borderId="17" xfId="4" applyFont="1" applyFill="1" applyBorder="1" applyAlignment="1">
      <alignment horizontal="center" vertical="center"/>
    </xf>
    <xf numFmtId="44" fontId="39" fillId="5" borderId="17" xfId="4" applyNumberFormat="1" applyFont="1" applyFill="1" applyBorder="1" applyAlignment="1">
      <alignment horizontal="center" vertical="center"/>
    </xf>
    <xf numFmtId="0" fontId="40" fillId="10" borderId="8" xfId="4" applyFont="1" applyFill="1" applyAlignment="1">
      <alignment horizontal="right" vertical="center"/>
    </xf>
    <xf numFmtId="0" fontId="40" fillId="5" borderId="17" xfId="4" applyFont="1" applyFill="1" applyBorder="1" applyAlignment="1">
      <alignment horizontal="center" vertical="center"/>
    </xf>
    <xf numFmtId="44" fontId="40" fillId="5" borderId="17" xfId="4" applyNumberFormat="1" applyFont="1" applyFill="1" applyBorder="1" applyAlignment="1">
      <alignment horizontal="center" vertical="center"/>
    </xf>
    <xf numFmtId="0" fontId="41" fillId="10" borderId="17" xfId="4" applyFont="1" applyFill="1" applyBorder="1" applyAlignment="1">
      <alignment horizontal="center" vertical="center"/>
    </xf>
    <xf numFmtId="44" fontId="40" fillId="5" borderId="18" xfId="4" applyNumberFormat="1" applyFont="1" applyFill="1" applyBorder="1" applyAlignment="1">
      <alignment horizontal="center" vertical="center" wrapText="1"/>
    </xf>
    <xf numFmtId="0" fontId="39" fillId="19" borderId="17" xfId="4" applyFont="1" applyFill="1" applyBorder="1" applyAlignment="1">
      <alignment horizontal="center" vertical="center"/>
    </xf>
    <xf numFmtId="0" fontId="39" fillId="19" borderId="8" xfId="4" applyFont="1" applyFill="1" applyAlignment="1">
      <alignment horizontal="center" vertical="center"/>
    </xf>
    <xf numFmtId="0" fontId="42" fillId="19" borderId="17" xfId="4" applyFont="1" applyFill="1" applyBorder="1" applyAlignment="1">
      <alignment horizontal="center" vertical="center"/>
    </xf>
    <xf numFmtId="0" fontId="39" fillId="19" borderId="17" xfId="4" applyFont="1" applyFill="1" applyBorder="1" applyAlignment="1">
      <alignment horizontal="left" vertical="center"/>
    </xf>
    <xf numFmtId="44" fontId="39" fillId="19" borderId="17" xfId="4" applyNumberFormat="1" applyFont="1" applyFill="1" applyBorder="1" applyAlignment="1">
      <alignment horizontal="center" vertical="center"/>
    </xf>
    <xf numFmtId="44" fontId="39" fillId="19" borderId="18" xfId="4" applyNumberFormat="1" applyFont="1" applyFill="1" applyBorder="1" applyAlignment="1">
      <alignment horizontal="center" vertical="center"/>
    </xf>
    <xf numFmtId="0" fontId="39" fillId="10" borderId="17" xfId="4" applyFont="1" applyFill="1" applyBorder="1" applyAlignment="1">
      <alignment horizontal="left" vertical="center"/>
    </xf>
    <xf numFmtId="0" fontId="39" fillId="10" borderId="17" xfId="4" applyFont="1" applyFill="1" applyBorder="1" applyAlignment="1">
      <alignment horizontal="center" vertical="center"/>
    </xf>
    <xf numFmtId="44" fontId="39" fillId="10" borderId="17" xfId="4" applyNumberFormat="1" applyFont="1" applyFill="1" applyBorder="1" applyAlignment="1">
      <alignment horizontal="center" vertical="center"/>
    </xf>
    <xf numFmtId="0" fontId="40" fillId="19" borderId="8" xfId="4" applyFont="1" applyFill="1" applyAlignment="1">
      <alignment horizontal="center" vertical="center"/>
    </xf>
    <xf numFmtId="0" fontId="42" fillId="19" borderId="23" xfId="4" applyFont="1" applyFill="1" applyBorder="1" applyAlignment="1">
      <alignment horizontal="center" vertical="center"/>
    </xf>
    <xf numFmtId="0" fontId="39" fillId="19" borderId="8" xfId="4" applyFont="1" applyFill="1" applyAlignment="1">
      <alignment horizontal="left" vertical="center"/>
    </xf>
    <xf numFmtId="44" fontId="39" fillId="19" borderId="8" xfId="4" applyNumberFormat="1" applyFont="1" applyFill="1" applyAlignment="1">
      <alignment horizontal="center" vertical="center"/>
    </xf>
    <xf numFmtId="0" fontId="40" fillId="10" borderId="8" xfId="4" applyFont="1" applyFill="1" applyAlignment="1">
      <alignment horizontal="center" vertical="center"/>
    </xf>
    <xf numFmtId="0" fontId="44" fillId="10" borderId="0" xfId="0" applyFont="1" applyFill="1"/>
    <xf numFmtId="0" fontId="44" fillId="10" borderId="0" xfId="0" applyFont="1" applyFill="1" applyAlignment="1">
      <alignment vertical="top"/>
    </xf>
    <xf numFmtId="0" fontId="40" fillId="10" borderId="0" xfId="0" applyFont="1" applyFill="1"/>
    <xf numFmtId="0" fontId="39" fillId="10" borderId="0" xfId="0" applyFont="1" applyFill="1" applyAlignment="1">
      <alignment vertical="top"/>
    </xf>
    <xf numFmtId="0" fontId="8" fillId="0" borderId="8" xfId="1" applyFont="1" applyAlignment="1">
      <alignment horizontal="left" vertical="center"/>
    </xf>
    <xf numFmtId="0" fontId="8" fillId="0" borderId="0" xfId="0" applyFont="1"/>
    <xf numFmtId="0" fontId="52" fillId="0" borderId="0" xfId="0" applyFont="1"/>
    <xf numFmtId="0" fontId="45" fillId="0" borderId="0" xfId="0" applyFont="1"/>
    <xf numFmtId="0" fontId="54" fillId="0" borderId="0" xfId="0" applyFont="1"/>
    <xf numFmtId="0" fontId="45" fillId="3" borderId="17" xfId="0" applyFont="1" applyFill="1" applyBorder="1" applyAlignment="1">
      <alignment horizontal="left" vertical="top"/>
    </xf>
    <xf numFmtId="0" fontId="52" fillId="4" borderId="7" xfId="0" applyFont="1" applyFill="1" applyBorder="1" applyAlignment="1">
      <alignment horizontal="left" vertical="top"/>
    </xf>
    <xf numFmtId="0" fontId="45" fillId="4" borderId="7" xfId="0" applyFont="1" applyFill="1" applyBorder="1" applyAlignment="1">
      <alignment horizontal="left" vertical="top"/>
    </xf>
    <xf numFmtId="0" fontId="52" fillId="4" borderId="1" xfId="0" applyFont="1" applyFill="1" applyBorder="1" applyAlignment="1">
      <alignment horizontal="left" vertical="top"/>
    </xf>
    <xf numFmtId="0" fontId="52" fillId="4" borderId="2" xfId="0" applyFont="1" applyFill="1" applyBorder="1"/>
    <xf numFmtId="0" fontId="52" fillId="4" borderId="1" xfId="0" applyFont="1" applyFill="1" applyBorder="1"/>
    <xf numFmtId="0" fontId="55" fillId="4" borderId="7" xfId="0" applyFont="1" applyFill="1" applyBorder="1" applyAlignment="1">
      <alignment horizontal="left" vertical="top"/>
    </xf>
    <xf numFmtId="0" fontId="45" fillId="4" borderId="1" xfId="0" applyFont="1" applyFill="1" applyBorder="1" applyAlignment="1">
      <alignment horizontal="right" vertical="top"/>
    </xf>
    <xf numFmtId="0" fontId="45" fillId="3" borderId="1" xfId="0" applyFont="1" applyFill="1" applyBorder="1"/>
    <xf numFmtId="2" fontId="45" fillId="4" borderId="1" xfId="0" applyNumberFormat="1" applyFont="1" applyFill="1" applyBorder="1" applyAlignment="1">
      <alignment horizontal="right" vertical="top"/>
    </xf>
    <xf numFmtId="0" fontId="52" fillId="4" borderId="8" xfId="0" applyFont="1" applyFill="1" applyBorder="1" applyAlignment="1">
      <alignment horizontal="left" vertical="top"/>
    </xf>
    <xf numFmtId="0" fontId="45" fillId="4" borderId="8" xfId="0" applyFont="1" applyFill="1" applyBorder="1" applyAlignment="1">
      <alignment horizontal="left" vertical="top"/>
    </xf>
    <xf numFmtId="2" fontId="45" fillId="4" borderId="3" xfId="0" applyNumberFormat="1" applyFont="1" applyFill="1" applyBorder="1" applyAlignment="1">
      <alignment horizontal="right" vertical="top"/>
    </xf>
    <xf numFmtId="0" fontId="45" fillId="4" borderId="3" xfId="0" applyFont="1" applyFill="1" applyBorder="1" applyAlignment="1">
      <alignment horizontal="left" vertical="top"/>
    </xf>
    <xf numFmtId="2" fontId="45" fillId="4" borderId="7" xfId="0" applyNumberFormat="1" applyFont="1" applyFill="1" applyBorder="1" applyAlignment="1">
      <alignment horizontal="right" vertical="top"/>
    </xf>
    <xf numFmtId="0" fontId="52" fillId="4" borderId="4" xfId="0" applyFont="1" applyFill="1" applyBorder="1" applyAlignment="1">
      <alignment horizontal="left" vertical="top"/>
    </xf>
    <xf numFmtId="165" fontId="57" fillId="4" borderId="4" xfId="0" applyNumberFormat="1" applyFont="1" applyFill="1" applyBorder="1" applyAlignment="1">
      <alignment horizontal="left" vertical="top"/>
    </xf>
    <xf numFmtId="2" fontId="52" fillId="4" borderId="5" xfId="0" applyNumberFormat="1" applyFont="1" applyFill="1" applyBorder="1" applyAlignment="1">
      <alignment horizontal="right" vertical="top"/>
    </xf>
    <xf numFmtId="0" fontId="45" fillId="4" borderId="2" xfId="0" applyFont="1" applyFill="1" applyBorder="1"/>
    <xf numFmtId="0" fontId="45" fillId="3" borderId="2" xfId="0" applyFont="1" applyFill="1" applyBorder="1" applyAlignment="1">
      <alignment horizontal="left" vertical="top"/>
    </xf>
    <xf numFmtId="49" fontId="47" fillId="2" borderId="8" xfId="0" applyNumberFormat="1" applyFont="1" applyFill="1" applyBorder="1" applyAlignment="1">
      <alignment horizontal="left" vertical="top"/>
    </xf>
    <xf numFmtId="49" fontId="51" fillId="2" borderId="8" xfId="0" applyNumberFormat="1" applyFont="1" applyFill="1" applyBorder="1" applyAlignment="1">
      <alignment horizontal="left" vertical="top"/>
    </xf>
    <xf numFmtId="49" fontId="9" fillId="22" borderId="8" xfId="0" applyNumberFormat="1" applyFont="1" applyFill="1" applyBorder="1" applyAlignment="1">
      <alignment vertical="top"/>
    </xf>
    <xf numFmtId="49" fontId="45" fillId="23" borderId="8" xfId="0" applyNumberFormat="1" applyFont="1" applyFill="1" applyBorder="1" applyAlignment="1">
      <alignment vertical="top"/>
    </xf>
    <xf numFmtId="49" fontId="7" fillId="2" borderId="8" xfId="0" applyNumberFormat="1" applyFont="1" applyFill="1" applyBorder="1" applyAlignment="1">
      <alignment horizontal="left" vertical="top"/>
    </xf>
    <xf numFmtId="49" fontId="7" fillId="2" borderId="8" xfId="0" applyNumberFormat="1" applyFont="1" applyFill="1" applyBorder="1" applyAlignment="1">
      <alignment vertical="top"/>
    </xf>
    <xf numFmtId="49" fontId="8" fillId="2" borderId="8" xfId="0" applyNumberFormat="1" applyFont="1" applyFill="1" applyBorder="1" applyAlignment="1">
      <alignment vertical="top"/>
    </xf>
    <xf numFmtId="49" fontId="7" fillId="2" borderId="8" xfId="0" quotePrefix="1" applyNumberFormat="1" applyFont="1" applyFill="1" applyBorder="1" applyAlignment="1">
      <alignment vertical="top"/>
    </xf>
    <xf numFmtId="0" fontId="45" fillId="2" borderId="8" xfId="0" applyFont="1" applyFill="1" applyBorder="1" applyAlignment="1">
      <alignment vertical="top"/>
    </xf>
    <xf numFmtId="0" fontId="12" fillId="11" borderId="8" xfId="1" applyFont="1" applyFill="1" applyAlignment="1">
      <alignment horizontal="left" vertical="center"/>
    </xf>
    <xf numFmtId="0" fontId="39" fillId="0" borderId="17" xfId="4" applyFont="1" applyBorder="1" applyAlignment="1">
      <alignment horizontal="left" vertical="center"/>
    </xf>
    <xf numFmtId="1" fontId="39" fillId="19" borderId="17" xfId="4" applyNumberFormat="1" applyFont="1" applyFill="1" applyBorder="1" applyAlignment="1">
      <alignment horizontal="center" vertical="center"/>
    </xf>
    <xf numFmtId="0" fontId="35" fillId="0" borderId="8" xfId="0" applyFont="1" applyBorder="1" applyAlignment="1">
      <alignment vertical="top"/>
    </xf>
    <xf numFmtId="44" fontId="8" fillId="0" borderId="8" xfId="1" applyNumberFormat="1" applyFont="1" applyAlignment="1">
      <alignment horizontal="center" vertical="center"/>
    </xf>
    <xf numFmtId="0" fontId="59" fillId="0" borderId="0" xfId="0" applyFont="1"/>
    <xf numFmtId="0" fontId="60" fillId="0" borderId="0" xfId="0" applyFont="1"/>
    <xf numFmtId="0" fontId="23" fillId="10" borderId="8" xfId="1" applyFont="1" applyFill="1" applyAlignment="1">
      <alignment vertical="center"/>
    </xf>
    <xf numFmtId="0" fontId="45" fillId="0" borderId="0" xfId="0" applyFont="1" applyAlignment="1">
      <alignment vertical="top"/>
    </xf>
    <xf numFmtId="0" fontId="7" fillId="3" borderId="19" xfId="1" applyFont="1" applyFill="1" applyBorder="1" applyAlignment="1" applyProtection="1">
      <alignment horizontal="left" vertical="center"/>
      <protection locked="0"/>
    </xf>
    <xf numFmtId="44" fontId="7" fillId="3" borderId="19" xfId="1" applyNumberFormat="1" applyFont="1" applyFill="1" applyBorder="1" applyAlignment="1" applyProtection="1">
      <alignment horizontal="left" vertical="center"/>
      <protection locked="0"/>
    </xf>
    <xf numFmtId="0" fontId="8" fillId="9" borderId="19" xfId="1" applyFont="1" applyFill="1" applyBorder="1" applyAlignment="1">
      <alignment horizontal="left" vertical="center"/>
    </xf>
    <xf numFmtId="44" fontId="7" fillId="13" borderId="17" xfId="1" applyNumberFormat="1" applyFont="1" applyFill="1" applyBorder="1" applyAlignment="1" applyProtection="1">
      <alignment horizontal="left" vertical="center"/>
      <protection locked="0"/>
    </xf>
    <xf numFmtId="0" fontId="23" fillId="0" borderId="8" xfId="1" applyFont="1" applyAlignment="1">
      <alignment vertical="center"/>
    </xf>
    <xf numFmtId="0" fontId="17" fillId="3" borderId="17" xfId="1" applyFont="1" applyFill="1" applyBorder="1" applyAlignment="1" applyProtection="1">
      <alignment horizontal="left" vertical="center"/>
      <protection locked="0"/>
    </xf>
    <xf numFmtId="49" fontId="45" fillId="2" borderId="8" xfId="0" quotePrefix="1" applyNumberFormat="1" applyFont="1" applyFill="1" applyBorder="1" applyAlignment="1">
      <alignment vertical="top"/>
    </xf>
    <xf numFmtId="44" fontId="7" fillId="0" borderId="8" xfId="1" applyNumberFormat="1" applyFont="1" applyAlignment="1">
      <alignment horizontal="center" vertical="center"/>
    </xf>
    <xf numFmtId="44" fontId="8" fillId="14" borderId="17" xfId="1" applyNumberFormat="1" applyFont="1" applyFill="1" applyBorder="1" applyAlignment="1">
      <alignment horizontal="left" vertical="center"/>
    </xf>
    <xf numFmtId="0" fontId="39" fillId="5" borderId="19" xfId="4" applyFont="1" applyFill="1" applyBorder="1" applyAlignment="1">
      <alignment horizontal="left" vertical="center"/>
    </xf>
    <xf numFmtId="44" fontId="39" fillId="0" borderId="17" xfId="4" applyNumberFormat="1" applyFont="1" applyBorder="1" applyAlignment="1">
      <alignment horizontal="center" vertical="center"/>
    </xf>
    <xf numFmtId="44" fontId="39" fillId="0" borderId="18" xfId="4" applyNumberFormat="1" applyFont="1" applyBorder="1" applyAlignment="1">
      <alignment horizontal="center" vertical="center"/>
    </xf>
    <xf numFmtId="167" fontId="7" fillId="7" borderId="17" xfId="2" applyNumberFormat="1" applyFont="1" applyFill="1" applyBorder="1" applyAlignment="1">
      <alignment horizontal="left" vertical="center"/>
    </xf>
    <xf numFmtId="0" fontId="8" fillId="5" borderId="17" xfId="1" applyFont="1" applyFill="1" applyBorder="1" applyAlignment="1">
      <alignment vertical="center"/>
    </xf>
    <xf numFmtId="44" fontId="7" fillId="5" borderId="17" xfId="1" applyNumberFormat="1" applyFont="1" applyFill="1" applyBorder="1" applyAlignment="1">
      <alignment vertical="center"/>
    </xf>
    <xf numFmtId="44" fontId="8" fillId="5" borderId="17" xfId="1" applyNumberFormat="1" applyFont="1" applyFill="1" applyBorder="1" applyAlignment="1">
      <alignment vertical="center"/>
    </xf>
    <xf numFmtId="44" fontId="8" fillId="0" borderId="22" xfId="1" applyNumberFormat="1" applyFont="1" applyBorder="1" applyAlignment="1">
      <alignment horizontal="center" vertical="center"/>
    </xf>
    <xf numFmtId="0" fontId="8" fillId="7" borderId="17" xfId="1" applyFont="1" applyFill="1" applyBorder="1" applyAlignment="1">
      <alignment horizontal="left" vertical="center"/>
    </xf>
    <xf numFmtId="0" fontId="6" fillId="0" borderId="8" xfId="1" applyFont="1" applyAlignment="1">
      <alignment horizontal="left" vertical="center"/>
    </xf>
    <xf numFmtId="0" fontId="6" fillId="7" borderId="17" xfId="1" applyFont="1" applyFill="1" applyBorder="1" applyAlignment="1">
      <alignment horizontal="left" vertical="center"/>
    </xf>
    <xf numFmtId="44" fontId="8" fillId="5" borderId="17" xfId="1" applyNumberFormat="1" applyFont="1" applyFill="1" applyBorder="1" applyAlignment="1">
      <alignment horizontal="center" vertical="center" wrapText="1"/>
    </xf>
    <xf numFmtId="0" fontId="7" fillId="5" borderId="17" xfId="1" applyFont="1" applyFill="1" applyBorder="1" applyAlignment="1">
      <alignment horizontal="left" vertical="center"/>
    </xf>
    <xf numFmtId="0" fontId="8" fillId="7" borderId="27" xfId="1" applyFont="1" applyFill="1" applyBorder="1" applyAlignment="1">
      <alignment horizontal="right" vertical="center"/>
    </xf>
    <xf numFmtId="44" fontId="8" fillId="9" borderId="24" xfId="1" applyNumberFormat="1" applyFont="1" applyFill="1" applyBorder="1" applyAlignment="1">
      <alignment horizontal="center" vertical="center"/>
    </xf>
    <xf numFmtId="44" fontId="7" fillId="0" borderId="8" xfId="1" applyNumberFormat="1" applyFont="1" applyAlignment="1">
      <alignment horizontal="left" vertical="center"/>
    </xf>
    <xf numFmtId="44" fontId="7" fillId="0" borderId="22" xfId="1" applyNumberFormat="1" applyFont="1" applyBorder="1" applyAlignment="1" applyProtection="1">
      <alignment horizontal="center" vertical="center"/>
      <protection locked="0"/>
    </xf>
    <xf numFmtId="44" fontId="7" fillId="0" borderId="22" xfId="1" applyNumberFormat="1" applyFont="1" applyBorder="1" applyAlignment="1" applyProtection="1">
      <alignment horizontal="left" vertical="center"/>
      <protection locked="0"/>
    </xf>
    <xf numFmtId="0" fontId="24" fillId="11" borderId="8" xfId="1" applyFont="1" applyFill="1" applyAlignment="1">
      <alignment horizontal="left" vertical="center"/>
    </xf>
    <xf numFmtId="0" fontId="24" fillId="2" borderId="8" xfId="1" applyFont="1" applyFill="1" applyAlignment="1">
      <alignment horizontal="left" vertical="center"/>
    </xf>
    <xf numFmtId="0" fontId="8" fillId="7" borderId="17" xfId="0" applyFont="1" applyFill="1" applyBorder="1" applyAlignment="1">
      <alignment horizontal="right" vertical="center"/>
    </xf>
    <xf numFmtId="0" fontId="3" fillId="0" borderId="8" xfId="1"/>
    <xf numFmtId="44" fontId="8" fillId="7" borderId="17" xfId="0" applyNumberFormat="1" applyFont="1" applyFill="1" applyBorder="1" applyAlignment="1">
      <alignment horizontal="center" vertical="center" wrapText="1"/>
    </xf>
    <xf numFmtId="0" fontId="8" fillId="5" borderId="17" xfId="1" applyFont="1" applyFill="1" applyBorder="1" applyAlignment="1">
      <alignment horizontal="center" vertical="center" wrapText="1"/>
    </xf>
    <xf numFmtId="0" fontId="63" fillId="0" borderId="8" xfId="5" applyBorder="1" applyAlignment="1">
      <alignment horizontal="center" vertical="center"/>
    </xf>
    <xf numFmtId="0" fontId="42" fillId="0" borderId="17" xfId="4" applyFont="1" applyBorder="1" applyAlignment="1">
      <alignment horizontal="center" vertical="center"/>
    </xf>
    <xf numFmtId="164" fontId="39" fillId="19" borderId="17" xfId="4" applyNumberFormat="1" applyFont="1" applyFill="1" applyBorder="1" applyAlignment="1">
      <alignment horizontal="left" vertical="center"/>
    </xf>
    <xf numFmtId="164" fontId="39" fillId="5" borderId="17" xfId="4" applyNumberFormat="1" applyFont="1" applyFill="1" applyBorder="1" applyAlignment="1">
      <alignment horizontal="left" vertical="center"/>
    </xf>
    <xf numFmtId="0" fontId="7" fillId="5" borderId="18" xfId="0" applyFont="1" applyFill="1" applyBorder="1" applyAlignment="1">
      <alignment horizontal="left" vertical="center"/>
    </xf>
    <xf numFmtId="0" fontId="8" fillId="5" borderId="17" xfId="1" applyFont="1" applyFill="1" applyBorder="1" applyAlignment="1">
      <alignment vertical="center" wrapText="1"/>
    </xf>
    <xf numFmtId="44" fontId="7" fillId="0" borderId="0" xfId="0" applyNumberFormat="1" applyFont="1" applyAlignment="1">
      <alignment vertical="center"/>
    </xf>
    <xf numFmtId="44" fontId="7" fillId="0" borderId="0" xfId="0" applyNumberFormat="1" applyFont="1" applyAlignment="1">
      <alignment horizontal="left" vertical="center"/>
    </xf>
    <xf numFmtId="44" fontId="40" fillId="4" borderId="17" xfId="0" applyNumberFormat="1" applyFont="1" applyFill="1" applyBorder="1" applyAlignment="1">
      <alignment horizontal="center" vertical="top" wrapText="1"/>
    </xf>
    <xf numFmtId="44" fontId="40" fillId="4" borderId="17" xfId="0" applyNumberFormat="1" applyFont="1" applyFill="1" applyBorder="1" applyAlignment="1">
      <alignment horizontal="center" vertical="top"/>
    </xf>
    <xf numFmtId="0" fontId="40" fillId="4" borderId="17" xfId="0" applyFont="1" applyFill="1" applyBorder="1" applyAlignment="1">
      <alignment horizontal="center" vertical="top"/>
    </xf>
    <xf numFmtId="49" fontId="39" fillId="5" borderId="17" xfId="4" applyNumberFormat="1" applyFont="1" applyFill="1" applyBorder="1" applyAlignment="1">
      <alignment horizontal="left" vertical="center"/>
    </xf>
    <xf numFmtId="10" fontId="7" fillId="7" borderId="17" xfId="2" applyNumberFormat="1" applyFont="1" applyFill="1" applyBorder="1" applyAlignment="1">
      <alignment horizontal="left" vertical="center"/>
    </xf>
    <xf numFmtId="0" fontId="40" fillId="25" borderId="17" xfId="4" applyFont="1" applyFill="1" applyBorder="1" applyAlignment="1">
      <alignment horizontal="left" vertical="center"/>
    </xf>
    <xf numFmtId="0" fontId="40" fillId="25" borderId="17" xfId="4" applyFont="1" applyFill="1" applyBorder="1" applyAlignment="1">
      <alignment horizontal="center" vertical="center" wrapText="1"/>
    </xf>
    <xf numFmtId="44" fontId="40" fillId="25" borderId="17" xfId="4" applyNumberFormat="1" applyFont="1" applyFill="1" applyBorder="1" applyAlignment="1">
      <alignment horizontal="center" vertical="center" wrapText="1"/>
    </xf>
    <xf numFmtId="44" fontId="40" fillId="26" borderId="17" xfId="4" applyNumberFormat="1" applyFont="1" applyFill="1" applyBorder="1" applyAlignment="1">
      <alignment horizontal="center" vertical="center" wrapText="1"/>
    </xf>
    <xf numFmtId="44" fontId="45" fillId="5" borderId="17" xfId="0" applyNumberFormat="1" applyFont="1" applyFill="1" applyBorder="1"/>
    <xf numFmtId="44" fontId="45" fillId="9" borderId="17" xfId="0" applyNumberFormat="1" applyFont="1" applyFill="1" applyBorder="1"/>
    <xf numFmtId="2" fontId="45" fillId="9" borderId="2" xfId="0" applyNumberFormat="1" applyFont="1" applyFill="1" applyBorder="1"/>
    <xf numFmtId="0" fontId="45" fillId="9" borderId="2" xfId="0" applyFont="1" applyFill="1" applyBorder="1"/>
    <xf numFmtId="0" fontId="45" fillId="5" borderId="17" xfId="0" applyFont="1" applyFill="1" applyBorder="1" applyAlignment="1">
      <alignment horizontal="left"/>
    </xf>
    <xf numFmtId="44" fontId="8" fillId="9" borderId="18" xfId="1" applyNumberFormat="1" applyFont="1" applyFill="1" applyBorder="1" applyAlignment="1">
      <alignment horizontal="center" vertical="center"/>
    </xf>
    <xf numFmtId="0" fontId="8" fillId="10" borderId="0" xfId="0" applyFont="1" applyFill="1" applyAlignment="1">
      <alignment vertical="center"/>
    </xf>
    <xf numFmtId="0" fontId="7" fillId="21" borderId="0" xfId="0" applyFont="1" applyFill="1" applyAlignment="1">
      <alignment vertical="center"/>
    </xf>
    <xf numFmtId="0" fontId="45" fillId="3" borderId="17" xfId="0" applyFont="1" applyFill="1" applyBorder="1" applyAlignment="1">
      <alignment horizontal="left"/>
    </xf>
    <xf numFmtId="44" fontId="45" fillId="0" borderId="0" xfId="0" applyNumberFormat="1" applyFont="1"/>
    <xf numFmtId="0" fontId="22" fillId="0" borderId="0" xfId="0" applyFont="1" applyAlignment="1">
      <alignment horizontal="left" vertical="center"/>
    </xf>
    <xf numFmtId="0" fontId="22" fillId="11" borderId="8" xfId="1" applyFont="1" applyFill="1" applyAlignment="1">
      <alignment horizontal="left" vertical="center"/>
    </xf>
    <xf numFmtId="0" fontId="22" fillId="11" borderId="8" xfId="1" applyFont="1" applyFill="1" applyAlignment="1">
      <alignment vertical="center" wrapText="1"/>
    </xf>
    <xf numFmtId="0" fontId="0" fillId="0" borderId="8" xfId="0" applyBorder="1"/>
    <xf numFmtId="44" fontId="8" fillId="9" borderId="17" xfId="1" applyNumberFormat="1" applyFont="1" applyFill="1" applyBorder="1" applyAlignment="1">
      <alignment horizontal="center" vertical="center" wrapText="1"/>
    </xf>
    <xf numFmtId="0" fontId="7" fillId="7" borderId="20" xfId="0" applyFont="1" applyFill="1" applyBorder="1" applyAlignment="1">
      <alignment vertical="center"/>
    </xf>
    <xf numFmtId="10" fontId="7" fillId="5" borderId="17" xfId="2" applyNumberFormat="1" applyFont="1" applyFill="1" applyBorder="1" applyAlignment="1">
      <alignment vertical="center"/>
    </xf>
    <xf numFmtId="0" fontId="7" fillId="9" borderId="17" xfId="1" applyFont="1" applyFill="1" applyBorder="1" applyAlignment="1">
      <alignment horizontal="left" vertical="center"/>
    </xf>
    <xf numFmtId="44" fontId="45" fillId="0" borderId="17" xfId="0" applyNumberFormat="1" applyFont="1" applyBorder="1"/>
    <xf numFmtId="0" fontId="45" fillId="0" borderId="17" xfId="0" applyFont="1" applyBorder="1" applyAlignment="1">
      <alignment horizontal="left"/>
    </xf>
    <xf numFmtId="44" fontId="45" fillId="0" borderId="8" xfId="0" applyNumberFormat="1" applyFont="1" applyBorder="1"/>
    <xf numFmtId="0" fontId="52" fillId="0" borderId="2" xfId="0" applyFont="1" applyBorder="1" applyAlignment="1">
      <alignment horizontal="left" vertical="top"/>
    </xf>
    <xf numFmtId="0" fontId="45" fillId="0" borderId="2" xfId="0" applyFont="1" applyBorder="1" applyAlignment="1">
      <alignment horizontal="right" vertical="top"/>
    </xf>
    <xf numFmtId="2" fontId="45" fillId="0" borderId="2" xfId="0" applyNumberFormat="1" applyFont="1" applyBorder="1" applyAlignment="1">
      <alignment horizontal="right" vertical="top"/>
    </xf>
    <xf numFmtId="2" fontId="45" fillId="0" borderId="3" xfId="0" applyNumberFormat="1" applyFont="1" applyBorder="1" applyAlignment="1">
      <alignment horizontal="right" vertical="top"/>
    </xf>
    <xf numFmtId="0" fontId="45" fillId="0" borderId="49" xfId="0" applyFont="1" applyBorder="1" applyAlignment="1">
      <alignment horizontal="left" vertical="top"/>
    </xf>
    <xf numFmtId="2" fontId="45" fillId="0" borderId="7" xfId="0" applyNumberFormat="1" applyFont="1" applyBorder="1" applyAlignment="1">
      <alignment horizontal="right" vertical="top"/>
    </xf>
    <xf numFmtId="2" fontId="52" fillId="0" borderId="5" xfId="0" applyNumberFormat="1" applyFont="1" applyBorder="1" applyAlignment="1">
      <alignment horizontal="right" vertical="top"/>
    </xf>
    <xf numFmtId="0" fontId="45" fillId="0" borderId="2" xfId="0" applyFont="1" applyBorder="1"/>
    <xf numFmtId="0" fontId="64" fillId="2" borderId="8" xfId="3" applyFont="1" applyFill="1" applyBorder="1" applyAlignment="1">
      <alignment vertical="top"/>
    </xf>
    <xf numFmtId="0" fontId="7" fillId="21" borderId="8" xfId="1" applyFont="1" applyFill="1" applyAlignment="1">
      <alignment horizontal="center" vertical="center"/>
    </xf>
    <xf numFmtId="0" fontId="7" fillId="3" borderId="21" xfId="1" applyFont="1" applyFill="1" applyBorder="1" applyAlignment="1" applyProtection="1">
      <alignment horizontal="left" vertical="center"/>
      <protection locked="0"/>
    </xf>
    <xf numFmtId="0" fontId="7" fillId="3" borderId="50" xfId="1" applyFont="1" applyFill="1" applyBorder="1" applyAlignment="1" applyProtection="1">
      <alignment horizontal="left" vertical="center"/>
      <protection locked="0"/>
    </xf>
    <xf numFmtId="0" fontId="7" fillId="21" borderId="8" xfId="1" applyFont="1" applyFill="1" applyAlignment="1">
      <alignment vertical="center"/>
    </xf>
    <xf numFmtId="0" fontId="63" fillId="0" borderId="25" xfId="5" applyBorder="1" applyAlignment="1">
      <alignment vertical="top" wrapText="1"/>
    </xf>
    <xf numFmtId="44" fontId="7" fillId="0" borderId="8" xfId="1" applyNumberFormat="1" applyFont="1" applyAlignment="1">
      <alignment vertical="center"/>
    </xf>
    <xf numFmtId="10" fontId="7" fillId="9" borderId="17" xfId="2" applyNumberFormat="1" applyFont="1" applyFill="1" applyBorder="1" applyAlignment="1">
      <alignment horizontal="center" vertical="center"/>
    </xf>
    <xf numFmtId="44" fontId="7" fillId="9" borderId="17" xfId="1" applyNumberFormat="1" applyFont="1" applyFill="1" applyBorder="1" applyAlignment="1">
      <alignment horizontal="center" vertical="center" wrapText="1"/>
    </xf>
    <xf numFmtId="10" fontId="8" fillId="5" borderId="17" xfId="2" applyNumberFormat="1" applyFont="1" applyFill="1" applyBorder="1" applyAlignment="1">
      <alignment vertical="center"/>
    </xf>
    <xf numFmtId="9" fontId="7" fillId="0" borderId="22" xfId="2" applyFont="1" applyFill="1" applyBorder="1" applyAlignment="1">
      <alignment vertical="center"/>
    </xf>
    <xf numFmtId="0" fontId="7" fillId="21" borderId="0" xfId="1" applyFont="1" applyFill="1" applyBorder="1" applyAlignment="1">
      <alignment vertical="center"/>
    </xf>
    <xf numFmtId="9" fontId="23" fillId="0" borderId="8" xfId="2" applyFont="1" applyBorder="1" applyAlignment="1">
      <alignment vertical="center"/>
    </xf>
    <xf numFmtId="44" fontId="23" fillId="9" borderId="17" xfId="1" applyNumberFormat="1" applyFont="1" applyFill="1" applyBorder="1" applyAlignment="1">
      <alignment horizontal="center" vertical="center"/>
    </xf>
    <xf numFmtId="44" fontId="22" fillId="9" borderId="17" xfId="1" applyNumberFormat="1" applyFont="1" applyFill="1" applyBorder="1" applyAlignment="1">
      <alignment horizontal="center" vertical="center"/>
    </xf>
    <xf numFmtId="43" fontId="7" fillId="0" borderId="8" xfId="6" applyFont="1" applyBorder="1" applyAlignment="1">
      <alignment horizontal="center" vertical="center"/>
    </xf>
    <xf numFmtId="43" fontId="7" fillId="0" borderId="8" xfId="1" applyNumberFormat="1" applyFont="1" applyAlignment="1">
      <alignment horizontal="center" vertical="center"/>
    </xf>
    <xf numFmtId="44" fontId="24" fillId="9" borderId="17" xfId="1" applyNumberFormat="1" applyFont="1" applyFill="1" applyBorder="1" applyAlignment="1">
      <alignment horizontal="center" vertical="center"/>
    </xf>
    <xf numFmtId="169" fontId="7" fillId="0" borderId="0" xfId="6" applyNumberFormat="1" applyFont="1" applyAlignment="1">
      <alignment vertical="center"/>
    </xf>
    <xf numFmtId="0" fontId="22" fillId="28" borderId="0" xfId="0" applyFont="1" applyFill="1" applyAlignment="1">
      <alignment horizontal="left" vertical="center"/>
    </xf>
    <xf numFmtId="0" fontId="7" fillId="28" borderId="0" xfId="0" applyFont="1" applyFill="1" applyAlignment="1">
      <alignment horizontal="right" vertical="center"/>
    </xf>
    <xf numFmtId="0" fontId="7" fillId="28" borderId="0" xfId="0" applyFont="1" applyFill="1" applyAlignment="1">
      <alignment vertical="center"/>
    </xf>
    <xf numFmtId="10" fontId="8" fillId="9" borderId="17" xfId="2" applyNumberFormat="1" applyFont="1" applyFill="1" applyBorder="1" applyAlignment="1">
      <alignment horizontal="center" vertical="center"/>
    </xf>
    <xf numFmtId="0" fontId="23" fillId="28" borderId="8" xfId="1" applyFont="1" applyFill="1" applyAlignment="1">
      <alignment vertical="center"/>
    </xf>
    <xf numFmtId="170" fontId="7" fillId="11" borderId="8" xfId="0" applyNumberFormat="1" applyFont="1" applyFill="1" applyBorder="1" applyAlignment="1">
      <alignment horizontal="left" vertical="center"/>
    </xf>
    <xf numFmtId="0" fontId="7" fillId="10" borderId="41" xfId="1" applyFont="1" applyFill="1" applyBorder="1" applyAlignment="1">
      <alignment vertical="center"/>
    </xf>
    <xf numFmtId="0" fontId="8" fillId="0" borderId="42" xfId="1" applyFont="1" applyBorder="1" applyAlignment="1">
      <alignment horizontal="left" vertical="center"/>
    </xf>
    <xf numFmtId="0" fontId="7" fillId="0" borderId="42" xfId="1" applyFont="1" applyBorder="1" applyAlignment="1">
      <alignment vertical="center"/>
    </xf>
    <xf numFmtId="0" fontId="7" fillId="11" borderId="42" xfId="1" applyFont="1" applyFill="1" applyBorder="1" applyAlignment="1">
      <alignment horizontal="left" vertical="center"/>
    </xf>
    <xf numFmtId="0" fontId="7" fillId="11" borderId="42" xfId="1" applyFont="1" applyFill="1" applyBorder="1" applyAlignment="1">
      <alignment horizontal="center" vertical="center"/>
    </xf>
    <xf numFmtId="0" fontId="7" fillId="10" borderId="43" xfId="1" applyFont="1" applyFill="1" applyBorder="1" applyAlignment="1">
      <alignment horizontal="center" vertical="center"/>
    </xf>
    <xf numFmtId="0" fontId="7" fillId="10" borderId="44" xfId="1" applyFont="1" applyFill="1" applyBorder="1" applyAlignment="1">
      <alignment vertical="center"/>
    </xf>
    <xf numFmtId="0" fontId="7" fillId="5" borderId="18" xfId="1" applyFont="1" applyFill="1" applyBorder="1" applyAlignment="1">
      <alignment horizontal="left" vertical="center"/>
    </xf>
    <xf numFmtId="0" fontId="7" fillId="5" borderId="17" xfId="1" applyFont="1" applyFill="1" applyBorder="1" applyAlignment="1">
      <alignment vertical="center"/>
    </xf>
    <xf numFmtId="0" fontId="7" fillId="10" borderId="44" xfId="1" applyFont="1" applyFill="1" applyBorder="1" applyAlignment="1">
      <alignment horizontal="left" vertical="center"/>
    </xf>
    <xf numFmtId="0" fontId="7" fillId="7" borderId="27" xfId="1" applyFont="1" applyFill="1" applyBorder="1" applyAlignment="1">
      <alignment horizontal="left" vertical="center"/>
    </xf>
    <xf numFmtId="0" fontId="22" fillId="11" borderId="22" xfId="1" applyFont="1" applyFill="1" applyBorder="1" applyAlignment="1">
      <alignment vertical="center"/>
    </xf>
    <xf numFmtId="0" fontId="14" fillId="10" borderId="8" xfId="1" applyFont="1" applyFill="1" applyAlignment="1">
      <alignment vertical="center"/>
    </xf>
    <xf numFmtId="0" fontId="7" fillId="10" borderId="45" xfId="1" applyFont="1" applyFill="1" applyBorder="1" applyAlignment="1">
      <alignment vertical="center"/>
    </xf>
    <xf numFmtId="0" fontId="26" fillId="11" borderId="8" xfId="1" applyFont="1" applyFill="1" applyAlignment="1">
      <alignment vertical="center"/>
    </xf>
    <xf numFmtId="0" fontId="7" fillId="0" borderId="45" xfId="1" applyFont="1" applyBorder="1" applyAlignment="1">
      <alignment horizontal="center" vertical="center"/>
    </xf>
    <xf numFmtId="0" fontId="7" fillId="7" borderId="19" xfId="1" applyFont="1" applyFill="1" applyBorder="1" applyAlignment="1">
      <alignment horizontal="left" vertical="center"/>
    </xf>
    <xf numFmtId="0" fontId="7" fillId="11" borderId="45" xfId="1" applyFont="1" applyFill="1" applyBorder="1" applyAlignment="1">
      <alignment horizontal="center" vertical="center"/>
    </xf>
    <xf numFmtId="0" fontId="7" fillId="2" borderId="8" xfId="1" applyFont="1" applyFill="1" applyAlignment="1">
      <alignment horizontal="left" vertical="center"/>
    </xf>
    <xf numFmtId="0" fontId="6" fillId="2" borderId="8" xfId="1" applyFont="1" applyFill="1" applyAlignment="1">
      <alignment horizontal="left" vertical="center"/>
    </xf>
    <xf numFmtId="9" fontId="7" fillId="2" borderId="8" xfId="1" applyNumberFormat="1" applyFont="1" applyFill="1" applyAlignment="1">
      <alignment horizontal="center" vertical="center"/>
    </xf>
    <xf numFmtId="0" fontId="7" fillId="2" borderId="45" xfId="1" applyFont="1" applyFill="1" applyBorder="1" applyAlignment="1">
      <alignment horizontal="center" vertical="center" wrapText="1"/>
    </xf>
    <xf numFmtId="0" fontId="7" fillId="2" borderId="8" xfId="1" applyFont="1" applyFill="1" applyAlignment="1">
      <alignment horizontal="center" vertical="center" wrapText="1"/>
    </xf>
    <xf numFmtId="0" fontId="7" fillId="2" borderId="8" xfId="1" applyFont="1" applyFill="1" applyAlignment="1">
      <alignment horizontal="left" vertical="center" wrapText="1"/>
    </xf>
    <xf numFmtId="0" fontId="7" fillId="0" borderId="8" xfId="1" applyFont="1" applyAlignment="1">
      <alignment horizontal="left" vertical="center" wrapText="1"/>
    </xf>
    <xf numFmtId="0" fontId="7" fillId="10" borderId="46" xfId="1" applyFont="1" applyFill="1" applyBorder="1" applyAlignment="1">
      <alignment vertical="center"/>
    </xf>
    <xf numFmtId="0" fontId="7" fillId="2" borderId="47" xfId="1" applyFont="1" applyFill="1" applyBorder="1" applyAlignment="1">
      <alignment horizontal="left" vertical="center"/>
    </xf>
    <xf numFmtId="0" fontId="6" fillId="2" borderId="47" xfId="1" applyFont="1" applyFill="1" applyBorder="1" applyAlignment="1">
      <alignment horizontal="left" vertical="center"/>
    </xf>
    <xf numFmtId="9" fontId="7" fillId="2" borderId="47" xfId="1" applyNumberFormat="1" applyFont="1" applyFill="1" applyBorder="1" applyAlignment="1">
      <alignment horizontal="center" vertical="center"/>
    </xf>
    <xf numFmtId="0" fontId="7" fillId="2" borderId="48" xfId="1" applyFont="1" applyFill="1" applyBorder="1" applyAlignment="1">
      <alignment horizontal="center" vertical="center" wrapText="1"/>
    </xf>
    <xf numFmtId="0" fontId="8" fillId="15" borderId="8" xfId="1" applyFont="1" applyFill="1" applyAlignment="1">
      <alignment vertical="center"/>
    </xf>
    <xf numFmtId="0" fontId="63" fillId="0" borderId="8" xfId="5" applyBorder="1" applyAlignment="1" applyProtection="1">
      <alignment horizontal="center" vertical="center"/>
    </xf>
    <xf numFmtId="44" fontId="7" fillId="9" borderId="23" xfId="1" applyNumberFormat="1" applyFont="1" applyFill="1" applyBorder="1" applyAlignment="1">
      <alignment horizontal="center" vertical="center"/>
    </xf>
    <xf numFmtId="44" fontId="7" fillId="3" borderId="23" xfId="1" applyNumberFormat="1" applyFont="1" applyFill="1" applyBorder="1" applyAlignment="1">
      <alignment horizontal="center" vertical="center"/>
    </xf>
    <xf numFmtId="44" fontId="7" fillId="3" borderId="24" xfId="1" applyNumberFormat="1" applyFont="1" applyFill="1" applyBorder="1" applyAlignment="1">
      <alignment horizontal="center" vertical="center"/>
    </xf>
    <xf numFmtId="0" fontId="17" fillId="10" borderId="8" xfId="1" applyFont="1" applyFill="1" applyAlignment="1">
      <alignment vertical="center"/>
    </xf>
    <xf numFmtId="44" fontId="8" fillId="5" borderId="17" xfId="1" applyNumberFormat="1" applyFont="1" applyFill="1" applyBorder="1" applyAlignment="1">
      <alignment horizontal="center" vertical="center"/>
    </xf>
    <xf numFmtId="0" fontId="8" fillId="9" borderId="17" xfId="1" applyFont="1" applyFill="1" applyBorder="1" applyAlignment="1">
      <alignment horizontal="center" vertical="center" wrapText="1"/>
    </xf>
    <xf numFmtId="0" fontId="8" fillId="7" borderId="17" xfId="1" applyFont="1" applyFill="1" applyBorder="1" applyAlignment="1">
      <alignment horizontal="center" vertical="center"/>
    </xf>
    <xf numFmtId="0" fontId="8" fillId="0" borderId="8" xfId="1" applyFont="1" applyAlignment="1">
      <alignment horizontal="center" vertical="center" wrapText="1"/>
    </xf>
    <xf numFmtId="44" fontId="7" fillId="13" borderId="17" xfId="1" applyNumberFormat="1" applyFont="1" applyFill="1" applyBorder="1" applyAlignment="1">
      <alignment horizontal="left" vertical="center"/>
    </xf>
    <xf numFmtId="10" fontId="7" fillId="5" borderId="17" xfId="2" applyNumberFormat="1" applyFont="1" applyFill="1" applyBorder="1" applyAlignment="1" applyProtection="1">
      <alignment vertical="center"/>
    </xf>
    <xf numFmtId="10" fontId="7" fillId="0" borderId="8" xfId="2" applyNumberFormat="1" applyFont="1" applyFill="1" applyBorder="1" applyAlignment="1" applyProtection="1">
      <alignment vertical="center"/>
    </xf>
    <xf numFmtId="44" fontId="23" fillId="9" borderId="23" xfId="1" applyNumberFormat="1" applyFont="1" applyFill="1" applyBorder="1" applyAlignment="1">
      <alignment horizontal="center" vertical="center"/>
    </xf>
    <xf numFmtId="44" fontId="17" fillId="9" borderId="23" xfId="1" applyNumberFormat="1" applyFont="1" applyFill="1" applyBorder="1" applyAlignment="1">
      <alignment horizontal="center" vertical="center"/>
    </xf>
    <xf numFmtId="0" fontId="8" fillId="7" borderId="17" xfId="1" applyFont="1" applyFill="1" applyBorder="1" applyAlignment="1">
      <alignment horizontal="right" vertical="center"/>
    </xf>
    <xf numFmtId="44" fontId="24" fillId="9" borderId="23" xfId="1" applyNumberFormat="1" applyFont="1" applyFill="1" applyBorder="1" applyAlignment="1">
      <alignment horizontal="center" vertical="center"/>
    </xf>
    <xf numFmtId="44" fontId="8" fillId="9" borderId="23" xfId="1" applyNumberFormat="1" applyFont="1" applyFill="1" applyBorder="1" applyAlignment="1">
      <alignment horizontal="center" vertical="center"/>
    </xf>
    <xf numFmtId="0" fontId="8" fillId="0" borderId="8" xfId="1" applyFont="1" applyAlignment="1">
      <alignment vertical="center"/>
    </xf>
    <xf numFmtId="10" fontId="8" fillId="5" borderId="17" xfId="2" applyNumberFormat="1" applyFont="1" applyFill="1" applyBorder="1" applyAlignment="1" applyProtection="1">
      <alignment vertical="center"/>
    </xf>
    <xf numFmtId="44" fontId="7" fillId="0" borderId="22" xfId="1" applyNumberFormat="1" applyFont="1" applyBorder="1" applyAlignment="1">
      <alignment horizontal="center" vertical="center"/>
    </xf>
    <xf numFmtId="44" fontId="7" fillId="0" borderId="22" xfId="1" applyNumberFormat="1" applyFont="1" applyBorder="1" applyAlignment="1">
      <alignment horizontal="left" vertical="center"/>
    </xf>
    <xf numFmtId="9" fontId="23" fillId="0" borderId="0" xfId="2" applyFont="1" applyAlignment="1" applyProtection="1">
      <alignment vertical="center"/>
    </xf>
    <xf numFmtId="9" fontId="7" fillId="0" borderId="8" xfId="1" applyNumberFormat="1" applyFont="1" applyAlignment="1">
      <alignment horizontal="center" vertical="center"/>
    </xf>
    <xf numFmtId="0" fontId="8" fillId="0" borderId="0" xfId="1" applyFont="1" applyBorder="1" applyAlignment="1">
      <alignment vertical="center"/>
    </xf>
    <xf numFmtId="44" fontId="7" fillId="9" borderId="19" xfId="1" applyNumberFormat="1" applyFont="1" applyFill="1" applyBorder="1" applyAlignment="1">
      <alignment horizontal="left" vertical="center"/>
    </xf>
    <xf numFmtId="0" fontId="30" fillId="0" borderId="8" xfId="1" applyFont="1" applyAlignment="1">
      <alignment vertical="center"/>
    </xf>
    <xf numFmtId="0" fontId="7" fillId="10" borderId="8" xfId="0" applyFont="1" applyFill="1" applyBorder="1" applyAlignment="1">
      <alignment horizontal="center" vertical="center"/>
    </xf>
    <xf numFmtId="0" fontId="17" fillId="10" borderId="0" xfId="0" applyFont="1" applyFill="1" applyAlignment="1">
      <alignment vertical="center"/>
    </xf>
    <xf numFmtId="0" fontId="17" fillId="10" borderId="8" xfId="0" applyFont="1" applyFill="1" applyBorder="1" applyAlignment="1">
      <alignment vertical="center"/>
    </xf>
    <xf numFmtId="0" fontId="23" fillId="0" borderId="0" xfId="0" applyFont="1" applyAlignment="1">
      <alignment vertical="center"/>
    </xf>
    <xf numFmtId="0" fontId="7" fillId="0" borderId="0" xfId="0" applyFont="1" applyAlignment="1">
      <alignment horizontal="center" vertical="center"/>
    </xf>
    <xf numFmtId="0" fontId="14" fillId="10" borderId="0" xfId="0" applyFont="1" applyFill="1" applyAlignment="1">
      <alignment vertical="center"/>
    </xf>
    <xf numFmtId="0" fontId="12" fillId="11" borderId="8" xfId="0" applyFont="1" applyFill="1" applyBorder="1" applyAlignment="1">
      <alignment horizontal="left" vertical="center"/>
    </xf>
    <xf numFmtId="0" fontId="17" fillId="11" borderId="8" xfId="0" applyFont="1" applyFill="1" applyBorder="1" applyAlignment="1">
      <alignment horizontal="left" vertical="center"/>
    </xf>
    <xf numFmtId="0" fontId="13" fillId="11" borderId="8" xfId="0" applyFont="1" applyFill="1" applyBorder="1" applyAlignment="1">
      <alignment horizontal="left" vertical="center"/>
    </xf>
    <xf numFmtId="0" fontId="7" fillId="0" borderId="8" xfId="0" applyFont="1" applyBorder="1" applyAlignment="1">
      <alignment horizontal="center" vertical="center"/>
    </xf>
    <xf numFmtId="0" fontId="17" fillId="0" borderId="8" xfId="0" applyFont="1" applyBorder="1" applyAlignment="1">
      <alignment vertical="center"/>
    </xf>
    <xf numFmtId="0" fontId="27" fillId="11" borderId="8" xfId="0" applyFont="1" applyFill="1" applyBorder="1" applyAlignment="1">
      <alignment horizontal="left" vertical="center"/>
    </xf>
    <xf numFmtId="0" fontId="23" fillId="10" borderId="0" xfId="0" applyFont="1" applyFill="1" applyAlignment="1">
      <alignment vertical="center"/>
    </xf>
    <xf numFmtId="2" fontId="23" fillId="10" borderId="8" xfId="0" applyNumberFormat="1" applyFont="1" applyFill="1" applyBorder="1" applyAlignment="1">
      <alignment vertical="center"/>
    </xf>
    <xf numFmtId="0" fontId="7" fillId="7" borderId="8" xfId="0" applyFont="1" applyFill="1" applyBorder="1" applyAlignment="1">
      <alignment horizontal="left" vertical="center"/>
    </xf>
    <xf numFmtId="0" fontId="29" fillId="5" borderId="8" xfId="0" applyFont="1" applyFill="1" applyBorder="1" applyAlignment="1">
      <alignment horizontal="left" vertical="center"/>
    </xf>
    <xf numFmtId="0" fontId="25" fillId="5" borderId="8" xfId="0" applyFont="1" applyFill="1" applyBorder="1" applyAlignment="1">
      <alignment vertical="center"/>
    </xf>
    <xf numFmtId="0" fontId="7" fillId="5" borderId="8" xfId="0" applyFont="1" applyFill="1" applyBorder="1" applyAlignment="1">
      <alignment vertical="center"/>
    </xf>
    <xf numFmtId="0" fontId="23" fillId="10" borderId="8" xfId="0" applyFont="1" applyFill="1" applyBorder="1" applyAlignment="1">
      <alignment vertical="center"/>
    </xf>
    <xf numFmtId="49" fontId="7" fillId="7" borderId="8" xfId="0" applyNumberFormat="1" applyFont="1" applyFill="1" applyBorder="1" applyAlignment="1">
      <alignment horizontal="left" vertical="center"/>
    </xf>
    <xf numFmtId="0" fontId="31" fillId="5" borderId="8" xfId="0" applyFont="1" applyFill="1" applyBorder="1" applyAlignment="1">
      <alignment vertical="center"/>
    </xf>
    <xf numFmtId="0" fontId="23" fillId="0" borderId="8" xfId="0" applyFont="1" applyBorder="1" applyAlignment="1">
      <alignment vertical="center"/>
    </xf>
    <xf numFmtId="44" fontId="17" fillId="0" borderId="8" xfId="0" applyNumberFormat="1" applyFont="1" applyBorder="1" applyAlignment="1">
      <alignment vertical="center"/>
    </xf>
    <xf numFmtId="0" fontId="34" fillId="5" borderId="8" xfId="0" applyFont="1" applyFill="1" applyBorder="1" applyAlignment="1">
      <alignment vertical="center"/>
    </xf>
    <xf numFmtId="0" fontId="23" fillId="5" borderId="8" xfId="0" applyFont="1" applyFill="1" applyBorder="1" applyAlignment="1">
      <alignment vertical="center"/>
    </xf>
    <xf numFmtId="0" fontId="24" fillId="21" borderId="8" xfId="0" applyFont="1" applyFill="1" applyBorder="1" applyAlignment="1">
      <alignment vertical="center"/>
    </xf>
    <xf numFmtId="0" fontId="32" fillId="7" borderId="8" xfId="0" applyFont="1" applyFill="1" applyBorder="1" applyAlignment="1">
      <alignment horizontal="left" vertical="center"/>
    </xf>
    <xf numFmtId="9" fontId="8" fillId="12" borderId="8" xfId="0" applyNumberFormat="1" applyFont="1" applyFill="1" applyBorder="1" applyAlignment="1">
      <alignment vertical="center"/>
    </xf>
    <xf numFmtId="9" fontId="8" fillId="2" borderId="8" xfId="0" applyNumberFormat="1" applyFont="1" applyFill="1" applyBorder="1" applyAlignment="1">
      <alignment vertical="center"/>
    </xf>
    <xf numFmtId="44" fontId="7" fillId="0" borderId="8" xfId="0" applyNumberFormat="1" applyFont="1" applyBorder="1" applyAlignment="1">
      <alignment horizontal="center" vertical="center"/>
    </xf>
    <xf numFmtId="44" fontId="7" fillId="10" borderId="8" xfId="0" applyNumberFormat="1" applyFont="1" applyFill="1" applyBorder="1" applyAlignment="1">
      <alignment horizontal="center" vertical="center"/>
    </xf>
    <xf numFmtId="0" fontId="34" fillId="7" borderId="8" xfId="0" applyFont="1" applyFill="1" applyBorder="1" applyAlignment="1">
      <alignment horizontal="left" vertical="center"/>
    </xf>
    <xf numFmtId="0" fontId="14" fillId="11" borderId="8" xfId="0" applyFont="1" applyFill="1" applyBorder="1" applyAlignment="1">
      <alignment horizontal="left" vertical="center" wrapText="1"/>
    </xf>
    <xf numFmtId="0" fontId="8" fillId="12" borderId="17" xfId="0" applyFont="1" applyFill="1" applyBorder="1" applyAlignment="1">
      <alignment horizontal="center" vertical="center" wrapText="1"/>
    </xf>
    <xf numFmtId="0" fontId="8" fillId="11" borderId="8"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24" fillId="5" borderId="32" xfId="0" applyFont="1" applyFill="1" applyBorder="1" applyAlignment="1">
      <alignment horizontal="center" vertical="center" wrapText="1"/>
    </xf>
    <xf numFmtId="0" fontId="24" fillId="5" borderId="33" xfId="0" applyFont="1" applyFill="1" applyBorder="1" applyAlignment="1">
      <alignment horizontal="center" vertical="center" wrapText="1"/>
    </xf>
    <xf numFmtId="0" fontId="8" fillId="7" borderId="33" xfId="0" applyFont="1" applyFill="1" applyBorder="1" applyAlignment="1">
      <alignment horizontal="center" vertical="center" wrapText="1"/>
    </xf>
    <xf numFmtId="0" fontId="8" fillId="7" borderId="36" xfId="0" applyFont="1" applyFill="1" applyBorder="1" applyAlignment="1">
      <alignment horizontal="center" vertical="center" wrapText="1"/>
    </xf>
    <xf numFmtId="0" fontId="8" fillId="7" borderId="32"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17" fillId="0" borderId="17" xfId="0" applyFont="1" applyBorder="1" applyAlignment="1">
      <alignment vertical="center"/>
    </xf>
    <xf numFmtId="0" fontId="14" fillId="11" borderId="0" xfId="0" applyFont="1" applyFill="1" applyAlignment="1">
      <alignment horizontal="left" vertical="center"/>
    </xf>
    <xf numFmtId="44" fontId="7" fillId="12" borderId="17" xfId="0" applyNumberFormat="1" applyFont="1" applyFill="1" applyBorder="1" applyAlignment="1">
      <alignment horizontal="center" vertical="center"/>
    </xf>
    <xf numFmtId="0" fontId="6" fillId="15" borderId="8" xfId="0" applyFont="1" applyFill="1" applyBorder="1" applyAlignment="1">
      <alignment horizontal="center" vertical="center"/>
    </xf>
    <xf numFmtId="44" fontId="7" fillId="3" borderId="17" xfId="0" applyNumberFormat="1" applyFont="1" applyFill="1" applyBorder="1" applyAlignment="1">
      <alignment horizontal="center" vertical="center"/>
    </xf>
    <xf numFmtId="44" fontId="7" fillId="9" borderId="17" xfId="0" applyNumberFormat="1" applyFont="1" applyFill="1" applyBorder="1" applyAlignment="1">
      <alignment horizontal="center" vertical="center"/>
    </xf>
    <xf numFmtId="44" fontId="7" fillId="15" borderId="8" xfId="0" applyNumberFormat="1" applyFont="1" applyFill="1" applyBorder="1" applyAlignment="1">
      <alignment horizontal="center" vertical="center"/>
    </xf>
    <xf numFmtId="44" fontId="7" fillId="2" borderId="8" xfId="0" applyNumberFormat="1" applyFont="1" applyFill="1" applyBorder="1" applyAlignment="1">
      <alignment horizontal="center" vertical="center"/>
    </xf>
    <xf numFmtId="168" fontId="6" fillId="14" borderId="17" xfId="0" applyNumberFormat="1" applyFont="1" applyFill="1" applyBorder="1" applyAlignment="1">
      <alignment horizontal="center" vertical="center"/>
    </xf>
    <xf numFmtId="44" fontId="6" fillId="12" borderId="17" xfId="0" applyNumberFormat="1" applyFont="1" applyFill="1" applyBorder="1" applyAlignment="1">
      <alignment horizontal="center" vertical="center"/>
    </xf>
    <xf numFmtId="0" fontId="34" fillId="0" borderId="8" xfId="0" applyFont="1" applyBorder="1" applyAlignment="1">
      <alignment horizontal="left" vertical="center"/>
    </xf>
    <xf numFmtId="0" fontId="31" fillId="20" borderId="30" xfId="0" applyFont="1" applyFill="1" applyBorder="1" applyAlignment="1">
      <alignment horizontal="center" vertical="center"/>
    </xf>
    <xf numFmtId="44" fontId="7" fillId="5" borderId="34" xfId="0" applyNumberFormat="1" applyFont="1" applyFill="1" applyBorder="1" applyAlignment="1">
      <alignment horizontal="center" vertical="center"/>
    </xf>
    <xf numFmtId="44" fontId="7" fillId="20" borderId="17" xfId="0" applyNumberFormat="1" applyFont="1" applyFill="1" applyBorder="1" applyAlignment="1">
      <alignment horizontal="center" vertical="center"/>
    </xf>
    <xf numFmtId="0" fontId="7" fillId="20" borderId="17" xfId="0" applyFont="1" applyFill="1" applyBorder="1" applyAlignment="1">
      <alignment horizontal="left" vertical="center"/>
    </xf>
    <xf numFmtId="44" fontId="7" fillId="9" borderId="37" xfId="0" applyNumberFormat="1" applyFont="1" applyFill="1" applyBorder="1" applyAlignment="1">
      <alignment horizontal="center" vertical="center"/>
    </xf>
    <xf numFmtId="44" fontId="7" fillId="9" borderId="34" xfId="0" applyNumberFormat="1" applyFont="1" applyFill="1" applyBorder="1" applyAlignment="1">
      <alignment horizontal="center" vertical="center"/>
    </xf>
    <xf numFmtId="0" fontId="7" fillId="3" borderId="17" xfId="0" applyFont="1" applyFill="1" applyBorder="1" applyAlignment="1">
      <alignment horizontal="center" vertical="center"/>
    </xf>
    <xf numFmtId="44" fontId="7" fillId="9" borderId="30" xfId="0" applyNumberFormat="1" applyFont="1" applyFill="1" applyBorder="1" applyAlignment="1">
      <alignment horizontal="center" vertical="center"/>
    </xf>
    <xf numFmtId="44" fontId="7" fillId="12" borderId="30" xfId="0" applyNumberFormat="1" applyFont="1" applyFill="1" applyBorder="1" applyAlignment="1">
      <alignment horizontal="center" vertical="center"/>
    </xf>
    <xf numFmtId="44" fontId="6" fillId="12" borderId="30" xfId="0" applyNumberFormat="1" applyFont="1" applyFill="1" applyBorder="1" applyAlignment="1">
      <alignment horizontal="center" vertical="center"/>
    </xf>
    <xf numFmtId="0" fontId="17" fillId="27" borderId="0" xfId="0" applyFont="1" applyFill="1" applyAlignment="1">
      <alignment vertical="center"/>
    </xf>
    <xf numFmtId="0" fontId="14" fillId="11" borderId="8" xfId="0" applyFont="1" applyFill="1" applyBorder="1" applyAlignment="1">
      <alignment horizontal="left" vertical="center"/>
    </xf>
    <xf numFmtId="0" fontId="31" fillId="20" borderId="31" xfId="0" applyFont="1" applyFill="1" applyBorder="1" applyAlignment="1">
      <alignment horizontal="center" vertical="center"/>
    </xf>
    <xf numFmtId="44" fontId="7" fillId="5" borderId="38" xfId="0" applyNumberFormat="1" applyFont="1" applyFill="1" applyBorder="1" applyAlignment="1">
      <alignment horizontal="center" vertical="center"/>
    </xf>
    <xf numFmtId="44" fontId="7" fillId="20" borderId="35" xfId="0" applyNumberFormat="1" applyFont="1" applyFill="1" applyBorder="1" applyAlignment="1">
      <alignment horizontal="center" vertical="center"/>
    </xf>
    <xf numFmtId="0" fontId="7" fillId="20" borderId="35" xfId="0" applyFont="1" applyFill="1" applyBorder="1" applyAlignment="1">
      <alignment horizontal="left" vertical="center"/>
    </xf>
    <xf numFmtId="44" fontId="7" fillId="9" borderId="35" xfId="0" applyNumberFormat="1" applyFont="1" applyFill="1" applyBorder="1" applyAlignment="1">
      <alignment horizontal="center" vertical="center"/>
    </xf>
    <xf numFmtId="44" fontId="7" fillId="9" borderId="39" xfId="0" applyNumberFormat="1" applyFont="1" applyFill="1" applyBorder="1" applyAlignment="1">
      <alignment horizontal="center" vertical="center"/>
    </xf>
    <xf numFmtId="44" fontId="7" fillId="9" borderId="38" xfId="0" applyNumberFormat="1" applyFont="1" applyFill="1" applyBorder="1" applyAlignment="1">
      <alignment horizontal="center" vertical="center"/>
    </xf>
    <xf numFmtId="44" fontId="7" fillId="3" borderId="35" xfId="0" applyNumberFormat="1" applyFont="1" applyFill="1" applyBorder="1" applyAlignment="1">
      <alignment horizontal="center" vertical="center"/>
    </xf>
    <xf numFmtId="0" fontId="7" fillId="3" borderId="35" xfId="0" applyFont="1" applyFill="1" applyBorder="1" applyAlignment="1">
      <alignment horizontal="center" vertical="center"/>
    </xf>
    <xf numFmtId="44" fontId="7" fillId="9" borderId="31" xfId="0" applyNumberFormat="1" applyFont="1" applyFill="1" applyBorder="1" applyAlignment="1">
      <alignment horizontal="center" vertical="center"/>
    </xf>
    <xf numFmtId="44" fontId="7" fillId="12" borderId="31" xfId="0" applyNumberFormat="1" applyFont="1" applyFill="1" applyBorder="1" applyAlignment="1">
      <alignment horizontal="center" vertical="center"/>
    </xf>
    <xf numFmtId="44" fontId="6" fillId="12" borderId="31" xfId="0" applyNumberFormat="1" applyFont="1" applyFill="1" applyBorder="1" applyAlignment="1">
      <alignment horizontal="center" vertical="center"/>
    </xf>
    <xf numFmtId="0" fontId="16" fillId="11" borderId="8" xfId="0" applyFont="1" applyFill="1" applyBorder="1" applyAlignment="1">
      <alignment horizontal="center" vertical="center"/>
    </xf>
    <xf numFmtId="0" fontId="6" fillId="11" borderId="8" xfId="0" applyFont="1" applyFill="1" applyBorder="1" applyAlignment="1">
      <alignment horizontal="left" vertical="center" wrapText="1"/>
    </xf>
    <xf numFmtId="44" fontId="7" fillId="11" borderId="8" xfId="0" applyNumberFormat="1" applyFont="1" applyFill="1" applyBorder="1" applyAlignment="1">
      <alignment horizontal="center" vertical="center"/>
    </xf>
    <xf numFmtId="0" fontId="7" fillId="10" borderId="8" xfId="0" applyFont="1" applyFill="1" applyBorder="1" applyAlignment="1">
      <alignment horizontal="right" vertical="center"/>
    </xf>
    <xf numFmtId="44" fontId="6" fillId="11" borderId="8" xfId="0" applyNumberFormat="1" applyFont="1" applyFill="1" applyBorder="1" applyAlignment="1">
      <alignment horizontal="left" vertical="center"/>
    </xf>
    <xf numFmtId="0" fontId="25" fillId="11" borderId="8" xfId="0" applyFont="1" applyFill="1" applyBorder="1" applyAlignment="1">
      <alignment horizontal="left" vertical="center"/>
    </xf>
    <xf numFmtId="44" fontId="7" fillId="10" borderId="8" xfId="0" applyNumberFormat="1" applyFont="1" applyFill="1" applyBorder="1" applyAlignment="1">
      <alignment vertical="center"/>
    </xf>
    <xf numFmtId="0" fontId="23" fillId="10" borderId="0" xfId="0" applyFont="1" applyFill="1" applyAlignment="1">
      <alignment vertical="center" wrapText="1"/>
    </xf>
    <xf numFmtId="0" fontId="17" fillId="0" borderId="8" xfId="0" applyFont="1" applyBorder="1" applyAlignment="1">
      <alignment horizontal="left" vertical="center"/>
    </xf>
    <xf numFmtId="44" fontId="7" fillId="5" borderId="17" xfId="0" applyNumberFormat="1" applyFont="1" applyFill="1" applyBorder="1" applyAlignment="1">
      <alignment vertical="center"/>
    </xf>
    <xf numFmtId="44" fontId="7" fillId="0" borderId="8" xfId="0" applyNumberFormat="1" applyFont="1" applyBorder="1" applyAlignment="1">
      <alignment vertical="center"/>
    </xf>
    <xf numFmtId="44" fontId="7" fillId="7" borderId="17" xfId="0" applyNumberFormat="1" applyFont="1" applyFill="1" applyBorder="1" applyAlignment="1">
      <alignment horizontal="left" vertical="center"/>
    </xf>
    <xf numFmtId="0" fontId="14" fillId="11" borderId="8" xfId="0" applyFont="1" applyFill="1" applyBorder="1" applyAlignment="1">
      <alignment vertical="center"/>
    </xf>
    <xf numFmtId="0" fontId="23" fillId="10" borderId="8" xfId="0" applyFont="1" applyFill="1" applyBorder="1" applyAlignment="1">
      <alignment vertical="center" wrapText="1"/>
    </xf>
    <xf numFmtId="166" fontId="7" fillId="11" borderId="8" xfId="0" applyNumberFormat="1" applyFont="1" applyFill="1" applyBorder="1" applyAlignment="1">
      <alignment horizontal="left" vertical="center"/>
    </xf>
    <xf numFmtId="0" fontId="17" fillId="11" borderId="8" xfId="0" applyFont="1" applyFill="1" applyBorder="1" applyAlignment="1">
      <alignment horizontal="left" vertical="center" wrapText="1"/>
    </xf>
    <xf numFmtId="44" fontId="17" fillId="0" borderId="8" xfId="0" applyNumberFormat="1" applyFont="1" applyBorder="1" applyAlignment="1">
      <alignment horizontal="center" vertical="center"/>
    </xf>
    <xf numFmtId="166" fontId="17" fillId="11" borderId="8" xfId="0" applyNumberFormat="1" applyFont="1" applyFill="1" applyBorder="1" applyAlignment="1">
      <alignment horizontal="left" vertical="center"/>
    </xf>
    <xf numFmtId="44" fontId="17" fillId="11" borderId="8" xfId="0" applyNumberFormat="1" applyFont="1" applyFill="1" applyBorder="1" applyAlignment="1">
      <alignment horizontal="left" vertical="center"/>
    </xf>
    <xf numFmtId="168" fontId="7" fillId="12" borderId="17" xfId="0" applyNumberFormat="1" applyFont="1" applyFill="1" applyBorder="1" applyAlignment="1">
      <alignment vertical="center"/>
    </xf>
    <xf numFmtId="0" fontId="6" fillId="0" borderId="8" xfId="0" applyFont="1" applyBorder="1" applyAlignment="1">
      <alignment horizontal="center" vertical="center"/>
    </xf>
    <xf numFmtId="0" fontId="6" fillId="11" borderId="8" xfId="0" applyFont="1" applyFill="1" applyBorder="1" applyAlignment="1">
      <alignment horizontal="right" vertical="center"/>
    </xf>
    <xf numFmtId="166" fontId="8" fillId="2" borderId="8" xfId="0" applyNumberFormat="1" applyFont="1" applyFill="1" applyBorder="1" applyAlignment="1">
      <alignment horizontal="center" vertical="center"/>
    </xf>
    <xf numFmtId="166" fontId="7" fillId="11" borderId="8" xfId="0" applyNumberFormat="1" applyFont="1" applyFill="1" applyBorder="1" applyAlignment="1">
      <alignment horizontal="right" vertical="center"/>
    </xf>
    <xf numFmtId="9" fontId="7" fillId="0" borderId="8" xfId="0" applyNumberFormat="1" applyFont="1" applyBorder="1" applyAlignment="1">
      <alignment vertical="center"/>
    </xf>
    <xf numFmtId="44" fontId="7" fillId="13" borderId="17" xfId="0" applyNumberFormat="1" applyFont="1" applyFill="1" applyBorder="1" applyAlignment="1">
      <alignment vertical="center"/>
    </xf>
    <xf numFmtId="166" fontId="8" fillId="10" borderId="8" xfId="0" applyNumberFormat="1" applyFont="1" applyFill="1" applyBorder="1" applyAlignment="1">
      <alignment horizontal="center" vertical="center"/>
    </xf>
    <xf numFmtId="44" fontId="7" fillId="14" borderId="17" xfId="0" applyNumberFormat="1" applyFont="1" applyFill="1" applyBorder="1" applyAlignment="1">
      <alignment vertical="center"/>
    </xf>
    <xf numFmtId="166" fontId="7" fillId="14" borderId="17" xfId="0" applyNumberFormat="1" applyFont="1" applyFill="1" applyBorder="1" applyAlignment="1">
      <alignment vertical="center"/>
    </xf>
    <xf numFmtId="166" fontId="7" fillId="0" borderId="8" xfId="0" applyNumberFormat="1" applyFont="1" applyBorder="1" applyAlignment="1">
      <alignment vertical="center"/>
    </xf>
    <xf numFmtId="0" fontId="7" fillId="10" borderId="0" xfId="0" applyFont="1" applyFill="1" applyAlignment="1">
      <alignment horizontal="center" vertical="center"/>
    </xf>
    <xf numFmtId="0" fontId="9" fillId="11" borderId="8" xfId="0" applyFont="1" applyFill="1" applyBorder="1" applyAlignment="1">
      <alignment horizontal="left" vertical="center"/>
    </xf>
    <xf numFmtId="0" fontId="17" fillId="10" borderId="8" xfId="0" applyFont="1" applyFill="1" applyBorder="1" applyAlignment="1">
      <alignment horizontal="left" vertical="center"/>
    </xf>
    <xf numFmtId="0" fontId="8" fillId="18" borderId="17" xfId="0" applyFont="1" applyFill="1" applyBorder="1" applyAlignment="1">
      <alignment horizontal="left" vertical="center"/>
    </xf>
    <xf numFmtId="0" fontId="7" fillId="0" borderId="17" xfId="0" applyFont="1" applyBorder="1" applyAlignment="1">
      <alignment horizontal="left" vertical="center"/>
    </xf>
    <xf numFmtId="0" fontId="17" fillId="10" borderId="0" xfId="0" applyFont="1" applyFill="1" applyAlignment="1">
      <alignment horizontal="left" vertical="center"/>
    </xf>
    <xf numFmtId="0" fontId="17" fillId="0" borderId="0" xfId="0" applyFont="1" applyAlignment="1">
      <alignment horizontal="left" vertical="center"/>
    </xf>
    <xf numFmtId="0" fontId="27" fillId="17" borderId="17" xfId="0" applyFont="1" applyFill="1" applyBorder="1" applyAlignment="1">
      <alignment horizontal="left" vertical="center"/>
    </xf>
    <xf numFmtId="0" fontId="17" fillId="6" borderId="17" xfId="0" applyFont="1" applyFill="1" applyBorder="1" applyAlignment="1">
      <alignment vertical="center"/>
    </xf>
    <xf numFmtId="0" fontId="17" fillId="6" borderId="17" xfId="0" applyFont="1" applyFill="1" applyBorder="1" applyAlignment="1">
      <alignment vertical="center" wrapText="1"/>
    </xf>
    <xf numFmtId="0" fontId="21" fillId="6" borderId="19" xfId="0" applyFont="1" applyFill="1" applyBorder="1" applyAlignment="1">
      <alignment horizontal="center" vertical="center"/>
    </xf>
    <xf numFmtId="1" fontId="14" fillId="0" borderId="8" xfId="0" applyNumberFormat="1" applyFont="1" applyBorder="1" applyAlignment="1">
      <alignment horizontal="center" vertical="center"/>
    </xf>
    <xf numFmtId="44" fontId="17" fillId="0" borderId="0" xfId="0" applyNumberFormat="1" applyFont="1" applyAlignment="1">
      <alignment horizontal="left" vertical="center"/>
    </xf>
    <xf numFmtId="44" fontId="17" fillId="0" borderId="8" xfId="0" applyNumberFormat="1" applyFont="1" applyBorder="1" applyAlignment="1">
      <alignment horizontal="left" vertical="center"/>
    </xf>
    <xf numFmtId="44" fontId="17" fillId="10" borderId="8" xfId="0" applyNumberFormat="1" applyFont="1" applyFill="1" applyBorder="1" applyAlignment="1">
      <alignment horizontal="left" vertical="center"/>
    </xf>
    <xf numFmtId="0" fontId="14" fillId="0" borderId="8" xfId="0" applyFont="1" applyBorder="1" applyAlignment="1">
      <alignment horizontal="left" vertical="center"/>
    </xf>
    <xf numFmtId="0" fontId="14" fillId="10" borderId="8" xfId="0" applyFont="1" applyFill="1" applyBorder="1" applyAlignment="1">
      <alignment horizontal="left" vertical="center"/>
    </xf>
    <xf numFmtId="0" fontId="14" fillId="0" borderId="0" xfId="0" applyFont="1" applyAlignment="1">
      <alignment horizontal="left" vertical="center"/>
    </xf>
    <xf numFmtId="0" fontId="21" fillId="11" borderId="8" xfId="0" applyFont="1" applyFill="1" applyBorder="1" applyAlignment="1">
      <alignment horizontal="center" vertical="center"/>
    </xf>
    <xf numFmtId="0" fontId="14" fillId="0" borderId="8" xfId="0" applyFont="1" applyBorder="1" applyAlignment="1">
      <alignment horizontal="center" vertical="center"/>
    </xf>
    <xf numFmtId="1" fontId="24" fillId="0" borderId="0" xfId="0" applyNumberFormat="1" applyFont="1" applyAlignment="1">
      <alignment horizontal="right" vertical="center"/>
    </xf>
    <xf numFmtId="1" fontId="24" fillId="0" borderId="8" xfId="0" applyNumberFormat="1" applyFont="1" applyBorder="1" applyAlignment="1">
      <alignment horizontal="right" vertical="center"/>
    </xf>
    <xf numFmtId="1" fontId="24" fillId="10" borderId="8" xfId="0" applyNumberFormat="1" applyFont="1" applyFill="1" applyBorder="1" applyAlignment="1">
      <alignment horizontal="right" vertical="center"/>
    </xf>
    <xf numFmtId="0" fontId="61" fillId="10" borderId="8" xfId="0" applyFont="1" applyFill="1" applyBorder="1" applyAlignment="1">
      <alignment vertical="center"/>
    </xf>
    <xf numFmtId="0" fontId="61" fillId="0" borderId="8" xfId="0" applyFont="1" applyBorder="1" applyAlignment="1">
      <alignment horizontal="left" vertical="center"/>
    </xf>
    <xf numFmtId="0" fontId="61" fillId="10" borderId="8" xfId="0" applyFont="1" applyFill="1" applyBorder="1" applyAlignment="1">
      <alignment horizontal="left" vertical="center"/>
    </xf>
    <xf numFmtId="0" fontId="61" fillId="0" borderId="8" xfId="0" applyFont="1" applyBorder="1" applyAlignment="1">
      <alignment vertical="center"/>
    </xf>
    <xf numFmtId="0" fontId="7" fillId="11" borderId="0" xfId="0" applyFont="1" applyFill="1" applyAlignment="1">
      <alignment horizontal="left" vertical="center"/>
    </xf>
    <xf numFmtId="0" fontId="12" fillId="11" borderId="0" xfId="0" applyFont="1" applyFill="1" applyAlignment="1">
      <alignment horizontal="left" vertical="center"/>
    </xf>
    <xf numFmtId="0" fontId="7" fillId="11" borderId="0" xfId="0" applyFont="1" applyFill="1" applyAlignment="1">
      <alignment horizontal="center" vertical="center"/>
    </xf>
    <xf numFmtId="0" fontId="17" fillId="11" borderId="0" xfId="0" applyFont="1" applyFill="1" applyAlignment="1">
      <alignment horizontal="left" vertical="center"/>
    </xf>
    <xf numFmtId="0" fontId="13" fillId="11" borderId="0" xfId="0" applyFont="1" applyFill="1" applyAlignment="1">
      <alignment horizontal="left" vertical="center"/>
    </xf>
    <xf numFmtId="0" fontId="27" fillId="11" borderId="0" xfId="0" applyFont="1" applyFill="1" applyAlignment="1">
      <alignment horizontal="left" vertical="center"/>
    </xf>
    <xf numFmtId="0" fontId="22" fillId="11" borderId="0" xfId="0" applyFont="1" applyFill="1" applyAlignment="1">
      <alignment horizontal="left" vertical="center"/>
    </xf>
    <xf numFmtId="0" fontId="8" fillId="11" borderId="0" xfId="0" applyFont="1" applyFill="1" applyAlignment="1">
      <alignment horizontal="left" vertical="center"/>
    </xf>
    <xf numFmtId="2" fontId="23" fillId="10" borderId="0" xfId="0" applyNumberFormat="1" applyFont="1" applyFill="1" applyAlignment="1">
      <alignment vertical="center"/>
    </xf>
    <xf numFmtId="0" fontId="7" fillId="7" borderId="0" xfId="0" applyFont="1" applyFill="1" applyAlignment="1">
      <alignment horizontal="left" vertical="center"/>
    </xf>
    <xf numFmtId="0" fontId="29" fillId="5" borderId="0" xfId="0" applyFont="1" applyFill="1" applyAlignment="1">
      <alignment horizontal="left" vertical="center"/>
    </xf>
    <xf numFmtId="0" fontId="25" fillId="5" borderId="0" xfId="0" applyFont="1" applyFill="1" applyAlignment="1">
      <alignment vertical="center"/>
    </xf>
    <xf numFmtId="0" fontId="7" fillId="5" borderId="0" xfId="0" applyFont="1" applyFill="1" applyAlignment="1">
      <alignment vertical="center"/>
    </xf>
    <xf numFmtId="49" fontId="7" fillId="7" borderId="0" xfId="0" applyNumberFormat="1" applyFont="1" applyFill="1" applyAlignment="1">
      <alignment horizontal="left" vertical="center"/>
    </xf>
    <xf numFmtId="0" fontId="31" fillId="5" borderId="0" xfId="0" applyFont="1" applyFill="1" applyAlignment="1">
      <alignment vertical="center"/>
    </xf>
    <xf numFmtId="44" fontId="17" fillId="0" borderId="0" xfId="0" applyNumberFormat="1" applyFont="1" applyAlignment="1">
      <alignment vertical="center"/>
    </xf>
    <xf numFmtId="0" fontId="34" fillId="5" borderId="0" xfId="0" applyFont="1" applyFill="1" applyAlignment="1">
      <alignment vertical="center"/>
    </xf>
    <xf numFmtId="0" fontId="23" fillId="5" borderId="0" xfId="0" applyFont="1" applyFill="1" applyAlignment="1">
      <alignment vertical="center"/>
    </xf>
    <xf numFmtId="0" fontId="24" fillId="21" borderId="0" xfId="0" applyFont="1" applyFill="1" applyAlignment="1">
      <alignment vertical="center"/>
    </xf>
    <xf numFmtId="0" fontId="32" fillId="7" borderId="0" xfId="0" applyFont="1" applyFill="1" applyAlignment="1">
      <alignment horizontal="left" vertical="center"/>
    </xf>
    <xf numFmtId="9" fontId="8" fillId="12" borderId="0" xfId="0" applyNumberFormat="1" applyFont="1" applyFill="1" applyAlignment="1">
      <alignment vertical="center"/>
    </xf>
    <xf numFmtId="9" fontId="8" fillId="2" borderId="0" xfId="0" applyNumberFormat="1" applyFont="1" applyFill="1" applyAlignment="1">
      <alignment vertical="center"/>
    </xf>
    <xf numFmtId="44" fontId="7" fillId="0" borderId="0" xfId="0" applyNumberFormat="1" applyFont="1" applyAlignment="1">
      <alignment horizontal="center" vertical="center"/>
    </xf>
    <xf numFmtId="44" fontId="7" fillId="10" borderId="0" xfId="0" applyNumberFormat="1" applyFont="1" applyFill="1" applyAlignment="1">
      <alignment horizontal="center" vertical="center"/>
    </xf>
    <xf numFmtId="0" fontId="34" fillId="7" borderId="0" xfId="0" applyFont="1" applyFill="1" applyAlignment="1">
      <alignment horizontal="left" vertical="center"/>
    </xf>
    <xf numFmtId="0" fontId="14" fillId="11" borderId="0" xfId="0" applyFont="1" applyFill="1" applyAlignment="1">
      <alignment horizontal="left" vertical="center" wrapText="1"/>
    </xf>
    <xf numFmtId="0" fontId="8" fillId="11" borderId="0" xfId="0" applyFont="1" applyFill="1" applyAlignment="1">
      <alignment horizontal="center" vertical="center" wrapText="1"/>
    </xf>
    <xf numFmtId="0" fontId="17" fillId="28" borderId="17" xfId="0" applyFont="1" applyFill="1" applyBorder="1" applyAlignment="1">
      <alignment vertical="center"/>
    </xf>
    <xf numFmtId="0" fontId="6" fillId="15" borderId="0" xfId="0" applyFont="1" applyFill="1" applyAlignment="1">
      <alignment horizontal="center" vertical="center"/>
    </xf>
    <xf numFmtId="44" fontId="7" fillId="15" borderId="0" xfId="0" applyNumberFormat="1" applyFont="1" applyFill="1" applyAlignment="1">
      <alignment horizontal="center" vertical="center"/>
    </xf>
    <xf numFmtId="44" fontId="7" fillId="2" borderId="0" xfId="0" applyNumberFormat="1" applyFont="1" applyFill="1" applyAlignment="1">
      <alignment horizontal="center" vertical="center"/>
    </xf>
    <xf numFmtId="0" fontId="34" fillId="0" borderId="0" xfId="0" applyFont="1" applyAlignment="1">
      <alignment horizontal="left" vertical="center"/>
    </xf>
    <xf numFmtId="0" fontId="17" fillId="28" borderId="0" xfId="0" applyFont="1" applyFill="1" applyAlignment="1">
      <alignment vertical="center"/>
    </xf>
    <xf numFmtId="0" fontId="6" fillId="11" borderId="0" xfId="0" applyFont="1" applyFill="1" applyAlignment="1">
      <alignment horizontal="left" vertical="center"/>
    </xf>
    <xf numFmtId="0" fontId="16" fillId="11" borderId="0" xfId="0" applyFont="1" applyFill="1" applyAlignment="1">
      <alignment horizontal="center" vertical="center"/>
    </xf>
    <xf numFmtId="0" fontId="6" fillId="11" borderId="0" xfId="0" applyFont="1" applyFill="1" applyAlignment="1">
      <alignment horizontal="left" vertical="center" wrapText="1"/>
    </xf>
    <xf numFmtId="44" fontId="7" fillId="11" borderId="0" xfId="0" applyNumberFormat="1" applyFont="1" applyFill="1" applyAlignment="1">
      <alignment horizontal="center" vertical="center"/>
    </xf>
    <xf numFmtId="0" fontId="7" fillId="10" borderId="0" xfId="0" applyFont="1" applyFill="1" applyAlignment="1">
      <alignment horizontal="right" vertical="center"/>
    </xf>
    <xf numFmtId="0" fontId="7" fillId="11" borderId="0" xfId="0" applyFont="1" applyFill="1" applyAlignment="1">
      <alignment horizontal="right" vertical="center"/>
    </xf>
    <xf numFmtId="44" fontId="6" fillId="11" borderId="0" xfId="0" applyNumberFormat="1" applyFont="1" applyFill="1" applyAlignment="1">
      <alignment horizontal="left" vertical="center"/>
    </xf>
    <xf numFmtId="0" fontId="25" fillId="11" borderId="0" xfId="0" applyFont="1" applyFill="1" applyAlignment="1">
      <alignment horizontal="left" vertical="center"/>
    </xf>
    <xf numFmtId="44" fontId="7" fillId="10" borderId="0" xfId="0" applyNumberFormat="1" applyFont="1" applyFill="1" applyAlignment="1">
      <alignment vertical="center"/>
    </xf>
    <xf numFmtId="0" fontId="33" fillId="11" borderId="0" xfId="0" applyFont="1" applyFill="1" applyAlignment="1">
      <alignment horizontal="left" vertical="center"/>
    </xf>
    <xf numFmtId="0" fontId="7" fillId="11" borderId="0" xfId="0" applyFont="1" applyFill="1" applyAlignment="1">
      <alignment vertical="center"/>
    </xf>
    <xf numFmtId="44" fontId="7" fillId="11" borderId="0" xfId="0" applyNumberFormat="1" applyFont="1" applyFill="1" applyAlignment="1">
      <alignment horizontal="left" vertical="center"/>
    </xf>
    <xf numFmtId="0" fontId="14" fillId="11" borderId="0" xfId="0" applyFont="1" applyFill="1" applyAlignment="1">
      <alignment vertical="center"/>
    </xf>
    <xf numFmtId="166" fontId="7" fillId="11" borderId="0" xfId="0" applyNumberFormat="1" applyFont="1" applyFill="1" applyAlignment="1">
      <alignment horizontal="left" vertical="center"/>
    </xf>
    <xf numFmtId="0" fontId="17" fillId="11" borderId="0" xfId="0" applyFont="1" applyFill="1" applyAlignment="1">
      <alignment horizontal="left" vertical="center" wrapText="1"/>
    </xf>
    <xf numFmtId="44" fontId="17" fillId="11" borderId="0" xfId="0" applyNumberFormat="1" applyFont="1" applyFill="1" applyAlignment="1">
      <alignment horizontal="center" vertical="center"/>
    </xf>
    <xf numFmtId="166" fontId="17" fillId="11" borderId="0" xfId="0" applyNumberFormat="1" applyFont="1" applyFill="1" applyAlignment="1">
      <alignment horizontal="left" vertical="center"/>
    </xf>
    <xf numFmtId="44" fontId="17" fillId="11" borderId="0" xfId="0" applyNumberFormat="1" applyFont="1" applyFill="1" applyAlignment="1">
      <alignment horizontal="left" vertical="center"/>
    </xf>
    <xf numFmtId="0" fontId="6" fillId="11" borderId="0" xfId="0" applyFont="1" applyFill="1" applyAlignment="1">
      <alignment horizontal="center" vertical="center"/>
    </xf>
    <xf numFmtId="0" fontId="6" fillId="11" borderId="0" xfId="0" applyFont="1" applyFill="1" applyAlignment="1">
      <alignment horizontal="right" vertical="center"/>
    </xf>
    <xf numFmtId="166" fontId="8" fillId="2" borderId="0" xfId="0" applyNumberFormat="1" applyFont="1" applyFill="1" applyAlignment="1">
      <alignment horizontal="center" vertical="center"/>
    </xf>
    <xf numFmtId="166" fontId="7" fillId="11" borderId="0" xfId="0" applyNumberFormat="1" applyFont="1" applyFill="1" applyAlignment="1">
      <alignment horizontal="right" vertical="center"/>
    </xf>
    <xf numFmtId="9" fontId="7" fillId="0" borderId="0" xfId="0" applyNumberFormat="1" applyFont="1" applyAlignment="1">
      <alignment vertical="center"/>
    </xf>
    <xf numFmtId="166" fontId="8" fillId="10" borderId="0" xfId="0" applyNumberFormat="1" applyFont="1" applyFill="1" applyAlignment="1">
      <alignment horizontal="center" vertical="center"/>
    </xf>
    <xf numFmtId="166" fontId="7" fillId="0" borderId="0" xfId="0" applyNumberFormat="1" applyFont="1" applyAlignment="1">
      <alignment vertical="center"/>
    </xf>
    <xf numFmtId="0" fontId="9" fillId="11" borderId="0" xfId="0" applyFont="1" applyFill="1" applyAlignment="1">
      <alignment horizontal="left" vertical="center"/>
    </xf>
    <xf numFmtId="1" fontId="14" fillId="0" borderId="0" xfId="0" applyNumberFormat="1" applyFont="1" applyAlignment="1">
      <alignment horizontal="center" vertical="center"/>
    </xf>
    <xf numFmtId="44" fontId="17" fillId="10" borderId="0" xfId="0" applyNumberFormat="1" applyFont="1" applyFill="1" applyAlignment="1">
      <alignment horizontal="left" vertical="center"/>
    </xf>
    <xf numFmtId="0" fontId="14" fillId="10" borderId="0" xfId="0" applyFont="1" applyFill="1" applyAlignment="1">
      <alignment horizontal="left" vertical="center"/>
    </xf>
    <xf numFmtId="0" fontId="21" fillId="11" borderId="0" xfId="0" applyFont="1" applyFill="1" applyAlignment="1">
      <alignment horizontal="center" vertical="center"/>
    </xf>
    <xf numFmtId="0" fontId="14" fillId="0" borderId="0" xfId="0" applyFont="1" applyAlignment="1">
      <alignment horizontal="center" vertical="center"/>
    </xf>
    <xf numFmtId="1" fontId="24" fillId="10" borderId="0" xfId="0" applyNumberFormat="1" applyFont="1" applyFill="1" applyAlignment="1">
      <alignment horizontal="right" vertical="center"/>
    </xf>
    <xf numFmtId="0" fontId="61" fillId="10" borderId="0" xfId="0" applyFont="1" applyFill="1" applyAlignment="1">
      <alignment vertical="center"/>
    </xf>
    <xf numFmtId="0" fontId="61" fillId="0" borderId="0" xfId="0" applyFont="1" applyAlignment="1">
      <alignment horizontal="left" vertical="center"/>
    </xf>
    <xf numFmtId="0" fontId="61" fillId="10" borderId="0" xfId="0" applyFont="1" applyFill="1" applyAlignment="1">
      <alignment horizontal="left" vertical="center"/>
    </xf>
    <xf numFmtId="0" fontId="61" fillId="0" borderId="0" xfId="0" applyFont="1" applyAlignment="1">
      <alignment vertical="center"/>
    </xf>
    <xf numFmtId="0" fontId="0" fillId="20" borderId="1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 fillId="3" borderId="17" xfId="0" applyFont="1" applyFill="1" applyBorder="1" applyAlignment="1" applyProtection="1">
      <alignment horizontal="left" vertical="center"/>
      <protection locked="0"/>
    </xf>
    <xf numFmtId="0" fontId="7" fillId="3" borderId="17" xfId="0" applyFont="1" applyFill="1" applyBorder="1" applyAlignment="1" applyProtection="1">
      <alignment vertical="center"/>
      <protection locked="0"/>
    </xf>
    <xf numFmtId="0" fontId="45" fillId="2" borderId="8" xfId="0" quotePrefix="1" applyFont="1" applyFill="1" applyBorder="1" applyAlignment="1">
      <alignment horizontal="left" vertical="top"/>
    </xf>
    <xf numFmtId="0" fontId="35" fillId="0" borderId="8" xfId="0" applyFont="1" applyBorder="1" applyAlignment="1">
      <alignment vertical="top"/>
    </xf>
    <xf numFmtId="0" fontId="45" fillId="2" borderId="8" xfId="0" applyFont="1" applyFill="1" applyBorder="1" applyAlignment="1">
      <alignment vertical="top" wrapText="1"/>
    </xf>
    <xf numFmtId="0" fontId="11" fillId="0" borderId="0" xfId="0" applyFont="1" applyAlignment="1">
      <alignment vertical="top"/>
    </xf>
    <xf numFmtId="0" fontId="45" fillId="2" borderId="8" xfId="0" quotePrefix="1" applyFont="1" applyFill="1" applyBorder="1" applyAlignment="1">
      <alignment horizontal="left" vertical="top" wrapText="1"/>
    </xf>
    <xf numFmtId="0" fontId="45" fillId="24" borderId="8" xfId="0" applyFont="1" applyFill="1" applyBorder="1" applyAlignment="1">
      <alignment horizontal="left" vertical="top" wrapText="1"/>
    </xf>
    <xf numFmtId="0" fontId="45" fillId="24" borderId="8" xfId="0" applyFont="1" applyFill="1" applyBorder="1" applyAlignment="1">
      <alignment horizontal="left" vertical="top"/>
    </xf>
    <xf numFmtId="49" fontId="45" fillId="24" borderId="8" xfId="0" applyNumberFormat="1" applyFont="1" applyFill="1" applyBorder="1" applyAlignment="1">
      <alignment horizontal="left" vertical="top" wrapText="1"/>
    </xf>
    <xf numFmtId="49" fontId="45" fillId="24" borderId="8" xfId="0" applyNumberFormat="1" applyFont="1" applyFill="1" applyBorder="1" applyAlignment="1">
      <alignment horizontal="left" vertical="top"/>
    </xf>
    <xf numFmtId="0" fontId="45" fillId="2" borderId="8" xfId="0" quotePrefix="1" applyFont="1" applyFill="1" applyBorder="1" applyAlignment="1">
      <alignment vertical="top"/>
    </xf>
    <xf numFmtId="0" fontId="35" fillId="0" borderId="8" xfId="0" applyFont="1" applyBorder="1" applyAlignment="1">
      <alignment vertical="top" wrapText="1"/>
    </xf>
    <xf numFmtId="49" fontId="45" fillId="2" borderId="8" xfId="0" quotePrefix="1" applyNumberFormat="1" applyFont="1" applyFill="1" applyBorder="1" applyAlignment="1">
      <alignment horizontal="left" vertical="top" wrapText="1"/>
    </xf>
    <xf numFmtId="0" fontId="45" fillId="2" borderId="8" xfId="0" applyFont="1" applyFill="1" applyBorder="1" applyAlignment="1">
      <alignment horizontal="left" vertical="top" wrapText="1"/>
    </xf>
    <xf numFmtId="0" fontId="45" fillId="2" borderId="8" xfId="0" applyFont="1" applyFill="1" applyBorder="1" applyAlignment="1">
      <alignment horizontal="left" wrapText="1"/>
    </xf>
    <xf numFmtId="0" fontId="35" fillId="0" borderId="8" xfId="0" applyFont="1" applyBorder="1" applyAlignment="1">
      <alignment horizontal="left"/>
    </xf>
    <xf numFmtId="0" fontId="45" fillId="0" borderId="0" xfId="0" applyFont="1" applyAlignment="1">
      <alignment vertical="top" wrapText="1"/>
    </xf>
    <xf numFmtId="0" fontId="52" fillId="4" borderId="6" xfId="0" applyFont="1" applyFill="1" applyBorder="1"/>
    <xf numFmtId="0" fontId="56" fillId="0" borderId="7" xfId="0" applyFont="1" applyBorder="1"/>
    <xf numFmtId="0" fontId="55" fillId="4" borderId="17" xfId="0" applyFont="1" applyFill="1" applyBorder="1" applyAlignment="1">
      <alignment horizontal="left" vertical="top"/>
    </xf>
    <xf numFmtId="0" fontId="56" fillId="0" borderId="17" xfId="0" applyFont="1" applyBorder="1"/>
    <xf numFmtId="0" fontId="45" fillId="4" borderId="17" xfId="0" applyFont="1" applyFill="1" applyBorder="1" applyAlignment="1">
      <alignment horizontal="left" vertical="top"/>
    </xf>
    <xf numFmtId="0" fontId="7" fillId="7" borderId="18" xfId="1" applyFont="1" applyFill="1" applyBorder="1" applyAlignment="1">
      <alignment horizontal="left" vertical="top" wrapText="1"/>
    </xf>
    <xf numFmtId="0" fontId="7" fillId="7" borderId="20" xfId="1" applyFont="1" applyFill="1" applyBorder="1" applyAlignment="1">
      <alignment horizontal="left" vertical="top" wrapText="1"/>
    </xf>
    <xf numFmtId="0" fontId="7" fillId="7" borderId="19" xfId="1" applyFont="1" applyFill="1" applyBorder="1" applyAlignment="1">
      <alignment horizontal="left" vertical="top" wrapText="1"/>
    </xf>
    <xf numFmtId="0" fontId="45" fillId="4" borderId="18" xfId="0" applyFont="1" applyFill="1" applyBorder="1" applyAlignment="1">
      <alignment horizontal="left" vertical="center"/>
    </xf>
    <xf numFmtId="0" fontId="45" fillId="4" borderId="20" xfId="0" applyFont="1" applyFill="1" applyBorder="1" applyAlignment="1">
      <alignment horizontal="left" vertical="center"/>
    </xf>
    <xf numFmtId="0" fontId="45" fillId="4" borderId="19" xfId="0" applyFont="1" applyFill="1" applyBorder="1" applyAlignment="1">
      <alignment horizontal="left" vertical="center"/>
    </xf>
    <xf numFmtId="0" fontId="45" fillId="4" borderId="18" xfId="0" applyFont="1" applyFill="1" applyBorder="1" applyAlignment="1">
      <alignment horizontal="left" vertical="top"/>
    </xf>
    <xf numFmtId="0" fontId="45" fillId="4" borderId="20" xfId="0" applyFont="1" applyFill="1" applyBorder="1" applyAlignment="1">
      <alignment horizontal="left" vertical="top"/>
    </xf>
    <xf numFmtId="0" fontId="45" fillId="4" borderId="19" xfId="0" applyFont="1" applyFill="1" applyBorder="1" applyAlignment="1">
      <alignment horizontal="left" vertical="top"/>
    </xf>
    <xf numFmtId="0" fontId="7" fillId="7" borderId="18" xfId="1" quotePrefix="1" applyFont="1" applyFill="1" applyBorder="1" applyAlignment="1">
      <alignment horizontal="left" vertical="top" wrapText="1"/>
    </xf>
    <xf numFmtId="0" fontId="40" fillId="19" borderId="17" xfId="4" applyFont="1" applyFill="1" applyBorder="1" applyAlignment="1">
      <alignment horizontal="center" vertical="center"/>
    </xf>
    <xf numFmtId="0" fontId="39" fillId="19" borderId="17" xfId="4" applyFont="1" applyFill="1" applyBorder="1" applyAlignment="1">
      <alignment horizontal="center" vertical="center"/>
    </xf>
    <xf numFmtId="0" fontId="39" fillId="3" borderId="9" xfId="0" applyFont="1" applyFill="1" applyBorder="1" applyAlignment="1" applyProtection="1">
      <alignment horizontal="left" vertical="top"/>
      <protection locked="0"/>
    </xf>
    <xf numFmtId="0" fontId="42" fillId="0" borderId="10" xfId="0" applyFont="1" applyBorder="1" applyProtection="1">
      <protection locked="0"/>
    </xf>
    <xf numFmtId="0" fontId="42" fillId="0" borderId="11" xfId="0" applyFont="1" applyBorder="1" applyProtection="1">
      <protection locked="0"/>
    </xf>
    <xf numFmtId="0" fontId="42" fillId="0" borderId="12" xfId="0" applyFont="1" applyBorder="1" applyProtection="1">
      <protection locked="0"/>
    </xf>
    <xf numFmtId="0" fontId="39" fillId="0" borderId="0" xfId="0" applyFont="1" applyProtection="1">
      <protection locked="0"/>
    </xf>
    <xf numFmtId="0" fontId="42" fillId="0" borderId="13" xfId="0" applyFont="1" applyBorder="1" applyProtection="1">
      <protection locked="0"/>
    </xf>
    <xf numFmtId="0" fontId="42" fillId="0" borderId="14" xfId="0" applyFont="1" applyBorder="1" applyProtection="1">
      <protection locked="0"/>
    </xf>
    <xf numFmtId="0" fontId="42" fillId="0" borderId="15" xfId="0" applyFont="1" applyBorder="1" applyProtection="1">
      <protection locked="0"/>
    </xf>
    <xf numFmtId="0" fontId="42" fillId="0" borderId="16" xfId="0" applyFont="1" applyBorder="1" applyProtection="1">
      <protection locked="0"/>
    </xf>
    <xf numFmtId="0" fontId="39" fillId="5" borderId="17" xfId="4" applyFont="1" applyFill="1" applyBorder="1" applyAlignment="1">
      <alignment horizontal="left" vertical="center"/>
    </xf>
    <xf numFmtId="0" fontId="7" fillId="7" borderId="18" xfId="0" applyFont="1" applyFill="1" applyBorder="1" applyAlignment="1">
      <alignment horizontal="left" vertical="top" wrapText="1"/>
    </xf>
    <xf numFmtId="0" fontId="7" fillId="7" borderId="19" xfId="0" applyFont="1" applyFill="1" applyBorder="1" applyAlignment="1">
      <alignment horizontal="left" vertical="top" wrapText="1"/>
    </xf>
    <xf numFmtId="0" fontId="7" fillId="5" borderId="18" xfId="0" applyFont="1" applyFill="1" applyBorder="1" applyAlignment="1">
      <alignment horizontal="left" vertical="top" wrapText="1"/>
    </xf>
    <xf numFmtId="0" fontId="7" fillId="5" borderId="19" xfId="0" applyFont="1" applyFill="1" applyBorder="1" applyAlignment="1">
      <alignment horizontal="left" vertical="top" wrapText="1"/>
    </xf>
    <xf numFmtId="44" fontId="7" fillId="5" borderId="18" xfId="0" applyNumberFormat="1" applyFont="1" applyFill="1" applyBorder="1" applyAlignment="1">
      <alignment horizontal="left" vertical="center"/>
    </xf>
    <xf numFmtId="44" fontId="7" fillId="5" borderId="19" xfId="0" applyNumberFormat="1" applyFont="1" applyFill="1" applyBorder="1" applyAlignment="1">
      <alignment horizontal="left" vertical="center"/>
    </xf>
    <xf numFmtId="0" fontId="7" fillId="21" borderId="8" xfId="1" applyFont="1" applyFill="1" applyAlignment="1">
      <alignment horizontal="center" vertical="center"/>
    </xf>
    <xf numFmtId="167" fontId="7" fillId="7" borderId="17" xfId="0" applyNumberFormat="1" applyFont="1" applyFill="1" applyBorder="1" applyAlignment="1">
      <alignment horizontal="center" vertical="center"/>
    </xf>
    <xf numFmtId="0" fontId="7" fillId="7" borderId="17" xfId="0" applyFont="1" applyFill="1" applyBorder="1" applyAlignment="1">
      <alignment horizontal="center" vertical="center"/>
    </xf>
    <xf numFmtId="0" fontId="8" fillId="7" borderId="17" xfId="0" applyFont="1" applyFill="1" applyBorder="1" applyAlignment="1">
      <alignment horizontal="center" vertical="center" wrapText="1"/>
    </xf>
    <xf numFmtId="167" fontId="7" fillId="11" borderId="8" xfId="0" applyNumberFormat="1" applyFont="1" applyFill="1" applyBorder="1" applyAlignment="1">
      <alignment horizontal="center" vertical="center"/>
    </xf>
    <xf numFmtId="0" fontId="8" fillId="7" borderId="18" xfId="0" applyFont="1" applyFill="1" applyBorder="1" applyAlignment="1">
      <alignment horizontal="left" vertical="center"/>
    </xf>
    <xf numFmtId="0" fontId="8" fillId="7" borderId="19" xfId="0" applyFont="1" applyFill="1" applyBorder="1" applyAlignment="1">
      <alignment horizontal="left" vertical="center"/>
    </xf>
    <xf numFmtId="0" fontId="6" fillId="7" borderId="18" xfId="0" applyFont="1" applyFill="1" applyBorder="1" applyAlignment="1">
      <alignment horizontal="left" vertical="center"/>
    </xf>
    <xf numFmtId="0" fontId="6" fillId="7" borderId="19" xfId="0" applyFont="1" applyFill="1" applyBorder="1" applyAlignment="1">
      <alignment horizontal="left" vertical="center"/>
    </xf>
    <xf numFmtId="0" fontId="7" fillId="7" borderId="18" xfId="0" applyFont="1" applyFill="1" applyBorder="1" applyAlignment="1">
      <alignment horizontal="left" vertical="center"/>
    </xf>
    <xf numFmtId="0" fontId="7" fillId="7" borderId="19" xfId="0" applyFont="1" applyFill="1" applyBorder="1" applyAlignment="1">
      <alignment horizontal="left" vertical="center"/>
    </xf>
    <xf numFmtId="49" fontId="7" fillId="24" borderId="8" xfId="0" applyNumberFormat="1" applyFont="1" applyFill="1" applyBorder="1" applyAlignment="1">
      <alignment horizontal="left" vertical="top" wrapText="1"/>
    </xf>
    <xf numFmtId="49" fontId="7" fillId="2" borderId="8" xfId="0" applyNumberFormat="1" applyFont="1" applyFill="1" applyBorder="1" applyAlignment="1">
      <alignment vertical="top" wrapText="1"/>
    </xf>
    <xf numFmtId="49" fontId="17" fillId="0" borderId="8" xfId="0" applyNumberFormat="1" applyFont="1" applyBorder="1" applyAlignment="1">
      <alignment vertical="top"/>
    </xf>
    <xf numFmtId="49" fontId="7" fillId="24" borderId="8" xfId="0" applyNumberFormat="1" applyFont="1" applyFill="1" applyBorder="1" applyAlignment="1">
      <alignment horizontal="left" vertical="top"/>
    </xf>
    <xf numFmtId="49" fontId="7" fillId="2" borderId="0" xfId="0" applyNumberFormat="1" applyFont="1" applyFill="1" applyAlignment="1">
      <alignment horizontal="left" vertical="top" wrapText="1"/>
    </xf>
    <xf numFmtId="49" fontId="7" fillId="2" borderId="0" xfId="0" applyNumberFormat="1" applyFont="1" applyFill="1" applyAlignment="1">
      <alignment horizontal="left" vertical="top"/>
    </xf>
    <xf numFmtId="0" fontId="7" fillId="21" borderId="0" xfId="1" applyFont="1" applyFill="1" applyBorder="1" applyAlignment="1">
      <alignment horizontal="center" vertical="center"/>
    </xf>
    <xf numFmtId="9" fontId="23" fillId="0" borderId="22" xfId="2" applyFont="1" applyBorder="1" applyAlignment="1" applyProtection="1">
      <alignment horizontal="center" vertical="center"/>
    </xf>
    <xf numFmtId="0" fontId="7" fillId="3" borderId="17" xfId="1" applyFont="1" applyFill="1" applyBorder="1" applyAlignment="1" applyProtection="1">
      <alignment horizontal="left" vertical="top"/>
      <protection locked="0"/>
    </xf>
    <xf numFmtId="0" fontId="22" fillId="11" borderId="8" xfId="1" applyFont="1" applyFill="1" applyAlignment="1">
      <alignment horizontal="left" vertical="center" wrapText="1"/>
    </xf>
    <xf numFmtId="14" fontId="7" fillId="3" borderId="18" xfId="1" applyNumberFormat="1" applyFont="1" applyFill="1" applyBorder="1" applyAlignment="1" applyProtection="1">
      <alignment horizontal="left" vertical="center"/>
      <protection locked="0"/>
    </xf>
    <xf numFmtId="14" fontId="7" fillId="3" borderId="17" xfId="1" applyNumberFormat="1" applyFont="1" applyFill="1" applyBorder="1" applyAlignment="1" applyProtection="1">
      <alignment horizontal="left" vertical="center"/>
      <protection locked="0"/>
    </xf>
    <xf numFmtId="0" fontId="7" fillId="20" borderId="18" xfId="1" applyFont="1" applyFill="1" applyBorder="1" applyAlignment="1" applyProtection="1">
      <alignment horizontal="left" vertical="center"/>
      <protection locked="0"/>
    </xf>
    <xf numFmtId="0" fontId="7" fillId="20" borderId="17" xfId="1" applyFont="1" applyFill="1" applyBorder="1" applyAlignment="1" applyProtection="1">
      <alignment horizontal="left" vertical="center"/>
      <protection locked="0"/>
    </xf>
    <xf numFmtId="0" fontId="7" fillId="20" borderId="18" xfId="1" applyFont="1" applyFill="1" applyBorder="1" applyAlignment="1">
      <alignment horizontal="left" vertical="center"/>
    </xf>
    <xf numFmtId="0" fontId="7" fillId="20" borderId="17" xfId="1" applyFont="1" applyFill="1" applyBorder="1" applyAlignment="1">
      <alignment horizontal="left" vertical="center"/>
    </xf>
    <xf numFmtId="0" fontId="66" fillId="11" borderId="8" xfId="1" applyFont="1" applyFill="1" applyAlignment="1">
      <alignment horizontal="center" vertical="center" wrapText="1"/>
    </xf>
    <xf numFmtId="0" fontId="66" fillId="11" borderId="45" xfId="1" applyFont="1" applyFill="1" applyBorder="1" applyAlignment="1">
      <alignment horizontal="center" vertical="center" wrapText="1"/>
    </xf>
    <xf numFmtId="44" fontId="7" fillId="3" borderId="18" xfId="1" applyNumberFormat="1" applyFont="1" applyFill="1" applyBorder="1" applyAlignment="1" applyProtection="1">
      <alignment horizontal="left" vertical="center"/>
      <protection locked="0"/>
    </xf>
    <xf numFmtId="44" fontId="7" fillId="3" borderId="17" xfId="1" applyNumberFormat="1" applyFont="1" applyFill="1" applyBorder="1" applyAlignment="1" applyProtection="1">
      <alignment horizontal="left" vertical="center"/>
      <protection locked="0"/>
    </xf>
    <xf numFmtId="0" fontId="7" fillId="3" borderId="18" xfId="1" applyFont="1" applyFill="1" applyBorder="1" applyAlignment="1" applyProtection="1">
      <alignment horizontal="left" vertical="center"/>
      <protection locked="0"/>
    </xf>
    <xf numFmtId="165" fontId="7" fillId="9" borderId="18" xfId="1" applyNumberFormat="1" applyFont="1" applyFill="1" applyBorder="1" applyAlignment="1">
      <alignment horizontal="left" vertical="center"/>
    </xf>
    <xf numFmtId="44" fontId="7" fillId="9" borderId="18" xfId="1" applyNumberFormat="1" applyFont="1" applyFill="1" applyBorder="1" applyAlignment="1">
      <alignment horizontal="left" vertical="center"/>
    </xf>
    <xf numFmtId="44" fontId="7" fillId="9" borderId="17" xfId="1" applyNumberFormat="1" applyFont="1" applyFill="1" applyBorder="1" applyAlignment="1">
      <alignment horizontal="left" vertical="center"/>
    </xf>
    <xf numFmtId="0" fontId="7" fillId="11" borderId="8" xfId="1" applyFont="1" applyFill="1" applyAlignment="1">
      <alignment horizontal="center" vertical="center"/>
    </xf>
    <xf numFmtId="0" fontId="7" fillId="7" borderId="18" xfId="1" applyFont="1" applyFill="1" applyBorder="1" applyAlignment="1">
      <alignment horizontal="left" vertical="center" wrapText="1"/>
    </xf>
    <xf numFmtId="0" fontId="6" fillId="7" borderId="18" xfId="1" applyFont="1" applyFill="1" applyBorder="1" applyAlignment="1">
      <alignment horizontal="left" vertical="center" wrapText="1"/>
    </xf>
    <xf numFmtId="0" fontId="7" fillId="3" borderId="18" xfId="1" applyFont="1" applyFill="1" applyBorder="1" applyAlignment="1" applyProtection="1">
      <alignment horizontal="left" vertical="top"/>
      <protection locked="0"/>
    </xf>
    <xf numFmtId="0" fontId="8" fillId="9" borderId="18" xfId="1" applyFont="1" applyFill="1" applyBorder="1" applyAlignment="1">
      <alignment horizontal="left" vertical="center"/>
    </xf>
    <xf numFmtId="0" fontId="6" fillId="7" borderId="27" xfId="1" applyFont="1" applyFill="1" applyBorder="1" applyAlignment="1">
      <alignment horizontal="left" vertical="center"/>
    </xf>
    <xf numFmtId="0" fontId="7" fillId="7" borderId="17" xfId="1" applyFont="1" applyFill="1" applyBorder="1" applyAlignment="1">
      <alignment horizontal="left" vertical="top" wrapText="1"/>
    </xf>
    <xf numFmtId="0" fontId="8" fillId="9" borderId="17" xfId="1" applyFont="1" applyFill="1" applyBorder="1" applyAlignment="1">
      <alignment horizontal="left" vertical="center"/>
    </xf>
    <xf numFmtId="0" fontId="23" fillId="10" borderId="17" xfId="1" applyFont="1" applyFill="1" applyBorder="1" applyAlignment="1">
      <alignment horizontal="center" vertical="center" wrapText="1"/>
    </xf>
    <xf numFmtId="0" fontId="24" fillId="11" borderId="8" xfId="1" applyFont="1" applyFill="1" applyAlignment="1">
      <alignment horizontal="left" vertical="center" wrapText="1"/>
    </xf>
    <xf numFmtId="0" fontId="13" fillId="7" borderId="18" xfId="1" applyFont="1" applyFill="1" applyBorder="1" applyAlignment="1">
      <alignment horizontal="right" vertical="center"/>
    </xf>
    <xf numFmtId="0" fontId="7" fillId="7" borderId="17" xfId="0" applyFont="1" applyFill="1" applyBorder="1" applyAlignment="1">
      <alignment horizontal="left" vertical="center"/>
    </xf>
    <xf numFmtId="0" fontId="7" fillId="7" borderId="20" xfId="0" applyFont="1" applyFill="1" applyBorder="1" applyAlignment="1">
      <alignment horizontal="left" vertical="center"/>
    </xf>
    <xf numFmtId="0" fontId="8" fillId="7" borderId="17" xfId="0" applyFont="1" applyFill="1" applyBorder="1" applyAlignment="1">
      <alignment horizontal="left" vertical="center" wrapText="1"/>
    </xf>
    <xf numFmtId="0" fontId="6" fillId="8" borderId="18" xfId="0" applyFont="1" applyFill="1" applyBorder="1" applyAlignment="1" applyProtection="1">
      <alignment horizontal="left" vertical="center"/>
      <protection locked="0"/>
    </xf>
    <xf numFmtId="0" fontId="6" fillId="8" borderId="19" xfId="0" applyFont="1" applyFill="1" applyBorder="1" applyAlignment="1" applyProtection="1">
      <alignment horizontal="left" vertical="center"/>
      <protection locked="0"/>
    </xf>
    <xf numFmtId="0" fontId="7" fillId="0" borderId="17" xfId="0" applyFont="1" applyBorder="1" applyAlignment="1">
      <alignment horizontal="left" vertical="center"/>
    </xf>
    <xf numFmtId="0" fontId="27" fillId="17" borderId="17" xfId="0" applyFont="1" applyFill="1" applyBorder="1" applyAlignment="1">
      <alignment horizontal="left" vertical="center"/>
    </xf>
    <xf numFmtId="0" fontId="8" fillId="18" borderId="17" xfId="0" applyFont="1" applyFill="1" applyBorder="1" applyAlignment="1">
      <alignment horizontal="left" vertical="center"/>
    </xf>
    <xf numFmtId="9" fontId="23" fillId="0" borderId="22" xfId="2" applyFont="1" applyBorder="1" applyAlignment="1">
      <alignment horizontal="left" vertical="center"/>
    </xf>
    <xf numFmtId="44" fontId="7" fillId="3" borderId="20" xfId="1" applyNumberFormat="1" applyFont="1" applyFill="1" applyBorder="1" applyAlignment="1" applyProtection="1">
      <alignment horizontal="left" vertical="center"/>
      <protection locked="0"/>
    </xf>
    <xf numFmtId="44" fontId="7" fillId="3" borderId="19" xfId="1" applyNumberFormat="1" applyFont="1" applyFill="1" applyBorder="1" applyAlignment="1" applyProtection="1">
      <alignment horizontal="left" vertical="center"/>
      <protection locked="0"/>
    </xf>
    <xf numFmtId="0" fontId="7" fillId="3" borderId="20" xfId="1" applyFont="1" applyFill="1" applyBorder="1" applyAlignment="1" applyProtection="1">
      <alignment horizontal="left" vertical="center"/>
      <protection locked="0"/>
    </xf>
    <xf numFmtId="0" fontId="7" fillId="3" borderId="19" xfId="1" applyFont="1" applyFill="1" applyBorder="1" applyAlignment="1" applyProtection="1">
      <alignment horizontal="left" vertical="center"/>
      <protection locked="0"/>
    </xf>
    <xf numFmtId="0" fontId="13" fillId="7" borderId="20" xfId="1" applyFont="1" applyFill="1" applyBorder="1" applyAlignment="1">
      <alignment horizontal="right" vertical="center"/>
    </xf>
    <xf numFmtId="0" fontId="13" fillId="7" borderId="19" xfId="1" applyFont="1" applyFill="1" applyBorder="1" applyAlignment="1">
      <alignment horizontal="right" vertical="center"/>
    </xf>
    <xf numFmtId="0" fontId="6" fillId="7" borderId="22" xfId="1" applyFont="1" applyFill="1" applyBorder="1" applyAlignment="1">
      <alignment horizontal="left" vertical="center"/>
    </xf>
    <xf numFmtId="0" fontId="6" fillId="7" borderId="28" xfId="1" applyFont="1" applyFill="1" applyBorder="1" applyAlignment="1">
      <alignment horizontal="left" vertical="center"/>
    </xf>
    <xf numFmtId="0" fontId="6" fillId="7" borderId="8" xfId="1" applyFont="1" applyFill="1" applyAlignment="1">
      <alignment horizontal="left" vertical="center"/>
    </xf>
    <xf numFmtId="0" fontId="6" fillId="7" borderId="26" xfId="1" applyFont="1" applyFill="1" applyBorder="1" applyAlignment="1">
      <alignment horizontal="left" vertical="center"/>
    </xf>
    <xf numFmtId="0" fontId="6" fillId="7" borderId="40" xfId="1" applyFont="1" applyFill="1" applyBorder="1" applyAlignment="1">
      <alignment horizontal="left" vertical="center"/>
    </xf>
    <xf numFmtId="0" fontId="7" fillId="15" borderId="8" xfId="1" applyFont="1" applyFill="1" applyAlignment="1">
      <alignment horizontal="center" vertical="center"/>
    </xf>
    <xf numFmtId="0" fontId="14" fillId="10" borderId="8" xfId="1" applyFont="1" applyFill="1" applyAlignment="1">
      <alignment horizontal="center" vertical="center"/>
    </xf>
    <xf numFmtId="0" fontId="8" fillId="9" borderId="20" xfId="1" applyFont="1" applyFill="1" applyBorder="1" applyAlignment="1">
      <alignment horizontal="left" vertical="center"/>
    </xf>
    <xf numFmtId="0" fontId="8" fillId="9" borderId="19" xfId="1" applyFont="1" applyFill="1" applyBorder="1" applyAlignment="1">
      <alignment horizontal="left" vertical="center"/>
    </xf>
    <xf numFmtId="0" fontId="24" fillId="11" borderId="8" xfId="1" applyFont="1" applyFill="1" applyAlignment="1">
      <alignment horizontal="left" vertical="top" wrapText="1"/>
    </xf>
    <xf numFmtId="0" fontId="26" fillId="11" borderId="8" xfId="1" applyFont="1" applyFill="1" applyAlignment="1">
      <alignment horizontal="center" vertical="center"/>
    </xf>
    <xf numFmtId="0" fontId="7" fillId="0" borderId="8" xfId="1" applyFont="1" applyAlignment="1">
      <alignment horizontal="center" vertical="center" wrapText="1"/>
    </xf>
  </cellXfs>
  <cellStyles count="7">
    <cellStyle name="Hyperlink" xfId="3" builtinId="8"/>
    <cellStyle name="Komma" xfId="6" builtinId="3"/>
    <cellStyle name="Procent" xfId="2" builtinId="5"/>
    <cellStyle name="Standaard" xfId="0" builtinId="0"/>
    <cellStyle name="Standaard 2" xfId="1" xr:uid="{4E5CEA8A-B909-46F0-9404-1AEB08351259}"/>
    <cellStyle name="Standaard 3" xfId="4" xr:uid="{454A490A-1801-41C3-A838-059A991E6CD5}"/>
    <cellStyle name="Waarschuwingstekst" xfId="5" builtinId="11"/>
  </cellStyles>
  <dxfs count="73">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C00000"/>
      </font>
      <fill>
        <patternFill patternType="none"/>
      </fill>
    </dxf>
  </dxfs>
  <tableStyles count="0" defaultTableStyle="TableStyleMedium2" defaultPivotStyle="PivotStyleLight16"/>
  <colors>
    <mruColors>
      <color rgb="FF339933"/>
      <color rgb="FFF7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microsoft.com/office/2022/11/relationships/FeaturePropertyBag" Target="featurePropertyBag/featurePropertyBag.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46"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customschemas.google.com/relationships/workbookmetadata" Target="metadata"/><Relationship Id="rId40" Type="http://schemas.openxmlformats.org/officeDocument/2006/relationships/sharedStrings" Target="sharedStrings.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4</xdr:col>
      <xdr:colOff>35719</xdr:colOff>
      <xdr:row>1</xdr:row>
      <xdr:rowOff>127398</xdr:rowOff>
    </xdr:from>
    <xdr:to>
      <xdr:col>10</xdr:col>
      <xdr:colOff>551275</xdr:colOff>
      <xdr:row>14</xdr:row>
      <xdr:rowOff>101997</xdr:rowOff>
    </xdr:to>
    <xdr:pic>
      <xdr:nvPicPr>
        <xdr:cNvPr id="2" name="Afbeelding 1">
          <a:extLst>
            <a:ext uri="{FF2B5EF4-FFF2-40B4-BE49-F238E27FC236}">
              <a16:creationId xmlns:a16="http://schemas.microsoft.com/office/drawing/2014/main" id="{B5E8BBB5-F3D2-468F-AEE5-3239FC18A04F}"/>
            </a:ext>
          </a:extLst>
        </xdr:cNvPr>
        <xdr:cNvPicPr>
          <a:picLocks noChangeAspect="1"/>
        </xdr:cNvPicPr>
      </xdr:nvPicPr>
      <xdr:blipFill rotWithShape="1">
        <a:blip xmlns:r="http://schemas.openxmlformats.org/officeDocument/2006/relationships" r:embed="rId1"/>
        <a:srcRect l="2793" t="3030" b="3627"/>
        <a:stretch/>
      </xdr:blipFill>
      <xdr:spPr>
        <a:xfrm>
          <a:off x="7381875" y="282179"/>
          <a:ext cx="4015994" cy="1986756"/>
        </a:xfrm>
        <a:prstGeom prst="rect">
          <a:avLst/>
        </a:prstGeom>
      </xdr:spPr>
    </xdr:pic>
    <xdr:clientData/>
  </xdr:twoCellAnchor>
  <xdr:twoCellAnchor editAs="oneCell">
    <xdr:from>
      <xdr:col>4</xdr:col>
      <xdr:colOff>17859</xdr:colOff>
      <xdr:row>26</xdr:row>
      <xdr:rowOff>148827</xdr:rowOff>
    </xdr:from>
    <xdr:to>
      <xdr:col>11</xdr:col>
      <xdr:colOff>70660</xdr:colOff>
      <xdr:row>35</xdr:row>
      <xdr:rowOff>91829</xdr:rowOff>
    </xdr:to>
    <xdr:pic>
      <xdr:nvPicPr>
        <xdr:cNvPr id="3" name="Afbeelding 2">
          <a:extLst>
            <a:ext uri="{FF2B5EF4-FFF2-40B4-BE49-F238E27FC236}">
              <a16:creationId xmlns:a16="http://schemas.microsoft.com/office/drawing/2014/main" id="{449485B2-C95D-2EBB-C3F2-D8948336E148}"/>
            </a:ext>
          </a:extLst>
        </xdr:cNvPr>
        <xdr:cNvPicPr>
          <a:picLocks noChangeAspect="1"/>
        </xdr:cNvPicPr>
      </xdr:nvPicPr>
      <xdr:blipFill>
        <a:blip xmlns:r="http://schemas.openxmlformats.org/officeDocument/2006/relationships" r:embed="rId2"/>
        <a:stretch>
          <a:fillRect/>
        </a:stretch>
      </xdr:blipFill>
      <xdr:spPr>
        <a:xfrm>
          <a:off x="7364015" y="4173140"/>
          <a:ext cx="4136644" cy="14336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191250" cy="8734425"/>
    <xdr:sp macro="" textlink="">
      <xdr:nvSpPr>
        <xdr:cNvPr id="3" name="Shape 3">
          <a:extLst>
            <a:ext uri="{FF2B5EF4-FFF2-40B4-BE49-F238E27FC236}">
              <a16:creationId xmlns:a16="http://schemas.microsoft.com/office/drawing/2014/main" id="{00000000-0008-0000-0000-000003000000}"/>
            </a:ext>
          </a:extLst>
        </xdr:cNvPr>
        <xdr:cNvSpPr txBox="1"/>
      </xdr:nvSpPr>
      <xdr:spPr>
        <a:xfrm>
          <a:off x="2255138" y="0"/>
          <a:ext cx="6181725" cy="7560000"/>
        </a:xfrm>
        <a:prstGeom prst="rect">
          <a:avLst/>
        </a:prstGeom>
        <a:solidFill>
          <a:srgbClr val="FFFFFF"/>
        </a:solidFill>
        <a:ln>
          <a:noFill/>
        </a:ln>
      </xdr:spPr>
      <xdr:txBody>
        <a:bodyPr spcFirstLastPara="1" wrap="square" lIns="36000" tIns="72000" rIns="36000" bIns="0" anchor="t" anchorCtr="0">
          <a:noAutofit/>
        </a:bodyPr>
        <a:lstStyle/>
        <a:p>
          <a:pPr marL="0" marR="0" lvl="0" indent="0" algn="l" rtl="0">
            <a:lnSpc>
              <a:spcPct val="100000"/>
            </a:lnSpc>
            <a:spcBef>
              <a:spcPts val="0"/>
            </a:spcBef>
            <a:spcAft>
              <a:spcPts val="0"/>
            </a:spcAft>
            <a:buSzPts val="1200"/>
            <a:buFont typeface="Arial"/>
            <a:buNone/>
          </a:pPr>
          <a:endParaRPr sz="1200" b="0">
            <a:solidFill>
              <a:srgbClr val="FF0000"/>
            </a:solidFill>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l" rtl="0">
            <a:lnSpc>
              <a:spcPct val="100000"/>
            </a:lnSpc>
            <a:spcBef>
              <a:spcPts val="0"/>
            </a:spcBef>
            <a:spcAft>
              <a:spcPts val="0"/>
            </a:spcAft>
            <a:buSzPts val="1200"/>
            <a:buFont typeface="Arial"/>
            <a:buNone/>
          </a:pPr>
          <a:endParaRPr sz="1200">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SzPts val="1200"/>
            <a:buFont typeface="Arial"/>
            <a:buNone/>
          </a:pPr>
          <a:endParaRPr sz="1200" b="1">
            <a:latin typeface="Arial"/>
            <a:ea typeface="Arial"/>
            <a:cs typeface="Arial"/>
            <a:sym typeface="Arial"/>
          </a:endParaRPr>
        </a:p>
        <a:p>
          <a:pPr marL="0" marR="0" lvl="0" indent="0" algn="ctr" rtl="0">
            <a:lnSpc>
              <a:spcPct val="100000"/>
            </a:lnSpc>
            <a:spcBef>
              <a:spcPts val="0"/>
            </a:spcBef>
            <a:spcAft>
              <a:spcPts val="0"/>
            </a:spcAft>
            <a:buClr>
              <a:srgbClr val="000000"/>
            </a:buClr>
            <a:buSzPts val="1400"/>
            <a:buFont typeface="Calibri"/>
            <a:buNone/>
          </a:pPr>
          <a:r>
            <a:rPr lang="en-US" sz="1400" b="1" i="0" u="none" strike="noStrike" cap="none">
              <a:solidFill>
                <a:srgbClr val="000000"/>
              </a:solidFill>
              <a:latin typeface="Verdana" panose="020B0604030504040204" pitchFamily="34" charset="0"/>
              <a:ea typeface="Verdana" panose="020B0604030504040204" pitchFamily="34" charset="0"/>
              <a:cs typeface="Calibri"/>
              <a:sym typeface="Calibri"/>
            </a:rPr>
            <a:t>Subsidieregeling Waterstof in Mobiliteit</a:t>
          </a:r>
          <a:endParaRPr sz="1400" b="0" i="0" u="none" strike="noStrike" cap="none">
            <a:solidFill>
              <a:srgbClr val="000000"/>
            </a:solidFill>
            <a:latin typeface="Verdana" panose="020B0604030504040204" pitchFamily="34" charset="0"/>
            <a:ea typeface="Verdana" panose="020B0604030504040204" pitchFamily="34" charset="0"/>
            <a:cs typeface="Calibri"/>
            <a:sym typeface="Calibri"/>
          </a:endParaRPr>
        </a:p>
        <a:p>
          <a:pPr marL="0" marR="0" lvl="0" indent="0" algn="ctr" rtl="0">
            <a:lnSpc>
              <a:spcPct val="100000"/>
            </a:lnSpc>
            <a:spcBef>
              <a:spcPts val="0"/>
            </a:spcBef>
            <a:spcAft>
              <a:spcPts val="0"/>
            </a:spcAft>
            <a:buSzPts val="1400"/>
            <a:buFont typeface="Arial"/>
            <a:buNone/>
          </a:pPr>
          <a:endParaRPr sz="1400" b="1">
            <a:latin typeface="Verdana" panose="020B0604030504040204" pitchFamily="34" charset="0"/>
            <a:ea typeface="Verdana" panose="020B0604030504040204" pitchFamily="34" charset="0"/>
            <a:cs typeface="Arial"/>
            <a:sym typeface="Arial"/>
          </a:endParaRPr>
        </a:p>
        <a:p>
          <a:pPr marL="0" marR="0" lvl="0" indent="0" algn="ctr" rtl="0">
            <a:lnSpc>
              <a:spcPct val="100000"/>
            </a:lnSpc>
            <a:spcBef>
              <a:spcPts val="0"/>
            </a:spcBef>
            <a:spcAft>
              <a:spcPts val="0"/>
            </a:spcAft>
            <a:buClr>
              <a:srgbClr val="000000"/>
            </a:buClr>
            <a:buSzPts val="1800"/>
            <a:buFont typeface="Arial"/>
            <a:buNone/>
          </a:pPr>
          <a:r>
            <a:rPr lang="en-US" sz="1800" b="1" i="0" u="none" strike="noStrike" cap="none">
              <a:solidFill>
                <a:srgbClr val="000000"/>
              </a:solidFill>
              <a:latin typeface="Verdana" panose="020B0604030504040204" pitchFamily="34" charset="0"/>
              <a:ea typeface="Verdana" panose="020B0604030504040204" pitchFamily="34" charset="0"/>
              <a:cs typeface="Arial"/>
              <a:sym typeface="Arial"/>
            </a:rPr>
            <a:t>Begroting</a:t>
          </a:r>
          <a:endParaRPr sz="1400">
            <a:latin typeface="Verdana" panose="020B0604030504040204" pitchFamily="34" charset="0"/>
            <a:ea typeface="Verdana" panose="020B0604030504040204" pitchFamily="34" charset="0"/>
          </a:endParaRPr>
        </a:p>
        <a:p>
          <a:pPr marL="0" marR="0" lvl="0" indent="0" algn="ctr" rtl="0">
            <a:lnSpc>
              <a:spcPct val="100000"/>
            </a:lnSpc>
            <a:spcBef>
              <a:spcPts val="0"/>
            </a:spcBef>
            <a:spcAft>
              <a:spcPts val="0"/>
            </a:spcAft>
            <a:buSzPts val="1300"/>
            <a:buFont typeface="Arial"/>
            <a:buNone/>
          </a:pPr>
          <a:endParaRPr sz="1300" b="1" i="0" u="none" strike="noStrike" cap="none">
            <a:solidFill>
              <a:srgbClr val="000000"/>
            </a:solidFill>
            <a:latin typeface="Verdana" panose="020B0604030504040204" pitchFamily="34" charset="0"/>
            <a:ea typeface="Verdana" panose="020B0604030504040204" pitchFamily="34" charset="0"/>
            <a:cs typeface="Arial"/>
            <a:sym typeface="Arial"/>
          </a:endParaRPr>
        </a:p>
        <a:p>
          <a:pPr marL="0" marR="0" lvl="0" indent="0" algn="ctr" rtl="0">
            <a:lnSpc>
              <a:spcPct val="100000"/>
            </a:lnSpc>
            <a:spcBef>
              <a:spcPts val="0"/>
            </a:spcBef>
            <a:spcAft>
              <a:spcPts val="0"/>
            </a:spcAft>
            <a:buSzPts val="1200"/>
            <a:buFont typeface="Arial"/>
            <a:buNone/>
          </a:pPr>
          <a:endParaRPr sz="1200" b="0" i="0" u="none" strike="noStrike" cap="none">
            <a:solidFill>
              <a:srgbClr val="000000"/>
            </a:solidFill>
            <a:latin typeface="Verdana" panose="020B0604030504040204" pitchFamily="34" charset="0"/>
            <a:ea typeface="Verdana" panose="020B0604030504040204" pitchFamily="34" charset="0"/>
            <a:cs typeface="Arial"/>
            <a:sym typeface="Arial"/>
          </a:endParaRPr>
        </a:p>
        <a:p>
          <a:pPr marL="914400" marR="0" lvl="2" indent="0" algn="ctr" rtl="0">
            <a:lnSpc>
              <a:spcPct val="100000"/>
            </a:lnSpc>
            <a:spcBef>
              <a:spcPts val="0"/>
            </a:spcBef>
            <a:spcAft>
              <a:spcPts val="0"/>
            </a:spcAft>
            <a:buSzPts val="1200"/>
            <a:buFont typeface="Arial"/>
            <a:buNone/>
          </a:pPr>
          <a:endParaRPr sz="1200" b="0">
            <a:latin typeface="Verdana" panose="020B0604030504040204" pitchFamily="34" charset="0"/>
            <a:ea typeface="Verdana" panose="020B0604030504040204" pitchFamily="34" charset="0"/>
            <a:cs typeface="Arial"/>
            <a:sym typeface="Arial"/>
          </a:endParaRPr>
        </a:p>
        <a:p>
          <a:pPr marL="0" marR="0" lvl="0" indent="0" algn="ctr" rtl="0">
            <a:lnSpc>
              <a:spcPct val="100000"/>
            </a:lnSpc>
            <a:spcBef>
              <a:spcPts val="0"/>
            </a:spcBef>
            <a:spcAft>
              <a:spcPts val="0"/>
            </a:spcAft>
            <a:buSzPts val="900"/>
            <a:buFont typeface="Arial"/>
            <a:buNone/>
          </a:pPr>
          <a:r>
            <a:rPr lang="en-US" sz="900" b="0">
              <a:solidFill>
                <a:sysClr val="windowText" lastClr="000000"/>
              </a:solidFill>
              <a:latin typeface="Verdana" panose="020B0604030504040204" pitchFamily="34" charset="0"/>
              <a:ea typeface="Verdana" panose="020B0604030504040204" pitchFamily="34" charset="0"/>
              <a:cs typeface="Arial"/>
              <a:sym typeface="Arial"/>
            </a:rPr>
            <a:t>Versie 2026.01</a:t>
          </a:r>
          <a:endParaRPr sz="1400">
            <a:solidFill>
              <a:sysClr val="windowText" lastClr="000000"/>
            </a:solidFill>
            <a:latin typeface="Verdana" panose="020B0604030504040204" pitchFamily="34" charset="0"/>
            <a:ea typeface="Verdana" panose="020B0604030504040204" pitchFamily="34" charset="0"/>
          </a:endParaRPr>
        </a:p>
        <a:p>
          <a:pPr marL="0" marR="0" lvl="0" indent="0" algn="l" rtl="0">
            <a:lnSpc>
              <a:spcPct val="100000"/>
            </a:lnSpc>
            <a:spcBef>
              <a:spcPts val="0"/>
            </a:spcBef>
            <a:spcAft>
              <a:spcPts val="0"/>
            </a:spcAft>
            <a:buSzPts val="1200"/>
            <a:buFont typeface="Arial"/>
            <a:buNone/>
          </a:pPr>
          <a:endParaRPr sz="1200" b="0">
            <a:latin typeface="Verdana" panose="020B0604030504040204" pitchFamily="34" charset="0"/>
            <a:ea typeface="Verdana" panose="020B0604030504040204" pitchFamily="34" charset="0"/>
            <a:cs typeface="Arial"/>
            <a:sym typeface="Arial"/>
          </a:endParaRPr>
        </a:p>
        <a:p>
          <a:pPr marL="0" marR="0" lvl="0" indent="0" algn="l" rtl="0">
            <a:lnSpc>
              <a:spcPct val="100000"/>
            </a:lnSpc>
            <a:spcBef>
              <a:spcPts val="0"/>
            </a:spcBef>
            <a:spcAft>
              <a:spcPts val="0"/>
            </a:spcAft>
            <a:buSzPts val="1200"/>
            <a:buFont typeface="Arial"/>
            <a:buNone/>
          </a:pPr>
          <a:endParaRPr sz="1200" b="0">
            <a:latin typeface="Arial"/>
            <a:ea typeface="Arial"/>
            <a:cs typeface="Arial"/>
            <a:sym typeface="Arial"/>
          </a:endParaRPr>
        </a:p>
      </xdr:txBody>
    </xdr:sp>
    <xdr:clientData fLocksWithSheet="0"/>
  </xdr:oneCellAnchor>
  <xdr:oneCellAnchor>
    <xdr:from>
      <xdr:col>1</xdr:col>
      <xdr:colOff>38100</xdr:colOff>
      <xdr:row>0</xdr:row>
      <xdr:rowOff>9525</xdr:rowOff>
    </xdr:from>
    <xdr:ext cx="4905375" cy="18669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5400000" cy="1553300"/>
    <xdr:pic>
      <xdr:nvPicPr>
        <xdr:cNvPr id="3" name="image2.png">
          <a:extLst>
            <a:ext uri="{FF2B5EF4-FFF2-40B4-BE49-F238E27FC236}">
              <a16:creationId xmlns:a16="http://schemas.microsoft.com/office/drawing/2014/main" id="{D995435F-B20B-4014-BB84-3E16EEFF0F39}"/>
            </a:ext>
          </a:extLst>
        </xdr:cNvPr>
        <xdr:cNvPicPr preferRelativeResize="0">
          <a:picLocks noChangeAspect="1"/>
        </xdr:cNvPicPr>
      </xdr:nvPicPr>
      <xdr:blipFill>
        <a:blip xmlns:r="http://schemas.openxmlformats.org/officeDocument/2006/relationships" r:embed="rId1" cstate="print"/>
        <a:stretch>
          <a:fillRect/>
        </a:stretch>
      </xdr:blipFill>
      <xdr:spPr>
        <a:xfrm>
          <a:off x="0" y="0"/>
          <a:ext cx="5400000" cy="15533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editAs="oneCell">
    <xdr:from>
      <xdr:col>3</xdr:col>
      <xdr:colOff>472281</xdr:colOff>
      <xdr:row>0</xdr:row>
      <xdr:rowOff>0</xdr:rowOff>
    </xdr:from>
    <xdr:to>
      <xdr:col>4</xdr:col>
      <xdr:colOff>8731</xdr:colOff>
      <xdr:row>4</xdr:row>
      <xdr:rowOff>143086</xdr:rowOff>
    </xdr:to>
    <xdr:pic>
      <xdr:nvPicPr>
        <xdr:cNvPr id="2" name="Afbeelding 1">
          <a:extLst>
            <a:ext uri="{FF2B5EF4-FFF2-40B4-BE49-F238E27FC236}">
              <a16:creationId xmlns:a16="http://schemas.microsoft.com/office/drawing/2014/main" id="{D6A10F66-324A-4EE3-9A92-ED788218C34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62981" y="0"/>
          <a:ext cx="457200" cy="1336886"/>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345281</xdr:colOff>
      <xdr:row>2</xdr:row>
      <xdr:rowOff>11906</xdr:rowOff>
    </xdr:from>
    <xdr:to>
      <xdr:col>5</xdr:col>
      <xdr:colOff>785813</xdr:colOff>
      <xdr:row>7</xdr:row>
      <xdr:rowOff>276984</xdr:rowOff>
    </xdr:to>
    <xdr:pic>
      <xdr:nvPicPr>
        <xdr:cNvPr id="4" name="Afbeelding 3">
          <a:extLst>
            <a:ext uri="{FF2B5EF4-FFF2-40B4-BE49-F238E27FC236}">
              <a16:creationId xmlns:a16="http://schemas.microsoft.com/office/drawing/2014/main" id="{DC997660-8122-4E0C-878A-69F7803C27C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43562" y="321469"/>
          <a:ext cx="440532" cy="1455703"/>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133350</xdr:colOff>
      <xdr:row>0</xdr:row>
      <xdr:rowOff>0</xdr:rowOff>
    </xdr:from>
    <xdr:ext cx="5400000" cy="1553300"/>
    <xdr:pic>
      <xdr:nvPicPr>
        <xdr:cNvPr id="5" name="image2.png">
          <a:extLst>
            <a:ext uri="{FF2B5EF4-FFF2-40B4-BE49-F238E27FC236}">
              <a16:creationId xmlns:a16="http://schemas.microsoft.com/office/drawing/2014/main" id="{ADDADBF9-60FB-4842-9F39-28DDFE1F917B}"/>
            </a:ext>
          </a:extLst>
        </xdr:cNvPr>
        <xdr:cNvPicPr preferRelativeResize="0">
          <a:picLocks noChangeAspect="1"/>
        </xdr:cNvPicPr>
      </xdr:nvPicPr>
      <xdr:blipFill>
        <a:blip xmlns:r="http://schemas.openxmlformats.org/officeDocument/2006/relationships" r:embed="rId1" cstate="print"/>
        <a:stretch>
          <a:fillRect/>
        </a:stretch>
      </xdr:blipFill>
      <xdr:spPr>
        <a:xfrm>
          <a:off x="133350" y="0"/>
          <a:ext cx="5400000" cy="1553300"/>
        </a:xfrm>
        <a:prstGeom prst="rect">
          <a:avLst/>
        </a:prstGeom>
        <a:noFill/>
      </xdr:spPr>
    </xdr:pic>
    <xdr:clientData fLocksWithSheet="0"/>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C5F5D-4C1F-44D7-BE5F-898E34FD160A}">
  <sheetPr codeName="Blad1">
    <tabColor rgb="FFFF0000"/>
  </sheetPr>
  <dimension ref="A3:D55"/>
  <sheetViews>
    <sheetView zoomScale="115" zoomScaleNormal="115" workbookViewId="0">
      <selection activeCell="B35" sqref="B35"/>
    </sheetView>
  </sheetViews>
  <sheetFormatPr defaultColWidth="8.6640625" defaultRowHeight="12" x14ac:dyDescent="0.25"/>
  <cols>
    <col min="1" max="1" width="9.6640625" style="1" customWidth="1"/>
    <col min="2" max="2" width="69.6640625" style="1" bestFit="1" customWidth="1"/>
    <col min="3" max="3" width="22.6640625" style="1" bestFit="1" customWidth="1"/>
    <col min="4" max="16384" width="8.6640625" style="1"/>
  </cols>
  <sheetData>
    <row r="3" spans="2:4" x14ac:dyDescent="0.25">
      <c r="B3" s="2" t="s">
        <v>1</v>
      </c>
      <c r="C3" s="2" t="s">
        <v>2</v>
      </c>
      <c r="D3" s="1" t="s">
        <v>3</v>
      </c>
    </row>
    <row r="4" spans="2:4" x14ac:dyDescent="0.25">
      <c r="B4" s="3" t="s">
        <v>4</v>
      </c>
      <c r="C4" s="3">
        <v>1.0000000000000001E-15</v>
      </c>
      <c r="D4" s="1" t="s">
        <v>5</v>
      </c>
    </row>
    <row r="5" spans="2:4" x14ac:dyDescent="0.25">
      <c r="B5" s="3" t="s">
        <v>6</v>
      </c>
      <c r="C5" s="3">
        <v>100000</v>
      </c>
      <c r="D5" s="1" t="s">
        <v>7</v>
      </c>
    </row>
    <row r="6" spans="2:4" x14ac:dyDescent="0.25">
      <c r="B6" s="3" t="s">
        <v>8</v>
      </c>
      <c r="C6" s="3">
        <v>150000</v>
      </c>
      <c r="D6" s="1" t="s">
        <v>7</v>
      </c>
    </row>
    <row r="7" spans="2:4" x14ac:dyDescent="0.25">
      <c r="B7" s="3" t="s">
        <v>9</v>
      </c>
      <c r="C7" s="3">
        <v>300000</v>
      </c>
      <c r="D7" s="1" t="s">
        <v>7</v>
      </c>
    </row>
    <row r="8" spans="2:4" x14ac:dyDescent="0.25">
      <c r="B8" s="3" t="s">
        <v>10</v>
      </c>
      <c r="C8" s="3">
        <v>100000</v>
      </c>
      <c r="D8" s="1" t="s">
        <v>7</v>
      </c>
    </row>
    <row r="9" spans="2:4" x14ac:dyDescent="0.25">
      <c r="B9" s="3" t="s">
        <v>11</v>
      </c>
      <c r="C9" s="3">
        <v>60000</v>
      </c>
      <c r="D9" s="1" t="s">
        <v>7</v>
      </c>
    </row>
    <row r="10" spans="2:4" x14ac:dyDescent="0.25">
      <c r="B10" s="3" t="s">
        <v>12</v>
      </c>
      <c r="C10" s="3">
        <v>150000</v>
      </c>
      <c r="D10" s="1" t="s">
        <v>7</v>
      </c>
    </row>
    <row r="11" spans="2:4" x14ac:dyDescent="0.25">
      <c r="B11" s="3" t="s">
        <v>13</v>
      </c>
      <c r="C11" s="3">
        <v>50000</v>
      </c>
      <c r="D11" s="1" t="s">
        <v>7</v>
      </c>
    </row>
    <row r="12" spans="2:4" x14ac:dyDescent="0.25">
      <c r="B12" s="3" t="s">
        <v>14</v>
      </c>
      <c r="C12" s="3">
        <v>220000</v>
      </c>
      <c r="D12" s="1" t="s">
        <v>7</v>
      </c>
    </row>
    <row r="13" spans="2:4" x14ac:dyDescent="0.25">
      <c r="B13" s="3" t="s">
        <v>15</v>
      </c>
      <c r="C13" s="3">
        <v>70000</v>
      </c>
      <c r="D13" s="1" t="s">
        <v>7</v>
      </c>
    </row>
    <row r="14" spans="2:4" x14ac:dyDescent="0.25">
      <c r="B14" s="3" t="s">
        <v>16</v>
      </c>
      <c r="C14" s="3">
        <v>300000</v>
      </c>
      <c r="D14" s="1" t="s">
        <v>7</v>
      </c>
    </row>
    <row r="15" spans="2:4" x14ac:dyDescent="0.25">
      <c r="B15" s="3" t="s">
        <v>17</v>
      </c>
      <c r="C15" s="3">
        <v>100000</v>
      </c>
      <c r="D15" s="1" t="s">
        <v>7</v>
      </c>
    </row>
    <row r="16" spans="2:4" x14ac:dyDescent="0.25">
      <c r="B16" s="3" t="s">
        <v>18</v>
      </c>
      <c r="C16" s="3">
        <v>100000</v>
      </c>
      <c r="D16" s="1" t="s">
        <v>19</v>
      </c>
    </row>
    <row r="17" spans="1:4" x14ac:dyDescent="0.25">
      <c r="B17" s="3" t="s">
        <v>20</v>
      </c>
      <c r="C17" s="3">
        <v>100000</v>
      </c>
      <c r="D17" s="1" t="s">
        <v>19</v>
      </c>
    </row>
    <row r="18" spans="1:4" x14ac:dyDescent="0.25">
      <c r="B18" s="3" t="s">
        <v>21</v>
      </c>
      <c r="C18" s="3">
        <v>100000</v>
      </c>
      <c r="D18" s="1" t="s">
        <v>19</v>
      </c>
    </row>
    <row r="19" spans="1:4" x14ac:dyDescent="0.25">
      <c r="B19" s="3" t="s">
        <v>22</v>
      </c>
      <c r="C19" s="3">
        <v>300000</v>
      </c>
      <c r="D19" s="1" t="s">
        <v>19</v>
      </c>
    </row>
    <row r="20" spans="1:4" x14ac:dyDescent="0.25">
      <c r="B20" s="3" t="s">
        <v>23</v>
      </c>
      <c r="C20" s="3">
        <v>300000</v>
      </c>
      <c r="D20" s="1" t="s">
        <v>19</v>
      </c>
    </row>
    <row r="25" spans="1:4" x14ac:dyDescent="0.25">
      <c r="A25" s="1" t="s">
        <v>24</v>
      </c>
      <c r="B25" s="1" t="s">
        <v>25</v>
      </c>
    </row>
    <row r="26" spans="1:4" ht="15.6" x14ac:dyDescent="0.3">
      <c r="A26" s="1" t="s">
        <v>26</v>
      </c>
      <c r="B26" s="238" t="str">
        <f>IF('Deelnemer 1 tankstation'!F24,'Deelnemer 1 tankstation'!G24,"")</f>
        <v/>
      </c>
      <c r="C26" s="237"/>
    </row>
    <row r="27" spans="1:4" ht="15.6" x14ac:dyDescent="0.3">
      <c r="A27" s="1" t="s">
        <v>26</v>
      </c>
      <c r="B27" s="238" t="str">
        <f>IF('Deelnemer 1 tankstation'!F25,'Deelnemer 1 tankstation'!G25,"")</f>
        <v/>
      </c>
      <c r="C27" s="237"/>
    </row>
    <row r="28" spans="1:4" ht="15.6" x14ac:dyDescent="0.3">
      <c r="A28" s="1" t="s">
        <v>26</v>
      </c>
      <c r="B28" s="238" t="str">
        <f>IF('Deelnemer 1 tankstation'!F26,'Deelnemer 1 tankstation'!G26,"")</f>
        <v/>
      </c>
      <c r="C28" s="237"/>
    </row>
    <row r="29" spans="1:4" x14ac:dyDescent="0.25">
      <c r="B29" s="1" t="s">
        <v>27</v>
      </c>
    </row>
    <row r="34" spans="1:2" x14ac:dyDescent="0.25">
      <c r="A34" s="1" t="s">
        <v>28</v>
      </c>
      <c r="B34" s="1" t="s">
        <v>28</v>
      </c>
    </row>
    <row r="35" spans="1:2" x14ac:dyDescent="0.25">
      <c r="A35" s="29" t="s">
        <v>29</v>
      </c>
      <c r="B35" s="1" t="s">
        <v>30</v>
      </c>
    </row>
    <row r="36" spans="1:2" x14ac:dyDescent="0.25">
      <c r="A36" s="29" t="s">
        <v>31</v>
      </c>
      <c r="B36" s="1" t="s">
        <v>32</v>
      </c>
    </row>
    <row r="37" spans="1:2" x14ac:dyDescent="0.25">
      <c r="A37" s="29" t="s">
        <v>33</v>
      </c>
      <c r="B37" s="1" t="s">
        <v>34</v>
      </c>
    </row>
    <row r="38" spans="1:2" x14ac:dyDescent="0.25">
      <c r="A38" s="29" t="s">
        <v>35</v>
      </c>
      <c r="B38" s="1" t="s">
        <v>36</v>
      </c>
    </row>
    <row r="39" spans="1:2" x14ac:dyDescent="0.25">
      <c r="A39" s="29" t="s">
        <v>37</v>
      </c>
      <c r="B39" s="1" t="s">
        <v>38</v>
      </c>
    </row>
    <row r="40" spans="1:2" x14ac:dyDescent="0.25">
      <c r="A40" s="29" t="s">
        <v>39</v>
      </c>
      <c r="B40" s="1" t="s">
        <v>40</v>
      </c>
    </row>
    <row r="41" spans="1:2" x14ac:dyDescent="0.25">
      <c r="A41" s="29" t="s">
        <v>41</v>
      </c>
      <c r="B41" s="1" t="s">
        <v>42</v>
      </c>
    </row>
    <row r="46" spans="1:2" x14ac:dyDescent="0.25">
      <c r="B46" s="1" t="s">
        <v>28</v>
      </c>
    </row>
    <row r="47" spans="1:2" x14ac:dyDescent="0.25">
      <c r="B47" s="1" t="s">
        <v>43</v>
      </c>
    </row>
    <row r="48" spans="1:2" x14ac:dyDescent="0.25">
      <c r="B48" s="1" t="s">
        <v>44</v>
      </c>
    </row>
    <row r="50" spans="2:3" x14ac:dyDescent="0.25">
      <c r="B50" s="1" t="s">
        <v>45</v>
      </c>
      <c r="C50" s="1" t="s">
        <v>46</v>
      </c>
    </row>
    <row r="51" spans="2:3" x14ac:dyDescent="0.25">
      <c r="B51" s="1" t="s">
        <v>47</v>
      </c>
      <c r="C51" s="1" t="s">
        <v>48</v>
      </c>
    </row>
    <row r="52" spans="2:3" x14ac:dyDescent="0.25">
      <c r="B52" s="1" t="s">
        <v>49</v>
      </c>
      <c r="C52" s="1" t="s">
        <v>50</v>
      </c>
    </row>
    <row r="53" spans="2:3" x14ac:dyDescent="0.25">
      <c r="B53" s="1" t="s">
        <v>51</v>
      </c>
    </row>
    <row r="54" spans="2:3" x14ac:dyDescent="0.25">
      <c r="B54" s="1" t="s">
        <v>52</v>
      </c>
    </row>
    <row r="55" spans="2:3" x14ac:dyDescent="0.25">
      <c r="B55" s="1" t="s">
        <v>50</v>
      </c>
    </row>
  </sheetData>
  <sheetProtection algorithmName="SHA-512" hashValue="u35fZGbBYSZB9OovchPTmMnUJRsVXsNu72iwjC4WzIpaKY4eF7p8CA0NkVw8Vta0TigHdHrtVwjSfzCk7naxqw==" saltValue="PI/caepTg/vIZZ3UYtj32g==" spinCount="100000" sheet="1" objects="1" scenarios="1"/>
  <phoneticPr fontId="28" type="noConversion"/>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0">
    <tabColor rgb="FFFFFF00"/>
  </sheetPr>
  <dimension ref="A1:AM86"/>
  <sheetViews>
    <sheetView showGridLines="0" topLeftCell="A17" zoomScale="80" zoomScaleNormal="80" workbookViewId="0">
      <selection activeCell="B19" sqref="B19:C19"/>
    </sheetView>
  </sheetViews>
  <sheetFormatPr defaultColWidth="14.44140625" defaultRowHeight="15" customHeight="1" x14ac:dyDescent="0.3"/>
  <cols>
    <col min="1" max="1" width="3.44140625" style="30" customWidth="1"/>
    <col min="2" max="2" width="18.109375" style="33" customWidth="1"/>
    <col min="3" max="3" width="60.44140625" style="33" customWidth="1"/>
    <col min="4" max="4" width="27.44140625" style="33" customWidth="1"/>
    <col min="5" max="6" width="21.44140625" style="33" customWidth="1"/>
    <col min="7" max="7" width="1.44140625" style="30" customWidth="1"/>
    <col min="8" max="8" width="24.44140625" style="411" customWidth="1"/>
    <col min="9" max="9" width="27.44140625" style="34" customWidth="1"/>
    <col min="10" max="10" width="31.109375" style="34" customWidth="1"/>
    <col min="11" max="11" width="33.44140625" style="412" customWidth="1"/>
    <col min="12" max="12" width="1.44140625" style="404" customWidth="1"/>
    <col min="13" max="13" width="24.44140625" style="33"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33203125" style="33" customWidth="1"/>
    <col min="20" max="20" width="30.44140625" style="32" customWidth="1"/>
    <col min="21" max="21" width="33.441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30" width="24.441406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0" style="32" hidden="1" customWidth="1"/>
    <col min="41" max="16384" width="14.44140625" style="32"/>
  </cols>
  <sheetData>
    <row r="1" spans="1:39" ht="24" customHeight="1" x14ac:dyDescent="0.3">
      <c r="B1" s="30"/>
      <c r="C1" s="30"/>
      <c r="D1" s="30"/>
      <c r="E1" s="30"/>
      <c r="F1" s="30"/>
      <c r="H1" s="402"/>
      <c r="I1" s="403"/>
      <c r="J1" s="403"/>
      <c r="K1" s="404"/>
      <c r="M1" s="30"/>
      <c r="N1" s="30"/>
      <c r="O1" s="30"/>
      <c r="P1" s="30"/>
      <c r="R1" s="30"/>
      <c r="S1" s="30"/>
      <c r="T1" s="31"/>
    </row>
    <row r="2" spans="1:39" ht="24" customHeight="1" x14ac:dyDescent="0.3">
      <c r="A2" s="4"/>
      <c r="B2" s="408" t="s">
        <v>212</v>
      </c>
      <c r="C2" s="4"/>
      <c r="D2" s="4"/>
      <c r="E2" s="4"/>
      <c r="F2" s="4"/>
      <c r="G2" s="4"/>
      <c r="H2" s="5"/>
      <c r="I2" s="409"/>
      <c r="J2" s="409"/>
      <c r="K2" s="409"/>
      <c r="L2" s="409"/>
      <c r="M2" s="30"/>
      <c r="N2" s="30"/>
      <c r="O2" s="30"/>
      <c r="P2" s="30"/>
      <c r="R2" s="30"/>
      <c r="S2" s="30"/>
      <c r="T2" s="31"/>
    </row>
    <row r="3" spans="1:39" ht="24" customHeight="1" x14ac:dyDescent="0.3">
      <c r="A3" s="4"/>
      <c r="B3" s="408" t="s">
        <v>268</v>
      </c>
      <c r="C3" s="4"/>
      <c r="D3" s="4"/>
      <c r="E3" s="4"/>
      <c r="F3" s="4"/>
      <c r="G3" s="4"/>
      <c r="H3" s="5"/>
      <c r="I3" s="409"/>
      <c r="J3" s="409"/>
      <c r="K3" s="409"/>
      <c r="L3" s="409"/>
      <c r="M3" s="30"/>
      <c r="N3" s="30"/>
      <c r="O3" s="30"/>
      <c r="P3" s="30"/>
      <c r="R3" s="30"/>
      <c r="S3" s="30"/>
      <c r="T3" s="31"/>
    </row>
    <row r="4" spans="1:39" ht="24" customHeight="1" x14ac:dyDescent="0.3">
      <c r="A4" s="4"/>
      <c r="B4" s="410"/>
      <c r="C4" s="4"/>
      <c r="D4" s="4"/>
      <c r="E4" s="4"/>
      <c r="F4" s="4"/>
      <c r="G4" s="4"/>
      <c r="H4" s="5"/>
      <c r="I4" s="409"/>
      <c r="J4" s="409"/>
      <c r="K4" s="409"/>
      <c r="L4" s="409"/>
      <c r="M4" s="30"/>
      <c r="N4" s="30"/>
      <c r="O4" s="30"/>
      <c r="P4" s="30"/>
      <c r="R4" s="30"/>
      <c r="S4" s="30"/>
      <c r="T4" s="31"/>
    </row>
    <row r="5" spans="1:39" ht="16.5" customHeight="1" x14ac:dyDescent="0.3">
      <c r="A5" s="4"/>
      <c r="B5" s="410" t="s">
        <v>269</v>
      </c>
      <c r="C5" s="19" t="str">
        <f>IF(C6&lt;1,"Maak een keuze in Cel C6","")</f>
        <v>Maak een keuze in Cel C6</v>
      </c>
      <c r="D5" s="4"/>
      <c r="E5" s="4"/>
      <c r="F5" s="4"/>
      <c r="G5" s="4"/>
    </row>
    <row r="6" spans="1:39" ht="16.5" customHeight="1" x14ac:dyDescent="0.3">
      <c r="A6" s="4"/>
      <c r="B6" s="9" t="s">
        <v>270</v>
      </c>
      <c r="C6" s="606"/>
      <c r="D6" s="413" t="str">
        <f>IF(C6="ja","Penvoerder","Deelnemer")</f>
        <v>Deelnemer</v>
      </c>
      <c r="E6" s="413"/>
      <c r="F6" s="27"/>
      <c r="G6" s="27"/>
      <c r="U6" s="414"/>
      <c r="V6" s="414"/>
      <c r="W6" s="414"/>
      <c r="X6" s="414"/>
      <c r="Y6" s="414"/>
    </row>
    <row r="7" spans="1:39" ht="16.5" customHeight="1" x14ac:dyDescent="0.3">
      <c r="A7" s="4"/>
      <c r="B7" s="9" t="s">
        <v>125</v>
      </c>
      <c r="C7" s="607"/>
      <c r="D7" s="30"/>
      <c r="E7" s="30"/>
      <c r="F7" s="30"/>
      <c r="U7" s="414"/>
      <c r="V7" s="414"/>
      <c r="W7" s="414"/>
      <c r="X7" s="414"/>
      <c r="Y7" s="414"/>
    </row>
    <row r="8" spans="1:39" s="30" customFormat="1" ht="16.5" customHeight="1" x14ac:dyDescent="0.3">
      <c r="A8" s="4"/>
      <c r="B8" s="4"/>
      <c r="C8" s="4"/>
      <c r="D8" s="4"/>
      <c r="E8" s="4"/>
      <c r="F8" s="4"/>
      <c r="G8" s="4"/>
      <c r="U8" s="414"/>
      <c r="V8" s="414"/>
      <c r="W8" s="414"/>
      <c r="X8" s="414"/>
      <c r="Y8" s="414"/>
      <c r="Z8" s="402"/>
      <c r="AA8" s="402"/>
      <c r="AB8" s="402"/>
      <c r="AC8" s="402"/>
      <c r="AD8" s="402"/>
      <c r="AE8" s="402"/>
      <c r="AF8" s="402"/>
      <c r="AG8" s="402"/>
      <c r="AH8" s="402"/>
      <c r="AI8" s="103"/>
      <c r="AJ8" s="103"/>
      <c r="AK8" s="103"/>
      <c r="AL8" s="103"/>
    </row>
    <row r="9" spans="1:39" s="30" customFormat="1" ht="16.5" customHeight="1" x14ac:dyDescent="0.3">
      <c r="A9" s="4"/>
      <c r="B9" s="23"/>
      <c r="C9" s="409"/>
      <c r="F9" s="4"/>
      <c r="G9" s="4"/>
      <c r="U9" s="415"/>
      <c r="V9" s="415"/>
      <c r="W9" s="415"/>
      <c r="X9" s="415"/>
      <c r="Y9" s="415"/>
      <c r="Z9" s="402"/>
      <c r="AA9" s="402"/>
      <c r="AB9" s="402"/>
      <c r="AC9" s="402"/>
      <c r="AD9" s="402"/>
      <c r="AE9" s="402"/>
      <c r="AF9" s="402"/>
      <c r="AG9" s="402"/>
      <c r="AH9" s="402"/>
      <c r="AI9" s="103"/>
      <c r="AJ9" s="103"/>
      <c r="AK9" s="103"/>
      <c r="AL9" s="103"/>
    </row>
    <row r="10" spans="1:39" s="30" customFormat="1" ht="16.5" customHeight="1" x14ac:dyDescent="0.3">
      <c r="A10" s="4"/>
      <c r="B10" s="416" t="s">
        <v>271</v>
      </c>
      <c r="C10" s="417"/>
      <c r="D10" s="418"/>
      <c r="E10" s="418"/>
      <c r="F10" s="419"/>
      <c r="U10" s="420"/>
      <c r="V10" s="420"/>
      <c r="W10" s="420"/>
      <c r="X10" s="420"/>
      <c r="Y10" s="420"/>
      <c r="Z10" s="402"/>
      <c r="AA10" s="402"/>
      <c r="AB10" s="402"/>
      <c r="AC10" s="402"/>
      <c r="AD10" s="402"/>
      <c r="AE10" s="402"/>
      <c r="AF10" s="402"/>
      <c r="AG10" s="402"/>
      <c r="AH10" s="402"/>
      <c r="AI10" s="103"/>
      <c r="AJ10" s="103"/>
      <c r="AK10" s="103"/>
      <c r="AL10" s="103"/>
    </row>
    <row r="11" spans="1:39" s="30" customFormat="1" ht="16.5" customHeight="1" x14ac:dyDescent="0.3">
      <c r="A11" s="4"/>
      <c r="B11" s="421" t="s">
        <v>272</v>
      </c>
      <c r="C11" s="419"/>
      <c r="D11" s="419"/>
      <c r="E11" s="419"/>
      <c r="F11" s="419"/>
      <c r="U11" s="420"/>
      <c r="V11" s="420"/>
      <c r="W11" s="420"/>
      <c r="X11" s="420"/>
      <c r="Y11" s="420"/>
      <c r="Z11" s="402"/>
      <c r="AA11" s="402"/>
      <c r="AB11" s="402"/>
      <c r="AC11" s="402"/>
      <c r="AD11" s="402"/>
      <c r="AE11" s="402"/>
      <c r="AF11" s="402"/>
      <c r="AG11" s="402"/>
      <c r="AH11" s="402"/>
      <c r="AI11" s="103"/>
      <c r="AJ11" s="103"/>
      <c r="AK11" s="103"/>
      <c r="AL11" s="103"/>
    </row>
    <row r="12" spans="1:39" s="30" customFormat="1" ht="16.5" customHeight="1" x14ac:dyDescent="0.3">
      <c r="A12" s="4"/>
      <c r="B12" s="421" t="s">
        <v>273</v>
      </c>
      <c r="C12" s="419"/>
      <c r="D12" s="419"/>
      <c r="E12" s="419"/>
      <c r="F12" s="419"/>
      <c r="U12" s="420"/>
      <c r="V12" s="420"/>
      <c r="W12" s="420"/>
      <c r="X12" s="420"/>
      <c r="Y12" s="420"/>
      <c r="Z12" s="402"/>
      <c r="AA12" s="402"/>
      <c r="AB12" s="402"/>
      <c r="AC12" s="402"/>
      <c r="AD12" s="402"/>
      <c r="AE12" s="402"/>
      <c r="AF12" s="402"/>
      <c r="AG12" s="402"/>
      <c r="AH12" s="402"/>
      <c r="AI12" s="103"/>
      <c r="AJ12" s="103"/>
      <c r="AK12" s="103"/>
      <c r="AL12" s="103"/>
    </row>
    <row r="13" spans="1:39" s="33" customFormat="1" ht="16.5" customHeight="1" x14ac:dyDescent="0.3">
      <c r="A13" s="4"/>
      <c r="B13" s="421" t="s">
        <v>274</v>
      </c>
      <c r="C13" s="417"/>
      <c r="D13" s="418"/>
      <c r="E13" s="418"/>
      <c r="F13" s="419"/>
      <c r="G13" s="30"/>
      <c r="L13" s="30"/>
      <c r="Q13" s="30"/>
      <c r="R13" s="30"/>
      <c r="S13" s="30"/>
      <c r="T13" s="30"/>
      <c r="U13" s="420"/>
      <c r="V13" s="420"/>
      <c r="W13" s="420"/>
      <c r="X13" s="420"/>
      <c r="Y13" s="420"/>
      <c r="Z13" s="411"/>
      <c r="AA13" s="411"/>
      <c r="AB13" s="411"/>
      <c r="AC13" s="411"/>
      <c r="AD13" s="411"/>
      <c r="AE13" s="411"/>
      <c r="AF13" s="411"/>
      <c r="AG13" s="411"/>
      <c r="AH13" s="411"/>
      <c r="AI13" s="103"/>
      <c r="AJ13" s="103"/>
      <c r="AK13" s="103"/>
      <c r="AL13" s="103"/>
    </row>
    <row r="14" spans="1:39" ht="16.5" customHeight="1" x14ac:dyDescent="0.3">
      <c r="A14" s="10"/>
      <c r="B14" s="421" t="s">
        <v>275</v>
      </c>
      <c r="C14" s="422"/>
      <c r="D14" s="422"/>
      <c r="E14" s="422"/>
      <c r="F14" s="419"/>
      <c r="O14" s="423"/>
      <c r="Q14" s="420"/>
      <c r="R14" s="423"/>
      <c r="S14" s="423"/>
      <c r="T14" s="420"/>
    </row>
    <row r="15" spans="1:39" ht="16.5" customHeight="1" x14ac:dyDescent="0.3">
      <c r="A15" s="10"/>
      <c r="B15" s="421" t="s">
        <v>276</v>
      </c>
      <c r="C15" s="417"/>
      <c r="D15" s="418"/>
      <c r="E15" s="418"/>
      <c r="F15" s="419"/>
      <c r="K15" s="424"/>
      <c r="M15" s="425"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419"/>
      <c r="O15" s="426"/>
      <c r="P15" s="419"/>
      <c r="Q15" s="426"/>
      <c r="R15" s="426"/>
      <c r="S15" s="426"/>
      <c r="T15" s="426"/>
      <c r="U15" s="414"/>
      <c r="V15" s="427" t="s">
        <v>277</v>
      </c>
      <c r="W15" s="427"/>
      <c r="X15" s="427"/>
      <c r="Y15" s="427"/>
      <c r="Z15" s="427"/>
      <c r="AA15" s="427"/>
      <c r="AB15" s="427"/>
      <c r="AC15" s="427"/>
      <c r="AD15" s="427"/>
      <c r="AE15" s="427"/>
      <c r="AF15" s="427"/>
      <c r="AG15" s="427"/>
      <c r="AH15" s="427"/>
      <c r="AI15" s="427"/>
      <c r="AJ15" s="427"/>
      <c r="AK15" s="427"/>
      <c r="AL15" s="427"/>
      <c r="AM15" s="427"/>
    </row>
    <row r="16" spans="1:39" ht="16.5" customHeight="1" x14ac:dyDescent="0.3">
      <c r="A16" s="10"/>
      <c r="B16" s="421" t="s">
        <v>278</v>
      </c>
      <c r="C16" s="428"/>
      <c r="D16" s="422"/>
      <c r="E16" s="422"/>
      <c r="F16" s="429"/>
      <c r="G16" s="430"/>
      <c r="H16" s="431"/>
      <c r="I16" s="431"/>
      <c r="J16" s="431"/>
      <c r="K16" s="431"/>
      <c r="L16" s="432"/>
      <c r="M16" s="433" t="str">
        <f>IF(OR((T19-O19&gt;0),(T20-O20&gt;0),(T21-O21&gt;0),(T22-O22&gt;0),(T23-O23&gt;0),(T24-O24&gt;0),(T25-O25&gt;0),(T26-O26&gt;0),(T27-O27&gt;0),(T28-O28&gt;0),(T28-O28&gt;0),(T29-O29&gt;0),(T30-O30&gt;0),(T31-O31&gt;0),(T32-O32&gt;0),(T33-O33&gt;0),(AND(D44&gt;0,D44-D43&gt;0))),"Het gevraagde subsidiebedrag voor één of meerdere voertuigen/werktuigen is hoger dan de maximale subsidie. Dit zal in de beoordeling door RVO gecorrigeerd worden.","")</f>
        <v/>
      </c>
      <c r="N16" s="419"/>
      <c r="O16" s="426"/>
      <c r="P16" s="419"/>
      <c r="Q16" s="426"/>
      <c r="R16" s="426"/>
      <c r="S16" s="426"/>
      <c r="T16" s="426"/>
      <c r="V16" s="427"/>
      <c r="W16" s="427"/>
      <c r="X16" s="427"/>
      <c r="Y16" s="427"/>
      <c r="Z16" s="427"/>
      <c r="AA16" s="427"/>
      <c r="AB16" s="427"/>
      <c r="AC16" s="427"/>
      <c r="AD16" s="427"/>
      <c r="AE16" s="427"/>
      <c r="AF16" s="427"/>
      <c r="AG16" s="427"/>
      <c r="AH16" s="427"/>
      <c r="AI16" s="427"/>
      <c r="AJ16" s="427"/>
      <c r="AK16" s="427"/>
      <c r="AL16" s="427"/>
      <c r="AM16" s="427"/>
    </row>
    <row r="17" spans="1:39" ht="16.5" customHeight="1" thickBot="1" x14ac:dyDescent="0.35">
      <c r="A17" s="4"/>
      <c r="C17" s="30"/>
      <c r="D17" s="30"/>
      <c r="E17" s="30"/>
      <c r="F17" s="30"/>
      <c r="H17" s="5"/>
      <c r="I17" s="409"/>
      <c r="J17" s="409"/>
      <c r="K17" s="409"/>
      <c r="L17" s="409"/>
      <c r="M17" s="30"/>
      <c r="N17" s="30"/>
      <c r="O17" s="30"/>
      <c r="P17" s="30"/>
      <c r="R17" s="30"/>
      <c r="S17" s="30"/>
      <c r="T17" s="31"/>
      <c r="V17" s="405" t="str">
        <f>IF(OR(V19&gt;F19,V20&gt;F20,V21&gt;F21,V22&gt;F22,V23&gt;F23,V24&gt;F24,V24,V25&gt;F25,V26&gt;F26,V27&gt;F27,V28&gt;F28,V29&gt;F29,V30&gt;F30,V31&gt;F31,V32&gt;F32,V33&gt;F33),"Let op! Het aantal gecorrigeerde voertuigen is groter dan het aantal opgegeven voertuigen","")</f>
        <v/>
      </c>
    </row>
    <row r="18" spans="1:39" ht="54" customHeight="1" x14ac:dyDescent="0.3">
      <c r="A18" s="434"/>
      <c r="B18" s="705" t="s">
        <v>279</v>
      </c>
      <c r="C18" s="705"/>
      <c r="D18" s="435" t="s">
        <v>280</v>
      </c>
      <c r="E18" s="435" t="s">
        <v>281</v>
      </c>
      <c r="F18" s="26" t="s">
        <v>282</v>
      </c>
      <c r="G18" s="436"/>
      <c r="H18" s="26" t="s">
        <v>283</v>
      </c>
      <c r="I18" s="26" t="s">
        <v>284</v>
      </c>
      <c r="J18" s="26" t="s">
        <v>285</v>
      </c>
      <c r="K18" s="26" t="s">
        <v>286</v>
      </c>
      <c r="L18" s="436"/>
      <c r="M18" s="26" t="s">
        <v>287</v>
      </c>
      <c r="N18" s="26" t="s">
        <v>288</v>
      </c>
      <c r="O18" s="26" t="s">
        <v>289</v>
      </c>
      <c r="P18" s="26" t="s">
        <v>290</v>
      </c>
      <c r="Q18" s="436"/>
      <c r="R18" s="26" t="s">
        <v>291</v>
      </c>
      <c r="S18" s="26" t="s">
        <v>292</v>
      </c>
      <c r="T18" s="26" t="s">
        <v>293</v>
      </c>
      <c r="V18" s="437" t="s">
        <v>294</v>
      </c>
      <c r="W18" s="438" t="s">
        <v>295</v>
      </c>
      <c r="X18" s="439" t="s">
        <v>332</v>
      </c>
      <c r="Y18" s="439" t="s">
        <v>296</v>
      </c>
      <c r="Z18" s="440" t="s">
        <v>297</v>
      </c>
      <c r="AA18" s="441" t="s">
        <v>298</v>
      </c>
      <c r="AB18" s="442" t="s">
        <v>299</v>
      </c>
      <c r="AC18" s="440" t="s">
        <v>300</v>
      </c>
      <c r="AD18" s="440" t="s">
        <v>301</v>
      </c>
      <c r="AE18" s="440" t="s">
        <v>302</v>
      </c>
      <c r="AF18" s="441" t="s">
        <v>303</v>
      </c>
      <c r="AG18" s="443" t="s">
        <v>304</v>
      </c>
      <c r="AH18" s="443" t="s">
        <v>305</v>
      </c>
      <c r="AI18" s="443" t="s">
        <v>289</v>
      </c>
      <c r="AJ18" s="443" t="s">
        <v>306</v>
      </c>
      <c r="AK18" s="443" t="s">
        <v>307</v>
      </c>
      <c r="AL18" s="32"/>
      <c r="AM18" s="444" t="str">
        <f>IF(SUM(AM19:AM33)&lt;&gt;0, "wijziging aantal voer-/werktuigen "&amp;SUM(AM19:AM33),"")</f>
        <v/>
      </c>
    </row>
    <row r="19" spans="1:39" ht="16.5" customHeight="1" x14ac:dyDescent="0.3">
      <c r="A19" s="445" t="str">
        <f>IF(D19&gt;1,"Voertuig","")</f>
        <v/>
      </c>
      <c r="B19" s="706" t="s">
        <v>4</v>
      </c>
      <c r="C19" s="707"/>
      <c r="D19" s="446">
        <f>VLOOKUP(B19,'Categorie H2 Vtg.'!$B$4:$C$20,2,FALSE)</f>
        <v>1.0000000000000001E-15</v>
      </c>
      <c r="E19" s="102"/>
      <c r="F19" s="38"/>
      <c r="G19" s="447"/>
      <c r="H19" s="39"/>
      <c r="I19" s="449">
        <f>H19*F19</f>
        <v>0</v>
      </c>
      <c r="J19" s="39"/>
      <c r="K19" s="449">
        <f>IF(E19="Nieuw",(F19*J19),0)</f>
        <v>0</v>
      </c>
      <c r="L19" s="450"/>
      <c r="M19" s="446" cm="1">
        <f t="array" ref="M19">_xlfn.IFS(E19="Nieuw",H19-J19,E19="Retrofit",H19,TRUE,0)</f>
        <v>0</v>
      </c>
      <c r="N19" s="446">
        <f>IFERROR(F19*M19,0)</f>
        <v>0</v>
      </c>
      <c r="O19" s="446">
        <f t="shared" ref="O19:O33" si="0">IF(0.8*N19&gt;F19*D19,F19*D19,0.8*N19)</f>
        <v>0</v>
      </c>
      <c r="P19" s="446">
        <f t="shared" ref="P19:P23" si="1">IF(O19&gt;0,O19/F19, 0)</f>
        <v>0</v>
      </c>
      <c r="Q19" s="451"/>
      <c r="R19" s="40"/>
      <c r="S19" s="452" t="str">
        <f t="shared" ref="S19:S33" si="2">IF(R19&gt;0,R19/(O19/F19),"")</f>
        <v/>
      </c>
      <c r="T19" s="453">
        <f t="shared" ref="T19:T33" si="3">F19*R19</f>
        <v>0</v>
      </c>
      <c r="U19" s="454" t="str">
        <f t="shared" ref="U19:U33" si="4">IF(AND(O19&gt;0,R19=0),"Vul het gevraagde subsidiebedrag in","")</f>
        <v/>
      </c>
      <c r="V19" s="455">
        <f t="shared" ref="V19:V28" si="5">F19</f>
        <v>0</v>
      </c>
      <c r="W19" s="456">
        <f t="shared" ref="W19:W33" si="6">H19</f>
        <v>0</v>
      </c>
      <c r="X19" s="457"/>
      <c r="Y19" s="458"/>
      <c r="Z19" s="449">
        <f t="shared" ref="Z19:Z33" si="7">W19-X19</f>
        <v>0</v>
      </c>
      <c r="AA19" s="459">
        <f t="shared" ref="AA19:AA33" si="8">Z19*V19</f>
        <v>0</v>
      </c>
      <c r="AB19" s="460">
        <f t="shared" ref="AB19:AB33" si="9">J19</f>
        <v>0</v>
      </c>
      <c r="AC19" s="448"/>
      <c r="AD19" s="461"/>
      <c r="AE19" s="449">
        <f t="shared" ref="AE19:AE33" si="10">IF(AC19=0,AB19,AC19)</f>
        <v>0</v>
      </c>
      <c r="AF19" s="459">
        <f t="shared" ref="AF19:AF33" si="11">AE19*V19</f>
        <v>0</v>
      </c>
      <c r="AG19" s="462" cm="1">
        <f t="array" ref="AG19">_xlfn.IFS(E19="Nieuw",Z19-AE19,E19="Retrofit",Z19,TRUE,0)</f>
        <v>0</v>
      </c>
      <c r="AH19" s="462">
        <f t="shared" ref="AH19:AH33" si="12">AG19*V19</f>
        <v>0</v>
      </c>
      <c r="AI19" s="463">
        <f t="shared" ref="AI19:AI33" si="13">IF(0.8*AH19&gt;V19*D19,V19*D19,0.8*AH19)</f>
        <v>0</v>
      </c>
      <c r="AJ19" s="463">
        <f>IF(AI19&gt;0, S19*AI19, 0)</f>
        <v>0</v>
      </c>
      <c r="AK19" s="464">
        <f>IF(AJ19&gt;0,AJ19/V19, 0)</f>
        <v>0</v>
      </c>
      <c r="AM19" s="465">
        <f>V19-F19</f>
        <v>0</v>
      </c>
    </row>
    <row r="20" spans="1:39" ht="16.5" customHeight="1" x14ac:dyDescent="0.3">
      <c r="A20" s="466" t="str">
        <f>IF(D20&gt;1,"Voertuig","")</f>
        <v/>
      </c>
      <c r="B20" s="706" t="s">
        <v>4</v>
      </c>
      <c r="C20" s="707"/>
      <c r="D20" s="446">
        <f>VLOOKUP(B20,'Categorie H2 Vtg.'!$B$4:$C$20,2,FALSE)</f>
        <v>1.0000000000000001E-15</v>
      </c>
      <c r="E20" s="102"/>
      <c r="F20" s="38"/>
      <c r="G20" s="447"/>
      <c r="H20" s="39"/>
      <c r="I20" s="449">
        <f t="shared" ref="I20:I33" si="14">H20*F20</f>
        <v>0</v>
      </c>
      <c r="J20" s="39"/>
      <c r="K20" s="449">
        <f t="shared" ref="K20:K33" si="15">IF(E20="Nieuw",(F20*J20),0)</f>
        <v>0</v>
      </c>
      <c r="L20" s="450"/>
      <c r="M20" s="446" cm="1">
        <f t="array" ref="M20">_xlfn.IFS(E20="Nieuw",H20-J20,E20="Retrofit",H20,TRUE,0)</f>
        <v>0</v>
      </c>
      <c r="N20" s="446">
        <f t="shared" ref="N20:N33" si="16">IFERROR(F20*M20,0)</f>
        <v>0</v>
      </c>
      <c r="O20" s="446">
        <f t="shared" si="0"/>
        <v>0</v>
      </c>
      <c r="P20" s="446">
        <f t="shared" si="1"/>
        <v>0</v>
      </c>
      <c r="Q20" s="451"/>
      <c r="R20" s="40"/>
      <c r="S20" s="452" t="str">
        <f t="shared" si="2"/>
        <v/>
      </c>
      <c r="T20" s="453">
        <f t="shared" si="3"/>
        <v>0</v>
      </c>
      <c r="U20" s="454" t="str">
        <f t="shared" si="4"/>
        <v/>
      </c>
      <c r="V20" s="455">
        <f t="shared" si="5"/>
        <v>0</v>
      </c>
      <c r="W20" s="456">
        <f t="shared" si="6"/>
        <v>0</v>
      </c>
      <c r="X20" s="457"/>
      <c r="Y20" s="458"/>
      <c r="Z20" s="449">
        <f t="shared" si="7"/>
        <v>0</v>
      </c>
      <c r="AA20" s="459">
        <f t="shared" si="8"/>
        <v>0</v>
      </c>
      <c r="AB20" s="460">
        <f t="shared" si="9"/>
        <v>0</v>
      </c>
      <c r="AC20" s="448"/>
      <c r="AD20" s="461"/>
      <c r="AE20" s="449">
        <f t="shared" si="10"/>
        <v>0</v>
      </c>
      <c r="AF20" s="459">
        <f t="shared" si="11"/>
        <v>0</v>
      </c>
      <c r="AG20" s="462" cm="1">
        <f t="array" ref="AG20">_xlfn.IFS(E20="Nieuw",Z20-AE20,E20="Retrofit",Z20,TRUE,0)</f>
        <v>0</v>
      </c>
      <c r="AH20" s="462">
        <f t="shared" si="12"/>
        <v>0</v>
      </c>
      <c r="AI20" s="463">
        <f t="shared" si="13"/>
        <v>0</v>
      </c>
      <c r="AJ20" s="463">
        <f t="shared" ref="AJ20:AJ33" si="17">IF(AI20&gt;0, S20*AI20, 0)</f>
        <v>0</v>
      </c>
      <c r="AK20" s="464">
        <f t="shared" ref="AK20:AK33" si="18">IF(AJ20&gt;0,AJ20/V20, 0)</f>
        <v>0</v>
      </c>
      <c r="AL20" s="32"/>
      <c r="AM20" s="465">
        <f t="shared" ref="AM20:AM33" si="19">V20-F20</f>
        <v>0</v>
      </c>
    </row>
    <row r="21" spans="1:39" ht="16.5" customHeight="1" x14ac:dyDescent="0.3">
      <c r="A21" s="466" t="str">
        <f>IF(D21&gt;1,"Voertuig","")</f>
        <v/>
      </c>
      <c r="B21" s="706" t="s">
        <v>4</v>
      </c>
      <c r="C21" s="707"/>
      <c r="D21" s="446">
        <f>VLOOKUP(B21,'Categorie H2 Vtg.'!$B$4:$C$20,2,FALSE)</f>
        <v>1.0000000000000001E-15</v>
      </c>
      <c r="E21" s="102"/>
      <c r="F21" s="38"/>
      <c r="G21" s="447"/>
      <c r="H21" s="39"/>
      <c r="I21" s="449">
        <f t="shared" si="14"/>
        <v>0</v>
      </c>
      <c r="J21" s="39"/>
      <c r="K21" s="449">
        <f t="shared" si="15"/>
        <v>0</v>
      </c>
      <c r="L21" s="450"/>
      <c r="M21" s="446" cm="1">
        <f t="array" ref="M21">_xlfn.IFS(E21="Nieuw",H21-J21,E21="Retrofit",H21,TRUE,0)</f>
        <v>0</v>
      </c>
      <c r="N21" s="446">
        <f t="shared" si="16"/>
        <v>0</v>
      </c>
      <c r="O21" s="446">
        <f t="shared" si="0"/>
        <v>0</v>
      </c>
      <c r="P21" s="446">
        <f t="shared" si="1"/>
        <v>0</v>
      </c>
      <c r="Q21" s="451"/>
      <c r="R21" s="40"/>
      <c r="S21" s="452" t="str">
        <f t="shared" si="2"/>
        <v/>
      </c>
      <c r="T21" s="453">
        <f t="shared" si="3"/>
        <v>0</v>
      </c>
      <c r="U21" s="454" t="str">
        <f t="shared" si="4"/>
        <v/>
      </c>
      <c r="V21" s="455">
        <f t="shared" si="5"/>
        <v>0</v>
      </c>
      <c r="W21" s="456">
        <f t="shared" si="6"/>
        <v>0</v>
      </c>
      <c r="X21" s="457"/>
      <c r="Y21" s="458"/>
      <c r="Z21" s="449">
        <f t="shared" si="7"/>
        <v>0</v>
      </c>
      <c r="AA21" s="459">
        <f t="shared" si="8"/>
        <v>0</v>
      </c>
      <c r="AB21" s="460">
        <f t="shared" si="9"/>
        <v>0</v>
      </c>
      <c r="AC21" s="457"/>
      <c r="AD21" s="461"/>
      <c r="AE21" s="449">
        <f t="shared" si="10"/>
        <v>0</v>
      </c>
      <c r="AF21" s="459">
        <f t="shared" si="11"/>
        <v>0</v>
      </c>
      <c r="AG21" s="462" cm="1">
        <f t="array" ref="AG21">_xlfn.IFS(E21="Nieuw",Z21-AE21,E21="Retrofit",Z21,TRUE,0)</f>
        <v>0</v>
      </c>
      <c r="AH21" s="462">
        <f t="shared" si="12"/>
        <v>0</v>
      </c>
      <c r="AI21" s="463">
        <f t="shared" si="13"/>
        <v>0</v>
      </c>
      <c r="AJ21" s="463">
        <f t="shared" si="17"/>
        <v>0</v>
      </c>
      <c r="AK21" s="464">
        <f t="shared" si="18"/>
        <v>0</v>
      </c>
      <c r="AL21" s="32"/>
      <c r="AM21" s="465">
        <f t="shared" si="19"/>
        <v>0</v>
      </c>
    </row>
    <row r="22" spans="1:39" ht="16.5" customHeight="1" x14ac:dyDescent="0.3">
      <c r="A22" s="466" t="str">
        <f>IF(D22&gt;1,"Voertuig","")</f>
        <v/>
      </c>
      <c r="B22" s="706" t="s">
        <v>4</v>
      </c>
      <c r="C22" s="707"/>
      <c r="D22" s="446">
        <f>VLOOKUP(B22,'Categorie H2 Vtg.'!$B$4:$C$20,2,FALSE)</f>
        <v>1.0000000000000001E-15</v>
      </c>
      <c r="E22" s="102"/>
      <c r="F22" s="38"/>
      <c r="G22" s="447"/>
      <c r="H22" s="39"/>
      <c r="I22" s="449">
        <f t="shared" si="14"/>
        <v>0</v>
      </c>
      <c r="J22" s="39"/>
      <c r="K22" s="449">
        <f t="shared" si="15"/>
        <v>0</v>
      </c>
      <c r="L22" s="450"/>
      <c r="M22" s="446" cm="1">
        <f t="array" ref="M22">_xlfn.IFS(E22="Nieuw",H22-J22,E22="Retrofit",H22,TRUE,0)</f>
        <v>0</v>
      </c>
      <c r="N22" s="446">
        <f t="shared" si="16"/>
        <v>0</v>
      </c>
      <c r="O22" s="446">
        <f t="shared" si="0"/>
        <v>0</v>
      </c>
      <c r="P22" s="446">
        <f t="shared" si="1"/>
        <v>0</v>
      </c>
      <c r="Q22" s="451"/>
      <c r="R22" s="40"/>
      <c r="S22" s="452" t="str">
        <f t="shared" si="2"/>
        <v/>
      </c>
      <c r="T22" s="453">
        <f t="shared" si="3"/>
        <v>0</v>
      </c>
      <c r="U22" s="454" t="str">
        <f t="shared" si="4"/>
        <v/>
      </c>
      <c r="V22" s="455">
        <f t="shared" si="5"/>
        <v>0</v>
      </c>
      <c r="W22" s="456">
        <f t="shared" si="6"/>
        <v>0</v>
      </c>
      <c r="X22" s="457"/>
      <c r="Y22" s="458"/>
      <c r="Z22" s="449">
        <f t="shared" si="7"/>
        <v>0</v>
      </c>
      <c r="AA22" s="459">
        <f t="shared" si="8"/>
        <v>0</v>
      </c>
      <c r="AB22" s="460">
        <f t="shared" si="9"/>
        <v>0</v>
      </c>
      <c r="AC22" s="448"/>
      <c r="AD22" s="461"/>
      <c r="AE22" s="449">
        <f t="shared" si="10"/>
        <v>0</v>
      </c>
      <c r="AF22" s="459">
        <f t="shared" si="11"/>
        <v>0</v>
      </c>
      <c r="AG22" s="462" cm="1">
        <f t="array" ref="AG22">_xlfn.IFS(E22="Nieuw",Z22-AE22,E22="Retrofit",Z22,TRUE,0)</f>
        <v>0</v>
      </c>
      <c r="AH22" s="462">
        <f t="shared" si="12"/>
        <v>0</v>
      </c>
      <c r="AI22" s="463">
        <f t="shared" si="13"/>
        <v>0</v>
      </c>
      <c r="AJ22" s="463">
        <f t="shared" si="17"/>
        <v>0</v>
      </c>
      <c r="AK22" s="464">
        <f t="shared" si="18"/>
        <v>0</v>
      </c>
      <c r="AL22" s="32"/>
      <c r="AM22" s="465">
        <f t="shared" si="19"/>
        <v>0</v>
      </c>
    </row>
    <row r="23" spans="1:39" ht="16.5" customHeight="1" x14ac:dyDescent="0.3">
      <c r="A23" s="466" t="str">
        <f t="shared" ref="A23:A33" si="20">IF(D23&gt;1,"Voertuig","")</f>
        <v/>
      </c>
      <c r="B23" s="706" t="s">
        <v>4</v>
      </c>
      <c r="C23" s="707"/>
      <c r="D23" s="446">
        <f>VLOOKUP(B23,'Categorie H2 Vtg.'!$B$4:$C$20,2,FALSE)</f>
        <v>1.0000000000000001E-15</v>
      </c>
      <c r="E23" s="102"/>
      <c r="F23" s="38"/>
      <c r="G23" s="447"/>
      <c r="H23" s="39"/>
      <c r="I23" s="449">
        <f t="shared" si="14"/>
        <v>0</v>
      </c>
      <c r="J23" s="39"/>
      <c r="K23" s="449">
        <f t="shared" si="15"/>
        <v>0</v>
      </c>
      <c r="L23" s="450"/>
      <c r="M23" s="446" cm="1">
        <f t="array" ref="M23">_xlfn.IFS(E23="Nieuw",H23-J23,E23="Retrofit",H23,TRUE,0)</f>
        <v>0</v>
      </c>
      <c r="N23" s="446">
        <f t="shared" si="16"/>
        <v>0</v>
      </c>
      <c r="O23" s="446">
        <f t="shared" si="0"/>
        <v>0</v>
      </c>
      <c r="P23" s="446">
        <f t="shared" si="1"/>
        <v>0</v>
      </c>
      <c r="Q23" s="451"/>
      <c r="R23" s="40"/>
      <c r="S23" s="452" t="str">
        <f t="shared" si="2"/>
        <v/>
      </c>
      <c r="T23" s="453">
        <f t="shared" si="3"/>
        <v>0</v>
      </c>
      <c r="U23" s="454" t="str">
        <f t="shared" si="4"/>
        <v/>
      </c>
      <c r="V23" s="455">
        <f t="shared" si="5"/>
        <v>0</v>
      </c>
      <c r="W23" s="456">
        <f t="shared" si="6"/>
        <v>0</v>
      </c>
      <c r="X23" s="457"/>
      <c r="Y23" s="458"/>
      <c r="Z23" s="449">
        <f t="shared" si="7"/>
        <v>0</v>
      </c>
      <c r="AA23" s="459">
        <f t="shared" si="8"/>
        <v>0</v>
      </c>
      <c r="AB23" s="460">
        <f t="shared" si="9"/>
        <v>0</v>
      </c>
      <c r="AC23" s="448"/>
      <c r="AD23" s="461"/>
      <c r="AE23" s="449">
        <f t="shared" si="10"/>
        <v>0</v>
      </c>
      <c r="AF23" s="459">
        <f t="shared" si="11"/>
        <v>0</v>
      </c>
      <c r="AG23" s="462" cm="1">
        <f t="array" ref="AG23">_xlfn.IFS(E23="Nieuw",Z23-AE23,E23="Retrofit",Z23,TRUE,0)</f>
        <v>0</v>
      </c>
      <c r="AH23" s="462">
        <f t="shared" si="12"/>
        <v>0</v>
      </c>
      <c r="AI23" s="463">
        <f t="shared" si="13"/>
        <v>0</v>
      </c>
      <c r="AJ23" s="463">
        <f t="shared" si="17"/>
        <v>0</v>
      </c>
      <c r="AK23" s="464">
        <f t="shared" si="18"/>
        <v>0</v>
      </c>
      <c r="AL23" s="32"/>
      <c r="AM23" s="465">
        <f t="shared" si="19"/>
        <v>0</v>
      </c>
    </row>
    <row r="24" spans="1:39" ht="16.5" customHeight="1" x14ac:dyDescent="0.3">
      <c r="A24" s="466" t="str">
        <f t="shared" si="20"/>
        <v/>
      </c>
      <c r="B24" s="706" t="s">
        <v>4</v>
      </c>
      <c r="C24" s="707"/>
      <c r="D24" s="446">
        <f>VLOOKUP(B24,'Categorie H2 Vtg.'!$B$4:$C$20,2,FALSE)</f>
        <v>1.0000000000000001E-15</v>
      </c>
      <c r="E24" s="102"/>
      <c r="F24" s="38"/>
      <c r="G24" s="447"/>
      <c r="H24" s="39"/>
      <c r="I24" s="449">
        <f t="shared" si="14"/>
        <v>0</v>
      </c>
      <c r="J24" s="39"/>
      <c r="K24" s="449">
        <f t="shared" si="15"/>
        <v>0</v>
      </c>
      <c r="L24" s="450"/>
      <c r="M24" s="446" cm="1">
        <f t="array" ref="M24">_xlfn.IFS(E24="Nieuw",H24-J24,E24="Retrofit",H24,TRUE,0)</f>
        <v>0</v>
      </c>
      <c r="N24" s="446">
        <f t="shared" si="16"/>
        <v>0</v>
      </c>
      <c r="O24" s="446">
        <f t="shared" si="0"/>
        <v>0</v>
      </c>
      <c r="P24" s="446">
        <f>IF(O24&gt;0,O24/F24, 0)</f>
        <v>0</v>
      </c>
      <c r="Q24" s="451"/>
      <c r="R24" s="40"/>
      <c r="S24" s="452" t="str">
        <f t="shared" si="2"/>
        <v/>
      </c>
      <c r="T24" s="453">
        <f t="shared" si="3"/>
        <v>0</v>
      </c>
      <c r="U24" s="454" t="str">
        <f t="shared" si="4"/>
        <v/>
      </c>
      <c r="V24" s="455">
        <f t="shared" si="5"/>
        <v>0</v>
      </c>
      <c r="W24" s="456">
        <f t="shared" si="6"/>
        <v>0</v>
      </c>
      <c r="X24" s="457"/>
      <c r="Y24" s="458"/>
      <c r="Z24" s="449">
        <f t="shared" si="7"/>
        <v>0</v>
      </c>
      <c r="AA24" s="459">
        <f t="shared" si="8"/>
        <v>0</v>
      </c>
      <c r="AB24" s="460">
        <f t="shared" si="9"/>
        <v>0</v>
      </c>
      <c r="AC24" s="448"/>
      <c r="AD24" s="461"/>
      <c r="AE24" s="449">
        <f t="shared" si="10"/>
        <v>0</v>
      </c>
      <c r="AF24" s="459">
        <f t="shared" si="11"/>
        <v>0</v>
      </c>
      <c r="AG24" s="462" cm="1">
        <f t="array" ref="AG24">_xlfn.IFS(E24="Nieuw",Z24-AE24,E24="Retrofit",Z24,TRUE,0)</f>
        <v>0</v>
      </c>
      <c r="AH24" s="462">
        <f t="shared" si="12"/>
        <v>0</v>
      </c>
      <c r="AI24" s="463">
        <f t="shared" si="13"/>
        <v>0</v>
      </c>
      <c r="AJ24" s="463">
        <f t="shared" si="17"/>
        <v>0</v>
      </c>
      <c r="AK24" s="464">
        <f t="shared" si="18"/>
        <v>0</v>
      </c>
      <c r="AL24" s="32"/>
      <c r="AM24" s="465">
        <f t="shared" si="19"/>
        <v>0</v>
      </c>
    </row>
    <row r="25" spans="1:39" ht="16.5" customHeight="1" x14ac:dyDescent="0.3">
      <c r="A25" s="466" t="str">
        <f t="shared" si="20"/>
        <v/>
      </c>
      <c r="B25" s="706" t="s">
        <v>4</v>
      </c>
      <c r="C25" s="707"/>
      <c r="D25" s="446">
        <f>VLOOKUP(B25,'Categorie H2 Vtg.'!$B$4:$C$20,2,FALSE)</f>
        <v>1.0000000000000001E-15</v>
      </c>
      <c r="E25" s="102"/>
      <c r="F25" s="38"/>
      <c r="G25" s="447"/>
      <c r="H25" s="39"/>
      <c r="I25" s="449">
        <f t="shared" si="14"/>
        <v>0</v>
      </c>
      <c r="J25" s="39"/>
      <c r="K25" s="449">
        <f t="shared" si="15"/>
        <v>0</v>
      </c>
      <c r="L25" s="450"/>
      <c r="M25" s="446" cm="1">
        <f t="array" ref="M25">_xlfn.IFS(E25="Nieuw",H25-J25,E25="Retrofit",H25,TRUE,0)</f>
        <v>0</v>
      </c>
      <c r="N25" s="446">
        <f t="shared" si="16"/>
        <v>0</v>
      </c>
      <c r="O25" s="446">
        <f t="shared" si="0"/>
        <v>0</v>
      </c>
      <c r="P25" s="446">
        <f t="shared" ref="P25:P33" si="21">IF(O25&gt;0,O25/F25, 0)</f>
        <v>0</v>
      </c>
      <c r="Q25" s="451"/>
      <c r="R25" s="40"/>
      <c r="S25" s="452" t="str">
        <f t="shared" si="2"/>
        <v/>
      </c>
      <c r="T25" s="453">
        <f t="shared" si="3"/>
        <v>0</v>
      </c>
      <c r="U25" s="454" t="str">
        <f t="shared" si="4"/>
        <v/>
      </c>
      <c r="V25" s="455">
        <f t="shared" si="5"/>
        <v>0</v>
      </c>
      <c r="W25" s="456">
        <f t="shared" si="6"/>
        <v>0</v>
      </c>
      <c r="X25" s="457"/>
      <c r="Y25" s="458"/>
      <c r="Z25" s="449">
        <f t="shared" si="7"/>
        <v>0</v>
      </c>
      <c r="AA25" s="459">
        <f t="shared" si="8"/>
        <v>0</v>
      </c>
      <c r="AB25" s="460">
        <f t="shared" si="9"/>
        <v>0</v>
      </c>
      <c r="AC25" s="448"/>
      <c r="AD25" s="461"/>
      <c r="AE25" s="449">
        <f t="shared" si="10"/>
        <v>0</v>
      </c>
      <c r="AF25" s="459">
        <f t="shared" si="11"/>
        <v>0</v>
      </c>
      <c r="AG25" s="462" cm="1">
        <f t="array" ref="AG25">_xlfn.IFS(E25="Nieuw",Z25-AE25,E25="Retrofit",Z25,TRUE,0)</f>
        <v>0</v>
      </c>
      <c r="AH25" s="462">
        <f t="shared" si="12"/>
        <v>0</v>
      </c>
      <c r="AI25" s="463">
        <f t="shared" si="13"/>
        <v>0</v>
      </c>
      <c r="AJ25" s="463">
        <f t="shared" si="17"/>
        <v>0</v>
      </c>
      <c r="AK25" s="464">
        <f t="shared" si="18"/>
        <v>0</v>
      </c>
      <c r="AL25" s="32"/>
      <c r="AM25" s="465">
        <f t="shared" si="19"/>
        <v>0</v>
      </c>
    </row>
    <row r="26" spans="1:39" ht="16.5" customHeight="1" x14ac:dyDescent="0.3">
      <c r="A26" s="466" t="str">
        <f t="shared" si="20"/>
        <v/>
      </c>
      <c r="B26" s="706" t="s">
        <v>4</v>
      </c>
      <c r="C26" s="707"/>
      <c r="D26" s="446">
        <f>VLOOKUP(B26,'Categorie H2 Vtg.'!$B$4:$C$20,2,FALSE)</f>
        <v>1.0000000000000001E-15</v>
      </c>
      <c r="E26" s="102"/>
      <c r="F26" s="38"/>
      <c r="G26" s="447"/>
      <c r="H26" s="39"/>
      <c r="I26" s="449">
        <f t="shared" si="14"/>
        <v>0</v>
      </c>
      <c r="J26" s="39"/>
      <c r="K26" s="449">
        <f t="shared" si="15"/>
        <v>0</v>
      </c>
      <c r="L26" s="450"/>
      <c r="M26" s="446" cm="1">
        <f t="array" ref="M26">_xlfn.IFS(E26="Nieuw",H26-J26,E26="Retrofit",H26,TRUE,0)</f>
        <v>0</v>
      </c>
      <c r="N26" s="446">
        <f t="shared" si="16"/>
        <v>0</v>
      </c>
      <c r="O26" s="446">
        <f t="shared" si="0"/>
        <v>0</v>
      </c>
      <c r="P26" s="446">
        <f t="shared" si="21"/>
        <v>0</v>
      </c>
      <c r="Q26" s="451"/>
      <c r="R26" s="40"/>
      <c r="S26" s="452" t="str">
        <f t="shared" si="2"/>
        <v/>
      </c>
      <c r="T26" s="453">
        <f t="shared" si="3"/>
        <v>0</v>
      </c>
      <c r="U26" s="454" t="str">
        <f t="shared" si="4"/>
        <v/>
      </c>
      <c r="V26" s="455">
        <f t="shared" si="5"/>
        <v>0</v>
      </c>
      <c r="W26" s="456">
        <f t="shared" si="6"/>
        <v>0</v>
      </c>
      <c r="X26" s="457"/>
      <c r="Y26" s="458"/>
      <c r="Z26" s="449">
        <f t="shared" si="7"/>
        <v>0</v>
      </c>
      <c r="AA26" s="459">
        <f t="shared" si="8"/>
        <v>0</v>
      </c>
      <c r="AB26" s="460">
        <f t="shared" si="9"/>
        <v>0</v>
      </c>
      <c r="AC26" s="448"/>
      <c r="AD26" s="461"/>
      <c r="AE26" s="449">
        <f t="shared" si="10"/>
        <v>0</v>
      </c>
      <c r="AF26" s="459">
        <f t="shared" si="11"/>
        <v>0</v>
      </c>
      <c r="AG26" s="462" cm="1">
        <f t="array" ref="AG26">_xlfn.IFS(E26="Nieuw",Z26-AE26,E26="Retrofit",Z26,TRUE,0)</f>
        <v>0</v>
      </c>
      <c r="AH26" s="462">
        <f t="shared" si="12"/>
        <v>0</v>
      </c>
      <c r="AI26" s="463">
        <f t="shared" si="13"/>
        <v>0</v>
      </c>
      <c r="AJ26" s="463">
        <f t="shared" si="17"/>
        <v>0</v>
      </c>
      <c r="AK26" s="464">
        <f t="shared" si="18"/>
        <v>0</v>
      </c>
      <c r="AL26" s="32"/>
      <c r="AM26" s="465">
        <f t="shared" si="19"/>
        <v>0</v>
      </c>
    </row>
    <row r="27" spans="1:39" ht="16.5" customHeight="1" x14ac:dyDescent="0.3">
      <c r="A27" s="466" t="str">
        <f t="shared" si="20"/>
        <v/>
      </c>
      <c r="B27" s="706" t="s">
        <v>4</v>
      </c>
      <c r="C27" s="707"/>
      <c r="D27" s="446">
        <f>VLOOKUP(B27,'Categorie H2 Vtg.'!$B$4:$C$20,2,FALSE)</f>
        <v>1.0000000000000001E-15</v>
      </c>
      <c r="E27" s="102"/>
      <c r="F27" s="38"/>
      <c r="G27" s="447"/>
      <c r="H27" s="39"/>
      <c r="I27" s="449">
        <f t="shared" si="14"/>
        <v>0</v>
      </c>
      <c r="J27" s="39"/>
      <c r="K27" s="449">
        <f t="shared" si="15"/>
        <v>0</v>
      </c>
      <c r="L27" s="450"/>
      <c r="M27" s="446" cm="1">
        <f t="array" ref="M27">_xlfn.IFS(E27="Nieuw",H27-J27,E27="Retrofit",H27,TRUE,0)</f>
        <v>0</v>
      </c>
      <c r="N27" s="446">
        <f t="shared" si="16"/>
        <v>0</v>
      </c>
      <c r="O27" s="446">
        <f t="shared" si="0"/>
        <v>0</v>
      </c>
      <c r="P27" s="446">
        <f t="shared" si="21"/>
        <v>0</v>
      </c>
      <c r="Q27" s="451"/>
      <c r="R27" s="40"/>
      <c r="S27" s="452" t="str">
        <f t="shared" si="2"/>
        <v/>
      </c>
      <c r="T27" s="453">
        <f t="shared" si="3"/>
        <v>0</v>
      </c>
      <c r="U27" s="454" t="str">
        <f t="shared" si="4"/>
        <v/>
      </c>
      <c r="V27" s="455">
        <f t="shared" si="5"/>
        <v>0</v>
      </c>
      <c r="W27" s="456">
        <f t="shared" si="6"/>
        <v>0</v>
      </c>
      <c r="X27" s="457"/>
      <c r="Y27" s="458"/>
      <c r="Z27" s="449">
        <f t="shared" si="7"/>
        <v>0</v>
      </c>
      <c r="AA27" s="459">
        <f t="shared" si="8"/>
        <v>0</v>
      </c>
      <c r="AB27" s="460">
        <f t="shared" si="9"/>
        <v>0</v>
      </c>
      <c r="AC27" s="448"/>
      <c r="AD27" s="461"/>
      <c r="AE27" s="449">
        <f t="shared" si="10"/>
        <v>0</v>
      </c>
      <c r="AF27" s="459">
        <f t="shared" si="11"/>
        <v>0</v>
      </c>
      <c r="AG27" s="462" cm="1">
        <f t="array" ref="AG27">_xlfn.IFS(E27="Nieuw",Z27-AE27,E27="Retrofit",Z27,TRUE,0)</f>
        <v>0</v>
      </c>
      <c r="AH27" s="462">
        <f t="shared" si="12"/>
        <v>0</v>
      </c>
      <c r="AI27" s="463">
        <f t="shared" si="13"/>
        <v>0</v>
      </c>
      <c r="AJ27" s="463">
        <f t="shared" si="17"/>
        <v>0</v>
      </c>
      <c r="AK27" s="464">
        <f t="shared" si="18"/>
        <v>0</v>
      </c>
      <c r="AL27" s="32"/>
      <c r="AM27" s="465">
        <f t="shared" si="19"/>
        <v>0</v>
      </c>
    </row>
    <row r="28" spans="1:39" ht="16.5" customHeight="1" x14ac:dyDescent="0.3">
      <c r="A28" s="466" t="str">
        <f t="shared" si="20"/>
        <v/>
      </c>
      <c r="B28" s="706" t="s">
        <v>4</v>
      </c>
      <c r="C28" s="707"/>
      <c r="D28" s="446">
        <f>VLOOKUP(B28,'Categorie H2 Vtg.'!$B$4:$C$20,2,FALSE)</f>
        <v>1.0000000000000001E-15</v>
      </c>
      <c r="E28" s="102"/>
      <c r="F28" s="38"/>
      <c r="G28" s="447"/>
      <c r="H28" s="39"/>
      <c r="I28" s="449">
        <f t="shared" si="14"/>
        <v>0</v>
      </c>
      <c r="J28" s="39"/>
      <c r="K28" s="449">
        <f t="shared" si="15"/>
        <v>0</v>
      </c>
      <c r="L28" s="450"/>
      <c r="M28" s="446" cm="1">
        <f t="array" ref="M28">_xlfn.IFS(E28="Nieuw",H28-J28,E28="Retrofit",H28,TRUE,0)</f>
        <v>0</v>
      </c>
      <c r="N28" s="446">
        <f t="shared" si="16"/>
        <v>0</v>
      </c>
      <c r="O28" s="446">
        <f t="shared" si="0"/>
        <v>0</v>
      </c>
      <c r="P28" s="446">
        <f t="shared" si="21"/>
        <v>0</v>
      </c>
      <c r="Q28" s="451"/>
      <c r="R28" s="40"/>
      <c r="S28" s="452" t="str">
        <f t="shared" si="2"/>
        <v/>
      </c>
      <c r="T28" s="453">
        <f t="shared" si="3"/>
        <v>0</v>
      </c>
      <c r="U28" s="454" t="str">
        <f t="shared" si="4"/>
        <v/>
      </c>
      <c r="V28" s="455">
        <f t="shared" si="5"/>
        <v>0</v>
      </c>
      <c r="W28" s="456">
        <f t="shared" si="6"/>
        <v>0</v>
      </c>
      <c r="X28" s="457"/>
      <c r="Y28" s="458"/>
      <c r="Z28" s="449">
        <f t="shared" si="7"/>
        <v>0</v>
      </c>
      <c r="AA28" s="459">
        <f t="shared" si="8"/>
        <v>0</v>
      </c>
      <c r="AB28" s="460">
        <f t="shared" si="9"/>
        <v>0</v>
      </c>
      <c r="AC28" s="448"/>
      <c r="AD28" s="461"/>
      <c r="AE28" s="449">
        <f t="shared" si="10"/>
        <v>0</v>
      </c>
      <c r="AF28" s="459">
        <f t="shared" si="11"/>
        <v>0</v>
      </c>
      <c r="AG28" s="462" cm="1">
        <f t="array" ref="AG28">_xlfn.IFS(E28="Nieuw",Z28-AE28,E28="Retrofit",Z28,TRUE,0)</f>
        <v>0</v>
      </c>
      <c r="AH28" s="462">
        <f t="shared" si="12"/>
        <v>0</v>
      </c>
      <c r="AI28" s="463">
        <f t="shared" si="13"/>
        <v>0</v>
      </c>
      <c r="AJ28" s="463">
        <f t="shared" si="17"/>
        <v>0</v>
      </c>
      <c r="AK28" s="464">
        <f t="shared" si="18"/>
        <v>0</v>
      </c>
      <c r="AL28" s="32"/>
      <c r="AM28" s="465">
        <f t="shared" si="19"/>
        <v>0</v>
      </c>
    </row>
    <row r="29" spans="1:39" ht="16.5" customHeight="1" x14ac:dyDescent="0.3">
      <c r="A29" s="466" t="str">
        <f t="shared" si="20"/>
        <v/>
      </c>
      <c r="B29" s="706" t="s">
        <v>4</v>
      </c>
      <c r="C29" s="707"/>
      <c r="D29" s="446">
        <f>VLOOKUP(B29,'Categorie H2 Vtg.'!$B$4:$C$20,2,FALSE)</f>
        <v>1.0000000000000001E-15</v>
      </c>
      <c r="E29" s="102"/>
      <c r="F29" s="38"/>
      <c r="G29" s="447"/>
      <c r="H29" s="39"/>
      <c r="I29" s="449">
        <f t="shared" si="14"/>
        <v>0</v>
      </c>
      <c r="J29" s="39"/>
      <c r="K29" s="449">
        <f t="shared" si="15"/>
        <v>0</v>
      </c>
      <c r="L29" s="450"/>
      <c r="M29" s="446" cm="1">
        <f t="array" ref="M29">_xlfn.IFS(E29="Nieuw",H29-J29,E29="Retrofit",H29,TRUE,0)</f>
        <v>0</v>
      </c>
      <c r="N29" s="446">
        <f t="shared" si="16"/>
        <v>0</v>
      </c>
      <c r="O29" s="446">
        <f t="shared" si="0"/>
        <v>0</v>
      </c>
      <c r="P29" s="446">
        <f t="shared" si="21"/>
        <v>0</v>
      </c>
      <c r="Q29" s="451"/>
      <c r="R29" s="40"/>
      <c r="S29" s="452" t="str">
        <f t="shared" si="2"/>
        <v/>
      </c>
      <c r="T29" s="453">
        <f t="shared" si="3"/>
        <v>0</v>
      </c>
      <c r="U29" s="454" t="str">
        <f t="shared" si="4"/>
        <v/>
      </c>
      <c r="V29" s="455">
        <f t="shared" ref="V29:V33" si="22">F29</f>
        <v>0</v>
      </c>
      <c r="W29" s="456">
        <f t="shared" si="6"/>
        <v>0</v>
      </c>
      <c r="X29" s="457"/>
      <c r="Y29" s="458"/>
      <c r="Z29" s="449">
        <f t="shared" si="7"/>
        <v>0</v>
      </c>
      <c r="AA29" s="459">
        <f t="shared" si="8"/>
        <v>0</v>
      </c>
      <c r="AB29" s="460">
        <f t="shared" si="9"/>
        <v>0</v>
      </c>
      <c r="AC29" s="448"/>
      <c r="AD29" s="461"/>
      <c r="AE29" s="449">
        <f t="shared" si="10"/>
        <v>0</v>
      </c>
      <c r="AF29" s="459">
        <f t="shared" si="11"/>
        <v>0</v>
      </c>
      <c r="AG29" s="462" cm="1">
        <f t="array" ref="AG29">_xlfn.IFS(E29="Nieuw",Z29-AE29,E29="Retrofit",Z29,TRUE,0)</f>
        <v>0</v>
      </c>
      <c r="AH29" s="462">
        <f t="shared" si="12"/>
        <v>0</v>
      </c>
      <c r="AI29" s="463">
        <f t="shared" si="13"/>
        <v>0</v>
      </c>
      <c r="AJ29" s="463">
        <f t="shared" si="17"/>
        <v>0</v>
      </c>
      <c r="AK29" s="464">
        <f t="shared" si="18"/>
        <v>0</v>
      </c>
      <c r="AL29" s="32"/>
      <c r="AM29" s="465">
        <f t="shared" si="19"/>
        <v>0</v>
      </c>
    </row>
    <row r="30" spans="1:39" ht="16.5" customHeight="1" x14ac:dyDescent="0.3">
      <c r="A30" s="466" t="str">
        <f t="shared" si="20"/>
        <v/>
      </c>
      <c r="B30" s="706" t="s">
        <v>4</v>
      </c>
      <c r="C30" s="707"/>
      <c r="D30" s="446">
        <f>VLOOKUP(B30,'Categorie H2 Vtg.'!$B$4:$C$20,2,FALSE)</f>
        <v>1.0000000000000001E-15</v>
      </c>
      <c r="E30" s="102"/>
      <c r="F30" s="38"/>
      <c r="G30" s="447"/>
      <c r="H30" s="39"/>
      <c r="I30" s="449">
        <f t="shared" si="14"/>
        <v>0</v>
      </c>
      <c r="J30" s="39"/>
      <c r="K30" s="449">
        <f t="shared" si="15"/>
        <v>0</v>
      </c>
      <c r="L30" s="450"/>
      <c r="M30" s="446" cm="1">
        <f t="array" ref="M30">_xlfn.IFS(E30="Nieuw",H30-J30,E30="Retrofit",H30,TRUE,0)</f>
        <v>0</v>
      </c>
      <c r="N30" s="446">
        <f t="shared" si="16"/>
        <v>0</v>
      </c>
      <c r="O30" s="446">
        <f t="shared" si="0"/>
        <v>0</v>
      </c>
      <c r="P30" s="446">
        <f t="shared" si="21"/>
        <v>0</v>
      </c>
      <c r="Q30" s="451"/>
      <c r="R30" s="40"/>
      <c r="S30" s="452" t="str">
        <f t="shared" si="2"/>
        <v/>
      </c>
      <c r="T30" s="453">
        <f t="shared" si="3"/>
        <v>0</v>
      </c>
      <c r="U30" s="454" t="str">
        <f t="shared" si="4"/>
        <v/>
      </c>
      <c r="V30" s="455">
        <f t="shared" si="22"/>
        <v>0</v>
      </c>
      <c r="W30" s="456">
        <f t="shared" si="6"/>
        <v>0</v>
      </c>
      <c r="X30" s="457"/>
      <c r="Y30" s="458"/>
      <c r="Z30" s="449">
        <f t="shared" si="7"/>
        <v>0</v>
      </c>
      <c r="AA30" s="459">
        <f t="shared" si="8"/>
        <v>0</v>
      </c>
      <c r="AB30" s="460">
        <f t="shared" si="9"/>
        <v>0</v>
      </c>
      <c r="AC30" s="448"/>
      <c r="AD30" s="461"/>
      <c r="AE30" s="449">
        <f t="shared" si="10"/>
        <v>0</v>
      </c>
      <c r="AF30" s="459">
        <f t="shared" si="11"/>
        <v>0</v>
      </c>
      <c r="AG30" s="462" cm="1">
        <f t="array" ref="AG30">_xlfn.IFS(E30="Nieuw",Z30-AE30,E30="Retrofit",Z30,TRUE,0)</f>
        <v>0</v>
      </c>
      <c r="AH30" s="462">
        <f t="shared" si="12"/>
        <v>0</v>
      </c>
      <c r="AI30" s="463">
        <f t="shared" si="13"/>
        <v>0</v>
      </c>
      <c r="AJ30" s="463">
        <f t="shared" si="17"/>
        <v>0</v>
      </c>
      <c r="AK30" s="464">
        <f t="shared" si="18"/>
        <v>0</v>
      </c>
      <c r="AL30" s="32"/>
      <c r="AM30" s="465">
        <f t="shared" si="19"/>
        <v>0</v>
      </c>
    </row>
    <row r="31" spans="1:39" ht="16.5" customHeight="1" x14ac:dyDescent="0.3">
      <c r="A31" s="466" t="str">
        <f t="shared" si="20"/>
        <v/>
      </c>
      <c r="B31" s="706" t="s">
        <v>4</v>
      </c>
      <c r="C31" s="707"/>
      <c r="D31" s="446">
        <f>VLOOKUP(B31,'Categorie H2 Vtg.'!$B$4:$C$20,2,FALSE)</f>
        <v>1.0000000000000001E-15</v>
      </c>
      <c r="E31" s="102"/>
      <c r="F31" s="38"/>
      <c r="G31" s="447"/>
      <c r="H31" s="39"/>
      <c r="I31" s="449">
        <f t="shared" si="14"/>
        <v>0</v>
      </c>
      <c r="J31" s="39"/>
      <c r="K31" s="449">
        <f t="shared" si="15"/>
        <v>0</v>
      </c>
      <c r="L31" s="450"/>
      <c r="M31" s="446" cm="1">
        <f t="array" ref="M31">_xlfn.IFS(E31="Nieuw",H31-J31,E31="Retrofit",H31,TRUE,0)</f>
        <v>0</v>
      </c>
      <c r="N31" s="446">
        <f t="shared" si="16"/>
        <v>0</v>
      </c>
      <c r="O31" s="446">
        <f t="shared" si="0"/>
        <v>0</v>
      </c>
      <c r="P31" s="446">
        <f t="shared" si="21"/>
        <v>0</v>
      </c>
      <c r="Q31" s="451"/>
      <c r="R31" s="40"/>
      <c r="S31" s="452" t="str">
        <f t="shared" si="2"/>
        <v/>
      </c>
      <c r="T31" s="453">
        <f t="shared" si="3"/>
        <v>0</v>
      </c>
      <c r="U31" s="454" t="str">
        <f t="shared" si="4"/>
        <v/>
      </c>
      <c r="V31" s="455">
        <f t="shared" si="22"/>
        <v>0</v>
      </c>
      <c r="W31" s="456">
        <f t="shared" si="6"/>
        <v>0</v>
      </c>
      <c r="X31" s="457"/>
      <c r="Y31" s="458"/>
      <c r="Z31" s="449">
        <f t="shared" si="7"/>
        <v>0</v>
      </c>
      <c r="AA31" s="459">
        <f t="shared" si="8"/>
        <v>0</v>
      </c>
      <c r="AB31" s="460">
        <f t="shared" si="9"/>
        <v>0</v>
      </c>
      <c r="AC31" s="448"/>
      <c r="AD31" s="461"/>
      <c r="AE31" s="449">
        <f t="shared" si="10"/>
        <v>0</v>
      </c>
      <c r="AF31" s="459">
        <f t="shared" si="11"/>
        <v>0</v>
      </c>
      <c r="AG31" s="462" cm="1">
        <f t="array" ref="AG31">_xlfn.IFS(E31="Nieuw",Z31-AE31,E31="Retrofit",Z31,TRUE,0)</f>
        <v>0</v>
      </c>
      <c r="AH31" s="462">
        <f t="shared" si="12"/>
        <v>0</v>
      </c>
      <c r="AI31" s="463">
        <f t="shared" si="13"/>
        <v>0</v>
      </c>
      <c r="AJ31" s="463">
        <f t="shared" si="17"/>
        <v>0</v>
      </c>
      <c r="AK31" s="464">
        <f t="shared" si="18"/>
        <v>0</v>
      </c>
      <c r="AL31" s="32"/>
      <c r="AM31" s="465">
        <f t="shared" si="19"/>
        <v>0</v>
      </c>
    </row>
    <row r="32" spans="1:39" ht="16.5" customHeight="1" x14ac:dyDescent="0.3">
      <c r="A32" s="466" t="str">
        <f t="shared" si="20"/>
        <v/>
      </c>
      <c r="B32" s="706" t="s">
        <v>4</v>
      </c>
      <c r="C32" s="707"/>
      <c r="D32" s="446">
        <f>VLOOKUP(B32,'Categorie H2 Vtg.'!$B$4:$C$20,2,FALSE)</f>
        <v>1.0000000000000001E-15</v>
      </c>
      <c r="E32" s="102"/>
      <c r="F32" s="38"/>
      <c r="G32" s="447"/>
      <c r="H32" s="39"/>
      <c r="I32" s="449">
        <f t="shared" si="14"/>
        <v>0</v>
      </c>
      <c r="J32" s="39"/>
      <c r="K32" s="449">
        <f t="shared" si="15"/>
        <v>0</v>
      </c>
      <c r="L32" s="450"/>
      <c r="M32" s="446" cm="1">
        <f t="array" ref="M32">_xlfn.IFS(E32="Nieuw",H32-J32,E32="Retrofit",H32,TRUE,0)</f>
        <v>0</v>
      </c>
      <c r="N32" s="446">
        <f t="shared" si="16"/>
        <v>0</v>
      </c>
      <c r="O32" s="446">
        <f t="shared" si="0"/>
        <v>0</v>
      </c>
      <c r="P32" s="446">
        <f t="shared" si="21"/>
        <v>0</v>
      </c>
      <c r="Q32" s="451"/>
      <c r="R32" s="40"/>
      <c r="S32" s="452" t="str">
        <f t="shared" si="2"/>
        <v/>
      </c>
      <c r="T32" s="453">
        <f t="shared" si="3"/>
        <v>0</v>
      </c>
      <c r="U32" s="454" t="str">
        <f t="shared" si="4"/>
        <v/>
      </c>
      <c r="V32" s="455">
        <f t="shared" si="22"/>
        <v>0</v>
      </c>
      <c r="W32" s="456">
        <f t="shared" si="6"/>
        <v>0</v>
      </c>
      <c r="X32" s="457"/>
      <c r="Y32" s="458"/>
      <c r="Z32" s="449">
        <f t="shared" si="7"/>
        <v>0</v>
      </c>
      <c r="AA32" s="459">
        <f t="shared" si="8"/>
        <v>0</v>
      </c>
      <c r="AB32" s="460">
        <f t="shared" si="9"/>
        <v>0</v>
      </c>
      <c r="AC32" s="448"/>
      <c r="AD32" s="461"/>
      <c r="AE32" s="449">
        <f t="shared" si="10"/>
        <v>0</v>
      </c>
      <c r="AF32" s="459">
        <f t="shared" si="11"/>
        <v>0</v>
      </c>
      <c r="AG32" s="462" cm="1">
        <f t="array" ref="AG32">_xlfn.IFS(E32="Nieuw",Z32-AE32,E32="Retrofit",Z32,TRUE,0)</f>
        <v>0</v>
      </c>
      <c r="AH32" s="462">
        <f t="shared" si="12"/>
        <v>0</v>
      </c>
      <c r="AI32" s="463">
        <f t="shared" si="13"/>
        <v>0</v>
      </c>
      <c r="AJ32" s="463">
        <f t="shared" si="17"/>
        <v>0</v>
      </c>
      <c r="AK32" s="464">
        <f t="shared" si="18"/>
        <v>0</v>
      </c>
      <c r="AL32" s="32"/>
      <c r="AM32" s="465">
        <f t="shared" si="19"/>
        <v>0</v>
      </c>
    </row>
    <row r="33" spans="1:39" ht="16.5" customHeight="1" thickBot="1" x14ac:dyDescent="0.35">
      <c r="A33" s="466" t="str">
        <f t="shared" si="20"/>
        <v/>
      </c>
      <c r="B33" s="706" t="s">
        <v>4</v>
      </c>
      <c r="C33" s="707"/>
      <c r="D33" s="446">
        <f>VLOOKUP(B33,'Categorie H2 Vtg.'!$B$4:$C$20,2,FALSE)</f>
        <v>1.0000000000000001E-15</v>
      </c>
      <c r="E33" s="102"/>
      <c r="F33" s="38"/>
      <c r="G33" s="447"/>
      <c r="H33" s="39"/>
      <c r="I33" s="449">
        <f t="shared" si="14"/>
        <v>0</v>
      </c>
      <c r="J33" s="39"/>
      <c r="K33" s="449">
        <f t="shared" si="15"/>
        <v>0</v>
      </c>
      <c r="L33" s="450"/>
      <c r="M33" s="446" cm="1">
        <f t="array" ref="M33">_xlfn.IFS(E33="Nieuw",H33-J33,E33="Retrofit",H33,TRUE,0)</f>
        <v>0</v>
      </c>
      <c r="N33" s="446">
        <f t="shared" si="16"/>
        <v>0</v>
      </c>
      <c r="O33" s="446">
        <f t="shared" si="0"/>
        <v>0</v>
      </c>
      <c r="P33" s="446">
        <f t="shared" si="21"/>
        <v>0</v>
      </c>
      <c r="Q33" s="451"/>
      <c r="R33" s="40"/>
      <c r="S33" s="452" t="str">
        <f t="shared" si="2"/>
        <v/>
      </c>
      <c r="T33" s="453">
        <f t="shared" si="3"/>
        <v>0</v>
      </c>
      <c r="U33" s="454" t="str">
        <f t="shared" si="4"/>
        <v/>
      </c>
      <c r="V33" s="467">
        <f t="shared" si="22"/>
        <v>0</v>
      </c>
      <c r="W33" s="468">
        <f t="shared" si="6"/>
        <v>0</v>
      </c>
      <c r="X33" s="469"/>
      <c r="Y33" s="470"/>
      <c r="Z33" s="471">
        <f t="shared" si="7"/>
        <v>0</v>
      </c>
      <c r="AA33" s="472">
        <f t="shared" si="8"/>
        <v>0</v>
      </c>
      <c r="AB33" s="473">
        <f t="shared" si="9"/>
        <v>0</v>
      </c>
      <c r="AC33" s="474"/>
      <c r="AD33" s="475"/>
      <c r="AE33" s="449">
        <f t="shared" si="10"/>
        <v>0</v>
      </c>
      <c r="AF33" s="472">
        <f t="shared" si="11"/>
        <v>0</v>
      </c>
      <c r="AG33" s="476" cm="1">
        <f t="array" ref="AG33">_xlfn.IFS(E33="Nieuw",Z33-AE33,E33="Retrofit",Z33,TRUE,0)</f>
        <v>0</v>
      </c>
      <c r="AH33" s="476">
        <f t="shared" si="12"/>
        <v>0</v>
      </c>
      <c r="AI33" s="477">
        <f t="shared" si="13"/>
        <v>0</v>
      </c>
      <c r="AJ33" s="477">
        <f t="shared" si="17"/>
        <v>0</v>
      </c>
      <c r="AK33" s="478">
        <f t="shared" si="18"/>
        <v>0</v>
      </c>
      <c r="AL33" s="32"/>
      <c r="AM33" s="465">
        <f t="shared" si="19"/>
        <v>0</v>
      </c>
    </row>
    <row r="34" spans="1:39" ht="18.75" customHeight="1" x14ac:dyDescent="0.3">
      <c r="A34" s="6"/>
      <c r="B34" s="479"/>
      <c r="C34" s="480"/>
      <c r="D34" s="480"/>
      <c r="E34" s="480"/>
      <c r="F34" s="480"/>
      <c r="G34" s="480"/>
      <c r="H34" s="481"/>
      <c r="I34" s="409"/>
      <c r="J34" s="409"/>
      <c r="K34" s="409"/>
      <c r="L34" s="409"/>
      <c r="M34" s="482"/>
      <c r="N34" s="451"/>
      <c r="O34" s="481"/>
      <c r="P34" s="451"/>
      <c r="Q34" s="481"/>
      <c r="R34" s="7"/>
      <c r="S34" s="7"/>
      <c r="T34" s="483"/>
      <c r="V34" s="32"/>
      <c r="W34" s="32"/>
      <c r="X34" s="32"/>
      <c r="Y34" s="32"/>
      <c r="Z34" s="32"/>
      <c r="AA34" s="32"/>
      <c r="AB34" s="32"/>
      <c r="AC34" s="32"/>
      <c r="AD34" s="32"/>
      <c r="AH34" s="407"/>
      <c r="AL34" s="32"/>
    </row>
    <row r="35" spans="1:39" ht="19.2" customHeight="1" x14ac:dyDescent="0.3">
      <c r="A35" s="6"/>
      <c r="B35" s="484" t="s">
        <v>308</v>
      </c>
      <c r="C35" s="480"/>
      <c r="D35" s="480"/>
      <c r="E35" s="480"/>
      <c r="F35" s="480"/>
      <c r="G35" s="480"/>
      <c r="H35" s="481"/>
      <c r="I35" s="409"/>
      <c r="J35" s="409"/>
      <c r="K35" s="409"/>
      <c r="L35" s="409"/>
      <c r="M35" s="482"/>
      <c r="N35" s="451"/>
      <c r="O35" s="481"/>
      <c r="P35" s="451"/>
      <c r="Q35" s="481"/>
      <c r="R35" s="7"/>
      <c r="S35" s="7"/>
      <c r="T35" s="483"/>
      <c r="V35" s="4"/>
      <c r="W35" s="30"/>
      <c r="X35" s="30"/>
      <c r="Y35" s="30"/>
      <c r="Z35" s="485"/>
      <c r="AA35" s="485"/>
      <c r="AB35" s="402"/>
      <c r="AC35" s="402"/>
      <c r="AD35" s="402"/>
      <c r="AH35" s="407"/>
      <c r="AJ35" s="414"/>
      <c r="AL35" s="32"/>
    </row>
    <row r="36" spans="1:39" ht="18.45" customHeight="1" x14ac:dyDescent="0.3">
      <c r="A36" s="6"/>
      <c r="B36" s="484" t="s">
        <v>309</v>
      </c>
      <c r="C36" s="480"/>
      <c r="D36" s="480"/>
      <c r="E36" s="480"/>
      <c r="F36" s="480"/>
      <c r="G36" s="480"/>
      <c r="H36" s="481"/>
      <c r="I36" s="409"/>
      <c r="J36" s="409"/>
      <c r="K36" s="409"/>
      <c r="L36" s="409"/>
      <c r="M36" s="482"/>
      <c r="N36" s="451"/>
      <c r="O36" s="481"/>
      <c r="P36" s="451"/>
      <c r="Q36" s="481"/>
      <c r="R36" s="7"/>
      <c r="S36" s="7"/>
      <c r="T36" s="483"/>
      <c r="V36" s="4"/>
      <c r="W36" s="30"/>
      <c r="X36" s="30"/>
      <c r="Y36" s="30"/>
      <c r="Z36" s="485"/>
      <c r="AA36" s="485"/>
      <c r="AB36" s="402"/>
      <c r="AC36" s="402"/>
      <c r="AD36" s="402"/>
      <c r="AH36" s="407"/>
      <c r="AJ36" s="486"/>
      <c r="AK36" s="486"/>
      <c r="AL36" s="486"/>
    </row>
    <row r="37" spans="1:39" ht="18.75" customHeight="1" x14ac:dyDescent="0.3">
      <c r="A37" s="6"/>
      <c r="B37" s="484" t="s">
        <v>310</v>
      </c>
      <c r="C37" s="480"/>
      <c r="D37" s="480"/>
      <c r="E37" s="480"/>
      <c r="F37" s="480"/>
      <c r="G37" s="480"/>
      <c r="H37" s="481"/>
      <c r="I37" s="409"/>
      <c r="J37" s="409"/>
      <c r="K37" s="409"/>
      <c r="L37" s="409"/>
      <c r="M37" s="482"/>
      <c r="N37" s="451"/>
      <c r="O37" s="481"/>
      <c r="P37" s="451"/>
      <c r="Q37" s="481"/>
      <c r="R37" s="7"/>
      <c r="S37" s="7"/>
      <c r="T37" s="483"/>
      <c r="V37" s="25"/>
      <c r="W37" s="25"/>
      <c r="X37" s="25"/>
      <c r="Y37" s="25"/>
      <c r="Z37" s="87"/>
      <c r="AA37" s="87"/>
      <c r="AB37" s="402"/>
      <c r="AC37" s="402"/>
      <c r="AD37" s="402"/>
      <c r="AH37" s="407"/>
      <c r="AJ37" s="414"/>
      <c r="AL37" s="32"/>
    </row>
    <row r="38" spans="1:39" ht="48" customHeight="1" x14ac:dyDescent="0.3">
      <c r="A38" s="6"/>
      <c r="B38" s="484"/>
      <c r="C38" s="480"/>
      <c r="D38" s="480"/>
      <c r="E38" s="480"/>
      <c r="F38" s="480"/>
      <c r="G38" s="480"/>
      <c r="H38" s="481"/>
      <c r="I38" s="409"/>
      <c r="J38" s="409"/>
      <c r="K38" s="409"/>
      <c r="L38" s="409"/>
      <c r="M38" s="482"/>
      <c r="N38" s="451"/>
      <c r="O38" s="481"/>
      <c r="P38" s="451"/>
      <c r="Q38" s="481"/>
      <c r="R38" s="7"/>
      <c r="S38" s="7"/>
      <c r="T38" s="483"/>
      <c r="V38" s="25"/>
      <c r="W38" s="25"/>
      <c r="X38" s="25"/>
      <c r="Y38" s="25"/>
      <c r="Z38" s="87"/>
      <c r="AA38" s="87"/>
      <c r="AB38" s="30"/>
      <c r="AC38" s="30"/>
      <c r="AD38" s="30"/>
      <c r="AH38" s="407"/>
      <c r="AJ38" s="486"/>
      <c r="AK38" s="486"/>
      <c r="AL38" s="486"/>
    </row>
    <row r="39" spans="1:39" ht="18.75" customHeight="1" x14ac:dyDescent="0.3">
      <c r="A39" s="6"/>
      <c r="B39" s="23" t="s">
        <v>311</v>
      </c>
      <c r="D39" s="30"/>
      <c r="F39" s="4"/>
      <c r="G39" s="480"/>
      <c r="H39" s="32"/>
      <c r="I39" s="487"/>
      <c r="J39" s="487"/>
      <c r="K39" s="409"/>
      <c r="L39" s="409"/>
      <c r="M39" s="30"/>
      <c r="N39" s="30"/>
      <c r="O39" s="30"/>
      <c r="P39" s="30"/>
      <c r="R39" s="7"/>
      <c r="S39" s="7"/>
      <c r="T39" s="483"/>
      <c r="V39" s="23" t="s">
        <v>312</v>
      </c>
      <c r="W39" s="33"/>
      <c r="X39" s="30"/>
      <c r="Y39" s="30"/>
      <c r="Z39" s="87"/>
      <c r="AA39" s="87"/>
      <c r="AB39" s="404"/>
      <c r="AC39" s="404"/>
      <c r="AD39" s="404"/>
      <c r="AH39" s="407"/>
      <c r="AJ39" s="414"/>
      <c r="AL39" s="32"/>
    </row>
    <row r="40" spans="1:39" ht="18.75" customHeight="1" x14ac:dyDescent="0.3">
      <c r="A40" s="6"/>
      <c r="B40" s="104" t="s">
        <v>313</v>
      </c>
      <c r="C40" s="97"/>
      <c r="D40" s="488">
        <f>SUM(I19:I33)</f>
        <v>0</v>
      </c>
      <c r="F40" s="4"/>
      <c r="G40" s="480"/>
      <c r="H40" s="32"/>
      <c r="I40" s="487"/>
      <c r="J40" s="487"/>
      <c r="K40" s="409"/>
      <c r="L40" s="409"/>
      <c r="M40" s="30"/>
      <c r="N40" s="30"/>
      <c r="O40" s="30"/>
      <c r="P40" s="30"/>
      <c r="R40" s="7"/>
      <c r="S40" s="7"/>
      <c r="T40" s="483"/>
      <c r="V40" s="666" t="s">
        <v>313</v>
      </c>
      <c r="W40" s="704"/>
      <c r="X40" s="667"/>
      <c r="Y40" s="37"/>
      <c r="Z40" s="488">
        <f>SUM(AA19:AA33)</f>
        <v>0</v>
      </c>
      <c r="AA40" s="489"/>
      <c r="AB40" s="30"/>
      <c r="AC40" s="30"/>
      <c r="AD40" s="30"/>
      <c r="AH40" s="407"/>
      <c r="AJ40" s="414"/>
      <c r="AL40" s="32"/>
    </row>
    <row r="41" spans="1:39" ht="18.75" customHeight="1" x14ac:dyDescent="0.3">
      <c r="A41" s="6"/>
      <c r="B41" s="104" t="s">
        <v>314</v>
      </c>
      <c r="C41" s="97"/>
      <c r="D41" s="488">
        <f>SUM(K19:K33)</f>
        <v>0</v>
      </c>
      <c r="F41" s="4"/>
      <c r="G41" s="480"/>
      <c r="H41" s="32"/>
      <c r="I41" s="487"/>
      <c r="J41" s="487"/>
      <c r="K41" s="409"/>
      <c r="L41" s="409"/>
      <c r="M41" s="30"/>
      <c r="N41" s="30"/>
      <c r="O41" s="30"/>
      <c r="P41" s="30"/>
      <c r="R41" s="7"/>
      <c r="S41" s="7"/>
      <c r="T41" s="483"/>
      <c r="V41" s="703" t="s">
        <v>314</v>
      </c>
      <c r="W41" s="703"/>
      <c r="X41" s="703"/>
      <c r="Y41" s="8"/>
      <c r="Z41" s="488">
        <f>SUM(AF19:AF33)</f>
        <v>0</v>
      </c>
      <c r="AA41" s="489"/>
      <c r="AB41" s="30"/>
      <c r="AC41" s="30"/>
      <c r="AD41" s="30"/>
      <c r="AH41" s="407"/>
      <c r="AL41" s="32"/>
    </row>
    <row r="42" spans="1:39" ht="18.75" customHeight="1" x14ac:dyDescent="0.3">
      <c r="A42" s="6"/>
      <c r="B42" s="93" t="s">
        <v>315</v>
      </c>
      <c r="C42" s="93"/>
      <c r="D42" s="490">
        <f>SUM(N19:N33)</f>
        <v>0</v>
      </c>
      <c r="E42" s="491"/>
      <c r="G42" s="480"/>
      <c r="I42" s="32"/>
      <c r="J42" s="32"/>
      <c r="K42" s="30"/>
      <c r="L42" s="30"/>
      <c r="M42" s="30"/>
      <c r="O42" s="492"/>
      <c r="Q42" s="492"/>
      <c r="R42" s="492"/>
      <c r="S42" s="492"/>
      <c r="T42" s="492"/>
      <c r="V42" s="703" t="s">
        <v>315</v>
      </c>
      <c r="W42" s="703"/>
      <c r="X42" s="703"/>
      <c r="Y42" s="8"/>
      <c r="Z42" s="490">
        <f>SUM(AH19:AH33)</f>
        <v>0</v>
      </c>
      <c r="AA42" s="100"/>
      <c r="AB42" s="30"/>
      <c r="AC42" s="30"/>
      <c r="AD42" s="30"/>
      <c r="AH42" s="407"/>
      <c r="AL42" s="32"/>
    </row>
    <row r="43" spans="1:39" s="30" customFormat="1" ht="18.75" customHeight="1" x14ac:dyDescent="0.3">
      <c r="A43" s="6"/>
      <c r="B43" s="93" t="s">
        <v>316</v>
      </c>
      <c r="C43" s="93"/>
      <c r="D43" s="490">
        <f>SUM(O19:O33)</f>
        <v>0</v>
      </c>
      <c r="E43" s="491"/>
      <c r="G43" s="480"/>
      <c r="H43" s="33"/>
      <c r="I43" s="32"/>
      <c r="J43" s="487"/>
      <c r="K43" s="409"/>
      <c r="L43" s="409"/>
      <c r="M43" s="493"/>
      <c r="N43" s="492"/>
      <c r="O43" s="492"/>
      <c r="P43" s="492"/>
      <c r="Q43" s="492"/>
      <c r="R43" s="492"/>
      <c r="S43" s="492"/>
      <c r="T43" s="492"/>
      <c r="U43" s="420"/>
      <c r="V43" s="703" t="s">
        <v>316</v>
      </c>
      <c r="W43" s="703"/>
      <c r="X43" s="703"/>
      <c r="Y43" s="8"/>
      <c r="Z43" s="490">
        <f>SUM(AI19:AI33)</f>
        <v>0</v>
      </c>
      <c r="AA43" s="100"/>
    </row>
    <row r="44" spans="1:39" s="34" customFormat="1" ht="16.5" customHeight="1" x14ac:dyDescent="0.3">
      <c r="A44" s="409"/>
      <c r="B44" s="93" t="s">
        <v>317</v>
      </c>
      <c r="C44" s="93"/>
      <c r="D44" s="490">
        <f>SUM(T19:T33)</f>
        <v>0</v>
      </c>
      <c r="E44" s="491"/>
      <c r="G44" s="494"/>
      <c r="H44" s="495"/>
      <c r="I44" s="32"/>
      <c r="J44" s="487"/>
      <c r="K44" s="409"/>
      <c r="L44" s="409"/>
      <c r="M44" s="496"/>
      <c r="N44" s="496"/>
      <c r="O44" s="496"/>
      <c r="P44" s="496"/>
      <c r="Q44" s="496"/>
      <c r="R44" s="409"/>
      <c r="S44" s="409"/>
      <c r="T44" s="497"/>
      <c r="U44" s="405"/>
      <c r="V44" s="703" t="s">
        <v>318</v>
      </c>
      <c r="W44" s="703"/>
      <c r="X44" s="703"/>
      <c r="Y44" s="8"/>
      <c r="Z44" s="490">
        <f>SUM(AJ19:AJ33)</f>
        <v>0</v>
      </c>
      <c r="AA44" s="100"/>
    </row>
    <row r="45" spans="1:39" s="31" customFormat="1" ht="16.5" hidden="1" customHeight="1" x14ac:dyDescent="0.3">
      <c r="A45" s="6"/>
      <c r="B45" s="93" t="s">
        <v>319</v>
      </c>
      <c r="C45" s="93"/>
      <c r="D45" s="498" t="str">
        <f>IF(D43&gt;1,(D44/D42),"")</f>
        <v/>
      </c>
      <c r="E45" s="491"/>
      <c r="G45" s="6"/>
      <c r="H45" s="499"/>
      <c r="I45" s="487"/>
      <c r="J45" s="487"/>
      <c r="K45" s="409"/>
      <c r="L45" s="409"/>
      <c r="M45" s="500"/>
      <c r="N45" s="501"/>
      <c r="O45" s="502"/>
      <c r="P45" s="501"/>
      <c r="Q45" s="502"/>
      <c r="R45" s="502"/>
      <c r="S45" s="502"/>
      <c r="T45" s="501"/>
      <c r="U45" s="414"/>
      <c r="V45" s="703" t="s">
        <v>319</v>
      </c>
      <c r="W45" s="703"/>
      <c r="X45" s="703"/>
      <c r="Y45" s="8"/>
      <c r="Z45" s="498" t="str">
        <f>IF(Z43&gt;1,(Z44/Z42),"")</f>
        <v/>
      </c>
      <c r="AA45" s="503"/>
    </row>
    <row r="46" spans="1:39" s="31" customFormat="1" ht="16.5" customHeight="1" x14ac:dyDescent="0.3">
      <c r="A46" s="4"/>
      <c r="B46" s="93" t="s">
        <v>320</v>
      </c>
      <c r="C46" s="93"/>
      <c r="D46" s="41">
        <v>0</v>
      </c>
      <c r="E46" s="491"/>
      <c r="G46" s="4"/>
      <c r="H46" s="411"/>
      <c r="I46" s="487"/>
      <c r="J46" s="487"/>
      <c r="K46" s="409"/>
      <c r="L46" s="409"/>
      <c r="M46" s="7"/>
      <c r="N46" s="30"/>
      <c r="O46" s="505"/>
      <c r="P46" s="30"/>
      <c r="Q46" s="505"/>
      <c r="R46" s="4"/>
      <c r="S46" s="4"/>
      <c r="U46" s="414"/>
      <c r="V46" s="703" t="s">
        <v>320</v>
      </c>
      <c r="W46" s="703"/>
      <c r="X46" s="703"/>
      <c r="Y46" s="8"/>
      <c r="Z46" s="504">
        <f>D46</f>
        <v>0</v>
      </c>
      <c r="AA46" s="489"/>
    </row>
    <row r="47" spans="1:39" s="31" customFormat="1" ht="16.5" customHeight="1" x14ac:dyDescent="0.3">
      <c r="A47" s="4"/>
      <c r="B47" s="71" t="s">
        <v>158</v>
      </c>
      <c r="C47" s="72"/>
      <c r="D47" s="506">
        <f>$D$40-$D$44-$D$46</f>
        <v>0</v>
      </c>
      <c r="E47" s="491"/>
      <c r="G47" s="4"/>
      <c r="H47" s="411"/>
      <c r="I47" s="487"/>
      <c r="J47" s="487"/>
      <c r="K47" s="409"/>
      <c r="L47" s="409"/>
      <c r="M47" s="7"/>
      <c r="N47" s="30"/>
      <c r="O47" s="505"/>
      <c r="P47" s="30"/>
      <c r="Q47" s="505"/>
      <c r="R47" s="4"/>
      <c r="S47" s="4"/>
      <c r="U47" s="414"/>
      <c r="V47" s="703" t="s">
        <v>158</v>
      </c>
      <c r="W47" s="703"/>
      <c r="X47" s="703"/>
      <c r="Y47" s="8"/>
      <c r="Z47" s="507">
        <f>$Z$40-$Z$44-$Z$46</f>
        <v>0</v>
      </c>
      <c r="AA47" s="508"/>
    </row>
    <row r="48" spans="1:39" s="31" customFormat="1" ht="16.5" customHeight="1" x14ac:dyDescent="0.3">
      <c r="A48" s="4"/>
      <c r="B48" s="4"/>
      <c r="C48" s="4"/>
      <c r="D48" s="4"/>
      <c r="E48" s="4"/>
      <c r="F48" s="33"/>
      <c r="G48" s="4"/>
      <c r="H48" s="5"/>
      <c r="I48" s="409"/>
      <c r="J48" s="409"/>
      <c r="K48" s="409"/>
      <c r="L48" s="409"/>
      <c r="M48" s="7"/>
      <c r="N48" s="30"/>
      <c r="O48" s="505"/>
      <c r="P48" s="30"/>
      <c r="Q48" s="505"/>
      <c r="R48" s="4"/>
      <c r="S48" s="4"/>
      <c r="U48" s="414"/>
      <c r="V48" s="414"/>
      <c r="W48" s="509"/>
      <c r="X48" s="509"/>
      <c r="Y48" s="509"/>
      <c r="Z48" s="509"/>
      <c r="AA48" s="509"/>
      <c r="AB48" s="509"/>
      <c r="AC48" s="509"/>
      <c r="AD48" s="509"/>
      <c r="AE48" s="509"/>
      <c r="AF48" s="509"/>
      <c r="AG48" s="509"/>
      <c r="AH48" s="407"/>
      <c r="AI48" s="407"/>
      <c r="AJ48" s="407"/>
      <c r="AK48" s="407"/>
    </row>
    <row r="49" spans="1:38" s="31" customFormat="1" ht="16.5" hidden="1" customHeight="1" x14ac:dyDescent="0.3">
      <c r="A49" s="4"/>
      <c r="B49" s="510" t="s">
        <v>321</v>
      </c>
      <c r="C49" s="4"/>
      <c r="D49" s="4"/>
      <c r="E49" s="4"/>
      <c r="F49" s="4"/>
      <c r="G49" s="4"/>
      <c r="H49" s="402"/>
      <c r="I49" s="511"/>
      <c r="J49" s="511"/>
      <c r="K49" s="511"/>
      <c r="L49" s="511"/>
      <c r="M49" s="482"/>
      <c r="N49" s="30"/>
      <c r="O49" s="505"/>
      <c r="P49" s="30"/>
      <c r="Q49" s="505"/>
      <c r="R49" s="10"/>
      <c r="S49" s="10"/>
      <c r="U49" s="414"/>
      <c r="V49" s="414"/>
      <c r="W49" s="414"/>
      <c r="X49" s="414"/>
      <c r="Y49" s="414"/>
      <c r="Z49" s="509"/>
      <c r="AA49" s="509"/>
      <c r="AB49" s="509"/>
      <c r="AC49" s="509"/>
      <c r="AD49" s="509"/>
      <c r="AE49" s="509"/>
      <c r="AF49" s="509"/>
      <c r="AG49" s="509"/>
      <c r="AH49" s="509"/>
      <c r="AI49" s="407"/>
      <c r="AJ49" s="407"/>
      <c r="AK49" s="407"/>
      <c r="AL49" s="407"/>
    </row>
    <row r="50" spans="1:38" s="31" customFormat="1" ht="16.5" hidden="1" customHeight="1" x14ac:dyDescent="0.3">
      <c r="A50" s="4"/>
      <c r="B50" s="23"/>
      <c r="C50" s="25"/>
      <c r="D50" s="25"/>
      <c r="E50" s="25"/>
      <c r="F50" s="25"/>
      <c r="G50" s="4"/>
      <c r="H50" s="402"/>
      <c r="I50" s="511"/>
      <c r="J50" s="511"/>
      <c r="K50" s="511"/>
      <c r="L50" s="511"/>
      <c r="M50" s="482"/>
      <c r="N50" s="30"/>
      <c r="O50" s="505"/>
      <c r="P50" s="30"/>
      <c r="Q50" s="505"/>
      <c r="R50" s="10"/>
      <c r="S50" s="10"/>
      <c r="U50" s="414"/>
      <c r="V50" s="414"/>
      <c r="W50" s="414"/>
      <c r="X50" s="414"/>
      <c r="Y50" s="414"/>
      <c r="Z50" s="509"/>
      <c r="AA50" s="509"/>
      <c r="AB50" s="509"/>
      <c r="AC50" s="509"/>
      <c r="AD50" s="509"/>
      <c r="AE50" s="509"/>
      <c r="AF50" s="509"/>
      <c r="AG50" s="509"/>
      <c r="AH50" s="509"/>
      <c r="AI50" s="407"/>
      <c r="AJ50" s="407"/>
      <c r="AK50" s="407"/>
      <c r="AL50" s="407"/>
    </row>
    <row r="51" spans="1:38" s="31" customFormat="1" ht="16.5" hidden="1" customHeight="1" x14ac:dyDescent="0.3">
      <c r="A51" s="4"/>
      <c r="B51" s="512" t="s">
        <v>322</v>
      </c>
      <c r="C51" s="710" t="s">
        <v>323</v>
      </c>
      <c r="D51" s="710"/>
      <c r="E51" s="710"/>
      <c r="F51" s="710"/>
      <c r="G51" s="23"/>
      <c r="H51" s="402"/>
      <c r="I51" s="511"/>
      <c r="J51" s="511"/>
      <c r="K51" s="511"/>
      <c r="L51" s="511"/>
      <c r="M51" s="482"/>
      <c r="N51" s="30"/>
      <c r="O51" s="505"/>
      <c r="P51" s="30"/>
      <c r="Q51" s="505"/>
      <c r="R51" s="10"/>
      <c r="S51" s="10"/>
      <c r="U51" s="414"/>
      <c r="V51" s="414"/>
      <c r="W51" s="414"/>
      <c r="X51" s="414"/>
      <c r="Y51" s="414"/>
      <c r="Z51" s="509"/>
      <c r="AA51" s="509"/>
      <c r="AB51" s="509"/>
      <c r="AC51" s="509"/>
      <c r="AD51" s="509"/>
      <c r="AE51" s="509"/>
      <c r="AF51" s="509"/>
      <c r="AG51" s="509"/>
      <c r="AH51" s="509"/>
      <c r="AI51" s="407"/>
      <c r="AJ51" s="407"/>
      <c r="AK51" s="407"/>
      <c r="AL51" s="407"/>
    </row>
    <row r="52" spans="1:38" s="31" customFormat="1" ht="16.5" hidden="1" customHeight="1" x14ac:dyDescent="0.3">
      <c r="A52" s="4"/>
      <c r="B52" s="513"/>
      <c r="C52" s="708"/>
      <c r="D52" s="708"/>
      <c r="E52" s="708"/>
      <c r="F52" s="708"/>
      <c r="G52" s="4"/>
      <c r="H52" s="402"/>
      <c r="I52" s="511"/>
      <c r="J52" s="511"/>
      <c r="K52" s="511"/>
      <c r="L52" s="511"/>
      <c r="M52" s="482"/>
      <c r="N52" s="30"/>
      <c r="O52" s="505"/>
      <c r="P52" s="30"/>
      <c r="Q52" s="505"/>
      <c r="R52" s="10"/>
      <c r="S52" s="10"/>
      <c r="U52" s="414"/>
      <c r="V52" s="414"/>
      <c r="W52" s="414"/>
      <c r="X52" s="414"/>
      <c r="Y52" s="414"/>
      <c r="Z52" s="509"/>
      <c r="AA52" s="509"/>
      <c r="AB52" s="509"/>
      <c r="AC52" s="509"/>
      <c r="AD52" s="509"/>
      <c r="AE52" s="509"/>
      <c r="AF52" s="509"/>
      <c r="AG52" s="509"/>
      <c r="AH52" s="509"/>
      <c r="AI52" s="407"/>
      <c r="AJ52" s="407"/>
      <c r="AK52" s="407"/>
      <c r="AL52" s="407"/>
    </row>
    <row r="53" spans="1:38" s="31" customFormat="1" ht="16.5" hidden="1" customHeight="1" x14ac:dyDescent="0.3">
      <c r="A53" s="4"/>
      <c r="B53" s="513"/>
      <c r="C53" s="708"/>
      <c r="D53" s="708"/>
      <c r="E53" s="708"/>
      <c r="F53" s="708"/>
      <c r="G53" s="4"/>
      <c r="H53" s="402"/>
      <c r="I53" s="511"/>
      <c r="J53" s="511"/>
      <c r="K53" s="511"/>
      <c r="L53" s="511"/>
      <c r="M53" s="482"/>
      <c r="N53" s="30"/>
      <c r="O53" s="505"/>
      <c r="P53" s="30"/>
      <c r="Q53" s="505"/>
      <c r="R53" s="10"/>
      <c r="S53" s="10"/>
      <c r="U53" s="414"/>
      <c r="V53" s="414"/>
      <c r="W53" s="414"/>
      <c r="X53" s="414"/>
      <c r="Y53" s="414"/>
      <c r="Z53" s="509"/>
      <c r="AA53" s="509"/>
      <c r="AB53" s="509"/>
      <c r="AC53" s="509"/>
      <c r="AD53" s="509"/>
      <c r="AE53" s="509"/>
      <c r="AF53" s="509"/>
      <c r="AG53" s="509"/>
      <c r="AH53" s="509"/>
      <c r="AI53" s="407"/>
      <c r="AJ53" s="407"/>
      <c r="AK53" s="407"/>
      <c r="AL53" s="407"/>
    </row>
    <row r="54" spans="1:38" s="30" customFormat="1" ht="16.5" hidden="1" customHeight="1" x14ac:dyDescent="0.3">
      <c r="B54" s="513"/>
      <c r="C54" s="708"/>
      <c r="D54" s="708"/>
      <c r="E54" s="708"/>
      <c r="F54" s="708"/>
      <c r="G54" s="4"/>
      <c r="H54" s="402"/>
      <c r="I54" s="511"/>
      <c r="J54" s="511"/>
      <c r="K54" s="511"/>
      <c r="L54" s="511"/>
      <c r="M54" s="10"/>
      <c r="N54" s="10"/>
      <c r="O54" s="10"/>
      <c r="P54" s="10"/>
      <c r="Q54" s="10"/>
      <c r="R54" s="10"/>
      <c r="S54" s="10"/>
      <c r="T54" s="10"/>
      <c r="U54" s="420"/>
      <c r="V54" s="420"/>
      <c r="W54" s="420"/>
      <c r="X54" s="420"/>
      <c r="Y54" s="420"/>
      <c r="Z54" s="402"/>
      <c r="AA54" s="402"/>
      <c r="AB54" s="402"/>
      <c r="AC54" s="402"/>
      <c r="AD54" s="402"/>
      <c r="AE54" s="402"/>
      <c r="AF54" s="402"/>
      <c r="AG54" s="402"/>
      <c r="AH54" s="402"/>
      <c r="AI54" s="103"/>
      <c r="AJ54" s="103"/>
      <c r="AK54" s="103"/>
      <c r="AL54" s="103"/>
    </row>
    <row r="55" spans="1:38" ht="16.5" hidden="1" customHeight="1" x14ac:dyDescent="0.3">
      <c r="B55" s="513"/>
      <c r="C55" s="708"/>
      <c r="D55" s="708"/>
      <c r="E55" s="708"/>
      <c r="F55" s="708"/>
      <c r="G55" s="4"/>
      <c r="H55" s="402"/>
      <c r="I55" s="514"/>
      <c r="J55" s="514"/>
      <c r="K55" s="511"/>
      <c r="L55" s="511"/>
      <c r="M55" s="10"/>
      <c r="N55" s="10"/>
      <c r="O55" s="10"/>
      <c r="P55" s="10"/>
      <c r="Q55" s="10"/>
      <c r="R55" s="10"/>
      <c r="S55" s="10"/>
      <c r="T55" s="28"/>
    </row>
    <row r="56" spans="1:38" ht="16.5" hidden="1" customHeight="1" x14ac:dyDescent="0.3">
      <c r="B56" s="30"/>
      <c r="C56" s="30"/>
      <c r="D56" s="30"/>
      <c r="E56" s="30"/>
      <c r="F56" s="30"/>
      <c r="H56" s="402"/>
      <c r="I56" s="514"/>
      <c r="J56" s="514"/>
      <c r="K56" s="511"/>
      <c r="L56" s="511"/>
      <c r="M56" s="10"/>
      <c r="N56" s="10"/>
      <c r="O56" s="10"/>
      <c r="P56" s="10"/>
      <c r="Q56" s="10"/>
      <c r="R56" s="10"/>
      <c r="S56" s="10"/>
      <c r="T56" s="28"/>
    </row>
    <row r="57" spans="1:38" ht="16.5" hidden="1" customHeight="1" x14ac:dyDescent="0.3">
      <c r="A57" s="4"/>
      <c r="B57" s="23"/>
      <c r="C57" s="25"/>
      <c r="D57" s="25"/>
      <c r="E57" s="25"/>
      <c r="F57" s="25"/>
      <c r="G57" s="4"/>
      <c r="I57" s="515"/>
      <c r="J57" s="515"/>
      <c r="K57" s="487"/>
      <c r="L57" s="511"/>
      <c r="M57" s="36"/>
      <c r="N57" s="36"/>
      <c r="O57" s="36"/>
      <c r="P57" s="36"/>
      <c r="Q57" s="10"/>
      <c r="R57" s="36"/>
      <c r="S57" s="36"/>
      <c r="T57" s="35"/>
    </row>
    <row r="58" spans="1:38" ht="16.5" hidden="1" customHeight="1" x14ac:dyDescent="0.3">
      <c r="A58" s="4"/>
      <c r="B58" s="516" t="s">
        <v>322</v>
      </c>
      <c r="C58" s="709" t="s">
        <v>324</v>
      </c>
      <c r="D58" s="709"/>
      <c r="E58" s="709"/>
      <c r="F58" s="709"/>
      <c r="G58" s="23"/>
      <c r="I58" s="515"/>
      <c r="J58" s="515"/>
      <c r="K58" s="487"/>
      <c r="L58" s="511"/>
      <c r="M58" s="36"/>
      <c r="N58" s="36"/>
      <c r="O58" s="36"/>
      <c r="P58" s="36"/>
      <c r="Q58" s="10"/>
      <c r="R58" s="36"/>
      <c r="S58" s="36"/>
      <c r="T58" s="35"/>
    </row>
    <row r="59" spans="1:38" ht="16.5" hidden="1" customHeight="1" x14ac:dyDescent="0.3">
      <c r="A59" s="4"/>
      <c r="B59" s="513"/>
      <c r="C59" s="708"/>
      <c r="D59" s="708"/>
      <c r="E59" s="708"/>
      <c r="F59" s="708"/>
      <c r="G59" s="4"/>
      <c r="I59" s="515"/>
      <c r="J59" s="515"/>
      <c r="K59" s="487"/>
      <c r="L59" s="511"/>
      <c r="M59" s="36"/>
      <c r="N59" s="36"/>
      <c r="O59" s="36"/>
      <c r="P59" s="36"/>
      <c r="Q59" s="10"/>
      <c r="R59" s="36"/>
      <c r="S59" s="36"/>
      <c r="T59" s="35"/>
    </row>
    <row r="60" spans="1:38" ht="16.5" hidden="1" customHeight="1" x14ac:dyDescent="0.3">
      <c r="A60" s="4"/>
      <c r="B60" s="513"/>
      <c r="C60" s="708"/>
      <c r="D60" s="708"/>
      <c r="E60" s="708"/>
      <c r="F60" s="708"/>
      <c r="G60" s="4"/>
      <c r="I60" s="515"/>
      <c r="J60" s="515"/>
      <c r="K60" s="487"/>
      <c r="L60" s="511"/>
      <c r="M60" s="36"/>
      <c r="N60" s="36"/>
      <c r="O60" s="36"/>
      <c r="P60" s="36"/>
      <c r="Q60" s="10"/>
      <c r="R60" s="36"/>
      <c r="S60" s="36"/>
      <c r="T60" s="35"/>
    </row>
    <row r="61" spans="1:38" ht="16.5" hidden="1" customHeight="1" x14ac:dyDescent="0.3">
      <c r="B61" s="513"/>
      <c r="C61" s="708"/>
      <c r="D61" s="708"/>
      <c r="E61" s="708"/>
      <c r="F61" s="708"/>
      <c r="G61" s="4"/>
      <c r="I61" s="515"/>
      <c r="J61" s="515"/>
      <c r="K61" s="487"/>
      <c r="L61" s="511"/>
      <c r="M61" s="36"/>
      <c r="N61" s="36"/>
      <c r="O61" s="36"/>
      <c r="P61" s="36"/>
      <c r="Q61" s="10"/>
      <c r="R61" s="36"/>
      <c r="S61" s="36"/>
      <c r="T61" s="35"/>
    </row>
    <row r="62" spans="1:38" ht="16.5" hidden="1" customHeight="1" x14ac:dyDescent="0.3">
      <c r="B62" s="513"/>
      <c r="C62" s="708"/>
      <c r="D62" s="708"/>
      <c r="E62" s="708"/>
      <c r="F62" s="708"/>
      <c r="G62" s="4"/>
      <c r="I62" s="515"/>
      <c r="J62" s="515"/>
      <c r="K62" s="487"/>
      <c r="L62" s="511"/>
      <c r="M62" s="36"/>
      <c r="N62" s="36"/>
      <c r="O62" s="36"/>
      <c r="P62" s="36"/>
      <c r="Q62" s="10"/>
      <c r="R62" s="36"/>
      <c r="S62" s="36"/>
      <c r="T62" s="35"/>
    </row>
    <row r="63" spans="1:38" ht="16.5" customHeight="1" x14ac:dyDescent="0.3">
      <c r="B63" s="30"/>
      <c r="C63" s="30"/>
      <c r="D63" s="30"/>
      <c r="E63" s="30"/>
      <c r="F63" s="30"/>
      <c r="H63" s="402"/>
      <c r="I63" s="514"/>
      <c r="J63" s="514"/>
      <c r="K63" s="511"/>
      <c r="L63" s="511"/>
      <c r="M63" s="10"/>
      <c r="N63" s="10"/>
      <c r="O63" s="10"/>
      <c r="P63" s="10"/>
      <c r="Q63" s="10"/>
      <c r="R63" s="10"/>
      <c r="S63" s="10"/>
      <c r="T63" s="28"/>
    </row>
    <row r="64" spans="1:38" ht="12.75" customHeight="1" x14ac:dyDescent="0.3">
      <c r="B64" s="517" t="str">
        <f>'Categorie H2 Vtg.'!B5</f>
        <v xml:space="preserve">M1, rolstoeltoegankelijk en meer dan 4 zitplaatsen </v>
      </c>
      <c r="C64" s="518"/>
      <c r="D64" s="519">
        <f t="shared" ref="D64:D74" si="23">SUMIF($B$19:$B$33,B64,$F$19:$F$33)</f>
        <v>0</v>
      </c>
      <c r="H64" s="520"/>
      <c r="I64" s="521"/>
      <c r="J64" s="521"/>
      <c r="K64" s="522"/>
      <c r="L64" s="523"/>
      <c r="M64" s="524"/>
      <c r="N64" s="524"/>
      <c r="O64" s="524"/>
      <c r="P64" s="524"/>
      <c r="Q64" s="525"/>
      <c r="R64" s="524"/>
      <c r="S64" s="524"/>
      <c r="T64" s="526"/>
    </row>
    <row r="65" spans="2:20" ht="12.75" customHeight="1" x14ac:dyDescent="0.3">
      <c r="B65" s="517" t="str">
        <f>'Categorie H2 Vtg.'!B6</f>
        <v xml:space="preserve">M2, emissievrij licht waterstofvoertuig </v>
      </c>
      <c r="C65" s="518"/>
      <c r="D65" s="519">
        <f t="shared" si="23"/>
        <v>0</v>
      </c>
      <c r="G65" s="527"/>
      <c r="H65" s="520"/>
      <c r="I65" s="521"/>
      <c r="J65" s="521"/>
      <c r="K65" s="522"/>
      <c r="L65" s="523"/>
      <c r="M65" s="524"/>
      <c r="N65" s="524"/>
      <c r="O65" s="524"/>
      <c r="P65" s="524"/>
      <c r="Q65" s="525"/>
      <c r="R65" s="524"/>
      <c r="S65" s="524"/>
      <c r="T65" s="526"/>
    </row>
    <row r="66" spans="2:20" ht="12.75" customHeight="1" x14ac:dyDescent="0.3">
      <c r="B66" s="517" t="str">
        <f>'Categorie H2 Vtg.'!B7</f>
        <v>M3, emissievrij zwaar waterstofvoertuig (brandstofcel)</v>
      </c>
      <c r="C66" s="518"/>
      <c r="D66" s="519">
        <f t="shared" si="23"/>
        <v>0</v>
      </c>
      <c r="E66" s="30"/>
      <c r="F66" s="30"/>
      <c r="G66" s="527"/>
      <c r="H66" s="528"/>
      <c r="I66" s="515"/>
      <c r="J66" s="515"/>
      <c r="K66" s="487"/>
      <c r="L66" s="511"/>
      <c r="M66" s="524"/>
      <c r="N66" s="524"/>
      <c r="O66" s="524"/>
      <c r="P66" s="524"/>
      <c r="Q66" s="525"/>
      <c r="R66" s="524"/>
      <c r="S66" s="524"/>
      <c r="T66" s="526"/>
    </row>
    <row r="67" spans="2:20" ht="12.75" customHeight="1" x14ac:dyDescent="0.3">
      <c r="B67" s="517" t="str">
        <f>'Categorie H2 Vtg.'!B8</f>
        <v xml:space="preserve">M3, emissievrij zwaar waterstofvoertuig (waterstofverbrandingsmotor) </v>
      </c>
      <c r="C67" s="518"/>
      <c r="D67" s="519">
        <f t="shared" si="23"/>
        <v>0</v>
      </c>
      <c r="E67" s="527"/>
      <c r="F67" s="30"/>
      <c r="G67" s="527"/>
      <c r="H67" s="528"/>
      <c r="I67" s="529"/>
      <c r="J67" s="529"/>
      <c r="K67" s="530"/>
      <c r="L67" s="531"/>
      <c r="M67" s="524"/>
      <c r="N67" s="524"/>
      <c r="O67" s="524"/>
      <c r="P67" s="524"/>
      <c r="Q67" s="525"/>
      <c r="R67" s="524"/>
      <c r="S67" s="524"/>
      <c r="T67" s="526"/>
    </row>
    <row r="68" spans="2:20" ht="12.75" customHeight="1" x14ac:dyDescent="0.3">
      <c r="B68" s="517" t="str">
        <f>'Categorie H2 Vtg.'!B9</f>
        <v>N1, emissievrij licht waterstofvoertuig</v>
      </c>
      <c r="C68" s="518"/>
      <c r="D68" s="519">
        <f t="shared" si="23"/>
        <v>0</v>
      </c>
      <c r="E68" s="527"/>
      <c r="F68" s="30"/>
      <c r="G68" s="527"/>
    </row>
    <row r="69" spans="2:20" ht="12.75" customHeight="1" x14ac:dyDescent="0.3">
      <c r="B69" s="517" t="str">
        <f>'Categorie H2 Vtg.'!B10</f>
        <v>N2, emissievrij zwaar waterstofvoertuig (brandstofcel)</v>
      </c>
      <c r="C69" s="518"/>
      <c r="D69" s="519">
        <f t="shared" si="23"/>
        <v>0</v>
      </c>
      <c r="E69" s="527"/>
      <c r="F69" s="30"/>
      <c r="G69" s="527"/>
    </row>
    <row r="70" spans="2:20" ht="12.75" customHeight="1" x14ac:dyDescent="0.3">
      <c r="B70" s="517" t="str">
        <f>'Categorie H2 Vtg.'!B11</f>
        <v>N2, emissievrij zwaar waterstofvoertuig (waterstofverbrandingsmotor)</v>
      </c>
      <c r="C70" s="518"/>
      <c r="D70" s="519">
        <f t="shared" si="23"/>
        <v>0</v>
      </c>
      <c r="E70" s="527"/>
      <c r="F70" s="30"/>
      <c r="G70" s="527"/>
    </row>
    <row r="71" spans="2:20" ht="12.75" customHeight="1" x14ac:dyDescent="0.3">
      <c r="B71" s="517" t="str">
        <f>'Categorie H2 Vtg.'!B12</f>
        <v>N3, emissievrij zwaar waterstofvoertuig &lt; 30.000 kg (brandstofcel)</v>
      </c>
      <c r="C71" s="518"/>
      <c r="D71" s="519">
        <f t="shared" si="23"/>
        <v>0</v>
      </c>
      <c r="E71" s="527"/>
      <c r="F71" s="30"/>
      <c r="G71" s="527"/>
    </row>
    <row r="72" spans="2:20" ht="12.75" customHeight="1" x14ac:dyDescent="0.3">
      <c r="B72" s="517" t="str">
        <f>'Categorie H2 Vtg.'!B13</f>
        <v>N3, emissievrij zwaar waterstofvoertuig &lt; 30.000kg (waterstofverbrandingsmotor)</v>
      </c>
      <c r="C72" s="518"/>
      <c r="D72" s="519">
        <f t="shared" si="23"/>
        <v>0</v>
      </c>
      <c r="E72" s="527"/>
      <c r="F72" s="30"/>
      <c r="G72" s="527"/>
    </row>
    <row r="73" spans="2:20" ht="12.75" customHeight="1" x14ac:dyDescent="0.3">
      <c r="B73" s="517" t="str">
        <f>'Categorie H2 Vtg.'!B14</f>
        <v>N3, emissievrij zwaar waterstofvoertuig ≥ 30.000kg (brandstofcel)</v>
      </c>
      <c r="C73" s="518"/>
      <c r="D73" s="519">
        <f t="shared" si="23"/>
        <v>0</v>
      </c>
      <c r="E73" s="527"/>
      <c r="F73" s="30"/>
      <c r="G73" s="527"/>
    </row>
    <row r="74" spans="2:20" ht="12.75" customHeight="1" x14ac:dyDescent="0.3">
      <c r="B74" s="517" t="str">
        <f>'Categorie H2 Vtg.'!B15</f>
        <v>N3, emissievrij zwaar waterstofvoertuig ≥ 30.000 kg (waterstofverbrandingsmotor)</v>
      </c>
      <c r="C74" s="518"/>
      <c r="D74" s="519">
        <f t="shared" si="23"/>
        <v>0</v>
      </c>
      <c r="E74" s="527"/>
      <c r="F74" s="30"/>
      <c r="G74" s="527"/>
    </row>
    <row r="75" spans="2:20" ht="12.75" customHeight="1" x14ac:dyDescent="0.3">
      <c r="B75" s="517" t="str">
        <f>'Categorie H2 Vtg.'!B16</f>
        <v>emissievrije overslagmachine (brandstofcel)</v>
      </c>
      <c r="C75" s="518"/>
      <c r="D75" s="519">
        <f t="shared" ref="D75:D79" si="24">SUMIF($B$19:$B$33,B75,$F$19:$F$33)</f>
        <v>0</v>
      </c>
      <c r="E75" s="527"/>
      <c r="F75" s="30"/>
      <c r="G75" s="527"/>
    </row>
    <row r="76" spans="2:20" ht="12.75" customHeight="1" x14ac:dyDescent="0.3">
      <c r="B76" s="517" t="str">
        <f>'Categorie H2 Vtg.'!B17</f>
        <v>emissievrije vorkheftruck (brandstofcel)</v>
      </c>
      <c r="C76" s="518"/>
      <c r="D76" s="519">
        <f t="shared" si="24"/>
        <v>0</v>
      </c>
      <c r="E76" s="527"/>
      <c r="F76" s="30"/>
      <c r="G76" s="527"/>
    </row>
    <row r="77" spans="2:20" ht="12.75" customHeight="1" x14ac:dyDescent="0.3">
      <c r="B77" s="517" t="str">
        <f>'Categorie H2 Vtg.'!B18</f>
        <v>emissievrije verreiker (brandstofcel)</v>
      </c>
      <c r="C77" s="518"/>
      <c r="D77" s="519">
        <f t="shared" si="24"/>
        <v>0</v>
      </c>
      <c r="E77" s="527"/>
      <c r="F77" s="30"/>
      <c r="G77" s="527"/>
    </row>
    <row r="78" spans="2:20" ht="12.75" customHeight="1" x14ac:dyDescent="0.3">
      <c r="B78" s="517" t="str">
        <f>'Categorie H2 Vtg.'!B19</f>
        <v>emissievrije pushbacktruck (brandstofcel)</v>
      </c>
      <c r="C78" s="518"/>
      <c r="D78" s="519">
        <f t="shared" si="24"/>
        <v>0</v>
      </c>
      <c r="E78" s="527"/>
      <c r="F78" s="30"/>
      <c r="G78" s="527"/>
    </row>
    <row r="79" spans="2:20" ht="12.75" customHeight="1" x14ac:dyDescent="0.3">
      <c r="B79" s="517" t="str">
        <f>'Categorie H2 Vtg.'!B20</f>
        <v>emissievrije terminaltrekker (brandstofcel)</v>
      </c>
      <c r="C79" s="518"/>
      <c r="D79" s="519">
        <f t="shared" si="24"/>
        <v>0</v>
      </c>
      <c r="E79" s="527"/>
      <c r="F79" s="30"/>
      <c r="G79" s="527"/>
    </row>
    <row r="80" spans="2:20" ht="12.75" customHeight="1" x14ac:dyDescent="0.3">
      <c r="E80" s="527"/>
      <c r="F80" s="527"/>
      <c r="G80" s="527"/>
    </row>
    <row r="81" spans="1:7" ht="12.75" customHeight="1" x14ac:dyDescent="0.3">
      <c r="E81" s="527"/>
      <c r="F81" s="10"/>
      <c r="G81" s="10"/>
    </row>
    <row r="82" spans="1:7" ht="12.75" customHeight="1" x14ac:dyDescent="0.3">
      <c r="E82" s="527"/>
      <c r="F82" s="10"/>
      <c r="G82" s="10"/>
    </row>
    <row r="83" spans="1:7" ht="12.75" customHeight="1" x14ac:dyDescent="0.3">
      <c r="A83" s="532"/>
      <c r="B83" s="533"/>
      <c r="C83" s="533"/>
      <c r="D83" s="533"/>
      <c r="E83" s="534"/>
      <c r="F83" s="10"/>
      <c r="G83" s="10"/>
    </row>
    <row r="84" spans="1:7" ht="15" customHeight="1" x14ac:dyDescent="0.3">
      <c r="A84" s="532"/>
      <c r="B84" s="535"/>
      <c r="C84" s="535"/>
      <c r="D84" s="535"/>
      <c r="E84" s="532"/>
      <c r="F84" s="30"/>
    </row>
    <row r="85" spans="1:7" ht="15" customHeight="1" x14ac:dyDescent="0.3">
      <c r="E85" s="30"/>
      <c r="F85" s="30"/>
    </row>
    <row r="86" spans="1:7" ht="15" customHeight="1" x14ac:dyDescent="0.3">
      <c r="E86" s="30"/>
      <c r="F86" s="30"/>
    </row>
  </sheetData>
  <sheetProtection algorithmName="SHA-512" hashValue="7kaJGs4TxzvXX8UXk+vSqfi5kkqrhsqHfKYYG5kyNgSyLnPTWrI1SnMISexDrZGY06ph4wbPX2apD9FFohsZVA==" saltValue="3MioVtBF3OsuD3MCkTZlhQ==" spinCount="100000" sheet="1" selectLockedCells="1"/>
  <mergeCells count="34">
    <mergeCell ref="B27:C27"/>
    <mergeCell ref="B28:C28"/>
    <mergeCell ref="B23:C23"/>
    <mergeCell ref="B24:C24"/>
    <mergeCell ref="C59:F59"/>
    <mergeCell ref="B25:C25"/>
    <mergeCell ref="B26:C26"/>
    <mergeCell ref="B32:C32"/>
    <mergeCell ref="C51:F51"/>
    <mergeCell ref="B29:C29"/>
    <mergeCell ref="B30:C30"/>
    <mergeCell ref="B33:C33"/>
    <mergeCell ref="B31:C31"/>
    <mergeCell ref="C60:F60"/>
    <mergeCell ref="C61:F61"/>
    <mergeCell ref="C62:F62"/>
    <mergeCell ref="C52:F52"/>
    <mergeCell ref="C53:F53"/>
    <mergeCell ref="C54:F54"/>
    <mergeCell ref="C55:F55"/>
    <mergeCell ref="C58:F58"/>
    <mergeCell ref="B18:C18"/>
    <mergeCell ref="B19:C19"/>
    <mergeCell ref="B20:C20"/>
    <mergeCell ref="B21:C21"/>
    <mergeCell ref="B22:C22"/>
    <mergeCell ref="V47:X47"/>
    <mergeCell ref="V43:X43"/>
    <mergeCell ref="V44:X44"/>
    <mergeCell ref="V40:X40"/>
    <mergeCell ref="V45:X45"/>
    <mergeCell ref="V46:X46"/>
    <mergeCell ref="V41:X41"/>
    <mergeCell ref="V42:X42"/>
  </mergeCells>
  <conditionalFormatting sqref="D64:D79 G65:G79 E67:E82 F80:G80">
    <cfRule type="cellIs" dxfId="71" priority="16" operator="greaterThan">
      <formula>0</formula>
    </cfRule>
  </conditionalFormatting>
  <conditionalFormatting sqref="R19:R33">
    <cfRule type="cellIs" dxfId="70" priority="1" operator="greaterThan">
      <formula>$D19</formula>
    </cfRule>
  </conditionalFormatting>
  <conditionalFormatting sqref="W18:Y18">
    <cfRule type="containsText" dxfId="69" priority="14" operator="containsText" text="U moet nog de gevraagde subsidiebedrag invullen">
      <formula>NOT(ISERROR(SEARCH("U moet nog de gevraagde subsidiebedrag invullen",W18)))</formula>
    </cfRule>
  </conditionalFormatting>
  <dataValidations count="2">
    <dataValidation type="decimal" operator="greaterThan" allowBlank="1" showErrorMessage="1" sqref="AE19:AH33 AB19:AB33 H19:M33" xr:uid="{00000000-0002-0000-0700-000000000000}">
      <formula1>0</formula1>
    </dataValidation>
    <dataValidation type="list" allowBlank="1" showErrorMessage="1" sqref="C6" xr:uid="{00000000-0002-0000-0700-000001000000}">
      <formula1>"Ja,Nee"</formula1>
    </dataValidation>
  </dataValidations>
  <pageMargins left="0.70866141732283472" right="0.70866141732283472" top="0.74803149606299213" bottom="0.74803149606299213" header="0" footer="0"/>
  <pageSetup paperSize="9" scale="60" orientation="landscape" r:id="rId1"/>
  <headerFooter>
    <oddFooter>&amp;L_x000D_#000000 Intern gebruik_x000D_&amp;1#&amp;"Calibri"&amp;10&amp;K000000 Intern gebruik</oddFooter>
  </headerFooter>
  <ignoredErrors>
    <ignoredError sqref="V29:V33" unlockedFormula="1"/>
  </ignoredErrors>
  <extLst>
    <ext xmlns:x14="http://schemas.microsoft.com/office/spreadsheetml/2009/9/main" uri="{CCE6A557-97BC-4b89-ADB6-D9C93CAAB3DF}">
      <x14:dataValidations xmlns:xm="http://schemas.microsoft.com/office/excel/2006/main" count="2">
        <x14:dataValidation type="list" allowBlank="1" showInputMessage="1" showErrorMessage="1" xr:uid="{9660E25A-2790-40EB-B898-7FCCF7176B9D}">
          <x14:formula1>
            <xm:f>'Categorie H2 Vtg.'!$B$46:$B$48</xm:f>
          </x14:formula1>
          <xm:sqref>E19:E33</xm:sqref>
        </x14:dataValidation>
        <x14:dataValidation type="list" allowBlank="1" showInputMessage="1" showErrorMessage="1" xr:uid="{7AF27D68-F96C-489E-B5F6-0028C6BB2259}">
          <x14:formula1>
            <xm:f>'Categorie H2 Vtg.'!$B$4:$B$20</xm:f>
          </x14:formula1>
          <xm:sqref>B19:C33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D8114-CBF3-4B14-8CF5-113644C28292}">
  <sheetPr codeName="Blad11">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7.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50" width="14.44140625" style="32" bestFit="1" customWidth="1"/>
    <col min="51" max="51" width="14.44140625" style="32" bestFit="1"/>
    <col min="52"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 t="shared" ref="AE19:AE33" si="14">IF(AC19=0,AB19,AC19)</f>
        <v>0</v>
      </c>
      <c r="AF19" s="459">
        <f t="shared" ref="AF19:AF33" si="15">AE19*V19</f>
        <v>0</v>
      </c>
      <c r="AG19" s="462" cm="1">
        <f t="array" ref="AG19">_xlfn.IFS(E19="Nieuw",Z19-AE19,E19="Retrofit",Z19,TRUE,0)</f>
        <v>0</v>
      </c>
      <c r="AH19" s="462">
        <f t="shared" ref="AH19:AH33" si="16">AG19*V19</f>
        <v>0</v>
      </c>
      <c r="AI19" s="463">
        <f t="shared" ref="AI19:AI33" si="17">IF(0.8*AH19&gt;V19*D19,V19*D19,0.8*AH19)</f>
        <v>0</v>
      </c>
      <c r="AJ19" s="463">
        <f t="shared" ref="AJ19:AJ33" si="18">IF(AI19&gt;0, S19*AI19, 0)</f>
        <v>0</v>
      </c>
      <c r="AK19" s="464">
        <f t="shared" ref="AK19:AK33" si="19">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si="14"/>
        <v>0</v>
      </c>
      <c r="AF20" s="459">
        <f t="shared" si="15"/>
        <v>0</v>
      </c>
      <c r="AG20" s="462" cm="1">
        <f t="array" ref="AG20">_xlfn.IFS(E20="Nieuw",Z20-AE20,E20="Retrofit",Z20,TRUE,0)</f>
        <v>0</v>
      </c>
      <c r="AH20" s="462">
        <f t="shared" si="16"/>
        <v>0</v>
      </c>
      <c r="AI20" s="463">
        <f t="shared" si="17"/>
        <v>0</v>
      </c>
      <c r="AJ20" s="463">
        <f t="shared" si="18"/>
        <v>0</v>
      </c>
      <c r="AK20" s="464">
        <f t="shared" si="19"/>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4"/>
        <v>0</v>
      </c>
      <c r="AF21" s="459">
        <f t="shared" si="15"/>
        <v>0</v>
      </c>
      <c r="AG21" s="462" cm="1">
        <f t="array" ref="AG21">_xlfn.IFS(E21="Nieuw",Z21-AE21,E21="Retrofit",Z21,TRUE,0)</f>
        <v>0</v>
      </c>
      <c r="AH21" s="462">
        <f t="shared" si="16"/>
        <v>0</v>
      </c>
      <c r="AI21" s="463">
        <f t="shared" si="17"/>
        <v>0</v>
      </c>
      <c r="AJ21" s="463">
        <f t="shared" si="18"/>
        <v>0</v>
      </c>
      <c r="AK21" s="464">
        <f t="shared" si="19"/>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4"/>
        <v>0</v>
      </c>
      <c r="AF22" s="459">
        <f t="shared" si="15"/>
        <v>0</v>
      </c>
      <c r="AG22" s="462" cm="1">
        <f t="array" ref="AG22">_xlfn.IFS(E22="Nieuw",Z22-AE22,E22="Retrofit",Z22,TRUE,0)</f>
        <v>0</v>
      </c>
      <c r="AH22" s="462">
        <f t="shared" si="16"/>
        <v>0</v>
      </c>
      <c r="AI22" s="463">
        <f t="shared" si="17"/>
        <v>0</v>
      </c>
      <c r="AJ22" s="463">
        <f t="shared" si="18"/>
        <v>0</v>
      </c>
      <c r="AK22" s="464">
        <f t="shared" si="19"/>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4"/>
        <v>0</v>
      </c>
      <c r="AF23" s="459">
        <f t="shared" si="15"/>
        <v>0</v>
      </c>
      <c r="AG23" s="462" cm="1">
        <f t="array" ref="AG23">_xlfn.IFS(E23="Nieuw",Z23-AE23,E23="Retrofit",Z23,TRUE,0)</f>
        <v>0</v>
      </c>
      <c r="AH23" s="462">
        <f t="shared" si="16"/>
        <v>0</v>
      </c>
      <c r="AI23" s="463">
        <f t="shared" si="17"/>
        <v>0</v>
      </c>
      <c r="AJ23" s="463">
        <f t="shared" si="18"/>
        <v>0</v>
      </c>
      <c r="AK23" s="464">
        <f t="shared" si="19"/>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4"/>
        <v>0</v>
      </c>
      <c r="AF24" s="459">
        <f t="shared" si="15"/>
        <v>0</v>
      </c>
      <c r="AG24" s="462" cm="1">
        <f t="array" ref="AG24">_xlfn.IFS(E24="Nieuw",Z24-AE24,E24="Retrofit",Z24,TRUE,0)</f>
        <v>0</v>
      </c>
      <c r="AH24" s="462">
        <f t="shared" si="16"/>
        <v>0</v>
      </c>
      <c r="AI24" s="463">
        <f t="shared" si="17"/>
        <v>0</v>
      </c>
      <c r="AJ24" s="463">
        <f t="shared" si="18"/>
        <v>0</v>
      </c>
      <c r="AK24" s="464">
        <f t="shared" si="19"/>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4"/>
        <v>0</v>
      </c>
      <c r="AF25" s="459">
        <f t="shared" si="15"/>
        <v>0</v>
      </c>
      <c r="AG25" s="462" cm="1">
        <f t="array" ref="AG25">_xlfn.IFS(E25="Nieuw",Z25-AE25,E25="Retrofit",Z25,TRUE,0)</f>
        <v>0</v>
      </c>
      <c r="AH25" s="462">
        <f t="shared" si="16"/>
        <v>0</v>
      </c>
      <c r="AI25" s="463">
        <f t="shared" si="17"/>
        <v>0</v>
      </c>
      <c r="AJ25" s="463">
        <f t="shared" si="18"/>
        <v>0</v>
      </c>
      <c r="AK25" s="464">
        <f t="shared" si="19"/>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4"/>
        <v>0</v>
      </c>
      <c r="AF26" s="459">
        <f t="shared" si="15"/>
        <v>0</v>
      </c>
      <c r="AG26" s="462" cm="1">
        <f t="array" ref="AG26">_xlfn.IFS(E26="Nieuw",Z26-AE26,E26="Retrofit",Z26,TRUE,0)</f>
        <v>0</v>
      </c>
      <c r="AH26" s="462">
        <f t="shared" si="16"/>
        <v>0</v>
      </c>
      <c r="AI26" s="463">
        <f t="shared" si="17"/>
        <v>0</v>
      </c>
      <c r="AJ26" s="463">
        <f t="shared" si="18"/>
        <v>0</v>
      </c>
      <c r="AK26" s="464">
        <f t="shared" si="19"/>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4"/>
        <v>0</v>
      </c>
      <c r="AF27" s="459">
        <f t="shared" si="15"/>
        <v>0</v>
      </c>
      <c r="AG27" s="462" cm="1">
        <f t="array" ref="AG27">_xlfn.IFS(E27="Nieuw",Z27-AE27,E27="Retrofit",Z27,TRUE,0)</f>
        <v>0</v>
      </c>
      <c r="AH27" s="462">
        <f t="shared" si="16"/>
        <v>0</v>
      </c>
      <c r="AI27" s="463">
        <f t="shared" si="17"/>
        <v>0</v>
      </c>
      <c r="AJ27" s="463">
        <f t="shared" si="18"/>
        <v>0</v>
      </c>
      <c r="AK27" s="464">
        <f t="shared" si="19"/>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4"/>
        <v>0</v>
      </c>
      <c r="AF28" s="459">
        <f t="shared" si="15"/>
        <v>0</v>
      </c>
      <c r="AG28" s="462" cm="1">
        <f t="array" ref="AG28">_xlfn.IFS(E28="Nieuw",Z28-AE28,E28="Retrofit",Z28,TRUE,0)</f>
        <v>0</v>
      </c>
      <c r="AH28" s="462">
        <f t="shared" si="16"/>
        <v>0</v>
      </c>
      <c r="AI28" s="463">
        <f t="shared" si="17"/>
        <v>0</v>
      </c>
      <c r="AJ28" s="463">
        <f t="shared" si="18"/>
        <v>0</v>
      </c>
      <c r="AK28" s="464">
        <f t="shared" si="19"/>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4"/>
        <v>0</v>
      </c>
      <c r="AF29" s="459">
        <f t="shared" si="15"/>
        <v>0</v>
      </c>
      <c r="AG29" s="462" cm="1">
        <f t="array" ref="AG29">_xlfn.IFS(E29="Nieuw",Z29-AE29,E29="Retrofit",Z29,TRUE,0)</f>
        <v>0</v>
      </c>
      <c r="AH29" s="462">
        <f t="shared" si="16"/>
        <v>0</v>
      </c>
      <c r="AI29" s="463">
        <f t="shared" si="17"/>
        <v>0</v>
      </c>
      <c r="AJ29" s="463">
        <f t="shared" si="18"/>
        <v>0</v>
      </c>
      <c r="AK29" s="464">
        <f t="shared" si="19"/>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4"/>
        <v>0</v>
      </c>
      <c r="AF30" s="459">
        <f t="shared" si="15"/>
        <v>0</v>
      </c>
      <c r="AG30" s="462" cm="1">
        <f t="array" ref="AG30">_xlfn.IFS(E30="Nieuw",Z30-AE30,E30="Retrofit",Z30,TRUE,0)</f>
        <v>0</v>
      </c>
      <c r="AH30" s="462">
        <f t="shared" si="16"/>
        <v>0</v>
      </c>
      <c r="AI30" s="463">
        <f t="shared" si="17"/>
        <v>0</v>
      </c>
      <c r="AJ30" s="463">
        <f t="shared" si="18"/>
        <v>0</v>
      </c>
      <c r="AK30" s="464">
        <f t="shared" si="19"/>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4"/>
        <v>0</v>
      </c>
      <c r="AF31" s="459">
        <f t="shared" si="15"/>
        <v>0</v>
      </c>
      <c r="AG31" s="462" cm="1">
        <f t="array" ref="AG31">_xlfn.IFS(E31="Nieuw",Z31-AE31,E31="Retrofit",Z31,TRUE,0)</f>
        <v>0</v>
      </c>
      <c r="AH31" s="462">
        <f t="shared" si="16"/>
        <v>0</v>
      </c>
      <c r="AI31" s="463">
        <f t="shared" si="17"/>
        <v>0</v>
      </c>
      <c r="AJ31" s="463">
        <f t="shared" si="18"/>
        <v>0</v>
      </c>
      <c r="AK31" s="464">
        <f t="shared" si="19"/>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4"/>
        <v>0</v>
      </c>
      <c r="AF32" s="459">
        <f t="shared" si="15"/>
        <v>0</v>
      </c>
      <c r="AG32" s="462" cm="1">
        <f t="array" ref="AG32">_xlfn.IFS(E32="Nieuw",Z32-AE32,E32="Retrofit",Z32,TRUE,0)</f>
        <v>0</v>
      </c>
      <c r="AH32" s="462">
        <f t="shared" si="16"/>
        <v>0</v>
      </c>
      <c r="AI32" s="463">
        <f t="shared" si="17"/>
        <v>0</v>
      </c>
      <c r="AJ32" s="463">
        <f t="shared" si="18"/>
        <v>0</v>
      </c>
      <c r="AK32" s="464">
        <f t="shared" si="19"/>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49">
        <f t="shared" si="14"/>
        <v>0</v>
      </c>
      <c r="AF33" s="472">
        <f t="shared" si="15"/>
        <v>0</v>
      </c>
      <c r="AG33" s="476" cm="1">
        <f t="array" ref="AG33">_xlfn.IFS(E33="Nieuw",Z33-AE33,E33="Retrofit",Z33,TRUE,0)</f>
        <v>0</v>
      </c>
      <c r="AH33" s="476">
        <f t="shared" si="16"/>
        <v>0</v>
      </c>
      <c r="AI33" s="477">
        <f t="shared" si="17"/>
        <v>0</v>
      </c>
      <c r="AJ33" s="477">
        <f t="shared" si="18"/>
        <v>0</v>
      </c>
      <c r="AK33" s="478">
        <f t="shared" si="19"/>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S18JoDKUDHYPqUHqgfdlsezbQ1KnhRUjMPxvv3oseI6PILQQen/5YhQy0CgfwYEuQPRNtecacOzabkF4yVogLw==" saltValue="yNZRpNzjoE5+o4Y2YxQmVw==" spinCount="100000" sheet="1" selectLockedCells="1"/>
  <mergeCells count="34">
    <mergeCell ref="C51:F51"/>
    <mergeCell ref="C52:F52"/>
    <mergeCell ref="B23:C23"/>
    <mergeCell ref="V40:X40"/>
    <mergeCell ref="V41:X41"/>
    <mergeCell ref="V47:X47"/>
    <mergeCell ref="V42:X42"/>
    <mergeCell ref="V43:X43"/>
    <mergeCell ref="V44:X44"/>
    <mergeCell ref="V45:X45"/>
    <mergeCell ref="V46:X46"/>
    <mergeCell ref="B24:C24"/>
    <mergeCell ref="B25:C25"/>
    <mergeCell ref="B26:C26"/>
    <mergeCell ref="B27:C27"/>
    <mergeCell ref="B28:C28"/>
    <mergeCell ref="B18:C18"/>
    <mergeCell ref="B19:C19"/>
    <mergeCell ref="B20:C20"/>
    <mergeCell ref="B21:C21"/>
    <mergeCell ref="B22:C22"/>
    <mergeCell ref="B29:C29"/>
    <mergeCell ref="B30:C30"/>
    <mergeCell ref="B31:C31"/>
    <mergeCell ref="B32:C32"/>
    <mergeCell ref="B33:C33"/>
    <mergeCell ref="C60:F60"/>
    <mergeCell ref="C61:F61"/>
    <mergeCell ref="C62:F62"/>
    <mergeCell ref="C53:F53"/>
    <mergeCell ref="C54:F54"/>
    <mergeCell ref="C55:F55"/>
    <mergeCell ref="C58:F58"/>
    <mergeCell ref="C59:F59"/>
  </mergeCells>
  <conditionalFormatting sqref="D64:D79 G65:G79 E67:E82 F80:G80">
    <cfRule type="cellIs" dxfId="68" priority="3" operator="greaterThan">
      <formula>0</formula>
    </cfRule>
  </conditionalFormatting>
  <conditionalFormatting sqref="R19:R23">
    <cfRule type="cellIs" dxfId="67" priority="1" operator="greaterThan">
      <formula>$D19</formula>
    </cfRule>
  </conditionalFormatting>
  <conditionalFormatting sqref="W18:Y18">
    <cfRule type="containsText" dxfId="66"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CD5053B1-D03A-7344-9646-97BB0EE36035}">
      <formula1>"Ja,Nee"</formula1>
    </dataValidation>
    <dataValidation type="decimal" operator="greaterThan" allowBlank="1" showErrorMessage="1" sqref="AC19:AC20 H19:M33 AB19:AB33 AC22:AC33 AE19:AH33" xr:uid="{605495F0-E684-C54A-A4E3-1D51020313B0}">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D73DB2E4-E69A-F649-BC1D-269CA1ACCB60}">
          <x14:formula1>
            <xm:f>'Categorie H2 Vtg.'!$B$4:$B$20</xm:f>
          </x14:formula1>
          <xm:sqref>B19:C33</xm:sqref>
        </x14:dataValidation>
        <x14:dataValidation type="list" allowBlank="1" showInputMessage="1" showErrorMessage="1" xr:uid="{DF524A67-AFF3-ED4C-9C22-35A9CCD64B26}">
          <x14:formula1>
            <xm:f>'Categorie H2 Vtg.'!$B$46:$B$48</xm:f>
          </x14:formula1>
          <xm:sqref>E19:E33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A9FBA-6DC6-4EFA-A022-E4B34B966017}">
  <sheetPr codeName="Blad12">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50" width="14.44140625" style="32" bestFit="1" customWidth="1"/>
    <col min="51" max="51" width="14.44140625" style="32" bestFit="1"/>
    <col min="52"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 t="shared" ref="AE19:AE33" si="14">IF(AC19=0,AB19,AC19)</f>
        <v>0</v>
      </c>
      <c r="AF19" s="459">
        <f t="shared" ref="AF19:AF33" si="15">AE19*V19</f>
        <v>0</v>
      </c>
      <c r="AG19" s="462" cm="1">
        <f t="array" ref="AG19">_xlfn.IFS(E19="Nieuw",Z19-AE19,E19="Retrofit",Z19,TRUE,0)</f>
        <v>0</v>
      </c>
      <c r="AH19" s="462">
        <f t="shared" ref="AH19:AH33" si="16">AG19*V19</f>
        <v>0</v>
      </c>
      <c r="AI19" s="463">
        <f t="shared" ref="AI19:AI33" si="17">IF(0.8*AH19&gt;V19*D19,V19*D19,0.8*AH19)</f>
        <v>0</v>
      </c>
      <c r="AJ19" s="463">
        <f t="shared" ref="AJ19:AJ33" si="18">IF(AI19&gt;0, S19*AI19, 0)</f>
        <v>0</v>
      </c>
      <c r="AK19" s="464">
        <f t="shared" ref="AK19:AK33" si="19">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si="14"/>
        <v>0</v>
      </c>
      <c r="AF20" s="459">
        <f t="shared" si="15"/>
        <v>0</v>
      </c>
      <c r="AG20" s="462" cm="1">
        <f t="array" ref="AG20">_xlfn.IFS(E20="Nieuw",Z20-AE20,E20="Retrofit",Z20,TRUE,0)</f>
        <v>0</v>
      </c>
      <c r="AH20" s="462">
        <f t="shared" si="16"/>
        <v>0</v>
      </c>
      <c r="AI20" s="463">
        <f t="shared" si="17"/>
        <v>0</v>
      </c>
      <c r="AJ20" s="463">
        <f t="shared" si="18"/>
        <v>0</v>
      </c>
      <c r="AK20" s="464">
        <f t="shared" si="19"/>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4"/>
        <v>0</v>
      </c>
      <c r="AF21" s="459">
        <f t="shared" si="15"/>
        <v>0</v>
      </c>
      <c r="AG21" s="462" cm="1">
        <f t="array" ref="AG21">_xlfn.IFS(E21="Nieuw",Z21-AE21,E21="Retrofit",Z21,TRUE,0)</f>
        <v>0</v>
      </c>
      <c r="AH21" s="462">
        <f t="shared" si="16"/>
        <v>0</v>
      </c>
      <c r="AI21" s="463">
        <f t="shared" si="17"/>
        <v>0</v>
      </c>
      <c r="AJ21" s="463">
        <f t="shared" si="18"/>
        <v>0</v>
      </c>
      <c r="AK21" s="464">
        <f t="shared" si="19"/>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4"/>
        <v>0</v>
      </c>
      <c r="AF22" s="459">
        <f t="shared" si="15"/>
        <v>0</v>
      </c>
      <c r="AG22" s="462" cm="1">
        <f t="array" ref="AG22">_xlfn.IFS(E22="Nieuw",Z22-AE22,E22="Retrofit",Z22,TRUE,0)</f>
        <v>0</v>
      </c>
      <c r="AH22" s="462">
        <f t="shared" si="16"/>
        <v>0</v>
      </c>
      <c r="AI22" s="463">
        <f t="shared" si="17"/>
        <v>0</v>
      </c>
      <c r="AJ22" s="463">
        <f t="shared" si="18"/>
        <v>0</v>
      </c>
      <c r="AK22" s="464">
        <f t="shared" si="19"/>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4"/>
        <v>0</v>
      </c>
      <c r="AF23" s="459">
        <f t="shared" si="15"/>
        <v>0</v>
      </c>
      <c r="AG23" s="462" cm="1">
        <f t="array" ref="AG23">_xlfn.IFS(E23="Nieuw",Z23-AE23,E23="Retrofit",Z23,TRUE,0)</f>
        <v>0</v>
      </c>
      <c r="AH23" s="462">
        <f t="shared" si="16"/>
        <v>0</v>
      </c>
      <c r="AI23" s="463">
        <f t="shared" si="17"/>
        <v>0</v>
      </c>
      <c r="AJ23" s="463">
        <f t="shared" si="18"/>
        <v>0</v>
      </c>
      <c r="AK23" s="464">
        <f t="shared" si="19"/>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4"/>
        <v>0</v>
      </c>
      <c r="AF24" s="459">
        <f t="shared" si="15"/>
        <v>0</v>
      </c>
      <c r="AG24" s="462" cm="1">
        <f t="array" ref="AG24">_xlfn.IFS(E24="Nieuw",Z24-AE24,E24="Retrofit",Z24,TRUE,0)</f>
        <v>0</v>
      </c>
      <c r="AH24" s="462">
        <f t="shared" si="16"/>
        <v>0</v>
      </c>
      <c r="AI24" s="463">
        <f t="shared" si="17"/>
        <v>0</v>
      </c>
      <c r="AJ24" s="463">
        <f t="shared" si="18"/>
        <v>0</v>
      </c>
      <c r="AK24" s="464">
        <f t="shared" si="19"/>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4"/>
        <v>0</v>
      </c>
      <c r="AF25" s="459">
        <f t="shared" si="15"/>
        <v>0</v>
      </c>
      <c r="AG25" s="462" cm="1">
        <f t="array" ref="AG25">_xlfn.IFS(E25="Nieuw",Z25-AE25,E25="Retrofit",Z25,TRUE,0)</f>
        <v>0</v>
      </c>
      <c r="AH25" s="462">
        <f t="shared" si="16"/>
        <v>0</v>
      </c>
      <c r="AI25" s="463">
        <f t="shared" si="17"/>
        <v>0</v>
      </c>
      <c r="AJ25" s="463">
        <f t="shared" si="18"/>
        <v>0</v>
      </c>
      <c r="AK25" s="464">
        <f t="shared" si="19"/>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4"/>
        <v>0</v>
      </c>
      <c r="AF26" s="459">
        <f t="shared" si="15"/>
        <v>0</v>
      </c>
      <c r="AG26" s="462" cm="1">
        <f t="array" ref="AG26">_xlfn.IFS(E26="Nieuw",Z26-AE26,E26="Retrofit",Z26,TRUE,0)</f>
        <v>0</v>
      </c>
      <c r="AH26" s="462">
        <f t="shared" si="16"/>
        <v>0</v>
      </c>
      <c r="AI26" s="463">
        <f t="shared" si="17"/>
        <v>0</v>
      </c>
      <c r="AJ26" s="463">
        <f t="shared" si="18"/>
        <v>0</v>
      </c>
      <c r="AK26" s="464">
        <f t="shared" si="19"/>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4"/>
        <v>0</v>
      </c>
      <c r="AF27" s="459">
        <f t="shared" si="15"/>
        <v>0</v>
      </c>
      <c r="AG27" s="462" cm="1">
        <f t="array" ref="AG27">_xlfn.IFS(E27="Nieuw",Z27-AE27,E27="Retrofit",Z27,TRUE,0)</f>
        <v>0</v>
      </c>
      <c r="AH27" s="462">
        <f t="shared" si="16"/>
        <v>0</v>
      </c>
      <c r="AI27" s="463">
        <f t="shared" si="17"/>
        <v>0</v>
      </c>
      <c r="AJ27" s="463">
        <f t="shared" si="18"/>
        <v>0</v>
      </c>
      <c r="AK27" s="464">
        <f t="shared" si="19"/>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4"/>
        <v>0</v>
      </c>
      <c r="AF28" s="459">
        <f t="shared" si="15"/>
        <v>0</v>
      </c>
      <c r="AG28" s="462" cm="1">
        <f t="array" ref="AG28">_xlfn.IFS(E28="Nieuw",Z28-AE28,E28="Retrofit",Z28,TRUE,0)</f>
        <v>0</v>
      </c>
      <c r="AH28" s="462">
        <f t="shared" si="16"/>
        <v>0</v>
      </c>
      <c r="AI28" s="463">
        <f t="shared" si="17"/>
        <v>0</v>
      </c>
      <c r="AJ28" s="463">
        <f t="shared" si="18"/>
        <v>0</v>
      </c>
      <c r="AK28" s="464">
        <f t="shared" si="19"/>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4"/>
        <v>0</v>
      </c>
      <c r="AF29" s="459">
        <f t="shared" si="15"/>
        <v>0</v>
      </c>
      <c r="AG29" s="462" cm="1">
        <f t="array" ref="AG29">_xlfn.IFS(E29="Nieuw",Z29-AE29,E29="Retrofit",Z29,TRUE,0)</f>
        <v>0</v>
      </c>
      <c r="AH29" s="462">
        <f t="shared" si="16"/>
        <v>0</v>
      </c>
      <c r="AI29" s="463">
        <f t="shared" si="17"/>
        <v>0</v>
      </c>
      <c r="AJ29" s="463">
        <f t="shared" si="18"/>
        <v>0</v>
      </c>
      <c r="AK29" s="464">
        <f t="shared" si="19"/>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4"/>
        <v>0</v>
      </c>
      <c r="AF30" s="459">
        <f t="shared" si="15"/>
        <v>0</v>
      </c>
      <c r="AG30" s="462" cm="1">
        <f t="array" ref="AG30">_xlfn.IFS(E30="Nieuw",Z30-AE30,E30="Retrofit",Z30,TRUE,0)</f>
        <v>0</v>
      </c>
      <c r="AH30" s="462">
        <f t="shared" si="16"/>
        <v>0</v>
      </c>
      <c r="AI30" s="463">
        <f t="shared" si="17"/>
        <v>0</v>
      </c>
      <c r="AJ30" s="463">
        <f t="shared" si="18"/>
        <v>0</v>
      </c>
      <c r="AK30" s="464">
        <f t="shared" si="19"/>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4"/>
        <v>0</v>
      </c>
      <c r="AF31" s="459">
        <f t="shared" si="15"/>
        <v>0</v>
      </c>
      <c r="AG31" s="462" cm="1">
        <f t="array" ref="AG31">_xlfn.IFS(E31="Nieuw",Z31-AE31,E31="Retrofit",Z31,TRUE,0)</f>
        <v>0</v>
      </c>
      <c r="AH31" s="462">
        <f t="shared" si="16"/>
        <v>0</v>
      </c>
      <c r="AI31" s="463">
        <f t="shared" si="17"/>
        <v>0</v>
      </c>
      <c r="AJ31" s="463">
        <f t="shared" si="18"/>
        <v>0</v>
      </c>
      <c r="AK31" s="464">
        <f t="shared" si="19"/>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4"/>
        <v>0</v>
      </c>
      <c r="AF32" s="459">
        <f t="shared" si="15"/>
        <v>0</v>
      </c>
      <c r="AG32" s="462" cm="1">
        <f t="array" ref="AG32">_xlfn.IFS(E32="Nieuw",Z32-AE32,E32="Retrofit",Z32,TRUE,0)</f>
        <v>0</v>
      </c>
      <c r="AH32" s="462">
        <f t="shared" si="16"/>
        <v>0</v>
      </c>
      <c r="AI32" s="463">
        <f t="shared" si="17"/>
        <v>0</v>
      </c>
      <c r="AJ32" s="463">
        <f t="shared" si="18"/>
        <v>0</v>
      </c>
      <c r="AK32" s="464">
        <f t="shared" si="19"/>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49">
        <f t="shared" si="14"/>
        <v>0</v>
      </c>
      <c r="AF33" s="472">
        <f t="shared" si="15"/>
        <v>0</v>
      </c>
      <c r="AG33" s="476" cm="1">
        <f t="array" ref="AG33">_xlfn.IFS(E33="Nieuw",Z33-AE33,E33="Retrofit",Z33,TRUE,0)</f>
        <v>0</v>
      </c>
      <c r="AH33" s="476">
        <f t="shared" si="16"/>
        <v>0</v>
      </c>
      <c r="AI33" s="477">
        <f t="shared" si="17"/>
        <v>0</v>
      </c>
      <c r="AJ33" s="477">
        <f t="shared" si="18"/>
        <v>0</v>
      </c>
      <c r="AK33" s="478">
        <f t="shared" si="19"/>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aRbeykPjyseGGYNhOXTGLzDMTltcsicPE8AGrMm7uoHYOVZZT9Ji45md/GEQBxwzKULZ5BnL5nXBw486E5LWnA==" saltValue="KxwdwPZUEiUzGAJz6PAyrQ==" spinCount="100000" sheet="1" selectLockedCells="1"/>
  <mergeCells count="34">
    <mergeCell ref="B33:C33"/>
    <mergeCell ref="V40:X40"/>
    <mergeCell ref="V41:X41"/>
    <mergeCell ref="B28:C28"/>
    <mergeCell ref="B29:C29"/>
    <mergeCell ref="B30:C30"/>
    <mergeCell ref="B31:C31"/>
    <mergeCell ref="B32:C32"/>
    <mergeCell ref="B23:C23"/>
    <mergeCell ref="B24:C24"/>
    <mergeCell ref="B25:C25"/>
    <mergeCell ref="B26:C26"/>
    <mergeCell ref="B27:C27"/>
    <mergeCell ref="B18:C18"/>
    <mergeCell ref="B19:C19"/>
    <mergeCell ref="B20:C20"/>
    <mergeCell ref="B21:C21"/>
    <mergeCell ref="B22:C22"/>
    <mergeCell ref="V47:X47"/>
    <mergeCell ref="V42:X42"/>
    <mergeCell ref="V43:X43"/>
    <mergeCell ref="V44:X44"/>
    <mergeCell ref="V45:X45"/>
    <mergeCell ref="V46:X46"/>
    <mergeCell ref="C51:F51"/>
    <mergeCell ref="C52:F52"/>
    <mergeCell ref="C53:F53"/>
    <mergeCell ref="C54:F54"/>
    <mergeCell ref="C55:F55"/>
    <mergeCell ref="C58:F58"/>
    <mergeCell ref="C59:F59"/>
    <mergeCell ref="C60:F60"/>
    <mergeCell ref="C61:F61"/>
    <mergeCell ref="C62:F62"/>
  </mergeCells>
  <conditionalFormatting sqref="D64:D79 G65:G79 E67:E82 F80:G80">
    <cfRule type="cellIs" dxfId="65" priority="3" operator="greaterThan">
      <formula>0</formula>
    </cfRule>
  </conditionalFormatting>
  <conditionalFormatting sqref="R19:R23">
    <cfRule type="cellIs" dxfId="64" priority="1" operator="greaterThan">
      <formula>$D19</formula>
    </cfRule>
  </conditionalFormatting>
  <conditionalFormatting sqref="W18:Y18">
    <cfRule type="containsText" dxfId="63"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238B67E-6528-6443-A85E-9D086DD69F81}">
      <formula1>"Ja,Nee"</formula1>
    </dataValidation>
    <dataValidation type="decimal" operator="greaterThan" allowBlank="1" showErrorMessage="1" sqref="AC19:AC20 H19:M33 AB19:AB33 AC22:AC33 AE19:AH33" xr:uid="{7E1FC3C9-2E1C-6046-AFB6-F936DA8EEC0C}">
      <formula1>0</formula1>
    </dataValidation>
  </dataValidations>
  <pageMargins left="0.70866141732283472" right="0.70866141732283472" top="0.74803149606299213" bottom="0.74803149606299213" header="0" footer="0"/>
  <pageSetup paperSize="9" scale="60" orientation="landscape" r:id="rId1"/>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D7CDDA6-798D-FA4F-A351-06DEB10A9C18}">
          <x14:formula1>
            <xm:f>'Categorie H2 Vtg.'!$B$4:$B$20</xm:f>
          </x14:formula1>
          <xm:sqref>B19:C33</xm:sqref>
        </x14:dataValidation>
        <x14:dataValidation type="list" allowBlank="1" showInputMessage="1" showErrorMessage="1" xr:uid="{C3CAD39E-212B-884F-A718-AAAE840B9E83}">
          <x14:formula1>
            <xm:f>'Categorie H2 Vtg.'!$B$46:$B$48</xm:f>
          </x14:formula1>
          <xm:sqref>E19:E33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836E0-B0F3-46D9-BF7C-D90E24A0B782}">
  <sheetPr codeName="Blad13">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50" width="14.44140625" style="32" bestFit="1" customWidth="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w6u3M++KaB2TqtWRtAikxeTrQrye20OcZP8j8+yAYF1wT1hVPt7XrfBjCnsZ+Z2qlAE7OCphYdrRh1sfei541A==" saltValue="MyoFKOO7Xw8Hl5BQd9UmjQ==" spinCount="100000" sheet="1" selectLockedCells="1"/>
  <mergeCells count="34">
    <mergeCell ref="C60:F60"/>
    <mergeCell ref="C61:F61"/>
    <mergeCell ref="C62:F62"/>
    <mergeCell ref="V42:X42"/>
    <mergeCell ref="V43:X43"/>
    <mergeCell ref="V44:X44"/>
    <mergeCell ref="V45:X45"/>
    <mergeCell ref="V46:X46"/>
    <mergeCell ref="V47:X47"/>
    <mergeCell ref="V40:X40"/>
    <mergeCell ref="V41:X41"/>
    <mergeCell ref="B28:C28"/>
    <mergeCell ref="C58:F58"/>
    <mergeCell ref="C59:F59"/>
    <mergeCell ref="B29:C29"/>
    <mergeCell ref="B30:C30"/>
    <mergeCell ref="B31:C31"/>
    <mergeCell ref="B32:C32"/>
    <mergeCell ref="B33:C33"/>
    <mergeCell ref="C51:F51"/>
    <mergeCell ref="C52:F52"/>
    <mergeCell ref="C53:F53"/>
    <mergeCell ref="C54:F54"/>
    <mergeCell ref="C55:F55"/>
    <mergeCell ref="B18:C18"/>
    <mergeCell ref="B19:C19"/>
    <mergeCell ref="B20:C20"/>
    <mergeCell ref="B21:C21"/>
    <mergeCell ref="B22:C22"/>
    <mergeCell ref="B23:C23"/>
    <mergeCell ref="B24:C24"/>
    <mergeCell ref="B25:C25"/>
    <mergeCell ref="B26:C26"/>
    <mergeCell ref="B27:C27"/>
  </mergeCells>
  <conditionalFormatting sqref="D64:D79 G65:G79 E67:E82 F80:G80">
    <cfRule type="cellIs" dxfId="62" priority="3" operator="greaterThan">
      <formula>0</formula>
    </cfRule>
  </conditionalFormatting>
  <conditionalFormatting sqref="R19:R23">
    <cfRule type="cellIs" dxfId="61" priority="1" operator="greaterThan">
      <formula>$D19</formula>
    </cfRule>
  </conditionalFormatting>
  <conditionalFormatting sqref="W18:Y18">
    <cfRule type="containsText" dxfId="60"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413F08D-95E8-C440-BE17-37D05D7CC87D}">
      <formula1>"Ja,Nee"</formula1>
    </dataValidation>
    <dataValidation type="decimal" operator="greaterThan" allowBlank="1" showErrorMessage="1" sqref="AC19:AC20 AE19:AH33 AB19:AB33 AC22:AC33 H19:M33" xr:uid="{CFB4C3B9-3F2E-C348-A9BE-C2E7150E4314}">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3D37F1E5-4207-4340-86E1-CC06DF00A14A}">
          <x14:formula1>
            <xm:f>'Categorie H2 Vtg.'!$B$4:$B$20</xm:f>
          </x14:formula1>
          <xm:sqref>B19:C33</xm:sqref>
        </x14:dataValidation>
        <x14:dataValidation type="list" allowBlank="1" showInputMessage="1" showErrorMessage="1" xr:uid="{1E1F92D0-7D8B-334C-8D29-6BF404A46211}">
          <x14:formula1>
            <xm:f>'Categorie H2 Vtg.'!$B$46:$B$48</xm:f>
          </x14:formula1>
          <xm:sqref>E19:E33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F9989-46F9-47E0-8196-1E347B9F00B4}">
  <sheetPr codeName="Blad14">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50" width="14.44140625" style="32" bestFit="1" customWidth="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vNgTdHvLVNb0kFhGPMsdhZZPZk4szmV5HtlnCaDp2ShHu/pkdnZ3ak5mVTrupjGkeYD8p8nEpSqtGZ3DjDGPWg==" saltValue="r+vp4Ep6QciStSKfWqjPJw==" spinCount="100000" sheet="1" selectLockedCells="1"/>
  <mergeCells count="34">
    <mergeCell ref="B33:C33"/>
    <mergeCell ref="V40:X40"/>
    <mergeCell ref="V41:X41"/>
    <mergeCell ref="B28:C28"/>
    <mergeCell ref="B29:C29"/>
    <mergeCell ref="B30:C30"/>
    <mergeCell ref="B31:C31"/>
    <mergeCell ref="B32:C32"/>
    <mergeCell ref="B23:C23"/>
    <mergeCell ref="B24:C24"/>
    <mergeCell ref="B25:C25"/>
    <mergeCell ref="B26:C26"/>
    <mergeCell ref="B27:C27"/>
    <mergeCell ref="B18:C18"/>
    <mergeCell ref="B19:C19"/>
    <mergeCell ref="B20:C20"/>
    <mergeCell ref="B21:C21"/>
    <mergeCell ref="B22:C22"/>
    <mergeCell ref="V47:X47"/>
    <mergeCell ref="V42:X42"/>
    <mergeCell ref="V43:X43"/>
    <mergeCell ref="V44:X44"/>
    <mergeCell ref="V45:X45"/>
    <mergeCell ref="V46:X46"/>
    <mergeCell ref="C51:F51"/>
    <mergeCell ref="C52:F52"/>
    <mergeCell ref="C53:F53"/>
    <mergeCell ref="C54:F54"/>
    <mergeCell ref="C55:F55"/>
    <mergeCell ref="C58:F58"/>
    <mergeCell ref="C59:F59"/>
    <mergeCell ref="C60:F60"/>
    <mergeCell ref="C61:F61"/>
    <mergeCell ref="C62:F62"/>
  </mergeCells>
  <conditionalFormatting sqref="D64:D79 G65:G79 E67:E82 F80:G80">
    <cfRule type="cellIs" dxfId="59" priority="3" operator="greaterThan">
      <formula>0</formula>
    </cfRule>
  </conditionalFormatting>
  <conditionalFormatting sqref="R19:R23">
    <cfRule type="cellIs" dxfId="58" priority="1" operator="greaterThan">
      <formula>$D19</formula>
    </cfRule>
  </conditionalFormatting>
  <conditionalFormatting sqref="W18:Y18">
    <cfRule type="containsText" dxfId="57"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B9CAC9A-6EEB-A747-AEF0-4FC9E5A7B3EA}">
      <formula1>"Ja,Nee"</formula1>
    </dataValidation>
    <dataValidation type="decimal" operator="greaterThan" allowBlank="1" showErrorMessage="1" sqref="AC19:AC20 AE19:AH33 AB19:AB33 AC22:AC33 H19:M33" xr:uid="{4398473B-21D0-4B4F-BB9C-34413D3DAC9C}">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41C2FF9-6969-B74D-92F2-CA9FE8170017}">
          <x14:formula1>
            <xm:f>'Categorie H2 Vtg.'!$B$4:$B$20</xm:f>
          </x14:formula1>
          <xm:sqref>B19:C33</xm:sqref>
        </x14:dataValidation>
        <x14:dataValidation type="list" allowBlank="1" showInputMessage="1" showErrorMessage="1" xr:uid="{E0CE19EA-2EEB-3F4D-8C4B-754C7FF8854A}">
          <x14:formula1>
            <xm:f>'Categorie H2 Vtg.'!$B$46:$B$48</xm:f>
          </x14:formula1>
          <xm:sqref>E19:E33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7B6A5-2B28-461D-B259-CBF079FEBA9F}">
  <sheetPr codeName="Blad15">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2" width="14.44140625" style="32" bestFit="1" customWidth="1"/>
    <col min="43"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pc8viGa0aPAQ3OAKdl1BhOns4I5o6xEFyOE1zJFpYFyZKWw0/becU/m4VMvYs/mN4p6VYojk2KtAVBWhpeyZtg==" saltValue="An9Y2PoPIfraSQ53wQTAcw==" spinCount="100000" sheet="1" selectLockedCells="1"/>
  <mergeCells count="34">
    <mergeCell ref="B33:C33"/>
    <mergeCell ref="V40:X40"/>
    <mergeCell ref="V41:X41"/>
    <mergeCell ref="B28:C28"/>
    <mergeCell ref="B29:C29"/>
    <mergeCell ref="B30:C30"/>
    <mergeCell ref="B31:C31"/>
    <mergeCell ref="B32:C32"/>
    <mergeCell ref="B23:C23"/>
    <mergeCell ref="B24:C24"/>
    <mergeCell ref="B25:C25"/>
    <mergeCell ref="B26:C26"/>
    <mergeCell ref="B27:C27"/>
    <mergeCell ref="B18:C18"/>
    <mergeCell ref="B19:C19"/>
    <mergeCell ref="B20:C20"/>
    <mergeCell ref="B21:C21"/>
    <mergeCell ref="B22:C22"/>
    <mergeCell ref="V47:X47"/>
    <mergeCell ref="V42:X42"/>
    <mergeCell ref="V43:X43"/>
    <mergeCell ref="V44:X44"/>
    <mergeCell ref="V45:X45"/>
    <mergeCell ref="V46:X46"/>
    <mergeCell ref="C51:F51"/>
    <mergeCell ref="C52:F52"/>
    <mergeCell ref="C53:F53"/>
    <mergeCell ref="C54:F54"/>
    <mergeCell ref="C55:F55"/>
    <mergeCell ref="C58:F58"/>
    <mergeCell ref="C59:F59"/>
    <mergeCell ref="C60:F60"/>
    <mergeCell ref="C61:F61"/>
    <mergeCell ref="C62:F62"/>
  </mergeCells>
  <conditionalFormatting sqref="D64:D79 G65:G79 E67:E82 F80:G80">
    <cfRule type="cellIs" dxfId="56" priority="3" operator="greaterThan">
      <formula>0</formula>
    </cfRule>
  </conditionalFormatting>
  <conditionalFormatting sqref="R19:R23">
    <cfRule type="cellIs" dxfId="55" priority="1" operator="greaterThan">
      <formula>$D19</formula>
    </cfRule>
  </conditionalFormatting>
  <conditionalFormatting sqref="W18:Y18">
    <cfRule type="containsText" dxfId="54"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2F2A94AC-CDE9-4D23-BC96-64303CED7674}">
      <formula1>"Ja,Nee"</formula1>
    </dataValidation>
    <dataValidation type="decimal" operator="greaterThan" allowBlank="1" showErrorMessage="1" sqref="AC19:AC20 AE19:AH33 AB19:AB33 AC22:AC33 H19:M33" xr:uid="{AF36A92C-50C4-4C4D-A1C3-DC2072AFD61D}">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D64D11D-F9A0-4408-939B-DE37AED3D465}">
          <x14:formula1>
            <xm:f>'Categorie H2 Vtg.'!$B$4:$B$20</xm:f>
          </x14:formula1>
          <xm:sqref>B19:C33</xm:sqref>
        </x14:dataValidation>
        <x14:dataValidation type="list" allowBlank="1" showInputMessage="1" showErrorMessage="1" xr:uid="{0BC65CBC-E96C-4DF6-82E4-F9A68BC99496}">
          <x14:formula1>
            <xm:f>'Categorie H2 Vtg.'!$B$46:$B$48</xm:f>
          </x14:formula1>
          <xm:sqref>E19:E33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4F18F-193F-4C96-954C-5D126382A40B}">
  <sheetPr codeName="Blad16">
    <tabColor rgb="FFFFFF00"/>
  </sheetPr>
  <dimension ref="A1:AX105"/>
  <sheetViews>
    <sheetView showGridLines="0" topLeftCell="A4"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2" width="14.44140625" style="32" bestFit="1" customWidth="1"/>
    <col min="43"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Wtg+7UKTRr7wIcj5H3WpoUFQnmWNhBQ4XgXRRD/AFNoOAzCLK0zR9QNVB/TyZYoKEkYAmsdHwObTyCkPuqZ5Q==" saltValue="eprc5rMr6ncC7EFNx4SuXg==" spinCount="100000" sheet="1" selectLockedCells="1"/>
  <mergeCells count="34">
    <mergeCell ref="B33:C33"/>
    <mergeCell ref="V40:X40"/>
    <mergeCell ref="V41:X41"/>
    <mergeCell ref="B28:C28"/>
    <mergeCell ref="B29:C29"/>
    <mergeCell ref="B30:C30"/>
    <mergeCell ref="B31:C31"/>
    <mergeCell ref="B32:C32"/>
    <mergeCell ref="B23:C23"/>
    <mergeCell ref="B24:C24"/>
    <mergeCell ref="B25:C25"/>
    <mergeCell ref="B26:C26"/>
    <mergeCell ref="B27:C27"/>
    <mergeCell ref="B18:C18"/>
    <mergeCell ref="B19:C19"/>
    <mergeCell ref="B20:C20"/>
    <mergeCell ref="B21:C21"/>
    <mergeCell ref="B22:C22"/>
    <mergeCell ref="V47:X47"/>
    <mergeCell ref="V42:X42"/>
    <mergeCell ref="V43:X43"/>
    <mergeCell ref="V44:X44"/>
    <mergeCell ref="V45:X45"/>
    <mergeCell ref="V46:X46"/>
    <mergeCell ref="C51:F51"/>
    <mergeCell ref="C52:F52"/>
    <mergeCell ref="C53:F53"/>
    <mergeCell ref="C54:F54"/>
    <mergeCell ref="C55:F55"/>
    <mergeCell ref="C58:F58"/>
    <mergeCell ref="C59:F59"/>
    <mergeCell ref="C60:F60"/>
    <mergeCell ref="C61:F61"/>
    <mergeCell ref="C62:F62"/>
  </mergeCells>
  <conditionalFormatting sqref="D64:D79 G65:G79 E67:E82 F80:G80">
    <cfRule type="cellIs" dxfId="53" priority="3" operator="greaterThan">
      <formula>0</formula>
    </cfRule>
  </conditionalFormatting>
  <conditionalFormatting sqref="R19:R23">
    <cfRule type="cellIs" dxfId="52" priority="1" operator="greaterThan">
      <formula>$D19</formula>
    </cfRule>
  </conditionalFormatting>
  <conditionalFormatting sqref="W18:Y18">
    <cfRule type="containsText" dxfId="51"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1E051E29-A97C-4FC9-AAE7-1D86923DDFA7}">
      <formula1>"Ja,Nee"</formula1>
    </dataValidation>
    <dataValidation type="decimal" operator="greaterThan" allowBlank="1" showErrorMessage="1" sqref="AC19:AC20 AE19:AH33 AB19:AB33 AC22:AC33 H19:M33" xr:uid="{3162976F-BDBC-4361-8BCE-A0A2158071A5}">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BDE09EE2-9166-4D05-AE73-E51447D01CB9}">
          <x14:formula1>
            <xm:f>'Categorie H2 Vtg.'!$B$4:$B$20</xm:f>
          </x14:formula1>
          <xm:sqref>B19:C33</xm:sqref>
        </x14:dataValidation>
        <x14:dataValidation type="list" allowBlank="1" showInputMessage="1" showErrorMessage="1" xr:uid="{67E2F7DE-0F71-4301-A5D2-1F1A3CA91186}">
          <x14:formula1>
            <xm:f>'Categorie H2 Vtg.'!$B$46:$B$48</xm:f>
          </x14:formula1>
          <xm:sqref>E19:E33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80BC5-3189-49D4-9081-62B38A4BDD6C}">
  <sheetPr codeName="Blad17">
    <tabColor rgb="FFFFFF00"/>
  </sheetPr>
  <dimension ref="A1:AX105"/>
  <sheetViews>
    <sheetView showGridLines="0" topLeftCell="A4"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2" width="14.44140625" style="32" bestFit="1" customWidth="1"/>
    <col min="43"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GRvDXHCK8oGAFBA6bZZmZBQQN7UvFTOFSIvjklcwqbVztD0eJ0wN4a9xdECvMVJ3g14u1kn/afH38S1WRuY2yQ==" saltValue="Bst88Os+t4/bwGqrETPvAg==" spinCount="100000" sheet="1" selectLockedCells="1"/>
  <mergeCells count="34">
    <mergeCell ref="B33:C33"/>
    <mergeCell ref="V40:X40"/>
    <mergeCell ref="V41:X41"/>
    <mergeCell ref="B28:C28"/>
    <mergeCell ref="B29:C29"/>
    <mergeCell ref="B30:C30"/>
    <mergeCell ref="B31:C31"/>
    <mergeCell ref="B32:C32"/>
    <mergeCell ref="B23:C23"/>
    <mergeCell ref="B24:C24"/>
    <mergeCell ref="B25:C25"/>
    <mergeCell ref="B26:C26"/>
    <mergeCell ref="B27:C27"/>
    <mergeCell ref="B18:C18"/>
    <mergeCell ref="B19:C19"/>
    <mergeCell ref="B20:C20"/>
    <mergeCell ref="B21:C21"/>
    <mergeCell ref="B22:C22"/>
    <mergeCell ref="V47:X47"/>
    <mergeCell ref="V42:X42"/>
    <mergeCell ref="V43:X43"/>
    <mergeCell ref="V44:X44"/>
    <mergeCell ref="V45:X45"/>
    <mergeCell ref="V46:X46"/>
    <mergeCell ref="C51:F51"/>
    <mergeCell ref="C52:F52"/>
    <mergeCell ref="C53:F53"/>
    <mergeCell ref="C54:F54"/>
    <mergeCell ref="C55:F55"/>
    <mergeCell ref="C58:F58"/>
    <mergeCell ref="C59:F59"/>
    <mergeCell ref="C60:F60"/>
    <mergeCell ref="C61:F61"/>
    <mergeCell ref="C62:F62"/>
  </mergeCells>
  <conditionalFormatting sqref="D64:D79 G65:G79 E67:E82 F80:G80">
    <cfRule type="cellIs" dxfId="50" priority="3" operator="greaterThan">
      <formula>0</formula>
    </cfRule>
  </conditionalFormatting>
  <conditionalFormatting sqref="R19:R23">
    <cfRule type="cellIs" dxfId="49" priority="1" operator="greaterThan">
      <formula>$D19</formula>
    </cfRule>
  </conditionalFormatting>
  <conditionalFormatting sqref="W18:Y18">
    <cfRule type="containsText" dxfId="48"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2DE68D6-E827-40B9-B0B9-13C49AF2DF6A}">
      <formula1>"Ja,Nee"</formula1>
    </dataValidation>
    <dataValidation type="decimal" operator="greaterThan" allowBlank="1" showErrorMessage="1" sqref="AC19:AC20 AE19:AH33 AB19:AB33 AC22:AC33 H19:M33" xr:uid="{EE68601A-86CC-4717-8427-7B5CD9AF513E}">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3942B62-AA4D-4D44-9497-92184D55F366}">
          <x14:formula1>
            <xm:f>'Categorie H2 Vtg.'!$B$4:$B$20</xm:f>
          </x14:formula1>
          <xm:sqref>B19:C33</xm:sqref>
        </x14:dataValidation>
        <x14:dataValidation type="list" allowBlank="1" showInputMessage="1" showErrorMessage="1" xr:uid="{1E4522EF-B70D-4DA7-83A8-F956B78E6E8A}">
          <x14:formula1>
            <xm:f>'Categorie H2 Vtg.'!$B$46:$B$48</xm:f>
          </x14:formula1>
          <xm:sqref>E19:E33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037D8-851E-4944-9492-70D1172D67BD}">
  <sheetPr codeName="Blad18">
    <tabColor rgb="FFFFFF00"/>
  </sheetPr>
  <dimension ref="A1:AX105"/>
  <sheetViews>
    <sheetView showGridLines="0" topLeftCell="A2"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2" width="14.44140625" style="32" bestFit="1" customWidth="1"/>
    <col min="43"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4QQk5kUZ0WGWV7JwUsqSP63JsRdabBJSztpuw3FecuUyCywEhtwXbo0jHINE4rWS+JpC2hlLNbLEI65xRKq++g==" saltValue="8wSt92EzrWHaA5wuvG674w==" spinCount="100000" sheet="1" selectLockedCells="1"/>
  <mergeCells count="34">
    <mergeCell ref="B33:C33"/>
    <mergeCell ref="V40:X40"/>
    <mergeCell ref="V41:X41"/>
    <mergeCell ref="B28:C28"/>
    <mergeCell ref="B29:C29"/>
    <mergeCell ref="B30:C30"/>
    <mergeCell ref="B31:C31"/>
    <mergeCell ref="B32:C32"/>
    <mergeCell ref="B23:C23"/>
    <mergeCell ref="B24:C24"/>
    <mergeCell ref="B25:C25"/>
    <mergeCell ref="B26:C26"/>
    <mergeCell ref="B27:C27"/>
    <mergeCell ref="B18:C18"/>
    <mergeCell ref="B19:C19"/>
    <mergeCell ref="B20:C20"/>
    <mergeCell ref="B21:C21"/>
    <mergeCell ref="B22:C22"/>
    <mergeCell ref="V47:X47"/>
    <mergeCell ref="V42:X42"/>
    <mergeCell ref="V43:X43"/>
    <mergeCell ref="V44:X44"/>
    <mergeCell ref="V45:X45"/>
    <mergeCell ref="V46:X46"/>
    <mergeCell ref="C51:F51"/>
    <mergeCell ref="C52:F52"/>
    <mergeCell ref="C53:F53"/>
    <mergeCell ref="C54:F54"/>
    <mergeCell ref="C55:F55"/>
    <mergeCell ref="C58:F58"/>
    <mergeCell ref="C59:F59"/>
    <mergeCell ref="C60:F60"/>
    <mergeCell ref="C61:F61"/>
    <mergeCell ref="C62:F62"/>
  </mergeCells>
  <conditionalFormatting sqref="D64:D79 G65:G79 E67:E82 F80:G80">
    <cfRule type="cellIs" dxfId="47" priority="3" operator="greaterThan">
      <formula>0</formula>
    </cfRule>
  </conditionalFormatting>
  <conditionalFormatting sqref="R19:R23">
    <cfRule type="cellIs" dxfId="46" priority="1" operator="greaterThan">
      <formula>$D19</formula>
    </cfRule>
  </conditionalFormatting>
  <conditionalFormatting sqref="W18:Y18">
    <cfRule type="containsText" dxfId="45"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3926D033-E224-455A-B15A-76C5448EB8AE}">
      <formula1>"Ja,Nee"</formula1>
    </dataValidation>
    <dataValidation type="decimal" operator="greaterThan" allowBlank="1" showErrorMessage="1" sqref="AC19:AC20 AE19:AH33 AB19:AB33 AC22:AC33 H19:M33" xr:uid="{60777E4F-ABD1-4A86-BF40-032F64F432B7}">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530693F-8ACF-4749-ABF2-D0E5CBCEDE1A}">
          <x14:formula1>
            <xm:f>'Categorie H2 Vtg.'!$B$4:$B$20</xm:f>
          </x14:formula1>
          <xm:sqref>B19:C33</xm:sqref>
        </x14:dataValidation>
        <x14:dataValidation type="list" allowBlank="1" showInputMessage="1" showErrorMessage="1" xr:uid="{B5251BB2-AF34-4A7A-85A1-42A67C9D9F8E}">
          <x14:formula1>
            <xm:f>'Categorie H2 Vtg.'!$B$46:$B$48</xm:f>
          </x14:formula1>
          <xm:sqref>E19:E33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F3915-8BA4-432A-A583-83839AC15EAA}">
  <sheetPr codeName="Blad19">
    <tabColor rgb="FFFFFF00"/>
  </sheetPr>
  <dimension ref="A1:AX105"/>
  <sheetViews>
    <sheetView showGridLines="0" topLeftCell="B1"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2" width="14.44140625" style="32" bestFit="1" customWidth="1"/>
    <col min="43"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TyTv1JbeiGulzhhTQq/65KmL6mtzgH0IE0WrD5k3aLa8k32a7ssq1uM38+avfh1qMD+NJqQdh58P+qyMRTcRPQ==" saltValue="kYblHGzNG/ubhAkh0vOi9g==" spinCount="100000" sheet="1" selectLockedCells="1"/>
  <mergeCells count="34">
    <mergeCell ref="C61:F61"/>
    <mergeCell ref="C62:F62"/>
    <mergeCell ref="C53:F53"/>
    <mergeCell ref="C54:F54"/>
    <mergeCell ref="C55:F55"/>
    <mergeCell ref="C58:F58"/>
    <mergeCell ref="C59:F59"/>
    <mergeCell ref="B27:C27"/>
    <mergeCell ref="B28:C28"/>
    <mergeCell ref="V47:X47"/>
    <mergeCell ref="V42:X42"/>
    <mergeCell ref="C60:F60"/>
    <mergeCell ref="C52:F52"/>
    <mergeCell ref="C51:F51"/>
    <mergeCell ref="V43:X43"/>
    <mergeCell ref="V44:X44"/>
    <mergeCell ref="V45:X45"/>
    <mergeCell ref="V46:X46"/>
    <mergeCell ref="B23:C23"/>
    <mergeCell ref="V40:X40"/>
    <mergeCell ref="V41:X41"/>
    <mergeCell ref="B18:C18"/>
    <mergeCell ref="B19:C19"/>
    <mergeCell ref="B20:C20"/>
    <mergeCell ref="B21:C21"/>
    <mergeCell ref="B22:C22"/>
    <mergeCell ref="B29:C29"/>
    <mergeCell ref="B30:C30"/>
    <mergeCell ref="B31:C31"/>
    <mergeCell ref="B32:C32"/>
    <mergeCell ref="B33:C33"/>
    <mergeCell ref="B24:C24"/>
    <mergeCell ref="B25:C25"/>
    <mergeCell ref="B26:C26"/>
  </mergeCells>
  <conditionalFormatting sqref="D64:D79 G65:G79 E67:E82 F80:G80">
    <cfRule type="cellIs" dxfId="44" priority="3" operator="greaterThan">
      <formula>0</formula>
    </cfRule>
  </conditionalFormatting>
  <conditionalFormatting sqref="R19:R23">
    <cfRule type="cellIs" dxfId="43" priority="1" operator="greaterThan">
      <formula>$D19</formula>
    </cfRule>
  </conditionalFormatting>
  <conditionalFormatting sqref="W18:Y18">
    <cfRule type="containsText" dxfId="42"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55755F2-AF13-46C6-8728-0548BD52502B}">
      <formula1>"Ja,Nee"</formula1>
    </dataValidation>
    <dataValidation type="decimal" operator="greaterThan" allowBlank="1" showErrorMessage="1" sqref="AC19:AC20 AE19:AH33 AB19:AB33 AC22:AC33 H19:M33" xr:uid="{0C9D5450-5F19-4CC9-801A-3AB1122A1A21}">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EC4886A-C7B5-4398-914A-630F007272DE}">
          <x14:formula1>
            <xm:f>'Categorie H2 Vtg.'!$B$4:$B$20</xm:f>
          </x14:formula1>
          <xm:sqref>B19:C33</xm:sqref>
        </x14:dataValidation>
        <x14:dataValidation type="list" allowBlank="1" showInputMessage="1" showErrorMessage="1" xr:uid="{77CAAD12-CBF6-49D0-91B8-F32CAB89D585}">
          <x14:formula1>
            <xm:f>'Categorie H2 Vtg.'!$B$46:$B$48</xm:f>
          </x14:formula1>
          <xm:sqref>E19:E33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tabColor theme="8" tint="0.79998168889431442"/>
  </sheetPr>
  <dimension ref="A1"/>
  <sheetViews>
    <sheetView showGridLines="0" tabSelected="1" workbookViewId="0">
      <selection activeCell="M19" sqref="M19"/>
    </sheetView>
  </sheetViews>
  <sheetFormatPr defaultColWidth="14.44140625" defaultRowHeight="15" customHeight="1" x14ac:dyDescent="0.3"/>
  <cols>
    <col min="1" max="7" width="9.109375" customWidth="1"/>
    <col min="8" max="8" width="10.44140625" customWidth="1"/>
    <col min="9" max="26" width="9.109375" customWidth="1"/>
  </cols>
  <sheetData/>
  <sheetProtection algorithmName="SHA-512" hashValue="ahNSBY/nbc5iaG2erwRCTP872QcJNjVTbY/UNlZZG/SCbket9fYHoJHlpEB8LJcpczrADPIn3sWzWywcufFg+g==" saltValue="r1o1lOFmlPM2PAewKzuGjQ==" spinCount="100000" sheet="1" objects="1" scenarios="1"/>
  <pageMargins left="0.47244094488188976" right="0.47244094488188976" top="0.98425196850393704" bottom="0.98425196850393704" header="0" footer="0"/>
  <pageSetup paperSize="9" orientation="portrait" r:id="rId1"/>
  <headerFooter>
    <oddFooter>&amp;L_x000D_&amp;1#&amp;"Calibri"&amp;10&amp;K000000 Intern gebruik</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0BC70-D32D-4CAB-A237-EF0467E716EF}">
  <sheetPr codeName="Blad20">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jpoV4nwsi7PagOg32d1rfLWa7l34n8tZqygpcuvYLtqbRXwHrwkHaMHHE6jPMVPKyTCPhFgtoiFsLLRfuRT+GA==" saltValue="wWt/pry2k+G6mNfhBnLdKQ=="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41" priority="3" operator="greaterThan">
      <formula>0</formula>
    </cfRule>
  </conditionalFormatting>
  <conditionalFormatting sqref="R19:R23">
    <cfRule type="cellIs" dxfId="40" priority="1" operator="greaterThan">
      <formula>$D19</formula>
    </cfRule>
  </conditionalFormatting>
  <conditionalFormatting sqref="W18:Y18">
    <cfRule type="containsText" dxfId="39"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E9235842-02CF-4EBB-8356-0A5235D45778}">
      <formula1>"Ja,Nee"</formula1>
    </dataValidation>
    <dataValidation type="decimal" operator="greaterThan" allowBlank="1" showErrorMessage="1" sqref="AC19:AC20 AE19:AH33 AB19:AB33 AC22:AC33 H19:M33" xr:uid="{708F658C-3249-4154-93C6-B607809229BC}">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8F7339B-A65C-47AC-B451-472240F17F56}">
          <x14:formula1>
            <xm:f>'Categorie H2 Vtg.'!$B$4:$B$20</xm:f>
          </x14:formula1>
          <xm:sqref>B19:C33</xm:sqref>
        </x14:dataValidation>
        <x14:dataValidation type="list" allowBlank="1" showInputMessage="1" showErrorMessage="1" xr:uid="{DE30043E-7515-477A-9541-AC8C2349F4ED}">
          <x14:formula1>
            <xm:f>'Categorie H2 Vtg.'!$B$46:$B$48</xm:f>
          </x14:formula1>
          <xm:sqref>E19:E33</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D8A5E-8350-4F59-B6E0-AA8C6D0DD120}">
  <sheetPr codeName="Blad21">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2cPuTd8pfcLE3jfk5iaVBShpS1p0TTMUuEG3sjqyAl3LVLsvSR7qa/RuiSuiB3SqKxhjaGikInE7h8PGs/L9xg==" saltValue="+L3baTDHpYaF6XjOwVpKYQ=="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38" priority="3" operator="greaterThan">
      <formula>0</formula>
    </cfRule>
  </conditionalFormatting>
  <conditionalFormatting sqref="R19:R23">
    <cfRule type="cellIs" dxfId="37" priority="1" operator="greaterThan">
      <formula>$D19</formula>
    </cfRule>
  </conditionalFormatting>
  <conditionalFormatting sqref="W18:Y18">
    <cfRule type="containsText" dxfId="36"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235E368F-5A0B-4F60-ABD9-693BCDD9012A}">
      <formula1>"Ja,Nee"</formula1>
    </dataValidation>
    <dataValidation type="decimal" operator="greaterThan" allowBlank="1" showErrorMessage="1" sqref="AC19:AC20 AE19:AH33 AB19:AB33 AC22:AC33 H19:M33" xr:uid="{337DE1D9-4AB7-4ABA-85CF-E0477C33D3C2}">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3173967-62DB-4C71-80EC-88192A2FD927}">
          <x14:formula1>
            <xm:f>'Categorie H2 Vtg.'!$B$4:$B$20</xm:f>
          </x14:formula1>
          <xm:sqref>B19:C33</xm:sqref>
        </x14:dataValidation>
        <x14:dataValidation type="list" allowBlank="1" showInputMessage="1" showErrorMessage="1" xr:uid="{75CC2582-596C-4986-80FC-E71FA68BDD13}">
          <x14:formula1>
            <xm:f>'Categorie H2 Vtg.'!$B$46:$B$48</xm:f>
          </x14:formula1>
          <xm:sqref>E19:E33</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4B1A2-5150-4EA2-A91F-ADCF2A91CEFD}">
  <sheetPr codeName="Blad22">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f>
        <v>Deelnemer</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aEpQUvz/AC0JCH5n0vqNsL2vye3G9J1i0Bq4ArlCJWHOclzCgDzKlgfo9svWF0juJ+KeVXpowh3QrrHwlSWeQw==" saltValue="Qs7QgQn/l5vYhC5d86pJSw=="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35" priority="3" operator="greaterThan">
      <formula>0</formula>
    </cfRule>
  </conditionalFormatting>
  <conditionalFormatting sqref="R19:R23">
    <cfRule type="cellIs" dxfId="34" priority="1" operator="greaterThan">
      <formula>$D19</formula>
    </cfRule>
  </conditionalFormatting>
  <conditionalFormatting sqref="W18:Y18">
    <cfRule type="containsText" dxfId="33"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AA4B5889-223E-4E6D-B0F9-AFA4ED633D69}">
      <formula1>"Ja,Nee"</formula1>
    </dataValidation>
    <dataValidation type="decimal" operator="greaterThan" allowBlank="1" showErrorMessage="1" sqref="AC19:AC20 AE19:AH33 AB19:AB33 AC22:AC33 H19:M33" xr:uid="{894ACD47-5E45-40F8-9A5A-4712E8FF64E5}">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DE32184-7AE3-4576-8938-ACB6EEE086A3}">
          <x14:formula1>
            <xm:f>'Categorie H2 Vtg.'!$B$4:$B$20</xm:f>
          </x14:formula1>
          <xm:sqref>B19:C33</xm:sqref>
        </x14:dataValidation>
        <x14:dataValidation type="list" allowBlank="1" showInputMessage="1" showErrorMessage="1" xr:uid="{02B680FA-E4C9-4DCC-904B-E6B637EA0931}">
          <x14:formula1>
            <xm:f>'Categorie H2 Vtg.'!$B$46:$B$48</xm:f>
          </x14:formula1>
          <xm:sqref>E19:E33</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3DA45-08A9-4662-BF8C-2D9BABEFF60B}">
  <sheetPr codeName="Blad23">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15")</f>
        <v>Deelnemer 15</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diP3U5jt97/6lEsGeiwMQDbexTTfriwDGfFeFOqQLitu/QACiWfoZ2dbbF6yW6lxcn7wqEVJ2AZnhW2XJ0dPnw==" saltValue="rVdWQr51WTO5ucvUJbvaTw=="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32" priority="3" operator="greaterThan">
      <formula>0</formula>
    </cfRule>
  </conditionalFormatting>
  <conditionalFormatting sqref="R19:R23">
    <cfRule type="cellIs" dxfId="31" priority="1" operator="greaterThan">
      <formula>$D19</formula>
    </cfRule>
  </conditionalFormatting>
  <conditionalFormatting sqref="W18:Y18">
    <cfRule type="containsText" dxfId="30"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019ED7D6-ED02-4192-B1AA-99061F5B9962}">
      <formula1>"Ja,Nee"</formula1>
    </dataValidation>
    <dataValidation type="decimal" operator="greaterThan" allowBlank="1" showErrorMessage="1" sqref="AC19:AC20 AE19:AH33 AB19:AB33 AC22:AC33 H19:M33" xr:uid="{E51A10B9-7DDB-4E91-AA9F-DB1C19E0C94D}">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2AC9120E-8604-4E71-ADAB-2C8387AAA287}">
          <x14:formula1>
            <xm:f>'Categorie H2 Vtg.'!$B$4:$B$20</xm:f>
          </x14:formula1>
          <xm:sqref>B19:C33</xm:sqref>
        </x14:dataValidation>
        <x14:dataValidation type="list" allowBlank="1" showInputMessage="1" showErrorMessage="1" xr:uid="{EEA19396-214F-44D5-800C-D17C0ACE8C59}">
          <x14:formula1>
            <xm:f>'Categorie H2 Vtg.'!$B$46:$B$48</xm:f>
          </x14:formula1>
          <xm:sqref>E19:E33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A0BFC-BB17-447E-8DDA-4AA080E3AF82}">
  <sheetPr codeName="Blad24">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16")</f>
        <v>Deelnemer 16</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U55JCU/j6HKY0jrApva2H+d/Ndmkqm8SJnGM7y7t48Tick4QuPz5moxKzIgZragO8E8vYJ+KJtuz97gDcryX3g==" saltValue="3rRcMTEdeKv/YU4uVVthNQ=="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29" priority="3" operator="greaterThan">
      <formula>0</formula>
    </cfRule>
  </conditionalFormatting>
  <conditionalFormatting sqref="R19:R23">
    <cfRule type="cellIs" dxfId="28" priority="1" operator="greaterThan">
      <formula>$D19</formula>
    </cfRule>
  </conditionalFormatting>
  <conditionalFormatting sqref="W18:Y18">
    <cfRule type="containsText" dxfId="27"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04C420EF-8CAA-449C-A847-B0B0D54C5614}">
      <formula1>"Ja,Nee"</formula1>
    </dataValidation>
    <dataValidation type="decimal" operator="greaterThan" allowBlank="1" showErrorMessage="1" sqref="AC19:AC20 AE19:AH33 AB19:AB33 AC22:AC33 H19:M33" xr:uid="{55154FD9-EA7C-46C7-B846-508B690579F6}">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3ED91BC4-5310-48F5-96A8-168E84E78AFD}">
          <x14:formula1>
            <xm:f>'Categorie H2 Vtg.'!$B$4:$B$20</xm:f>
          </x14:formula1>
          <xm:sqref>B19:C33</xm:sqref>
        </x14:dataValidation>
        <x14:dataValidation type="list" allowBlank="1" showInputMessage="1" showErrorMessage="1" xr:uid="{CCCEA753-1921-4FAD-B1B8-5F16B30BB88B}">
          <x14:formula1>
            <xm:f>'Categorie H2 Vtg.'!$B$46:$B$48</xm:f>
          </x14:formula1>
          <xm:sqref>E19:E33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4866E-09B8-4003-8E15-2AEB54ECDED4}">
  <sheetPr codeName="Blad25">
    <tabColor rgb="FFFFFF00"/>
  </sheetPr>
  <dimension ref="A1:AX105"/>
  <sheetViews>
    <sheetView showGridLines="0" topLeftCell="B1"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17")</f>
        <v>Deelnemer 17</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o5fZfkKViWYZ2DgO72pvdo0PS6FieWZsFQOcF1yzKXsIUdPN8YM9cKQPpEyJslKT5OrjhJehh+y4tnVTaCX1iw==" saltValue="hkqF0+owYHTuczR8IyYxaA=="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26" priority="3" operator="greaterThan">
      <formula>0</formula>
    </cfRule>
  </conditionalFormatting>
  <conditionalFormatting sqref="R19:R23">
    <cfRule type="cellIs" dxfId="25" priority="1" operator="greaterThan">
      <formula>$D19</formula>
    </cfRule>
  </conditionalFormatting>
  <conditionalFormatting sqref="W18:Y18">
    <cfRule type="containsText" dxfId="24"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740A0AFD-CEA5-4F00-8232-574894333697}">
      <formula1>"Ja,Nee"</formula1>
    </dataValidation>
    <dataValidation type="decimal" operator="greaterThan" allowBlank="1" showErrorMessage="1" sqref="AC19:AC20 AE19:AH33 AB19:AB33 AC22:AC33 H19:M33" xr:uid="{21140248-FD70-4119-ACD1-AF0FC79DCE4B}">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7FCFE266-A21F-43E3-940D-B654BAF67E08}">
          <x14:formula1>
            <xm:f>'Categorie H2 Vtg.'!$B$4:$B$20</xm:f>
          </x14:formula1>
          <xm:sqref>B19:C33</xm:sqref>
        </x14:dataValidation>
        <x14:dataValidation type="list" allowBlank="1" showInputMessage="1" showErrorMessage="1" xr:uid="{385EF61B-EAF5-4EEA-BC54-CD892DB785EB}">
          <x14:formula1>
            <xm:f>'Categorie H2 Vtg.'!$B$46:$B$48</xm:f>
          </x14:formula1>
          <xm:sqref>E19:E33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CFEB99-8F26-4F80-97A1-121EA9C91884}">
  <sheetPr codeName="Blad26">
    <tabColor rgb="FFFFFF00"/>
  </sheetPr>
  <dimension ref="A1:AX105"/>
  <sheetViews>
    <sheetView showGridLines="0" topLeftCell="B1"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50" width="14.44140625" style="32" bestFit="1"/>
    <col min="51"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18")</f>
        <v>Deelnemer 18</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BokUiotWc7qzJaaif2fBPe4fRqS51hfAgEzj5G2mZU9sqbwokZn5i/+MXfj8CCRK1on6tlFrn0KftLk0SxzAqA==" saltValue="wbUn1MqKeXRWdZvB14P1XQ=="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23" priority="3" operator="greaterThan">
      <formula>0</formula>
    </cfRule>
  </conditionalFormatting>
  <conditionalFormatting sqref="R19:R23">
    <cfRule type="cellIs" dxfId="22" priority="1" operator="greaterThan">
      <formula>$D19</formula>
    </cfRule>
  </conditionalFormatting>
  <conditionalFormatting sqref="W18:Y18">
    <cfRule type="containsText" dxfId="21"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A8191B13-F9AD-4B29-8B19-B1A0079CD8B9}">
      <formula1>"Ja,Nee"</formula1>
    </dataValidation>
    <dataValidation type="decimal" operator="greaterThan" allowBlank="1" showErrorMessage="1" sqref="AC19:AC20 AE19:AH33 AB19:AB33 AC22:AC33 H19:M33" xr:uid="{61C7D94E-E896-41D0-9BC8-84DF971268B3}">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05A7B5A-67E5-418E-A4A3-B94AEA0D15B6}">
          <x14:formula1>
            <xm:f>'Categorie H2 Vtg.'!$B$4:$B$20</xm:f>
          </x14:formula1>
          <xm:sqref>B19:C33</xm:sqref>
        </x14:dataValidation>
        <x14:dataValidation type="list" allowBlank="1" showInputMessage="1" showErrorMessage="1" xr:uid="{A617E5F5-1655-4F4E-AFD5-8ADE872B2813}">
          <x14:formula1>
            <xm:f>'Categorie H2 Vtg.'!$B$46:$B$48</xm:f>
          </x14:formula1>
          <xm:sqref>E19:E33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09801-0AA5-4B44-8B03-7151029A9A42}">
  <sheetPr codeName="Blad27">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19")</f>
        <v>Deelnemer 19</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mnFRtITADnvMn9I7PPosUhIR8B08UI/Or9NvvDqqtIPlV7Zx9s0WCy0tBTIfkWMTo4M258G2aDWeRAatR5C1mA==" saltValue="AK/OUnWqd74vZ8Mn8hhuMg=="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20" priority="3" operator="greaterThan">
      <formula>0</formula>
    </cfRule>
  </conditionalFormatting>
  <conditionalFormatting sqref="R19:R23">
    <cfRule type="cellIs" dxfId="19" priority="1" operator="greaterThan">
      <formula>$D19</formula>
    </cfRule>
  </conditionalFormatting>
  <conditionalFormatting sqref="W18:Y18">
    <cfRule type="containsText" dxfId="18"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F751DB03-92D2-46A7-89C2-2668859DCA02}">
      <formula1>"Ja,Nee"</formula1>
    </dataValidation>
    <dataValidation type="decimal" operator="greaterThan" allowBlank="1" showErrorMessage="1" sqref="AC19:AC20 AE19:AH33 AB19:AB33 AC22:AC33 H19:M33" xr:uid="{1D1AB437-E044-4E86-9CEA-15C9581A9971}">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6D10772E-E6F8-467A-A064-A764F9E1010A}">
          <x14:formula1>
            <xm:f>'Categorie H2 Vtg.'!$B$4:$B$20</xm:f>
          </x14:formula1>
          <xm:sqref>B19:C33</xm:sqref>
        </x14:dataValidation>
        <x14:dataValidation type="list" allowBlank="1" showInputMessage="1" showErrorMessage="1" xr:uid="{3D91F70A-09DE-4FBC-930C-04C63AD46400}">
          <x14:formula1>
            <xm:f>'Categorie H2 Vtg.'!$B$46:$B$48</xm:f>
          </x14:formula1>
          <xm:sqref>E19:E33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5AD85-E416-4134-924A-A00C44B817DE}">
  <sheetPr codeName="Blad28">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20")</f>
        <v>Deelnemer 20</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QPllMc3/rxAoK2+u97iGSiohCqWAjGA6aXGx7RsdjghnpELp+B5SS+l6bx7TcsR9spefg6h4bUGoIQvi10gCBg==" saltValue="pFrIQC4xYTMdEmea7tzADg=="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17" priority="3" operator="greaterThan">
      <formula>0</formula>
    </cfRule>
  </conditionalFormatting>
  <conditionalFormatting sqref="R19:R23">
    <cfRule type="cellIs" dxfId="16" priority="1" operator="greaterThan">
      <formula>$D19</formula>
    </cfRule>
  </conditionalFormatting>
  <conditionalFormatting sqref="W18:Y18">
    <cfRule type="containsText" dxfId="15"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861799F0-A514-41BF-AA77-324E35DDACB5}">
      <formula1>"Ja,Nee"</formula1>
    </dataValidation>
    <dataValidation type="decimal" operator="greaterThan" allowBlank="1" showErrorMessage="1" sqref="AC19:AC20 AE19:AH33 AB19:AB33 AC22:AC33 H19:M33" xr:uid="{6BE64EC2-E86A-43A1-8E10-1F0632D0561C}">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C2308DD-8C53-4163-8846-10787056BB5C}">
          <x14:formula1>
            <xm:f>'Categorie H2 Vtg.'!$B$4:$B$20</xm:f>
          </x14:formula1>
          <xm:sqref>B19:C33</xm:sqref>
        </x14:dataValidation>
        <x14:dataValidation type="list" allowBlank="1" showInputMessage="1" showErrorMessage="1" xr:uid="{768A8A77-388C-4ED6-A5D5-2061C89EBD36}">
          <x14:formula1>
            <xm:f>'Categorie H2 Vtg.'!$B$46:$B$48</xm:f>
          </x14:formula1>
          <xm:sqref>E19:E33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B8B4D-3517-469C-B5E5-9B3A6AA2C66B}">
  <sheetPr codeName="Blad29">
    <tabColor rgb="FFFFFF00"/>
  </sheetPr>
  <dimension ref="A1:AX105"/>
  <sheetViews>
    <sheetView showGridLines="0" topLeftCell="B1"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21")</f>
        <v>Deelnemer 21</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7T9MBZd8XFAQQoBEdm8s60c5IhWfFlOjGqAxumsKOaD/SX+Mm3ISSarjVP/TxHzEWNlzI8ZAo5/tk1Tntcx7jQ==" saltValue="6T17u3elnisM+iMG4u+2OQ=="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14" priority="3" operator="greaterThan">
      <formula>0</formula>
    </cfRule>
  </conditionalFormatting>
  <conditionalFormatting sqref="R19:R23">
    <cfRule type="cellIs" dxfId="13" priority="1" operator="greaterThan">
      <formula>$D19</formula>
    </cfRule>
  </conditionalFormatting>
  <conditionalFormatting sqref="W18:Y18">
    <cfRule type="containsText" dxfId="12"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62702B1-7110-4262-B367-516C46BF932E}">
      <formula1>"Ja,Nee"</formula1>
    </dataValidation>
    <dataValidation type="decimal" operator="greaterThan" allowBlank="1" showErrorMessage="1" sqref="AC19:AC20 AE19:AH33 AB19:AB33 AC22:AC33 H19:M33" xr:uid="{8F2FFD72-4804-4FEA-A041-B86EEA496CF5}">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17634CEE-C290-4592-973E-D7D95103EAB3}">
          <x14:formula1>
            <xm:f>'Categorie H2 Vtg.'!$B$4:$B$20</xm:f>
          </x14:formula1>
          <xm:sqref>B19:C33</xm:sqref>
        </x14:dataValidation>
        <x14:dataValidation type="list" allowBlank="1" showInputMessage="1" showErrorMessage="1" xr:uid="{692191F7-D4C4-4253-922B-084CF60B1926}">
          <x14:formula1>
            <xm:f>'Categorie H2 Vtg.'!$B$46:$B$48</xm:f>
          </x14:formula1>
          <xm:sqref>E19:E33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3">
    <tabColor theme="8" tint="0.79998168889431442"/>
  </sheetPr>
  <dimension ref="B10:N62"/>
  <sheetViews>
    <sheetView showGridLines="0" zoomScaleNormal="100" workbookViewId="0">
      <selection activeCell="B62" sqref="B62"/>
    </sheetView>
  </sheetViews>
  <sheetFormatPr defaultColWidth="14.44140625" defaultRowHeight="15" customHeight="1" x14ac:dyDescent="0.3"/>
  <cols>
    <col min="1" max="1" width="2.44140625" style="110" customWidth="1"/>
    <col min="2" max="2" width="16.33203125" style="110" customWidth="1"/>
    <col min="3" max="3" width="9.109375" style="110" customWidth="1"/>
    <col min="4" max="4" width="9.6640625" style="110" customWidth="1"/>
    <col min="5" max="5" width="9.109375" style="110" customWidth="1"/>
    <col min="6" max="6" width="10.33203125" style="110" customWidth="1"/>
    <col min="7" max="8" width="9.6640625" style="110" customWidth="1"/>
    <col min="9" max="9" width="11.33203125" style="110" customWidth="1"/>
    <col min="10" max="10" width="11" style="110" customWidth="1"/>
    <col min="11" max="14" width="9.6640625" style="110" customWidth="1"/>
    <col min="15" max="22" width="9.109375" style="110" customWidth="1"/>
    <col min="23" max="26" width="8.44140625" style="110" customWidth="1"/>
    <col min="27" max="16384" width="14.44140625" style="110"/>
  </cols>
  <sheetData>
    <row r="10" spans="2:14" ht="24" customHeight="1" x14ac:dyDescent="0.3">
      <c r="B10" s="145" t="s">
        <v>53</v>
      </c>
      <c r="C10" s="145"/>
      <c r="D10" s="145"/>
      <c r="E10" s="146"/>
      <c r="F10" s="147"/>
      <c r="G10" s="147"/>
      <c r="H10" s="147"/>
      <c r="I10" s="147"/>
      <c r="J10" s="148"/>
      <c r="K10" s="148"/>
      <c r="L10" s="147"/>
      <c r="M10" s="147"/>
      <c r="N10" s="147"/>
    </row>
    <row r="11" spans="2:14" ht="24" customHeight="1" x14ac:dyDescent="0.3">
      <c r="B11" s="149" t="s">
        <v>54</v>
      </c>
      <c r="C11" s="145"/>
      <c r="D11" s="145"/>
      <c r="E11" s="146"/>
      <c r="F11" s="147"/>
      <c r="G11" s="147"/>
      <c r="H11" s="147"/>
      <c r="I11" s="147"/>
      <c r="J11" s="148"/>
      <c r="K11" s="148"/>
      <c r="L11" s="147"/>
      <c r="M11" s="147"/>
      <c r="N11" s="147"/>
    </row>
    <row r="12" spans="2:14" ht="15" customHeight="1" x14ac:dyDescent="0.3">
      <c r="B12" s="150"/>
      <c r="C12" s="145"/>
      <c r="D12" s="151"/>
      <c r="E12" s="147"/>
      <c r="F12" s="148"/>
      <c r="G12" s="148"/>
      <c r="H12" s="148"/>
      <c r="I12" s="148"/>
      <c r="J12" s="148"/>
      <c r="K12" s="148"/>
      <c r="L12" s="148"/>
      <c r="M12" s="148"/>
      <c r="N12" s="148"/>
    </row>
    <row r="13" spans="2:14" ht="15" customHeight="1" x14ac:dyDescent="0.3">
      <c r="B13" s="152" t="s">
        <v>55</v>
      </c>
      <c r="C13" s="153"/>
      <c r="D13" s="154"/>
      <c r="E13" s="154"/>
      <c r="F13" s="153"/>
      <c r="G13" s="153"/>
      <c r="H13" s="153"/>
      <c r="I13" s="153"/>
      <c r="J13" s="153"/>
      <c r="K13" s="153"/>
      <c r="L13" s="153"/>
      <c r="M13" s="153"/>
      <c r="N13" s="153"/>
    </row>
    <row r="14" spans="2:14" ht="121.5" customHeight="1" x14ac:dyDescent="0.3">
      <c r="B14" s="613" t="s">
        <v>56</v>
      </c>
      <c r="C14" s="614"/>
      <c r="D14" s="614"/>
      <c r="E14" s="614"/>
      <c r="F14" s="614"/>
      <c r="G14" s="614"/>
      <c r="H14" s="614"/>
      <c r="I14" s="614"/>
      <c r="J14" s="614"/>
      <c r="K14" s="614"/>
      <c r="L14" s="614"/>
      <c r="M14" s="614"/>
      <c r="N14" s="614"/>
    </row>
    <row r="15" spans="2:14" ht="15" customHeight="1" x14ac:dyDescent="0.3">
      <c r="B15" s="152" t="s">
        <v>57</v>
      </c>
      <c r="C15" s="153"/>
      <c r="D15" s="154"/>
      <c r="E15" s="154"/>
      <c r="F15" s="153"/>
      <c r="G15" s="153"/>
      <c r="H15" s="153"/>
      <c r="I15" s="153"/>
      <c r="J15" s="153"/>
      <c r="K15" s="153"/>
      <c r="L15" s="153"/>
      <c r="M15" s="153"/>
      <c r="N15" s="153"/>
    </row>
    <row r="16" spans="2:14" s="113" customFormat="1" ht="56.25" customHeight="1" x14ac:dyDescent="0.3">
      <c r="B16" s="613" t="s">
        <v>58</v>
      </c>
      <c r="C16" s="613"/>
      <c r="D16" s="613"/>
      <c r="E16" s="613"/>
      <c r="F16" s="613"/>
      <c r="G16" s="613"/>
      <c r="H16" s="613"/>
      <c r="I16" s="613"/>
      <c r="J16" s="613"/>
      <c r="K16" s="613"/>
      <c r="L16" s="613"/>
      <c r="M16" s="613"/>
      <c r="N16" s="613"/>
    </row>
    <row r="17" spans="2:14" ht="15" customHeight="1" x14ac:dyDescent="0.3">
      <c r="B17" s="152" t="s">
        <v>59</v>
      </c>
      <c r="C17" s="153"/>
      <c r="D17" s="153"/>
      <c r="E17" s="153"/>
      <c r="F17" s="153"/>
      <c r="G17" s="153"/>
      <c r="H17" s="153"/>
      <c r="I17" s="153"/>
      <c r="J17" s="153"/>
      <c r="K17" s="153"/>
      <c r="L17" s="153"/>
      <c r="M17" s="153"/>
      <c r="N17" s="153"/>
    </row>
    <row r="18" spans="2:14" s="113" customFormat="1" ht="58.5" customHeight="1" x14ac:dyDescent="0.3">
      <c r="B18" s="615" t="s">
        <v>60</v>
      </c>
      <c r="C18" s="616"/>
      <c r="D18" s="616"/>
      <c r="E18" s="616"/>
      <c r="F18" s="616"/>
      <c r="G18" s="616"/>
      <c r="H18" s="616"/>
      <c r="I18" s="616"/>
      <c r="J18" s="616"/>
      <c r="K18" s="616"/>
      <c r="L18" s="616"/>
      <c r="M18" s="616"/>
      <c r="N18" s="616"/>
    </row>
    <row r="19" spans="2:14" ht="15" customHeight="1" x14ac:dyDescent="0.3">
      <c r="B19" s="156" t="s">
        <v>61</v>
      </c>
      <c r="D19" s="156"/>
      <c r="E19" s="156"/>
      <c r="F19" s="156"/>
      <c r="G19" s="156"/>
      <c r="H19" s="156"/>
      <c r="I19" s="156"/>
      <c r="J19" s="156"/>
      <c r="K19" s="156"/>
      <c r="L19" s="156"/>
      <c r="M19" s="156"/>
      <c r="N19" s="156"/>
    </row>
    <row r="20" spans="2:14" ht="15" customHeight="1" x14ac:dyDescent="0.3">
      <c r="B20" s="156" t="s">
        <v>62</v>
      </c>
      <c r="D20" s="156"/>
      <c r="E20" s="156"/>
      <c r="F20" s="156"/>
      <c r="G20" s="156"/>
      <c r="H20" s="156"/>
      <c r="I20" s="156"/>
      <c r="J20" s="156"/>
      <c r="K20" s="156"/>
      <c r="L20" s="156"/>
      <c r="M20" s="156"/>
      <c r="N20" s="156"/>
    </row>
    <row r="21" spans="2:14" ht="15" customHeight="1" x14ac:dyDescent="0.3">
      <c r="B21" s="156" t="s">
        <v>63</v>
      </c>
      <c r="D21" s="156"/>
      <c r="E21" s="156"/>
      <c r="F21" s="156"/>
      <c r="G21" s="156"/>
      <c r="H21" s="156"/>
      <c r="I21" s="156"/>
      <c r="J21" s="156"/>
      <c r="K21" s="156"/>
      <c r="L21" s="156"/>
      <c r="M21" s="156"/>
      <c r="N21" s="156"/>
    </row>
    <row r="22" spans="2:14" ht="15" customHeight="1" x14ac:dyDescent="0.3">
      <c r="B22" s="156" t="s">
        <v>64</v>
      </c>
      <c r="D22" s="156"/>
      <c r="E22" s="156"/>
      <c r="F22" s="156"/>
      <c r="G22" s="156"/>
      <c r="H22" s="156"/>
      <c r="I22" s="156"/>
      <c r="J22" s="156"/>
      <c r="K22" s="156"/>
      <c r="L22" s="156"/>
      <c r="M22" s="156"/>
      <c r="N22" s="156"/>
    </row>
    <row r="23" spans="2:14" ht="15" customHeight="1" x14ac:dyDescent="0.3">
      <c r="B23" s="156"/>
      <c r="D23" s="156"/>
      <c r="E23" s="156"/>
      <c r="F23" s="156"/>
      <c r="G23" s="156"/>
      <c r="H23" s="156"/>
      <c r="I23" s="156"/>
      <c r="J23" s="156"/>
      <c r="K23" s="156"/>
      <c r="L23" s="156"/>
      <c r="M23" s="156"/>
      <c r="N23" s="156"/>
    </row>
    <row r="24" spans="2:14" ht="15" customHeight="1" x14ac:dyDescent="0.3">
      <c r="B24" s="156" t="s">
        <v>65</v>
      </c>
      <c r="D24" s="156"/>
      <c r="E24" s="156"/>
      <c r="F24" s="156"/>
      <c r="G24" s="156"/>
      <c r="H24" s="156"/>
      <c r="I24" s="156"/>
      <c r="J24" s="156"/>
      <c r="K24" s="156"/>
      <c r="L24" s="156"/>
      <c r="M24" s="156"/>
      <c r="N24" s="156"/>
    </row>
    <row r="25" spans="2:14" ht="15" customHeight="1" x14ac:dyDescent="0.3">
      <c r="B25" s="156" t="s">
        <v>66</v>
      </c>
      <c r="D25" s="156"/>
      <c r="E25" s="156"/>
      <c r="F25" s="156"/>
      <c r="G25" s="156"/>
      <c r="H25" s="156"/>
      <c r="I25" s="156"/>
      <c r="J25" s="156"/>
      <c r="K25" s="156"/>
      <c r="L25" s="156"/>
      <c r="M25" s="156"/>
      <c r="N25" s="156"/>
    </row>
    <row r="26" spans="2:14" ht="15" customHeight="1" x14ac:dyDescent="0.3">
      <c r="B26" s="247" t="s">
        <v>67</v>
      </c>
      <c r="D26" s="156"/>
      <c r="E26" s="156"/>
      <c r="F26" s="156"/>
      <c r="G26" s="156"/>
      <c r="H26" s="156"/>
      <c r="I26" s="156"/>
      <c r="J26" s="156"/>
      <c r="K26" s="156"/>
      <c r="L26" s="156"/>
      <c r="M26" s="156"/>
      <c r="N26" s="156"/>
    </row>
    <row r="27" spans="2:14" ht="15" customHeight="1" x14ac:dyDescent="0.3">
      <c r="B27" s="247" t="s">
        <v>68</v>
      </c>
      <c r="D27" s="156"/>
      <c r="E27" s="156"/>
      <c r="F27" s="156"/>
      <c r="G27" s="156"/>
      <c r="H27" s="156"/>
      <c r="I27" s="156"/>
      <c r="J27" s="156"/>
      <c r="K27" s="156"/>
      <c r="L27" s="156"/>
      <c r="M27" s="156"/>
      <c r="N27" s="156"/>
    </row>
    <row r="28" spans="2:14" ht="15" customHeight="1" x14ac:dyDescent="0.3">
      <c r="B28" s="247" t="s">
        <v>69</v>
      </c>
      <c r="D28" s="156"/>
      <c r="E28" s="156"/>
      <c r="F28" s="156"/>
      <c r="G28" s="156"/>
      <c r="H28" s="156"/>
      <c r="I28" s="156"/>
      <c r="J28" s="156"/>
      <c r="K28" s="156"/>
      <c r="L28" s="156"/>
      <c r="M28" s="156"/>
      <c r="N28" s="156"/>
    </row>
    <row r="29" spans="2:14" ht="15" customHeight="1" x14ac:dyDescent="0.3">
      <c r="B29" s="247"/>
      <c r="D29" s="156"/>
      <c r="E29" s="156"/>
      <c r="F29" s="156"/>
      <c r="G29" s="156"/>
      <c r="H29" s="156"/>
      <c r="I29" s="156"/>
      <c r="J29" s="156"/>
      <c r="K29" s="156"/>
      <c r="L29" s="156"/>
      <c r="M29" s="156"/>
      <c r="N29" s="156"/>
    </row>
    <row r="30" spans="2:14" ht="112.2" customHeight="1" x14ac:dyDescent="0.3">
      <c r="B30" s="619" t="s">
        <v>70</v>
      </c>
      <c r="C30" s="619"/>
      <c r="D30" s="619"/>
      <c r="E30" s="619"/>
      <c r="F30" s="619"/>
      <c r="G30" s="619"/>
      <c r="H30" s="619"/>
      <c r="I30" s="619"/>
      <c r="J30" s="619"/>
      <c r="K30" s="619"/>
      <c r="L30" s="619"/>
      <c r="M30" s="619"/>
      <c r="N30" s="619"/>
    </row>
    <row r="31" spans="2:14" ht="15" customHeight="1" x14ac:dyDescent="0.3">
      <c r="B31" s="155"/>
      <c r="C31" s="156" t="s">
        <v>71</v>
      </c>
      <c r="D31" s="156"/>
      <c r="E31" s="156"/>
      <c r="F31" s="156"/>
      <c r="G31" s="156"/>
      <c r="H31" s="156"/>
      <c r="I31" s="156"/>
      <c r="J31" s="156"/>
      <c r="K31" s="156"/>
      <c r="L31" s="156"/>
      <c r="M31" s="156"/>
      <c r="N31" s="156"/>
    </row>
    <row r="32" spans="2:14" ht="15" customHeight="1" x14ac:dyDescent="0.3">
      <c r="B32" s="152" t="s">
        <v>72</v>
      </c>
      <c r="C32" s="153"/>
      <c r="D32" s="153"/>
      <c r="E32" s="153"/>
      <c r="F32" s="153"/>
      <c r="G32" s="153"/>
      <c r="H32" s="153"/>
      <c r="I32" s="153"/>
      <c r="J32" s="153"/>
      <c r="K32" s="153"/>
      <c r="L32" s="153"/>
      <c r="M32" s="153"/>
      <c r="N32" s="153"/>
    </row>
    <row r="33" spans="2:14" s="114" customFormat="1" ht="15" customHeight="1" x14ac:dyDescent="0.3">
      <c r="B33" s="157"/>
      <c r="C33" s="158"/>
      <c r="D33" s="158"/>
      <c r="E33" s="158"/>
      <c r="F33" s="158"/>
      <c r="G33" s="158"/>
      <c r="H33" s="158"/>
      <c r="I33" s="158"/>
      <c r="J33" s="158"/>
      <c r="K33" s="158"/>
      <c r="L33" s="158"/>
      <c r="M33" s="158"/>
      <c r="N33" s="158"/>
    </row>
    <row r="34" spans="2:14" ht="15" customHeight="1" x14ac:dyDescent="0.3">
      <c r="B34" s="617" t="s">
        <v>73</v>
      </c>
      <c r="C34" s="609"/>
      <c r="D34" s="609"/>
      <c r="E34" s="609"/>
      <c r="F34" s="609"/>
      <c r="G34" s="609"/>
      <c r="H34" s="609"/>
      <c r="I34" s="609"/>
      <c r="J34" s="609"/>
      <c r="K34" s="609"/>
      <c r="L34" s="609"/>
      <c r="M34" s="609"/>
      <c r="N34" s="609"/>
    </row>
    <row r="35" spans="2:14" ht="15" customHeight="1" x14ac:dyDescent="0.3">
      <c r="B35" s="612" t="s">
        <v>341</v>
      </c>
      <c r="C35" s="608"/>
      <c r="D35" s="608"/>
      <c r="E35" s="608"/>
      <c r="F35" s="608"/>
      <c r="G35" s="608"/>
      <c r="H35" s="608"/>
      <c r="I35" s="608"/>
      <c r="J35" s="608"/>
      <c r="K35" s="608"/>
      <c r="L35" s="608"/>
      <c r="M35" s="608"/>
      <c r="N35" s="608"/>
    </row>
    <row r="36" spans="2:14" ht="15" customHeight="1" x14ac:dyDescent="0.3">
      <c r="B36" s="612" t="s">
        <v>74</v>
      </c>
      <c r="C36" s="618"/>
      <c r="D36" s="618"/>
      <c r="E36" s="618"/>
      <c r="F36" s="618"/>
      <c r="G36" s="618"/>
      <c r="H36" s="618"/>
      <c r="I36" s="618"/>
      <c r="J36" s="618"/>
      <c r="K36" s="618"/>
      <c r="L36" s="618"/>
      <c r="M36" s="618"/>
      <c r="N36" s="618"/>
    </row>
    <row r="37" spans="2:14" ht="15" customHeight="1" x14ac:dyDescent="0.3">
      <c r="B37" s="618"/>
      <c r="C37" s="618"/>
      <c r="D37" s="618"/>
      <c r="E37" s="618"/>
      <c r="F37" s="618"/>
      <c r="G37" s="618"/>
      <c r="H37" s="618"/>
      <c r="I37" s="618"/>
      <c r="J37" s="618"/>
      <c r="K37" s="618"/>
      <c r="L37" s="618"/>
      <c r="M37" s="618"/>
      <c r="N37" s="618"/>
    </row>
    <row r="38" spans="2:14" ht="15" customHeight="1" x14ac:dyDescent="0.3">
      <c r="B38" s="608" t="s">
        <v>75</v>
      </c>
      <c r="C38" s="609"/>
      <c r="D38" s="609"/>
      <c r="E38" s="609"/>
      <c r="F38" s="609"/>
      <c r="G38" s="609"/>
      <c r="H38" s="609"/>
      <c r="I38" s="609"/>
      <c r="J38" s="609"/>
      <c r="K38" s="609"/>
      <c r="L38" s="609"/>
      <c r="M38" s="609"/>
      <c r="N38" s="609"/>
    </row>
    <row r="39" spans="2:14" ht="15" customHeight="1" x14ac:dyDescent="0.3">
      <c r="B39" s="608" t="s">
        <v>76</v>
      </c>
      <c r="C39" s="609"/>
      <c r="D39" s="609"/>
      <c r="E39" s="609"/>
      <c r="F39" s="609"/>
      <c r="G39" s="609"/>
      <c r="H39" s="609"/>
      <c r="I39" s="609"/>
      <c r="J39" s="609"/>
      <c r="K39" s="609"/>
      <c r="L39" s="609"/>
      <c r="M39" s="609"/>
      <c r="N39" s="609"/>
    </row>
    <row r="40" spans="2:14" ht="15" customHeight="1" x14ac:dyDescent="0.3">
      <c r="B40" s="608" t="s">
        <v>77</v>
      </c>
      <c r="C40" s="609"/>
      <c r="D40" s="609"/>
      <c r="E40" s="609"/>
      <c r="F40" s="609"/>
      <c r="G40" s="609"/>
      <c r="H40" s="609"/>
      <c r="I40" s="609"/>
      <c r="J40" s="609"/>
      <c r="K40" s="609"/>
      <c r="L40" s="609"/>
      <c r="M40" s="609"/>
      <c r="N40" s="609"/>
    </row>
    <row r="41" spans="2:14" ht="15" customHeight="1" x14ac:dyDescent="0.3">
      <c r="B41" s="608" t="s">
        <v>78</v>
      </c>
      <c r="C41" s="609"/>
      <c r="D41" s="609"/>
      <c r="E41" s="609"/>
      <c r="F41" s="609"/>
      <c r="G41" s="609"/>
      <c r="H41" s="609"/>
      <c r="I41" s="609"/>
      <c r="J41" s="609"/>
      <c r="K41" s="609"/>
      <c r="L41" s="609"/>
      <c r="M41" s="609"/>
      <c r="N41" s="609"/>
    </row>
    <row r="42" spans="2:14" ht="15" customHeight="1" x14ac:dyDescent="0.3">
      <c r="B42" s="159"/>
      <c r="C42" s="159"/>
      <c r="D42" s="159"/>
      <c r="E42" s="159"/>
      <c r="F42" s="159"/>
      <c r="G42" s="159"/>
      <c r="H42" s="159"/>
      <c r="I42" s="159"/>
      <c r="J42" s="159"/>
      <c r="K42" s="159"/>
      <c r="L42" s="159"/>
      <c r="M42" s="159"/>
      <c r="N42" s="159"/>
    </row>
    <row r="43" spans="2:14" ht="15" customHeight="1" x14ac:dyDescent="0.3">
      <c r="B43" s="612" t="s">
        <v>79</v>
      </c>
      <c r="C43" s="609"/>
      <c r="D43" s="609"/>
      <c r="E43" s="609"/>
      <c r="F43" s="609"/>
      <c r="G43" s="609"/>
      <c r="H43" s="609"/>
      <c r="I43" s="609"/>
      <c r="J43" s="609"/>
      <c r="K43" s="609"/>
      <c r="L43" s="609"/>
      <c r="M43" s="609"/>
      <c r="N43" s="609"/>
    </row>
    <row r="44" spans="2:14" ht="15" customHeight="1" x14ac:dyDescent="0.3">
      <c r="B44" s="609"/>
      <c r="C44" s="611"/>
      <c r="D44" s="611"/>
      <c r="E44" s="611"/>
      <c r="F44" s="611"/>
      <c r="G44" s="611"/>
      <c r="H44" s="611"/>
      <c r="I44" s="611"/>
      <c r="J44" s="611"/>
      <c r="K44" s="611"/>
      <c r="L44" s="611"/>
      <c r="M44" s="611"/>
      <c r="N44" s="609"/>
    </row>
    <row r="45" spans="2:14" ht="30" customHeight="1" x14ac:dyDescent="0.3">
      <c r="B45" s="609"/>
      <c r="C45" s="609"/>
      <c r="D45" s="609"/>
      <c r="E45" s="609"/>
      <c r="F45" s="609"/>
      <c r="G45" s="609"/>
      <c r="H45" s="609"/>
      <c r="I45" s="609"/>
      <c r="J45" s="609"/>
      <c r="K45" s="609"/>
      <c r="L45" s="609"/>
      <c r="M45" s="609"/>
      <c r="N45" s="609"/>
    </row>
    <row r="46" spans="2:14" ht="15" customHeight="1" x14ac:dyDescent="0.3">
      <c r="B46" s="152" t="s">
        <v>80</v>
      </c>
      <c r="C46" s="153"/>
      <c r="D46" s="153"/>
      <c r="E46" s="153"/>
      <c r="F46" s="153"/>
      <c r="G46" s="153"/>
      <c r="H46" s="153"/>
      <c r="I46" s="153"/>
      <c r="J46" s="153"/>
      <c r="K46" s="153"/>
      <c r="L46" s="153"/>
      <c r="M46" s="153"/>
      <c r="N46" s="153"/>
    </row>
    <row r="47" spans="2:14" ht="76.2" customHeight="1" x14ac:dyDescent="0.3">
      <c r="B47" s="620" t="s">
        <v>81</v>
      </c>
      <c r="C47" s="609"/>
      <c r="D47" s="609"/>
      <c r="E47" s="609"/>
      <c r="F47" s="609"/>
      <c r="G47" s="609"/>
      <c r="H47" s="609"/>
      <c r="I47" s="609"/>
      <c r="J47" s="609"/>
      <c r="K47" s="609"/>
      <c r="L47" s="609"/>
      <c r="M47" s="609"/>
      <c r="N47" s="609"/>
    </row>
    <row r="48" spans="2:14" ht="46.95" customHeight="1" x14ac:dyDescent="0.3">
      <c r="B48" s="620" t="s">
        <v>82</v>
      </c>
      <c r="C48" s="620"/>
      <c r="D48" s="620"/>
      <c r="E48" s="620"/>
      <c r="F48" s="620"/>
      <c r="G48" s="620"/>
      <c r="H48" s="620"/>
      <c r="I48" s="620"/>
      <c r="J48" s="620"/>
      <c r="K48" s="620"/>
      <c r="L48" s="620"/>
      <c r="M48" s="620"/>
      <c r="N48" s="620"/>
    </row>
    <row r="49" spans="2:14" ht="30.45" customHeight="1" x14ac:dyDescent="0.3">
      <c r="B49" s="620" t="s">
        <v>83</v>
      </c>
      <c r="C49" s="609"/>
      <c r="D49" s="609"/>
      <c r="E49" s="609"/>
      <c r="F49" s="609"/>
      <c r="G49" s="609"/>
      <c r="H49" s="609"/>
      <c r="I49" s="609"/>
      <c r="J49" s="609"/>
      <c r="K49" s="609"/>
      <c r="L49" s="609"/>
      <c r="M49" s="609"/>
      <c r="N49" s="609"/>
    </row>
    <row r="50" spans="2:14" ht="30" customHeight="1" x14ac:dyDescent="0.3">
      <c r="B50" s="240" t="s">
        <v>84</v>
      </c>
      <c r="N50" s="235"/>
    </row>
    <row r="51" spans="2:14" ht="15" customHeight="1" x14ac:dyDescent="0.3">
      <c r="B51" s="152" t="s">
        <v>85</v>
      </c>
      <c r="C51" s="153"/>
      <c r="D51" s="153"/>
      <c r="E51" s="153"/>
      <c r="F51" s="153"/>
      <c r="G51" s="153"/>
      <c r="H51" s="153"/>
      <c r="I51" s="153"/>
      <c r="J51" s="153"/>
      <c r="K51" s="153"/>
      <c r="L51" s="153"/>
      <c r="M51" s="153"/>
      <c r="N51" s="153"/>
    </row>
    <row r="52" spans="2:14" ht="28.2" customHeight="1" x14ac:dyDescent="0.25">
      <c r="B52" s="621" t="s">
        <v>86</v>
      </c>
      <c r="C52" s="622"/>
      <c r="D52" s="622"/>
      <c r="E52" s="622"/>
      <c r="F52" s="622"/>
      <c r="G52" s="622"/>
      <c r="H52" s="622"/>
      <c r="I52" s="622"/>
      <c r="J52" s="622"/>
      <c r="K52" s="622"/>
      <c r="L52" s="622"/>
      <c r="M52" s="622"/>
      <c r="N52" s="622"/>
    </row>
    <row r="53" spans="2:14" ht="13.95" customHeight="1" x14ac:dyDescent="0.3">
      <c r="B53" s="231" t="s">
        <v>87</v>
      </c>
      <c r="C53" s="160"/>
      <c r="D53" s="160"/>
      <c r="E53" s="160"/>
      <c r="F53" s="160"/>
      <c r="J53" s="304"/>
      <c r="K53" s="320" t="s">
        <v>88</v>
      </c>
      <c r="L53" s="320"/>
      <c r="M53" s="320"/>
      <c r="N53" s="304"/>
    </row>
    <row r="54" spans="2:14" ht="15" customHeight="1" x14ac:dyDescent="0.3">
      <c r="B54" s="610" t="s">
        <v>89</v>
      </c>
      <c r="C54" s="609"/>
      <c r="D54" s="609"/>
      <c r="E54" s="609"/>
      <c r="F54" s="609"/>
      <c r="G54" s="609"/>
      <c r="H54" s="609"/>
      <c r="I54" s="609"/>
      <c r="J54" s="609"/>
      <c r="K54" s="609"/>
      <c r="L54" s="609"/>
      <c r="M54" s="609"/>
      <c r="N54" s="609"/>
    </row>
    <row r="55" spans="2:14" ht="15" customHeight="1" x14ac:dyDescent="0.3">
      <c r="B55" s="609"/>
      <c r="C55" s="611"/>
      <c r="D55" s="611"/>
      <c r="E55" s="611"/>
      <c r="F55" s="611"/>
      <c r="G55" s="611"/>
      <c r="H55" s="611"/>
      <c r="I55" s="611"/>
      <c r="J55" s="611"/>
      <c r="K55" s="611"/>
      <c r="L55" s="611"/>
      <c r="M55" s="611"/>
      <c r="N55" s="609"/>
    </row>
    <row r="56" spans="2:14" ht="15" customHeight="1" x14ac:dyDescent="0.3">
      <c r="B56" s="609"/>
      <c r="C56" s="611"/>
      <c r="D56" s="611"/>
      <c r="E56" s="611"/>
      <c r="F56" s="611"/>
      <c r="G56" s="611"/>
      <c r="H56" s="611"/>
      <c r="I56" s="611"/>
      <c r="J56" s="611"/>
      <c r="K56" s="611"/>
      <c r="L56" s="611"/>
      <c r="M56" s="611"/>
      <c r="N56" s="609"/>
    </row>
    <row r="57" spans="2:14" ht="15" customHeight="1" x14ac:dyDescent="0.3">
      <c r="B57" s="609"/>
      <c r="C57" s="609"/>
      <c r="D57" s="609"/>
      <c r="E57" s="609"/>
      <c r="F57" s="609"/>
      <c r="G57" s="609"/>
      <c r="H57" s="609"/>
      <c r="I57" s="609"/>
      <c r="J57" s="609"/>
      <c r="K57" s="609"/>
      <c r="L57" s="609"/>
      <c r="M57" s="609"/>
      <c r="N57" s="609"/>
    </row>
    <row r="58" spans="2:14" ht="15" customHeight="1" x14ac:dyDescent="0.3">
      <c r="B58" s="111"/>
      <c r="C58" s="112"/>
      <c r="D58" s="112"/>
      <c r="E58" s="112"/>
      <c r="F58" s="112"/>
      <c r="G58" s="112"/>
      <c r="H58" s="112"/>
      <c r="I58" s="112"/>
      <c r="J58" s="112"/>
      <c r="K58" s="112"/>
      <c r="L58" s="112"/>
      <c r="M58" s="112"/>
      <c r="N58" s="112"/>
    </row>
    <row r="59" spans="2:14" ht="12.75" customHeight="1" x14ac:dyDescent="0.3">
      <c r="B59" s="112"/>
      <c r="C59" s="112"/>
      <c r="D59" s="112"/>
      <c r="E59" s="112"/>
      <c r="F59" s="112"/>
      <c r="G59" s="112"/>
      <c r="H59" s="112"/>
      <c r="I59" s="112"/>
      <c r="J59" s="112"/>
      <c r="K59" s="112"/>
      <c r="L59" s="112"/>
      <c r="M59" s="112"/>
      <c r="N59" s="112"/>
    </row>
    <row r="60" spans="2:14" ht="16.95" customHeight="1" x14ac:dyDescent="0.3">
      <c r="B60" s="623" t="s">
        <v>380</v>
      </c>
      <c r="C60" s="623"/>
      <c r="D60" s="623"/>
      <c r="E60" s="623"/>
      <c r="F60" s="623"/>
      <c r="G60" s="623"/>
      <c r="H60" s="623"/>
      <c r="I60" s="623"/>
      <c r="J60" s="623"/>
      <c r="K60" s="623"/>
      <c r="L60" s="623"/>
      <c r="M60" s="623"/>
      <c r="N60" s="623"/>
    </row>
    <row r="61" spans="2:14" ht="24.75" customHeight="1" x14ac:dyDescent="0.3">
      <c r="B61" s="623"/>
      <c r="C61" s="623"/>
      <c r="D61" s="623"/>
      <c r="E61" s="623"/>
      <c r="F61" s="623"/>
      <c r="G61" s="623"/>
      <c r="H61" s="623"/>
      <c r="I61" s="623"/>
      <c r="J61" s="623"/>
      <c r="K61" s="623"/>
      <c r="L61" s="623"/>
      <c r="M61" s="623"/>
      <c r="N61" s="623"/>
    </row>
    <row r="62" spans="2:14" ht="12.75" customHeight="1" x14ac:dyDescent="0.3">
      <c r="B62" s="111"/>
      <c r="C62" s="112"/>
      <c r="D62" s="112"/>
      <c r="E62" s="112"/>
      <c r="F62" s="112"/>
    </row>
  </sheetData>
  <sheetProtection algorithmName="SHA-512" hashValue="FqeXkMyyvBu7eOZQQ73M4nosbtvbkWOs4QyqLCe1gv5uv/B46bvhVj9QH4bINFYrLOxI0sOmrtd8Xsq0MuQZwQ==" saltValue="vFvAE/UXPqfH1POGMaSrtQ==" spinCount="100000" sheet="1" selectLockedCells="1"/>
  <mergeCells count="18">
    <mergeCell ref="B48:N48"/>
    <mergeCell ref="B60:N61"/>
    <mergeCell ref="B41:N41"/>
    <mergeCell ref="B54:N57"/>
    <mergeCell ref="B43:N45"/>
    <mergeCell ref="B14:N14"/>
    <mergeCell ref="B16:N16"/>
    <mergeCell ref="B18:N18"/>
    <mergeCell ref="B39:N39"/>
    <mergeCell ref="B40:N40"/>
    <mergeCell ref="B34:N34"/>
    <mergeCell ref="B36:N37"/>
    <mergeCell ref="B38:N38"/>
    <mergeCell ref="B30:N30"/>
    <mergeCell ref="B35:N35"/>
    <mergeCell ref="B47:N47"/>
    <mergeCell ref="B49:N49"/>
    <mergeCell ref="B52:N52"/>
  </mergeCells>
  <pageMargins left="0.23622047244094491" right="0.23622047244094491" top="0.23622047244094491" bottom="0.23622047244094491" header="0" footer="0"/>
  <pageSetup paperSize="9" scale="80" orientation="portrait"/>
  <headerFooter>
    <oddFooter>&amp;L_x000D_&amp;1#&amp;"Calibri"&amp;10&amp;K000000 Intern gebruik</odd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7BA30-D085-476A-B54A-384AAEE1D99B}">
  <sheetPr codeName="Blad30">
    <tabColor rgb="FFFFFF00"/>
  </sheetPr>
  <dimension ref="A1:AX105"/>
  <sheetViews>
    <sheetView showGridLines="0" topLeftCell="B1"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22")</f>
        <v>Deelnemer 22</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ira56HKGiaUB6TL60eMGpvoB3KJn+dflGVx4NvrsdJaQZDhLQaWACH12ROPR+ugL0viMTrqrm6/UrILDX/icqw==" saltValue="imbS9dgG6ZEZAFTJOKQnMA=="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11" priority="3" operator="greaterThan">
      <formula>0</formula>
    </cfRule>
  </conditionalFormatting>
  <conditionalFormatting sqref="R19:R23">
    <cfRule type="cellIs" dxfId="10" priority="1" operator="greaterThan">
      <formula>$D19</formula>
    </cfRule>
  </conditionalFormatting>
  <conditionalFormatting sqref="W18:Y18">
    <cfRule type="containsText" dxfId="9"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03061887-120C-4B0C-9D16-16315010C8E2}">
      <formula1>"Ja,Nee"</formula1>
    </dataValidation>
    <dataValidation type="decimal" operator="greaterThan" allowBlank="1" showErrorMessage="1" sqref="AC19:AC20 AE19:AH33 AB19:AB33 AC22:AC33 H19:M33" xr:uid="{08F7C6BD-7501-4DD4-9481-E5B0A865042D}">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4BE6F0D3-F749-4E3B-A39E-3503AB6D4940}">
          <x14:formula1>
            <xm:f>'Categorie H2 Vtg.'!$B$4:$B$20</xm:f>
          </x14:formula1>
          <xm:sqref>B19:C33</xm:sqref>
        </x14:dataValidation>
        <x14:dataValidation type="list" allowBlank="1" showInputMessage="1" showErrorMessage="1" xr:uid="{340A81BF-8B1E-46F6-80BA-71F30D2C152C}">
          <x14:formula1>
            <xm:f>'Categorie H2 Vtg.'!$B$46:$B$48</xm:f>
          </x14:formula1>
          <xm:sqref>E19:E33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A2808-2F16-49B9-8179-CA28354493A4}">
  <sheetPr codeName="Blad31">
    <tabColor rgb="FFFFFF00"/>
  </sheetPr>
  <dimension ref="A1:AX105"/>
  <sheetViews>
    <sheetView showGridLines="0"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23")</f>
        <v>Deelnemer 23</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Yplaz3UCBvlUTHa9P21zAyMT4YRrZpiU3tp56ehtqL/hEsg5cI624FAfIL9EYWa9v2QslHOVSq0danqKsgMBNg==" saltValue="/HeCoefwQmOzsuho2enGEw=="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8" priority="3" operator="greaterThan">
      <formula>0</formula>
    </cfRule>
  </conditionalFormatting>
  <conditionalFormatting sqref="R19:R23">
    <cfRule type="cellIs" dxfId="7" priority="1" operator="greaterThan">
      <formula>$D19</formula>
    </cfRule>
  </conditionalFormatting>
  <conditionalFormatting sqref="W18:Y18">
    <cfRule type="containsText" dxfId="6"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5A648C7C-C507-4389-924C-178328E58E36}">
      <formula1>"Ja,Nee"</formula1>
    </dataValidation>
    <dataValidation type="decimal" operator="greaterThan" allowBlank="1" showErrorMessage="1" sqref="AC19:AC20 AE19:AH33 AB19:AB33 AC22:AC33 H19:M33" xr:uid="{28924E60-C848-4234-BBAF-ACF0CC806DC9}">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CA235027-D5BD-4374-AC39-5DBCEDCAE03A}">
          <x14:formula1>
            <xm:f>'Categorie H2 Vtg.'!$B$4:$B$20</xm:f>
          </x14:formula1>
          <xm:sqref>B19:C33</xm:sqref>
        </x14:dataValidation>
        <x14:dataValidation type="list" allowBlank="1" showInputMessage="1" showErrorMessage="1" xr:uid="{BD1A477C-754B-40CD-8F76-C3A3B8D05DCB}">
          <x14:formula1>
            <xm:f>'Categorie H2 Vtg.'!$B$46:$B$48</xm:f>
          </x14:formula1>
          <xm:sqref>E19:E33</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D2B9C-3C1C-478A-96FC-E1896394CCD0}">
  <sheetPr codeName="Blad32">
    <tabColor rgb="FFFFFF00"/>
  </sheetPr>
  <dimension ref="A1:AX105"/>
  <sheetViews>
    <sheetView showGridLines="0" topLeftCell="A7"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24")</f>
        <v>Deelnemer 24</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iNv0s+ZSfPxRFTJ8HSuyPZP3nUMH7A7T5R1y5E2NwW9dAdMzQqggn7d9zfYemh95GkPISDinqSEcK9h3kJvnRw==" saltValue="2jjOw3eM14Dd7lj4Gfb7/Q=="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5" priority="3" operator="greaterThan">
      <formula>0</formula>
    </cfRule>
  </conditionalFormatting>
  <conditionalFormatting sqref="R19:R23">
    <cfRule type="cellIs" dxfId="4" priority="1" operator="greaterThan">
      <formula>$D19</formula>
    </cfRule>
  </conditionalFormatting>
  <conditionalFormatting sqref="W18:Y18">
    <cfRule type="containsText" dxfId="3"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8F309AE0-3D3E-441E-85EE-F4E2404CF366}">
      <formula1>"Ja,Nee"</formula1>
    </dataValidation>
    <dataValidation type="decimal" operator="greaterThan" allowBlank="1" showErrorMessage="1" sqref="AC19:AC20 AE19:AH33 AB19:AB33 AC22:AC33 H19:M33" xr:uid="{AE394DE4-04DE-440D-8B9F-A271ED6745E8}">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F72EDA70-B655-4DAE-AD07-F2F0F7E9019A}">
          <x14:formula1>
            <xm:f>'Categorie H2 Vtg.'!$B$4:$B$20</xm:f>
          </x14:formula1>
          <xm:sqref>B19:C33</xm:sqref>
        </x14:dataValidation>
        <x14:dataValidation type="list" allowBlank="1" showInputMessage="1" showErrorMessage="1" xr:uid="{0E571094-7B9D-4976-A4AB-1BD657EE8B8E}">
          <x14:formula1>
            <xm:f>'Categorie H2 Vtg.'!$B$46:$B$48</xm:f>
          </x14:formula1>
          <xm:sqref>E19:E33</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1110E-EFEF-4D97-BF5C-399D0DC6EF99}">
  <sheetPr codeName="Blad33">
    <tabColor rgb="FFFFFF00"/>
  </sheetPr>
  <dimension ref="A1:AX105"/>
  <sheetViews>
    <sheetView showGridLines="0" topLeftCell="A9" zoomScale="80" zoomScaleNormal="80" workbookViewId="0">
      <selection activeCell="B19" sqref="B19:C19"/>
    </sheetView>
  </sheetViews>
  <sheetFormatPr defaultColWidth="14.44140625" defaultRowHeight="15" customHeight="1" x14ac:dyDescent="0.3"/>
  <cols>
    <col min="1" max="1" width="3.44140625" style="31" customWidth="1"/>
    <col min="2" max="2" width="13.44140625" style="32" customWidth="1"/>
    <col min="3" max="3" width="60.44140625" style="33" customWidth="1"/>
    <col min="4" max="4" width="27.44140625" style="33" customWidth="1"/>
    <col min="5" max="6" width="21.44140625" style="33" customWidth="1"/>
    <col min="7" max="7" width="1.44140625" style="31" customWidth="1"/>
    <col min="8" max="8" width="24.44140625" style="406" customWidth="1"/>
    <col min="9" max="9" width="27.44140625" style="34" customWidth="1"/>
    <col min="10" max="10" width="31.109375" style="34" customWidth="1"/>
    <col min="11" max="11" width="33.44140625" style="34" customWidth="1"/>
    <col min="12" max="12" width="1.44140625" style="403" customWidth="1"/>
    <col min="13" max="13" width="24.44140625" style="32" customWidth="1"/>
    <col min="14" max="14" width="25.109375" style="33" customWidth="1"/>
    <col min="15" max="15" width="29.44140625" style="33" customWidth="1"/>
    <col min="16" max="16" width="25.109375" style="33" customWidth="1"/>
    <col min="17" max="17" width="1.44140625" style="30" customWidth="1"/>
    <col min="18" max="18" width="26.44140625" style="33" customWidth="1"/>
    <col min="19" max="19" width="25.109375" style="33" customWidth="1"/>
    <col min="20" max="20" width="30.44140625" style="32" customWidth="1"/>
    <col min="21" max="21" width="29.6640625" style="405" customWidth="1"/>
    <col min="22" max="22" width="12.44140625" style="405" hidden="1" customWidth="1"/>
    <col min="23" max="24" width="21.44140625" style="405" hidden="1" customWidth="1"/>
    <col min="25" max="25" width="28.6640625" style="405" hidden="1" customWidth="1"/>
    <col min="26" max="27" width="24.6640625" style="406" hidden="1" customWidth="1"/>
    <col min="28" max="29" width="24.44140625" style="406" hidden="1" customWidth="1"/>
    <col min="30" max="30" width="23.33203125" style="406" hidden="1" customWidth="1"/>
    <col min="31" max="32" width="25.6640625" style="406" hidden="1" customWidth="1"/>
    <col min="33" max="33" width="25" style="406" hidden="1" customWidth="1"/>
    <col min="34" max="34" width="20.109375" style="406" hidden="1" customWidth="1"/>
    <col min="35" max="35" width="24.109375" style="407" hidden="1" customWidth="1"/>
    <col min="36" max="36" width="24.6640625" style="407" hidden="1" customWidth="1"/>
    <col min="37" max="37" width="21.44140625" style="407" hidden="1" customWidth="1"/>
    <col min="38" max="38" width="13.6640625" style="407" hidden="1" customWidth="1"/>
    <col min="39" max="39" width="14.44140625" style="32" hidden="1" customWidth="1"/>
    <col min="40" max="40" width="14.44140625" style="32" customWidth="1"/>
    <col min="41" max="43" width="14.44140625" style="32" bestFit="1" customWidth="1"/>
    <col min="44" max="16384" width="14.44140625" style="32"/>
  </cols>
  <sheetData>
    <row r="1" spans="1:50" ht="24" customHeight="1" x14ac:dyDescent="0.3">
      <c r="B1" s="31"/>
      <c r="C1" s="31"/>
      <c r="D1" s="31"/>
      <c r="E1" s="31"/>
      <c r="F1" s="31"/>
      <c r="H1" s="509"/>
      <c r="I1" s="403"/>
      <c r="J1" s="403"/>
      <c r="K1" s="403"/>
      <c r="M1" s="31"/>
      <c r="N1" s="31"/>
      <c r="O1" s="31"/>
      <c r="P1" s="31"/>
      <c r="Q1" s="31"/>
      <c r="R1" s="31"/>
      <c r="S1" s="31"/>
      <c r="T1" s="31"/>
    </row>
    <row r="2" spans="1:50" ht="24" customHeight="1" x14ac:dyDescent="0.3">
      <c r="A2" s="536"/>
      <c r="B2" s="537" t="s">
        <v>212</v>
      </c>
      <c r="C2" s="536"/>
      <c r="D2" s="536"/>
      <c r="E2" s="536"/>
      <c r="F2" s="536"/>
      <c r="G2" s="536"/>
      <c r="H2" s="538"/>
      <c r="I2" s="539"/>
      <c r="J2" s="539"/>
      <c r="K2" s="539"/>
      <c r="L2" s="539"/>
      <c r="M2" s="31"/>
      <c r="N2" s="31"/>
      <c r="O2" s="31"/>
      <c r="P2" s="31"/>
      <c r="Q2" s="31"/>
      <c r="R2" s="31"/>
      <c r="S2" s="31"/>
      <c r="T2" s="31"/>
    </row>
    <row r="3" spans="1:50" ht="24" customHeight="1" x14ac:dyDescent="0.3">
      <c r="A3" s="536"/>
      <c r="B3" s="537" t="s">
        <v>268</v>
      </c>
      <c r="C3" s="536"/>
      <c r="D3" s="536"/>
      <c r="E3" s="536"/>
      <c r="F3" s="536"/>
      <c r="G3" s="536"/>
      <c r="H3" s="538"/>
      <c r="I3" s="539"/>
      <c r="J3" s="539"/>
      <c r="K3" s="539"/>
      <c r="L3" s="539"/>
      <c r="M3" s="31"/>
      <c r="N3" s="31"/>
      <c r="O3" s="31"/>
      <c r="P3" s="31"/>
      <c r="Q3" s="31"/>
      <c r="R3" s="31"/>
      <c r="S3" s="31"/>
      <c r="T3" s="31"/>
    </row>
    <row r="4" spans="1:50" ht="24" customHeight="1" x14ac:dyDescent="0.3">
      <c r="A4" s="536"/>
      <c r="B4" s="540"/>
      <c r="C4" s="536"/>
      <c r="D4" s="536"/>
      <c r="E4" s="536"/>
      <c r="F4" s="536"/>
      <c r="G4" s="536"/>
      <c r="H4" s="538"/>
      <c r="I4" s="539"/>
      <c r="J4" s="539"/>
      <c r="K4" s="539"/>
      <c r="L4" s="539"/>
      <c r="M4" s="31"/>
      <c r="N4" s="31"/>
      <c r="O4" s="31"/>
      <c r="P4" s="31"/>
      <c r="Q4" s="31"/>
      <c r="R4" s="31"/>
      <c r="S4" s="31"/>
      <c r="T4" s="31"/>
    </row>
    <row r="5" spans="1:50" ht="16.5" customHeight="1" x14ac:dyDescent="0.3">
      <c r="A5" s="536"/>
      <c r="B5" s="540" t="s">
        <v>269</v>
      </c>
      <c r="C5" s="536"/>
      <c r="D5" s="536"/>
      <c r="E5" s="536"/>
      <c r="F5" s="536"/>
      <c r="G5" s="536"/>
      <c r="N5" s="32"/>
      <c r="O5" s="32"/>
      <c r="P5" s="32"/>
      <c r="Q5" s="31"/>
      <c r="R5" s="32"/>
      <c r="S5" s="32"/>
    </row>
    <row r="6" spans="1:50" ht="16.5" customHeight="1" x14ac:dyDescent="0.3">
      <c r="A6" s="536"/>
      <c r="B6" s="9" t="s">
        <v>270</v>
      </c>
      <c r="C6" s="606"/>
      <c r="D6" s="541" t="str">
        <f>IF(C6="ja","Penvoerder","Deelnemer 25")</f>
        <v>Deelnemer 25</v>
      </c>
      <c r="E6" s="541"/>
      <c r="F6" s="542"/>
      <c r="G6" s="542"/>
      <c r="N6" s="32"/>
      <c r="O6" s="32"/>
      <c r="P6" s="32"/>
      <c r="Q6" s="31"/>
      <c r="R6" s="32"/>
      <c r="S6" s="32"/>
      <c r="U6" s="414"/>
      <c r="V6" s="414"/>
      <c r="W6" s="414"/>
      <c r="X6" s="414"/>
      <c r="Y6" s="414"/>
    </row>
    <row r="7" spans="1:50" ht="16.5" customHeight="1" x14ac:dyDescent="0.3">
      <c r="A7" s="536"/>
      <c r="B7" s="9" t="s">
        <v>125</v>
      </c>
      <c r="C7" s="607"/>
      <c r="D7" s="31"/>
      <c r="E7" s="31"/>
      <c r="F7" s="31"/>
      <c r="N7" s="32"/>
      <c r="O7" s="32"/>
      <c r="P7" s="32"/>
      <c r="Q7" s="31"/>
      <c r="R7" s="32"/>
      <c r="S7" s="32"/>
      <c r="U7" s="414"/>
      <c r="V7" s="414"/>
      <c r="W7" s="414"/>
      <c r="X7" s="414"/>
      <c r="Y7" s="414"/>
    </row>
    <row r="8" spans="1:50" s="30" customFormat="1" ht="16.5" customHeight="1" x14ac:dyDescent="0.3">
      <c r="A8" s="536"/>
      <c r="B8" s="536"/>
      <c r="C8" s="536"/>
      <c r="D8" s="536"/>
      <c r="E8" s="536"/>
      <c r="F8" s="536"/>
      <c r="G8" s="536"/>
      <c r="H8" s="31"/>
      <c r="I8" s="31"/>
      <c r="J8" s="31"/>
      <c r="K8" s="31"/>
      <c r="L8" s="31"/>
      <c r="M8" s="31"/>
      <c r="N8" s="31"/>
      <c r="O8" s="31"/>
      <c r="P8" s="31"/>
      <c r="Q8" s="31"/>
      <c r="R8" s="31"/>
      <c r="S8" s="31"/>
      <c r="T8" s="31"/>
      <c r="U8" s="414"/>
      <c r="V8" s="414"/>
      <c r="W8" s="414"/>
      <c r="X8" s="414"/>
      <c r="Y8" s="414"/>
      <c r="Z8" s="509"/>
      <c r="AA8" s="509"/>
      <c r="AB8" s="509"/>
      <c r="AC8" s="509"/>
      <c r="AD8" s="509"/>
      <c r="AE8" s="509"/>
      <c r="AF8" s="509"/>
      <c r="AG8" s="509"/>
      <c r="AH8" s="509"/>
      <c r="AI8" s="407"/>
      <c r="AJ8" s="407"/>
      <c r="AK8" s="407"/>
      <c r="AL8" s="407"/>
      <c r="AM8" s="31"/>
      <c r="AN8" s="31"/>
      <c r="AO8" s="31"/>
      <c r="AP8" s="31"/>
      <c r="AQ8" s="31"/>
      <c r="AR8" s="31"/>
      <c r="AS8" s="31"/>
      <c r="AT8" s="31"/>
      <c r="AU8" s="31"/>
      <c r="AV8" s="31"/>
      <c r="AW8" s="31"/>
      <c r="AX8" s="31"/>
    </row>
    <row r="9" spans="1:50" s="30" customFormat="1" ht="16.5" customHeight="1" x14ac:dyDescent="0.3">
      <c r="A9" s="536"/>
      <c r="B9" s="543"/>
      <c r="C9" s="539"/>
      <c r="D9" s="31"/>
      <c r="E9" s="31"/>
      <c r="F9" s="536"/>
      <c r="G9" s="536"/>
      <c r="H9" s="31"/>
      <c r="I9" s="31"/>
      <c r="J9" s="31"/>
      <c r="K9" s="31"/>
      <c r="L9" s="31"/>
      <c r="M9" s="31"/>
      <c r="N9" s="31"/>
      <c r="O9" s="31"/>
      <c r="P9" s="31"/>
      <c r="Q9" s="31"/>
      <c r="R9" s="31"/>
      <c r="S9" s="31"/>
      <c r="T9" s="31"/>
      <c r="U9" s="544"/>
      <c r="V9" s="544"/>
      <c r="W9" s="544"/>
      <c r="X9" s="544"/>
      <c r="Y9" s="544"/>
      <c r="Z9" s="509"/>
      <c r="AA9" s="509"/>
      <c r="AB9" s="509"/>
      <c r="AC9" s="509"/>
      <c r="AD9" s="509"/>
      <c r="AE9" s="509"/>
      <c r="AF9" s="509"/>
      <c r="AG9" s="509"/>
      <c r="AH9" s="509"/>
      <c r="AI9" s="407"/>
      <c r="AJ9" s="407"/>
      <c r="AK9" s="407"/>
      <c r="AL9" s="407"/>
      <c r="AM9" s="31"/>
      <c r="AN9" s="31"/>
      <c r="AO9" s="31"/>
      <c r="AP9" s="31"/>
      <c r="AQ9" s="31"/>
      <c r="AR9" s="31"/>
      <c r="AS9" s="31"/>
      <c r="AT9" s="31"/>
      <c r="AU9" s="31"/>
      <c r="AV9" s="31"/>
      <c r="AW9" s="31"/>
      <c r="AX9" s="31"/>
    </row>
    <row r="10" spans="1:50" s="30" customFormat="1" ht="16.5" customHeight="1" x14ac:dyDescent="0.3">
      <c r="A10" s="536"/>
      <c r="B10" s="545" t="s">
        <v>271</v>
      </c>
      <c r="C10" s="546"/>
      <c r="D10" s="547"/>
      <c r="E10" s="547"/>
      <c r="F10" s="548"/>
      <c r="G10" s="31"/>
      <c r="H10" s="31"/>
      <c r="I10" s="31"/>
      <c r="J10" s="31"/>
      <c r="K10" s="31"/>
      <c r="L10" s="31"/>
      <c r="M10" s="31"/>
      <c r="N10" s="31"/>
      <c r="O10" s="31"/>
      <c r="P10" s="31"/>
      <c r="Q10" s="31"/>
      <c r="R10" s="31"/>
      <c r="S10" s="31"/>
      <c r="T10" s="31"/>
      <c r="U10" s="414"/>
      <c r="V10" s="414"/>
      <c r="W10" s="414"/>
      <c r="X10" s="414"/>
      <c r="Y10" s="414"/>
      <c r="Z10" s="509"/>
      <c r="AA10" s="509"/>
      <c r="AB10" s="509"/>
      <c r="AC10" s="509"/>
      <c r="AD10" s="509"/>
      <c r="AE10" s="509"/>
      <c r="AF10" s="509"/>
      <c r="AG10" s="509"/>
      <c r="AH10" s="509"/>
      <c r="AI10" s="407"/>
      <c r="AJ10" s="407"/>
      <c r="AK10" s="407"/>
      <c r="AL10" s="407"/>
      <c r="AM10" s="31"/>
      <c r="AN10" s="31"/>
      <c r="AO10" s="31"/>
      <c r="AP10" s="31"/>
      <c r="AQ10" s="31"/>
      <c r="AR10" s="31"/>
      <c r="AS10" s="31"/>
      <c r="AT10" s="31"/>
      <c r="AU10" s="31"/>
      <c r="AV10" s="31"/>
      <c r="AW10" s="31"/>
      <c r="AX10" s="31"/>
    </row>
    <row r="11" spans="1:50" s="30" customFormat="1" ht="16.5" customHeight="1" x14ac:dyDescent="0.3">
      <c r="A11" s="536"/>
      <c r="B11" s="549" t="s">
        <v>272</v>
      </c>
      <c r="C11" s="548"/>
      <c r="D11" s="548"/>
      <c r="E11" s="548"/>
      <c r="F11" s="548"/>
      <c r="G11" s="31"/>
      <c r="H11" s="31"/>
      <c r="I11" s="31"/>
      <c r="J11" s="31"/>
      <c r="K11" s="31"/>
      <c r="L11" s="31"/>
      <c r="M11" s="31"/>
      <c r="N11" s="31"/>
      <c r="O11" s="31"/>
      <c r="P11" s="31"/>
      <c r="Q11" s="31"/>
      <c r="R11" s="31"/>
      <c r="S11" s="31"/>
      <c r="T11" s="31"/>
      <c r="U11" s="414"/>
      <c r="V11" s="414"/>
      <c r="W11" s="414"/>
      <c r="X11" s="414"/>
      <c r="Y11" s="414"/>
      <c r="Z11" s="509"/>
      <c r="AA11" s="509"/>
      <c r="AB11" s="509"/>
      <c r="AC11" s="509"/>
      <c r="AD11" s="509"/>
      <c r="AE11" s="509"/>
      <c r="AF11" s="509"/>
      <c r="AG11" s="509"/>
      <c r="AH11" s="509"/>
      <c r="AI11" s="407"/>
      <c r="AJ11" s="407"/>
      <c r="AK11" s="407"/>
      <c r="AL11" s="407"/>
      <c r="AM11" s="31"/>
      <c r="AN11" s="31"/>
      <c r="AO11" s="31"/>
      <c r="AP11" s="31"/>
      <c r="AQ11" s="31"/>
      <c r="AR11" s="31"/>
      <c r="AS11" s="31"/>
      <c r="AT11" s="31"/>
      <c r="AU11" s="31"/>
      <c r="AV11" s="31"/>
      <c r="AW11" s="31"/>
      <c r="AX11" s="31"/>
    </row>
    <row r="12" spans="1:50" s="30" customFormat="1" ht="16.5" customHeight="1" x14ac:dyDescent="0.3">
      <c r="A12" s="536"/>
      <c r="B12" s="549" t="s">
        <v>273</v>
      </c>
      <c r="C12" s="548"/>
      <c r="D12" s="548"/>
      <c r="E12" s="548"/>
      <c r="F12" s="548"/>
      <c r="G12" s="31"/>
      <c r="H12" s="31"/>
      <c r="I12" s="31"/>
      <c r="J12" s="31"/>
      <c r="K12" s="31"/>
      <c r="L12" s="31"/>
      <c r="M12" s="31"/>
      <c r="N12" s="31"/>
      <c r="O12" s="31"/>
      <c r="P12" s="31"/>
      <c r="Q12" s="31"/>
      <c r="R12" s="31"/>
      <c r="S12" s="31"/>
      <c r="T12" s="31"/>
      <c r="U12" s="414"/>
      <c r="V12" s="414"/>
      <c r="W12" s="414"/>
      <c r="X12" s="414"/>
      <c r="Y12" s="414"/>
      <c r="Z12" s="509"/>
      <c r="AA12" s="509"/>
      <c r="AB12" s="509"/>
      <c r="AC12" s="509"/>
      <c r="AD12" s="509"/>
      <c r="AE12" s="509"/>
      <c r="AF12" s="509"/>
      <c r="AG12" s="509"/>
      <c r="AH12" s="509"/>
      <c r="AI12" s="407"/>
      <c r="AJ12" s="407"/>
      <c r="AK12" s="407"/>
      <c r="AL12" s="407"/>
      <c r="AM12" s="31"/>
      <c r="AN12" s="31"/>
      <c r="AO12" s="31"/>
      <c r="AP12" s="31"/>
      <c r="AQ12" s="31"/>
      <c r="AR12" s="31"/>
      <c r="AS12" s="31"/>
      <c r="AT12" s="31"/>
      <c r="AU12" s="31"/>
      <c r="AV12" s="31"/>
      <c r="AW12" s="31"/>
      <c r="AX12" s="31"/>
    </row>
    <row r="13" spans="1:50" s="33" customFormat="1" ht="16.5" customHeight="1" x14ac:dyDescent="0.3">
      <c r="A13" s="536"/>
      <c r="B13" s="549" t="s">
        <v>274</v>
      </c>
      <c r="C13" s="546"/>
      <c r="D13" s="547"/>
      <c r="E13" s="547"/>
      <c r="F13" s="548"/>
      <c r="G13" s="31"/>
      <c r="H13" s="32"/>
      <c r="I13" s="32"/>
      <c r="J13" s="32"/>
      <c r="K13" s="32"/>
      <c r="L13" s="31"/>
      <c r="M13" s="32"/>
      <c r="N13" s="32"/>
      <c r="O13" s="32"/>
      <c r="P13" s="32"/>
      <c r="Q13" s="31"/>
      <c r="R13" s="31"/>
      <c r="S13" s="31"/>
      <c r="T13" s="31"/>
      <c r="U13" s="414"/>
      <c r="V13" s="414"/>
      <c r="W13" s="414"/>
      <c r="X13" s="414"/>
      <c r="Y13" s="414"/>
      <c r="Z13" s="406"/>
      <c r="AA13" s="406"/>
      <c r="AB13" s="406"/>
      <c r="AC13" s="406"/>
      <c r="AD13" s="406"/>
      <c r="AE13" s="406"/>
      <c r="AF13" s="406"/>
      <c r="AG13" s="406"/>
      <c r="AH13" s="406"/>
      <c r="AI13" s="407"/>
      <c r="AJ13" s="407"/>
      <c r="AK13" s="407"/>
      <c r="AL13" s="407"/>
      <c r="AM13" s="32"/>
      <c r="AN13" s="32"/>
      <c r="AO13" s="32"/>
      <c r="AP13" s="32"/>
      <c r="AQ13" s="32"/>
      <c r="AR13" s="32"/>
      <c r="AS13" s="32"/>
      <c r="AT13" s="32"/>
      <c r="AU13" s="32"/>
      <c r="AV13" s="32"/>
      <c r="AW13" s="32"/>
      <c r="AX13" s="32"/>
    </row>
    <row r="14" spans="1:50" ht="16.5" customHeight="1" x14ac:dyDescent="0.3">
      <c r="A14" s="28"/>
      <c r="B14" s="549" t="s">
        <v>275</v>
      </c>
      <c r="C14" s="550"/>
      <c r="D14" s="550"/>
      <c r="E14" s="550"/>
      <c r="F14" s="548"/>
      <c r="N14" s="32"/>
      <c r="O14" s="405"/>
      <c r="P14" s="32"/>
      <c r="Q14" s="414"/>
      <c r="R14" s="405"/>
      <c r="S14" s="405"/>
      <c r="T14" s="414"/>
    </row>
    <row r="15" spans="1:50" ht="16.5" customHeight="1" x14ac:dyDescent="0.3">
      <c r="A15" s="28"/>
      <c r="B15" s="549" t="s">
        <v>276</v>
      </c>
      <c r="C15" s="546"/>
      <c r="D15" s="547"/>
      <c r="E15" s="547"/>
      <c r="F15" s="548"/>
      <c r="K15" s="551"/>
      <c r="M15" s="552" t="str">
        <f>IF(AND(D44=0,OR(F19&gt;0,F20&gt;0,F21&gt;0,F22&gt;0,F23&gt;0,F24&gt;0,F25&gt;0,F25&gt;0,F26&gt;0,F27&gt;0,F28&gt;0,F27&gt;0,F28&gt;0,F29&gt;0,F30&gt;0,F31&gt;0,F32&gt;0,F33&gt;0,H19&gt;0,H20&gt;0,H21&gt;0,H22&gt;0,H23&gt;0,H24&gt;0,H25&gt;0,H26&gt;0,H27&gt;0,H28&gt;0,H27&gt;0,H28&gt;0,H29&gt;0,H30&gt;0,H31&gt;0,H32&gt;0,H33&gt;0,J19&gt;0,J20&gt;0,J21&gt;0,J22&gt;0,J23&gt;0,J24&gt;0,J25&gt;0,J26&gt;0,J27&gt;0,J28&gt;0,J29&gt;0,J30&gt;0,J31&gt;0,J32&gt;0,J33&gt;0,R19&gt;0,R20&gt;0,R21&gt;0,R22&gt;0,R23&gt;0,R24&gt;0,R25&gt;0,R26&gt;0,R27&gt;0,R28&gt;0,R29&gt;0,R30&gt;0,R31&gt;0,R32&gt;0,R33&gt;0)),"U moet nog kosten of het gevraagde subsidiebedrag invullen.","")</f>
        <v/>
      </c>
      <c r="N15" s="548"/>
      <c r="O15" s="553"/>
      <c r="P15" s="548"/>
      <c r="Q15" s="553"/>
      <c r="R15" s="553"/>
      <c r="S15" s="553"/>
      <c r="T15" s="553"/>
      <c r="U15" s="414"/>
      <c r="V15" s="554" t="s">
        <v>277</v>
      </c>
      <c r="W15" s="554"/>
      <c r="X15" s="554"/>
      <c r="Y15" s="554"/>
      <c r="Z15" s="554"/>
      <c r="AA15" s="554"/>
      <c r="AB15" s="554"/>
      <c r="AC15" s="554"/>
      <c r="AD15" s="554"/>
      <c r="AE15" s="554"/>
      <c r="AF15" s="554"/>
      <c r="AG15" s="554"/>
      <c r="AH15" s="554"/>
      <c r="AI15" s="554"/>
      <c r="AJ15" s="554"/>
      <c r="AK15" s="554"/>
      <c r="AL15" s="554"/>
      <c r="AM15" s="554"/>
    </row>
    <row r="16" spans="1:50" ht="16.5" customHeight="1" x14ac:dyDescent="0.3">
      <c r="A16" s="28"/>
      <c r="B16" s="549" t="s">
        <v>278</v>
      </c>
      <c r="C16" s="555"/>
      <c r="D16" s="550"/>
      <c r="E16" s="550"/>
      <c r="F16" s="556"/>
      <c r="G16" s="557"/>
      <c r="H16" s="558"/>
      <c r="I16" s="558"/>
      <c r="J16" s="558"/>
      <c r="K16" s="558"/>
      <c r="L16" s="559"/>
      <c r="M16" s="560" t="str">
        <f>IF(OR((T19-O19&gt;0),(T20-O20&gt;0),(T21-O21&gt;0),(T22-O22&gt;0),(T23-O23&gt;0),(T24-O24&gt;0),(T25-O25&gt;0),(T26-O26&gt;0),(T27-O27&gt;0),(T28-O28&gt;0),(T28-O28&gt;0),(T29-O29&gt;0),(T30-O30&gt;0),(T31-O31&gt;0),(T32-O32&gt;0),(T33-O33&gt;0),(AND(D44&gt;0,D44-D43&gt;0))),"De gevraagde subsidie bedrag voor één of meerdere voertuigen/werktuigen is hoger dan het de maximale subsidie. Dit zal in de beoordeling door RVO gecorrigeerd worden.","")</f>
        <v/>
      </c>
      <c r="N16" s="548"/>
      <c r="O16" s="553"/>
      <c r="P16" s="548"/>
      <c r="Q16" s="553"/>
      <c r="R16" s="553"/>
      <c r="S16" s="553"/>
      <c r="T16" s="553"/>
      <c r="V16" s="554"/>
      <c r="W16" s="554"/>
      <c r="X16" s="554"/>
      <c r="Y16" s="554"/>
      <c r="Z16" s="554"/>
      <c r="AA16" s="554"/>
      <c r="AB16" s="554"/>
      <c r="AC16" s="554"/>
      <c r="AD16" s="554"/>
      <c r="AE16" s="554"/>
      <c r="AF16" s="554"/>
      <c r="AG16" s="554"/>
      <c r="AH16" s="554"/>
      <c r="AI16" s="554"/>
      <c r="AJ16" s="554"/>
      <c r="AK16" s="554"/>
      <c r="AL16" s="554"/>
      <c r="AM16" s="554"/>
    </row>
    <row r="17" spans="1:39" ht="16.5" customHeight="1" thickBot="1" x14ac:dyDescent="0.35">
      <c r="A17" s="536"/>
      <c r="C17" s="31"/>
      <c r="D17" s="31"/>
      <c r="E17" s="31"/>
      <c r="F17" s="31"/>
      <c r="H17" s="538"/>
      <c r="I17" s="539"/>
      <c r="J17" s="539"/>
      <c r="K17" s="539"/>
      <c r="L17" s="539"/>
      <c r="M17" s="31"/>
      <c r="N17" s="31"/>
      <c r="O17" s="31"/>
      <c r="P17" s="31"/>
      <c r="Q17" s="31"/>
      <c r="R17" s="31"/>
      <c r="S17" s="31"/>
      <c r="T17" s="31"/>
      <c r="V17" s="405" t="str">
        <f>IF(AND(V19&gt;F19,V20&gt;F20,V21&gt;F21,V22&gt;F22,V23&gt;F23,V24&gt;F24,V25&gt;F25,V26&gt;F26,V27&gt;F27,V28&gt;F28,V29&gt;F29,V30&gt;F30,V31&gt;F31,V32&gt;F32,V33&gt;F33),"Let op! Het aantal gecorriggeerde voertuigen is groter dan het opgegeven aantal voertuigen","")</f>
        <v/>
      </c>
    </row>
    <row r="18" spans="1:39" ht="54" customHeight="1" x14ac:dyDescent="0.3">
      <c r="A18" s="561"/>
      <c r="B18" s="705" t="s">
        <v>279</v>
      </c>
      <c r="C18" s="705"/>
      <c r="D18" s="435" t="s">
        <v>280</v>
      </c>
      <c r="E18" s="435" t="s">
        <v>281</v>
      </c>
      <c r="F18" s="26" t="s">
        <v>282</v>
      </c>
      <c r="G18" s="562"/>
      <c r="H18" s="26" t="s">
        <v>283</v>
      </c>
      <c r="I18" s="26" t="s">
        <v>284</v>
      </c>
      <c r="J18" s="26" t="s">
        <v>285</v>
      </c>
      <c r="K18" s="26" t="s">
        <v>286</v>
      </c>
      <c r="L18" s="562"/>
      <c r="M18" s="26" t="s">
        <v>287</v>
      </c>
      <c r="N18" s="26" t="s">
        <v>288</v>
      </c>
      <c r="O18" s="26" t="s">
        <v>289</v>
      </c>
      <c r="P18" s="26" t="s">
        <v>290</v>
      </c>
      <c r="Q18" s="562"/>
      <c r="R18" s="26" t="s">
        <v>291</v>
      </c>
      <c r="S18" s="26" t="s">
        <v>292</v>
      </c>
      <c r="T18" s="26" t="s">
        <v>293</v>
      </c>
      <c r="V18" s="437" t="s">
        <v>294</v>
      </c>
      <c r="W18" s="438" t="s">
        <v>295</v>
      </c>
      <c r="X18" s="439" t="s">
        <v>332</v>
      </c>
      <c r="Y18" s="439" t="s">
        <v>296</v>
      </c>
      <c r="Z18" s="440" t="s">
        <v>297</v>
      </c>
      <c r="AA18" s="441" t="s">
        <v>298</v>
      </c>
      <c r="AB18" s="442" t="s">
        <v>299</v>
      </c>
      <c r="AC18" s="440" t="s">
        <v>300</v>
      </c>
      <c r="AD18" s="440" t="s">
        <v>325</v>
      </c>
      <c r="AE18" s="440" t="s">
        <v>302</v>
      </c>
      <c r="AF18" s="441" t="s">
        <v>303</v>
      </c>
      <c r="AG18" s="443" t="s">
        <v>304</v>
      </c>
      <c r="AH18" s="443" t="s">
        <v>305</v>
      </c>
      <c r="AI18" s="443" t="s">
        <v>289</v>
      </c>
      <c r="AJ18" s="443" t="s">
        <v>306</v>
      </c>
      <c r="AK18" s="443" t="s">
        <v>307</v>
      </c>
      <c r="AL18" s="32"/>
      <c r="AM18" s="563" t="str">
        <f>IF(SUM(AM19:AM33)&lt;&gt;0, "wijziging aantal voer-/werktuigen "&amp;SUM(AM19:AM33),"")</f>
        <v/>
      </c>
    </row>
    <row r="19" spans="1:39" ht="16.5" customHeight="1" x14ac:dyDescent="0.3">
      <c r="A19" s="445" t="str">
        <f t="shared" ref="A19:A33" si="0">IF(D19&gt;1,"Voertuig","")</f>
        <v/>
      </c>
      <c r="B19" s="706" t="s">
        <v>4</v>
      </c>
      <c r="C19" s="707"/>
      <c r="D19" s="446">
        <f>VLOOKUP(B19,'Categorie H2 Vtg.'!$B$4:$C$20,2,FALSE)</f>
        <v>1.0000000000000001E-15</v>
      </c>
      <c r="E19" s="102"/>
      <c r="F19" s="38"/>
      <c r="G19" s="564"/>
      <c r="H19" s="39"/>
      <c r="I19" s="449">
        <f t="shared" ref="I19:I33" si="1">H19*F19</f>
        <v>0</v>
      </c>
      <c r="J19" s="39"/>
      <c r="K19" s="449">
        <f t="shared" ref="K19:K33" si="2">IF(E19="Nieuw",(F19*J19),0)</f>
        <v>0</v>
      </c>
      <c r="L19" s="565"/>
      <c r="M19" s="446" cm="1">
        <f t="array" ref="M19">_xlfn.IFS(E19="Nieuw",H19-J19,E19="Retrofit",H19,TRUE,0)</f>
        <v>0</v>
      </c>
      <c r="N19" s="446">
        <f t="shared" ref="N19:N33" si="3">IFERROR(F19*M19,0)</f>
        <v>0</v>
      </c>
      <c r="O19" s="446">
        <f t="shared" ref="O19:O33" si="4">IF(0.8*N19&gt;F19*D19,F19*D19,0.8*N19)</f>
        <v>0</v>
      </c>
      <c r="P19" s="446">
        <f t="shared" ref="P19:P33" si="5">IF(O19&gt;0,O19/F19, 0)</f>
        <v>0</v>
      </c>
      <c r="Q19" s="566"/>
      <c r="R19" s="40"/>
      <c r="S19" s="452" t="str">
        <f t="shared" ref="S19:S33" si="6">IF(R19&gt;0,R19/(O19/F19),"")</f>
        <v/>
      </c>
      <c r="T19" s="453">
        <f t="shared" ref="T19:T33" si="7">F19*R19</f>
        <v>0</v>
      </c>
      <c r="U19" s="567" t="str">
        <f t="shared" ref="U19:U33" si="8">IF(AND(O19&gt;0,R19=0),"Vul het gevraagde subsidiebedrag in","")</f>
        <v/>
      </c>
      <c r="V19" s="455">
        <f t="shared" ref="V19:V33" si="9">F19</f>
        <v>0</v>
      </c>
      <c r="W19" s="456">
        <f t="shared" ref="W19:W33" si="10">H19</f>
        <v>0</v>
      </c>
      <c r="X19" s="457"/>
      <c r="Y19" s="458"/>
      <c r="Z19" s="449">
        <f t="shared" ref="Z19:Z33" si="11">W19-X19</f>
        <v>0</v>
      </c>
      <c r="AA19" s="459">
        <f t="shared" ref="AA19:AA33" si="12">Z19*V19</f>
        <v>0</v>
      </c>
      <c r="AB19" s="460">
        <f t="shared" ref="AB19:AB33" si="13">J19</f>
        <v>0</v>
      </c>
      <c r="AC19" s="448"/>
      <c r="AD19" s="461"/>
      <c r="AE19" s="449">
        <f>IF(AC19=0,AB19,AC19)</f>
        <v>0</v>
      </c>
      <c r="AF19" s="459">
        <f t="shared" ref="AF19:AF33" si="14">AE19*V19</f>
        <v>0</v>
      </c>
      <c r="AG19" s="462" cm="1">
        <f t="array" ref="AG19">_xlfn.IFS(E19="Nieuw",Z19-AE19,E19="Retrofit",Z19,TRUE,0)</f>
        <v>0</v>
      </c>
      <c r="AH19" s="462">
        <f t="shared" ref="AH19:AH33" si="15">AG19*V19</f>
        <v>0</v>
      </c>
      <c r="AI19" s="463">
        <f t="shared" ref="AI19:AI33" si="16">IF(0.8*AH19&gt;V19*D19,V19*D19,0.8*AH19)</f>
        <v>0</v>
      </c>
      <c r="AJ19" s="463">
        <f t="shared" ref="AJ19:AJ33" si="17">IF(AI19&gt;0, S19*AI19, 0)</f>
        <v>0</v>
      </c>
      <c r="AK19" s="464">
        <f t="shared" ref="AK19:AK33" si="18">IF(AJ19&gt;0,AJ19/V19, 0)</f>
        <v>0</v>
      </c>
      <c r="AL19" s="32"/>
      <c r="AM19" s="568">
        <f>V19-F19</f>
        <v>0</v>
      </c>
    </row>
    <row r="20" spans="1:39" ht="16.5" customHeight="1" x14ac:dyDescent="0.3">
      <c r="A20" s="445" t="str">
        <f t="shared" si="0"/>
        <v/>
      </c>
      <c r="B20" s="706" t="s">
        <v>4</v>
      </c>
      <c r="C20" s="707"/>
      <c r="D20" s="446">
        <f>VLOOKUP(B20,'Categorie H2 Vtg.'!$B$4:$C$20,2,FALSE)</f>
        <v>1.0000000000000001E-15</v>
      </c>
      <c r="E20" s="102"/>
      <c r="F20" s="38"/>
      <c r="G20" s="564"/>
      <c r="H20" s="39"/>
      <c r="I20" s="449">
        <f t="shared" si="1"/>
        <v>0</v>
      </c>
      <c r="J20" s="39"/>
      <c r="K20" s="449">
        <f t="shared" si="2"/>
        <v>0</v>
      </c>
      <c r="L20" s="565"/>
      <c r="M20" s="446" cm="1">
        <f t="array" ref="M20">_xlfn.IFS(E20="Nieuw",H20-J20,E20="Retrofit",H20,TRUE,0)</f>
        <v>0</v>
      </c>
      <c r="N20" s="446">
        <f t="shared" si="3"/>
        <v>0</v>
      </c>
      <c r="O20" s="446">
        <f t="shared" si="4"/>
        <v>0</v>
      </c>
      <c r="P20" s="446">
        <f t="shared" si="5"/>
        <v>0</v>
      </c>
      <c r="Q20" s="566"/>
      <c r="R20" s="40"/>
      <c r="S20" s="452" t="str">
        <f t="shared" si="6"/>
        <v/>
      </c>
      <c r="T20" s="453">
        <f t="shared" si="7"/>
        <v>0</v>
      </c>
      <c r="U20" s="567" t="str">
        <f t="shared" si="8"/>
        <v/>
      </c>
      <c r="V20" s="455">
        <f t="shared" si="9"/>
        <v>0</v>
      </c>
      <c r="W20" s="456">
        <f t="shared" si="10"/>
        <v>0</v>
      </c>
      <c r="X20" s="457"/>
      <c r="Y20" s="458"/>
      <c r="Z20" s="449">
        <f t="shared" si="11"/>
        <v>0</v>
      </c>
      <c r="AA20" s="459">
        <f t="shared" si="12"/>
        <v>0</v>
      </c>
      <c r="AB20" s="460">
        <f t="shared" si="13"/>
        <v>0</v>
      </c>
      <c r="AC20" s="448"/>
      <c r="AD20" s="461"/>
      <c r="AE20" s="449">
        <f t="shared" ref="AE20:AE33" si="19">AB20+AC20</f>
        <v>0</v>
      </c>
      <c r="AF20" s="459">
        <f t="shared" si="14"/>
        <v>0</v>
      </c>
      <c r="AG20" s="462" cm="1">
        <f t="array" ref="AG20">_xlfn.IFS(E20="Nieuw",Z20-AE20,E20="Retrofit",Z20,TRUE,0)</f>
        <v>0</v>
      </c>
      <c r="AH20" s="462">
        <f t="shared" si="15"/>
        <v>0</v>
      </c>
      <c r="AI20" s="463">
        <f t="shared" si="16"/>
        <v>0</v>
      </c>
      <c r="AJ20" s="463">
        <f t="shared" si="17"/>
        <v>0</v>
      </c>
      <c r="AK20" s="464">
        <f t="shared" si="18"/>
        <v>0</v>
      </c>
      <c r="AL20" s="32"/>
      <c r="AM20" s="568">
        <f t="shared" ref="AM20:AM33" si="20">V20-F20</f>
        <v>0</v>
      </c>
    </row>
    <row r="21" spans="1:39" ht="16.5" customHeight="1" x14ac:dyDescent="0.3">
      <c r="A21" s="445" t="str">
        <f t="shared" si="0"/>
        <v/>
      </c>
      <c r="B21" s="706" t="s">
        <v>4</v>
      </c>
      <c r="C21" s="707"/>
      <c r="D21" s="446">
        <f>VLOOKUP(B21,'Categorie H2 Vtg.'!$B$4:$C$20,2,FALSE)</f>
        <v>1.0000000000000001E-15</v>
      </c>
      <c r="E21" s="102"/>
      <c r="F21" s="38"/>
      <c r="G21" s="564"/>
      <c r="H21" s="39"/>
      <c r="I21" s="449">
        <f t="shared" si="1"/>
        <v>0</v>
      </c>
      <c r="J21" s="39"/>
      <c r="K21" s="449">
        <f t="shared" si="2"/>
        <v>0</v>
      </c>
      <c r="L21" s="565"/>
      <c r="M21" s="446" cm="1">
        <f t="array" ref="M21">_xlfn.IFS(E21="Nieuw",H21-J21,E21="Retrofit",H21,TRUE,0)</f>
        <v>0</v>
      </c>
      <c r="N21" s="446">
        <f t="shared" si="3"/>
        <v>0</v>
      </c>
      <c r="O21" s="446">
        <f t="shared" si="4"/>
        <v>0</v>
      </c>
      <c r="P21" s="446">
        <f t="shared" si="5"/>
        <v>0</v>
      </c>
      <c r="Q21" s="566"/>
      <c r="R21" s="40"/>
      <c r="S21" s="452" t="str">
        <f t="shared" si="6"/>
        <v/>
      </c>
      <c r="T21" s="453">
        <f t="shared" si="7"/>
        <v>0</v>
      </c>
      <c r="U21" s="567" t="str">
        <f t="shared" si="8"/>
        <v/>
      </c>
      <c r="V21" s="455">
        <f t="shared" si="9"/>
        <v>0</v>
      </c>
      <c r="W21" s="456">
        <f t="shared" si="10"/>
        <v>0</v>
      </c>
      <c r="X21" s="457"/>
      <c r="Y21" s="458"/>
      <c r="Z21" s="449">
        <f t="shared" si="11"/>
        <v>0</v>
      </c>
      <c r="AA21" s="459">
        <f t="shared" si="12"/>
        <v>0</v>
      </c>
      <c r="AB21" s="460">
        <f t="shared" si="13"/>
        <v>0</v>
      </c>
      <c r="AC21" s="457"/>
      <c r="AD21" s="461"/>
      <c r="AE21" s="449">
        <f t="shared" si="19"/>
        <v>0</v>
      </c>
      <c r="AF21" s="459">
        <f t="shared" si="14"/>
        <v>0</v>
      </c>
      <c r="AG21" s="462" cm="1">
        <f t="array" ref="AG21">_xlfn.IFS(E21="Nieuw",Z21-AE21,E21="Retrofit",Z21,TRUE,0)</f>
        <v>0</v>
      </c>
      <c r="AH21" s="462">
        <f t="shared" si="15"/>
        <v>0</v>
      </c>
      <c r="AI21" s="463">
        <f t="shared" si="16"/>
        <v>0</v>
      </c>
      <c r="AJ21" s="463">
        <f t="shared" si="17"/>
        <v>0</v>
      </c>
      <c r="AK21" s="464">
        <f t="shared" si="18"/>
        <v>0</v>
      </c>
      <c r="AL21" s="32"/>
      <c r="AM21" s="568">
        <f t="shared" si="20"/>
        <v>0</v>
      </c>
    </row>
    <row r="22" spans="1:39" ht="16.5" customHeight="1" x14ac:dyDescent="0.3">
      <c r="A22" s="445" t="str">
        <f t="shared" si="0"/>
        <v/>
      </c>
      <c r="B22" s="706" t="s">
        <v>4</v>
      </c>
      <c r="C22" s="707"/>
      <c r="D22" s="446">
        <f>VLOOKUP(B22,'Categorie H2 Vtg.'!$B$4:$C$20,2,FALSE)</f>
        <v>1.0000000000000001E-15</v>
      </c>
      <c r="E22" s="102"/>
      <c r="F22" s="38"/>
      <c r="G22" s="564"/>
      <c r="H22" s="39"/>
      <c r="I22" s="449">
        <f t="shared" si="1"/>
        <v>0</v>
      </c>
      <c r="J22" s="39"/>
      <c r="K22" s="449">
        <f t="shared" si="2"/>
        <v>0</v>
      </c>
      <c r="L22" s="565"/>
      <c r="M22" s="446" cm="1">
        <f t="array" ref="M22">_xlfn.IFS(E22="Nieuw",H22-J22,E22="Retrofit",H22,TRUE,0)</f>
        <v>0</v>
      </c>
      <c r="N22" s="446">
        <f t="shared" si="3"/>
        <v>0</v>
      </c>
      <c r="O22" s="446">
        <f t="shared" si="4"/>
        <v>0</v>
      </c>
      <c r="P22" s="446">
        <f t="shared" si="5"/>
        <v>0</v>
      </c>
      <c r="Q22" s="566"/>
      <c r="R22" s="40"/>
      <c r="S22" s="452" t="str">
        <f t="shared" si="6"/>
        <v/>
      </c>
      <c r="T22" s="453">
        <f t="shared" si="7"/>
        <v>0</v>
      </c>
      <c r="U22" s="567" t="str">
        <f t="shared" si="8"/>
        <v/>
      </c>
      <c r="V22" s="455">
        <f t="shared" si="9"/>
        <v>0</v>
      </c>
      <c r="W22" s="456">
        <f t="shared" si="10"/>
        <v>0</v>
      </c>
      <c r="X22" s="457"/>
      <c r="Y22" s="458"/>
      <c r="Z22" s="449">
        <f t="shared" si="11"/>
        <v>0</v>
      </c>
      <c r="AA22" s="459">
        <f t="shared" si="12"/>
        <v>0</v>
      </c>
      <c r="AB22" s="460">
        <f t="shared" si="13"/>
        <v>0</v>
      </c>
      <c r="AC22" s="448"/>
      <c r="AD22" s="461"/>
      <c r="AE22" s="449">
        <f t="shared" si="19"/>
        <v>0</v>
      </c>
      <c r="AF22" s="459">
        <f t="shared" si="14"/>
        <v>0</v>
      </c>
      <c r="AG22" s="462" cm="1">
        <f t="array" ref="AG22">_xlfn.IFS(E22="Nieuw",Z22-AE22,E22="Retrofit",Z22,TRUE,0)</f>
        <v>0</v>
      </c>
      <c r="AH22" s="462">
        <f t="shared" si="15"/>
        <v>0</v>
      </c>
      <c r="AI22" s="463">
        <f t="shared" si="16"/>
        <v>0</v>
      </c>
      <c r="AJ22" s="463">
        <f t="shared" si="17"/>
        <v>0</v>
      </c>
      <c r="AK22" s="464">
        <f t="shared" si="18"/>
        <v>0</v>
      </c>
      <c r="AL22" s="32"/>
      <c r="AM22" s="568">
        <f t="shared" si="20"/>
        <v>0</v>
      </c>
    </row>
    <row r="23" spans="1:39" ht="16.5" customHeight="1" x14ac:dyDescent="0.3">
      <c r="A23" s="445" t="str">
        <f t="shared" si="0"/>
        <v/>
      </c>
      <c r="B23" s="706" t="s">
        <v>4</v>
      </c>
      <c r="C23" s="707"/>
      <c r="D23" s="446">
        <f>VLOOKUP(B23,'Categorie H2 Vtg.'!$B$4:$C$20,2,FALSE)</f>
        <v>1.0000000000000001E-15</v>
      </c>
      <c r="E23" s="102"/>
      <c r="F23" s="38"/>
      <c r="G23" s="564"/>
      <c r="H23" s="39"/>
      <c r="I23" s="449">
        <f t="shared" si="1"/>
        <v>0</v>
      </c>
      <c r="J23" s="39"/>
      <c r="K23" s="449">
        <f t="shared" si="2"/>
        <v>0</v>
      </c>
      <c r="L23" s="565"/>
      <c r="M23" s="446" cm="1">
        <f t="array" ref="M23">_xlfn.IFS(E23="Nieuw",H23-J23,E23="Retrofit",H23,TRUE,0)</f>
        <v>0</v>
      </c>
      <c r="N23" s="446">
        <f t="shared" si="3"/>
        <v>0</v>
      </c>
      <c r="O23" s="446">
        <f t="shared" si="4"/>
        <v>0</v>
      </c>
      <c r="P23" s="446">
        <f t="shared" si="5"/>
        <v>0</v>
      </c>
      <c r="Q23" s="566"/>
      <c r="R23" s="40"/>
      <c r="S23" s="452" t="str">
        <f t="shared" si="6"/>
        <v/>
      </c>
      <c r="T23" s="453">
        <f t="shared" si="7"/>
        <v>0</v>
      </c>
      <c r="U23" s="567" t="str">
        <f t="shared" si="8"/>
        <v/>
      </c>
      <c r="V23" s="455">
        <f t="shared" si="9"/>
        <v>0</v>
      </c>
      <c r="W23" s="456">
        <f t="shared" si="10"/>
        <v>0</v>
      </c>
      <c r="X23" s="457"/>
      <c r="Y23" s="458"/>
      <c r="Z23" s="449">
        <f t="shared" si="11"/>
        <v>0</v>
      </c>
      <c r="AA23" s="459">
        <f t="shared" si="12"/>
        <v>0</v>
      </c>
      <c r="AB23" s="460">
        <f t="shared" si="13"/>
        <v>0</v>
      </c>
      <c r="AC23" s="448"/>
      <c r="AD23" s="461"/>
      <c r="AE23" s="449">
        <f t="shared" si="19"/>
        <v>0</v>
      </c>
      <c r="AF23" s="459">
        <f t="shared" si="14"/>
        <v>0</v>
      </c>
      <c r="AG23" s="462" cm="1">
        <f t="array" ref="AG23">_xlfn.IFS(E23="Nieuw",Z23-AE23,E23="Retrofit",Z23,TRUE,0)</f>
        <v>0</v>
      </c>
      <c r="AH23" s="462">
        <f t="shared" si="15"/>
        <v>0</v>
      </c>
      <c r="AI23" s="463">
        <f t="shared" si="16"/>
        <v>0</v>
      </c>
      <c r="AJ23" s="463">
        <f t="shared" si="17"/>
        <v>0</v>
      </c>
      <c r="AK23" s="464">
        <f t="shared" si="18"/>
        <v>0</v>
      </c>
      <c r="AL23" s="32"/>
      <c r="AM23" s="568">
        <f t="shared" si="20"/>
        <v>0</v>
      </c>
    </row>
    <row r="24" spans="1:39" ht="16.5" customHeight="1" x14ac:dyDescent="0.3">
      <c r="A24" s="445" t="str">
        <f t="shared" si="0"/>
        <v/>
      </c>
      <c r="B24" s="706" t="s">
        <v>4</v>
      </c>
      <c r="C24" s="707"/>
      <c r="D24" s="446">
        <f>VLOOKUP(B24,'Categorie H2 Vtg.'!$B$4:$C$20,2,FALSE)</f>
        <v>1.0000000000000001E-15</v>
      </c>
      <c r="E24" s="102"/>
      <c r="F24" s="38"/>
      <c r="G24" s="564"/>
      <c r="H24" s="39"/>
      <c r="I24" s="449">
        <f t="shared" si="1"/>
        <v>0</v>
      </c>
      <c r="J24" s="39"/>
      <c r="K24" s="449">
        <f t="shared" si="2"/>
        <v>0</v>
      </c>
      <c r="L24" s="565"/>
      <c r="M24" s="446" cm="1">
        <f t="array" ref="M24">_xlfn.IFS(E24="Nieuw",H24-J24,E24="Retrofit",H24,TRUE,0)</f>
        <v>0</v>
      </c>
      <c r="N24" s="446">
        <f t="shared" si="3"/>
        <v>0</v>
      </c>
      <c r="O24" s="446">
        <f t="shared" si="4"/>
        <v>0</v>
      </c>
      <c r="P24" s="446">
        <f t="shared" si="5"/>
        <v>0</v>
      </c>
      <c r="Q24" s="566"/>
      <c r="R24" s="40"/>
      <c r="S24" s="452" t="str">
        <f t="shared" si="6"/>
        <v/>
      </c>
      <c r="T24" s="453">
        <f t="shared" si="7"/>
        <v>0</v>
      </c>
      <c r="U24" s="567" t="str">
        <f t="shared" si="8"/>
        <v/>
      </c>
      <c r="V24" s="455">
        <f t="shared" si="9"/>
        <v>0</v>
      </c>
      <c r="W24" s="456">
        <f t="shared" si="10"/>
        <v>0</v>
      </c>
      <c r="X24" s="457"/>
      <c r="Y24" s="458"/>
      <c r="Z24" s="449">
        <f t="shared" si="11"/>
        <v>0</v>
      </c>
      <c r="AA24" s="459">
        <f t="shared" si="12"/>
        <v>0</v>
      </c>
      <c r="AB24" s="460">
        <f t="shared" si="13"/>
        <v>0</v>
      </c>
      <c r="AC24" s="448"/>
      <c r="AD24" s="461"/>
      <c r="AE24" s="449">
        <f t="shared" si="19"/>
        <v>0</v>
      </c>
      <c r="AF24" s="459">
        <f t="shared" si="14"/>
        <v>0</v>
      </c>
      <c r="AG24" s="462" cm="1">
        <f t="array" ref="AG24">_xlfn.IFS(E24="Nieuw",Z24-AE24,E24="Retrofit",Z24,TRUE,0)</f>
        <v>0</v>
      </c>
      <c r="AH24" s="462">
        <f t="shared" si="15"/>
        <v>0</v>
      </c>
      <c r="AI24" s="463">
        <f t="shared" si="16"/>
        <v>0</v>
      </c>
      <c r="AJ24" s="463">
        <f t="shared" si="17"/>
        <v>0</v>
      </c>
      <c r="AK24" s="464">
        <f t="shared" si="18"/>
        <v>0</v>
      </c>
      <c r="AL24" s="32"/>
      <c r="AM24" s="568">
        <f t="shared" si="20"/>
        <v>0</v>
      </c>
    </row>
    <row r="25" spans="1:39" ht="16.5" customHeight="1" x14ac:dyDescent="0.3">
      <c r="A25" s="445" t="str">
        <f t="shared" si="0"/>
        <v/>
      </c>
      <c r="B25" s="706" t="s">
        <v>4</v>
      </c>
      <c r="C25" s="707"/>
      <c r="D25" s="446">
        <f>VLOOKUP(B25,'Categorie H2 Vtg.'!$B$4:$C$20,2,FALSE)</f>
        <v>1.0000000000000001E-15</v>
      </c>
      <c r="E25" s="102"/>
      <c r="F25" s="38"/>
      <c r="G25" s="564"/>
      <c r="H25" s="39"/>
      <c r="I25" s="449">
        <f t="shared" si="1"/>
        <v>0</v>
      </c>
      <c r="J25" s="39"/>
      <c r="K25" s="449">
        <f t="shared" si="2"/>
        <v>0</v>
      </c>
      <c r="L25" s="565"/>
      <c r="M25" s="446" cm="1">
        <f t="array" ref="M25">_xlfn.IFS(E25="Nieuw",H25-J25,E25="Retrofit",H25,TRUE,0)</f>
        <v>0</v>
      </c>
      <c r="N25" s="446">
        <f t="shared" si="3"/>
        <v>0</v>
      </c>
      <c r="O25" s="446">
        <f t="shared" si="4"/>
        <v>0</v>
      </c>
      <c r="P25" s="446">
        <f t="shared" si="5"/>
        <v>0</v>
      </c>
      <c r="Q25" s="566"/>
      <c r="R25" s="40"/>
      <c r="S25" s="452" t="str">
        <f t="shared" si="6"/>
        <v/>
      </c>
      <c r="T25" s="453">
        <f t="shared" si="7"/>
        <v>0</v>
      </c>
      <c r="U25" s="567" t="str">
        <f t="shared" si="8"/>
        <v/>
      </c>
      <c r="V25" s="455">
        <f t="shared" si="9"/>
        <v>0</v>
      </c>
      <c r="W25" s="456">
        <f t="shared" si="10"/>
        <v>0</v>
      </c>
      <c r="X25" s="457"/>
      <c r="Y25" s="458"/>
      <c r="Z25" s="449">
        <f t="shared" si="11"/>
        <v>0</v>
      </c>
      <c r="AA25" s="459">
        <f t="shared" si="12"/>
        <v>0</v>
      </c>
      <c r="AB25" s="460">
        <f t="shared" si="13"/>
        <v>0</v>
      </c>
      <c r="AC25" s="448"/>
      <c r="AD25" s="461"/>
      <c r="AE25" s="449">
        <f t="shared" si="19"/>
        <v>0</v>
      </c>
      <c r="AF25" s="459">
        <f t="shared" si="14"/>
        <v>0</v>
      </c>
      <c r="AG25" s="462" cm="1">
        <f t="array" ref="AG25">_xlfn.IFS(E25="Nieuw",Z25-AE25,E25="Retrofit",Z25,TRUE,0)</f>
        <v>0</v>
      </c>
      <c r="AH25" s="462">
        <f t="shared" si="15"/>
        <v>0</v>
      </c>
      <c r="AI25" s="463">
        <f t="shared" si="16"/>
        <v>0</v>
      </c>
      <c r="AJ25" s="463">
        <f t="shared" si="17"/>
        <v>0</v>
      </c>
      <c r="AK25" s="464">
        <f t="shared" si="18"/>
        <v>0</v>
      </c>
      <c r="AL25" s="32"/>
      <c r="AM25" s="568">
        <f t="shared" si="20"/>
        <v>0</v>
      </c>
    </row>
    <row r="26" spans="1:39" ht="16.5" customHeight="1" x14ac:dyDescent="0.3">
      <c r="A26" s="445" t="str">
        <f t="shared" si="0"/>
        <v/>
      </c>
      <c r="B26" s="706" t="s">
        <v>4</v>
      </c>
      <c r="C26" s="707"/>
      <c r="D26" s="446">
        <f>VLOOKUP(B26,'Categorie H2 Vtg.'!$B$4:$C$20,2,FALSE)</f>
        <v>1.0000000000000001E-15</v>
      </c>
      <c r="E26" s="102"/>
      <c r="F26" s="38"/>
      <c r="G26" s="564"/>
      <c r="H26" s="39"/>
      <c r="I26" s="449">
        <f t="shared" si="1"/>
        <v>0</v>
      </c>
      <c r="J26" s="39"/>
      <c r="K26" s="449">
        <f t="shared" si="2"/>
        <v>0</v>
      </c>
      <c r="L26" s="565"/>
      <c r="M26" s="446" cm="1">
        <f t="array" ref="M26">_xlfn.IFS(E26="Nieuw",H26-J26,E26="Retrofit",H26,TRUE,0)</f>
        <v>0</v>
      </c>
      <c r="N26" s="446">
        <f t="shared" si="3"/>
        <v>0</v>
      </c>
      <c r="O26" s="446">
        <f t="shared" si="4"/>
        <v>0</v>
      </c>
      <c r="P26" s="446">
        <f t="shared" si="5"/>
        <v>0</v>
      </c>
      <c r="Q26" s="566"/>
      <c r="R26" s="40"/>
      <c r="S26" s="452" t="str">
        <f t="shared" si="6"/>
        <v/>
      </c>
      <c r="T26" s="453">
        <f t="shared" si="7"/>
        <v>0</v>
      </c>
      <c r="U26" s="567" t="str">
        <f t="shared" si="8"/>
        <v/>
      </c>
      <c r="V26" s="455">
        <f t="shared" si="9"/>
        <v>0</v>
      </c>
      <c r="W26" s="456">
        <f t="shared" si="10"/>
        <v>0</v>
      </c>
      <c r="X26" s="457"/>
      <c r="Y26" s="458"/>
      <c r="Z26" s="449">
        <f t="shared" si="11"/>
        <v>0</v>
      </c>
      <c r="AA26" s="459">
        <f t="shared" si="12"/>
        <v>0</v>
      </c>
      <c r="AB26" s="460">
        <f t="shared" si="13"/>
        <v>0</v>
      </c>
      <c r="AC26" s="448"/>
      <c r="AD26" s="461"/>
      <c r="AE26" s="449">
        <f t="shared" si="19"/>
        <v>0</v>
      </c>
      <c r="AF26" s="459">
        <f t="shared" si="14"/>
        <v>0</v>
      </c>
      <c r="AG26" s="462" cm="1">
        <f t="array" ref="AG26">_xlfn.IFS(E26="Nieuw",Z26-AE26,E26="Retrofit",Z26,TRUE,0)</f>
        <v>0</v>
      </c>
      <c r="AH26" s="462">
        <f t="shared" si="15"/>
        <v>0</v>
      </c>
      <c r="AI26" s="463">
        <f t="shared" si="16"/>
        <v>0</v>
      </c>
      <c r="AJ26" s="463">
        <f t="shared" si="17"/>
        <v>0</v>
      </c>
      <c r="AK26" s="464">
        <f t="shared" si="18"/>
        <v>0</v>
      </c>
      <c r="AL26" s="32"/>
      <c r="AM26" s="568">
        <f t="shared" si="20"/>
        <v>0</v>
      </c>
    </row>
    <row r="27" spans="1:39" ht="16.5" customHeight="1" x14ac:dyDescent="0.3">
      <c r="A27" s="445" t="str">
        <f t="shared" si="0"/>
        <v/>
      </c>
      <c r="B27" s="706" t="s">
        <v>4</v>
      </c>
      <c r="C27" s="707"/>
      <c r="D27" s="446">
        <f>VLOOKUP(B27,'Categorie H2 Vtg.'!$B$4:$C$20,2,FALSE)</f>
        <v>1.0000000000000001E-15</v>
      </c>
      <c r="E27" s="102"/>
      <c r="F27" s="38"/>
      <c r="G27" s="564"/>
      <c r="H27" s="39"/>
      <c r="I27" s="449">
        <f t="shared" si="1"/>
        <v>0</v>
      </c>
      <c r="J27" s="39"/>
      <c r="K27" s="449">
        <f t="shared" si="2"/>
        <v>0</v>
      </c>
      <c r="L27" s="565"/>
      <c r="M27" s="446" cm="1">
        <f t="array" ref="M27">_xlfn.IFS(E27="Nieuw",H27-J27,E27="Retrofit",H27,TRUE,0)</f>
        <v>0</v>
      </c>
      <c r="N27" s="446">
        <f t="shared" si="3"/>
        <v>0</v>
      </c>
      <c r="O27" s="446">
        <f t="shared" si="4"/>
        <v>0</v>
      </c>
      <c r="P27" s="446">
        <f t="shared" si="5"/>
        <v>0</v>
      </c>
      <c r="Q27" s="566"/>
      <c r="R27" s="40"/>
      <c r="S27" s="452" t="str">
        <f t="shared" si="6"/>
        <v/>
      </c>
      <c r="T27" s="453">
        <f t="shared" si="7"/>
        <v>0</v>
      </c>
      <c r="U27" s="567" t="str">
        <f t="shared" si="8"/>
        <v/>
      </c>
      <c r="V27" s="455">
        <f t="shared" si="9"/>
        <v>0</v>
      </c>
      <c r="W27" s="456">
        <f t="shared" si="10"/>
        <v>0</v>
      </c>
      <c r="X27" s="457"/>
      <c r="Y27" s="458"/>
      <c r="Z27" s="449">
        <f t="shared" si="11"/>
        <v>0</v>
      </c>
      <c r="AA27" s="459">
        <f t="shared" si="12"/>
        <v>0</v>
      </c>
      <c r="AB27" s="460">
        <f t="shared" si="13"/>
        <v>0</v>
      </c>
      <c r="AC27" s="448"/>
      <c r="AD27" s="461"/>
      <c r="AE27" s="449">
        <f t="shared" si="19"/>
        <v>0</v>
      </c>
      <c r="AF27" s="459">
        <f t="shared" si="14"/>
        <v>0</v>
      </c>
      <c r="AG27" s="462" cm="1">
        <f t="array" ref="AG27">_xlfn.IFS(E27="Nieuw",Z27-AE27,E27="Retrofit",Z27,TRUE,0)</f>
        <v>0</v>
      </c>
      <c r="AH27" s="462">
        <f t="shared" si="15"/>
        <v>0</v>
      </c>
      <c r="AI27" s="463">
        <f t="shared" si="16"/>
        <v>0</v>
      </c>
      <c r="AJ27" s="463">
        <f t="shared" si="17"/>
        <v>0</v>
      </c>
      <c r="AK27" s="464">
        <f t="shared" si="18"/>
        <v>0</v>
      </c>
      <c r="AL27" s="32"/>
      <c r="AM27" s="568">
        <f t="shared" si="20"/>
        <v>0</v>
      </c>
    </row>
    <row r="28" spans="1:39" ht="16.5" customHeight="1" x14ac:dyDescent="0.3">
      <c r="A28" s="445" t="str">
        <f t="shared" si="0"/>
        <v/>
      </c>
      <c r="B28" s="706" t="s">
        <v>4</v>
      </c>
      <c r="C28" s="707"/>
      <c r="D28" s="446">
        <f>VLOOKUP(B28,'Categorie H2 Vtg.'!$B$4:$C$20,2,FALSE)</f>
        <v>1.0000000000000001E-15</v>
      </c>
      <c r="E28" s="102"/>
      <c r="F28" s="38"/>
      <c r="G28" s="564"/>
      <c r="H28" s="39"/>
      <c r="I28" s="449">
        <f t="shared" si="1"/>
        <v>0</v>
      </c>
      <c r="J28" s="39"/>
      <c r="K28" s="449">
        <f t="shared" si="2"/>
        <v>0</v>
      </c>
      <c r="L28" s="565"/>
      <c r="M28" s="446" cm="1">
        <f t="array" ref="M28">_xlfn.IFS(E28="Nieuw",H28-J28,E28="Retrofit",H28,TRUE,0)</f>
        <v>0</v>
      </c>
      <c r="N28" s="446">
        <f t="shared" si="3"/>
        <v>0</v>
      </c>
      <c r="O28" s="446">
        <f t="shared" si="4"/>
        <v>0</v>
      </c>
      <c r="P28" s="446">
        <f t="shared" si="5"/>
        <v>0</v>
      </c>
      <c r="Q28" s="566"/>
      <c r="R28" s="40"/>
      <c r="S28" s="452" t="str">
        <f t="shared" si="6"/>
        <v/>
      </c>
      <c r="T28" s="453">
        <f t="shared" si="7"/>
        <v>0</v>
      </c>
      <c r="U28" s="567" t="str">
        <f t="shared" si="8"/>
        <v/>
      </c>
      <c r="V28" s="455">
        <f t="shared" si="9"/>
        <v>0</v>
      </c>
      <c r="W28" s="456">
        <f t="shared" si="10"/>
        <v>0</v>
      </c>
      <c r="X28" s="457"/>
      <c r="Y28" s="458"/>
      <c r="Z28" s="449">
        <f t="shared" si="11"/>
        <v>0</v>
      </c>
      <c r="AA28" s="459">
        <f t="shared" si="12"/>
        <v>0</v>
      </c>
      <c r="AB28" s="460">
        <f t="shared" si="13"/>
        <v>0</v>
      </c>
      <c r="AC28" s="448"/>
      <c r="AD28" s="461"/>
      <c r="AE28" s="449">
        <f t="shared" si="19"/>
        <v>0</v>
      </c>
      <c r="AF28" s="459">
        <f t="shared" si="14"/>
        <v>0</v>
      </c>
      <c r="AG28" s="462" cm="1">
        <f t="array" ref="AG28">_xlfn.IFS(E28="Nieuw",Z28-AE28,E28="Retrofit",Z28,TRUE,0)</f>
        <v>0</v>
      </c>
      <c r="AH28" s="462">
        <f t="shared" si="15"/>
        <v>0</v>
      </c>
      <c r="AI28" s="463">
        <f t="shared" si="16"/>
        <v>0</v>
      </c>
      <c r="AJ28" s="463">
        <f t="shared" si="17"/>
        <v>0</v>
      </c>
      <c r="AK28" s="464">
        <f t="shared" si="18"/>
        <v>0</v>
      </c>
      <c r="AL28" s="32"/>
      <c r="AM28" s="568">
        <f t="shared" si="20"/>
        <v>0</v>
      </c>
    </row>
    <row r="29" spans="1:39" ht="16.5" customHeight="1" x14ac:dyDescent="0.3">
      <c r="A29" s="445" t="str">
        <f t="shared" si="0"/>
        <v/>
      </c>
      <c r="B29" s="706" t="s">
        <v>4</v>
      </c>
      <c r="C29" s="707"/>
      <c r="D29" s="446">
        <f>VLOOKUP(B29,'Categorie H2 Vtg.'!$B$4:$C$20,2,FALSE)</f>
        <v>1.0000000000000001E-15</v>
      </c>
      <c r="E29" s="102"/>
      <c r="F29" s="38"/>
      <c r="G29" s="564"/>
      <c r="H29" s="39"/>
      <c r="I29" s="449">
        <f t="shared" si="1"/>
        <v>0</v>
      </c>
      <c r="J29" s="39"/>
      <c r="K29" s="449">
        <f t="shared" si="2"/>
        <v>0</v>
      </c>
      <c r="L29" s="565"/>
      <c r="M29" s="446" cm="1">
        <f t="array" ref="M29">_xlfn.IFS(E29="Nieuw",H29-J29,E29="Retrofit",H29,TRUE,0)</f>
        <v>0</v>
      </c>
      <c r="N29" s="446">
        <f t="shared" si="3"/>
        <v>0</v>
      </c>
      <c r="O29" s="446">
        <f t="shared" si="4"/>
        <v>0</v>
      </c>
      <c r="P29" s="446">
        <f t="shared" si="5"/>
        <v>0</v>
      </c>
      <c r="Q29" s="566"/>
      <c r="R29" s="40"/>
      <c r="S29" s="452" t="str">
        <f t="shared" si="6"/>
        <v/>
      </c>
      <c r="T29" s="453">
        <f t="shared" si="7"/>
        <v>0</v>
      </c>
      <c r="U29" s="567" t="str">
        <f t="shared" si="8"/>
        <v/>
      </c>
      <c r="V29" s="455">
        <f t="shared" si="9"/>
        <v>0</v>
      </c>
      <c r="W29" s="456">
        <f t="shared" si="10"/>
        <v>0</v>
      </c>
      <c r="X29" s="457"/>
      <c r="Y29" s="458"/>
      <c r="Z29" s="449">
        <f t="shared" si="11"/>
        <v>0</v>
      </c>
      <c r="AA29" s="459">
        <f t="shared" si="12"/>
        <v>0</v>
      </c>
      <c r="AB29" s="460">
        <f t="shared" si="13"/>
        <v>0</v>
      </c>
      <c r="AC29" s="448"/>
      <c r="AD29" s="461"/>
      <c r="AE29" s="449">
        <f t="shared" si="19"/>
        <v>0</v>
      </c>
      <c r="AF29" s="459">
        <f t="shared" si="14"/>
        <v>0</v>
      </c>
      <c r="AG29" s="462" cm="1">
        <f t="array" ref="AG29">_xlfn.IFS(E29="Nieuw",Z29-AE29,E29="Retrofit",Z29,TRUE,0)</f>
        <v>0</v>
      </c>
      <c r="AH29" s="462">
        <f t="shared" si="15"/>
        <v>0</v>
      </c>
      <c r="AI29" s="463">
        <f t="shared" si="16"/>
        <v>0</v>
      </c>
      <c r="AJ29" s="463">
        <f t="shared" si="17"/>
        <v>0</v>
      </c>
      <c r="AK29" s="464">
        <f t="shared" si="18"/>
        <v>0</v>
      </c>
      <c r="AL29" s="32"/>
      <c r="AM29" s="568">
        <f t="shared" si="20"/>
        <v>0</v>
      </c>
    </row>
    <row r="30" spans="1:39" ht="16.5" customHeight="1" x14ac:dyDescent="0.3">
      <c r="A30" s="445" t="str">
        <f t="shared" si="0"/>
        <v/>
      </c>
      <c r="B30" s="706" t="s">
        <v>4</v>
      </c>
      <c r="C30" s="707"/>
      <c r="D30" s="446">
        <f>VLOOKUP(B30,'Categorie H2 Vtg.'!$B$4:$C$20,2,FALSE)</f>
        <v>1.0000000000000001E-15</v>
      </c>
      <c r="E30" s="102"/>
      <c r="F30" s="38"/>
      <c r="G30" s="564"/>
      <c r="H30" s="39"/>
      <c r="I30" s="449">
        <f t="shared" si="1"/>
        <v>0</v>
      </c>
      <c r="J30" s="39"/>
      <c r="K30" s="449">
        <f t="shared" si="2"/>
        <v>0</v>
      </c>
      <c r="L30" s="565"/>
      <c r="M30" s="446" cm="1">
        <f t="array" ref="M30">_xlfn.IFS(E30="Nieuw",H30-J30,E30="Retrofit",H30,TRUE,0)</f>
        <v>0</v>
      </c>
      <c r="N30" s="446">
        <f t="shared" si="3"/>
        <v>0</v>
      </c>
      <c r="O30" s="446">
        <f t="shared" si="4"/>
        <v>0</v>
      </c>
      <c r="P30" s="446">
        <f t="shared" si="5"/>
        <v>0</v>
      </c>
      <c r="Q30" s="566"/>
      <c r="R30" s="40"/>
      <c r="S30" s="452" t="str">
        <f t="shared" si="6"/>
        <v/>
      </c>
      <c r="T30" s="453">
        <f t="shared" si="7"/>
        <v>0</v>
      </c>
      <c r="U30" s="567" t="str">
        <f t="shared" si="8"/>
        <v/>
      </c>
      <c r="V30" s="455">
        <f t="shared" si="9"/>
        <v>0</v>
      </c>
      <c r="W30" s="456">
        <f t="shared" si="10"/>
        <v>0</v>
      </c>
      <c r="X30" s="457"/>
      <c r="Y30" s="458"/>
      <c r="Z30" s="449">
        <f t="shared" si="11"/>
        <v>0</v>
      </c>
      <c r="AA30" s="459">
        <f t="shared" si="12"/>
        <v>0</v>
      </c>
      <c r="AB30" s="460">
        <f t="shared" si="13"/>
        <v>0</v>
      </c>
      <c r="AC30" s="448"/>
      <c r="AD30" s="461"/>
      <c r="AE30" s="449">
        <f t="shared" si="19"/>
        <v>0</v>
      </c>
      <c r="AF30" s="459">
        <f t="shared" si="14"/>
        <v>0</v>
      </c>
      <c r="AG30" s="462" cm="1">
        <f t="array" ref="AG30">_xlfn.IFS(E30="Nieuw",Z30-AE30,E30="Retrofit",Z30,TRUE,0)</f>
        <v>0</v>
      </c>
      <c r="AH30" s="462">
        <f t="shared" si="15"/>
        <v>0</v>
      </c>
      <c r="AI30" s="463">
        <f t="shared" si="16"/>
        <v>0</v>
      </c>
      <c r="AJ30" s="463">
        <f t="shared" si="17"/>
        <v>0</v>
      </c>
      <c r="AK30" s="464">
        <f t="shared" si="18"/>
        <v>0</v>
      </c>
      <c r="AL30" s="32"/>
      <c r="AM30" s="568">
        <f t="shared" si="20"/>
        <v>0</v>
      </c>
    </row>
    <row r="31" spans="1:39" ht="16.5" customHeight="1" x14ac:dyDescent="0.3">
      <c r="A31" s="445" t="str">
        <f t="shared" si="0"/>
        <v/>
      </c>
      <c r="B31" s="706" t="s">
        <v>4</v>
      </c>
      <c r="C31" s="707"/>
      <c r="D31" s="446">
        <f>VLOOKUP(B31,'Categorie H2 Vtg.'!$B$4:$C$20,2,FALSE)</f>
        <v>1.0000000000000001E-15</v>
      </c>
      <c r="E31" s="102"/>
      <c r="F31" s="38"/>
      <c r="G31" s="564"/>
      <c r="H31" s="39"/>
      <c r="I31" s="449">
        <f t="shared" si="1"/>
        <v>0</v>
      </c>
      <c r="J31" s="39"/>
      <c r="K31" s="449">
        <f t="shared" si="2"/>
        <v>0</v>
      </c>
      <c r="L31" s="565"/>
      <c r="M31" s="446" cm="1">
        <f t="array" ref="M31">_xlfn.IFS(E31="Nieuw",H31-J31,E31="Retrofit",H31,TRUE,0)</f>
        <v>0</v>
      </c>
      <c r="N31" s="446">
        <f t="shared" si="3"/>
        <v>0</v>
      </c>
      <c r="O31" s="446">
        <f t="shared" si="4"/>
        <v>0</v>
      </c>
      <c r="P31" s="446">
        <f t="shared" si="5"/>
        <v>0</v>
      </c>
      <c r="Q31" s="566"/>
      <c r="R31" s="40"/>
      <c r="S31" s="452" t="str">
        <f t="shared" si="6"/>
        <v/>
      </c>
      <c r="T31" s="453">
        <f t="shared" si="7"/>
        <v>0</v>
      </c>
      <c r="U31" s="567" t="str">
        <f t="shared" si="8"/>
        <v/>
      </c>
      <c r="V31" s="455">
        <f t="shared" si="9"/>
        <v>0</v>
      </c>
      <c r="W31" s="456">
        <f t="shared" si="10"/>
        <v>0</v>
      </c>
      <c r="X31" s="457"/>
      <c r="Y31" s="458"/>
      <c r="Z31" s="449">
        <f t="shared" si="11"/>
        <v>0</v>
      </c>
      <c r="AA31" s="459">
        <f t="shared" si="12"/>
        <v>0</v>
      </c>
      <c r="AB31" s="460">
        <f t="shared" si="13"/>
        <v>0</v>
      </c>
      <c r="AC31" s="448"/>
      <c r="AD31" s="461"/>
      <c r="AE31" s="449">
        <f t="shared" si="19"/>
        <v>0</v>
      </c>
      <c r="AF31" s="459">
        <f t="shared" si="14"/>
        <v>0</v>
      </c>
      <c r="AG31" s="462" cm="1">
        <f t="array" ref="AG31">_xlfn.IFS(E31="Nieuw",Z31-AE31,E31="Retrofit",Z31,TRUE,0)</f>
        <v>0</v>
      </c>
      <c r="AH31" s="462">
        <f t="shared" si="15"/>
        <v>0</v>
      </c>
      <c r="AI31" s="463">
        <f t="shared" si="16"/>
        <v>0</v>
      </c>
      <c r="AJ31" s="463">
        <f t="shared" si="17"/>
        <v>0</v>
      </c>
      <c r="AK31" s="464">
        <f t="shared" si="18"/>
        <v>0</v>
      </c>
      <c r="AL31" s="32"/>
      <c r="AM31" s="568">
        <f t="shared" si="20"/>
        <v>0</v>
      </c>
    </row>
    <row r="32" spans="1:39" ht="16.5" customHeight="1" x14ac:dyDescent="0.3">
      <c r="A32" s="445" t="str">
        <f t="shared" si="0"/>
        <v/>
      </c>
      <c r="B32" s="706" t="s">
        <v>4</v>
      </c>
      <c r="C32" s="707"/>
      <c r="D32" s="446">
        <f>VLOOKUP(B32,'Categorie H2 Vtg.'!$B$4:$C$20,2,FALSE)</f>
        <v>1.0000000000000001E-15</v>
      </c>
      <c r="E32" s="102"/>
      <c r="F32" s="38"/>
      <c r="G32" s="564"/>
      <c r="H32" s="39"/>
      <c r="I32" s="449">
        <f t="shared" si="1"/>
        <v>0</v>
      </c>
      <c r="J32" s="39"/>
      <c r="K32" s="449">
        <f t="shared" si="2"/>
        <v>0</v>
      </c>
      <c r="L32" s="565"/>
      <c r="M32" s="446" cm="1">
        <f t="array" ref="M32">_xlfn.IFS(E32="Nieuw",H32-J32,E32="Retrofit",H32,TRUE,0)</f>
        <v>0</v>
      </c>
      <c r="N32" s="446">
        <f t="shared" si="3"/>
        <v>0</v>
      </c>
      <c r="O32" s="446">
        <f t="shared" si="4"/>
        <v>0</v>
      </c>
      <c r="P32" s="446">
        <f t="shared" si="5"/>
        <v>0</v>
      </c>
      <c r="Q32" s="566"/>
      <c r="R32" s="40"/>
      <c r="S32" s="452" t="str">
        <f t="shared" si="6"/>
        <v/>
      </c>
      <c r="T32" s="453">
        <f t="shared" si="7"/>
        <v>0</v>
      </c>
      <c r="U32" s="567" t="str">
        <f t="shared" si="8"/>
        <v/>
      </c>
      <c r="V32" s="455">
        <f t="shared" si="9"/>
        <v>0</v>
      </c>
      <c r="W32" s="456">
        <f t="shared" si="10"/>
        <v>0</v>
      </c>
      <c r="X32" s="457"/>
      <c r="Y32" s="458"/>
      <c r="Z32" s="449">
        <f t="shared" si="11"/>
        <v>0</v>
      </c>
      <c r="AA32" s="459">
        <f t="shared" si="12"/>
        <v>0</v>
      </c>
      <c r="AB32" s="460">
        <f t="shared" si="13"/>
        <v>0</v>
      </c>
      <c r="AC32" s="448"/>
      <c r="AD32" s="461"/>
      <c r="AE32" s="449">
        <f t="shared" si="19"/>
        <v>0</v>
      </c>
      <c r="AF32" s="459">
        <f t="shared" si="14"/>
        <v>0</v>
      </c>
      <c r="AG32" s="462" cm="1">
        <f t="array" ref="AG32">_xlfn.IFS(E32="Nieuw",Z32-AE32,E32="Retrofit",Z32,TRUE,0)</f>
        <v>0</v>
      </c>
      <c r="AH32" s="462">
        <f t="shared" si="15"/>
        <v>0</v>
      </c>
      <c r="AI32" s="463">
        <f t="shared" si="16"/>
        <v>0</v>
      </c>
      <c r="AJ32" s="463">
        <f t="shared" si="17"/>
        <v>0</v>
      </c>
      <c r="AK32" s="464">
        <f t="shared" si="18"/>
        <v>0</v>
      </c>
      <c r="AL32" s="32"/>
      <c r="AM32" s="568">
        <f t="shared" si="20"/>
        <v>0</v>
      </c>
    </row>
    <row r="33" spans="1:50" ht="16.5" customHeight="1" thickBot="1" x14ac:dyDescent="0.35">
      <c r="A33" s="445" t="str">
        <f t="shared" si="0"/>
        <v/>
      </c>
      <c r="B33" s="706" t="s">
        <v>4</v>
      </c>
      <c r="C33" s="707"/>
      <c r="D33" s="446">
        <f>VLOOKUP(B33,'Categorie H2 Vtg.'!$B$4:$C$20,2,FALSE)</f>
        <v>1.0000000000000001E-15</v>
      </c>
      <c r="E33" s="102"/>
      <c r="F33" s="38"/>
      <c r="G33" s="564"/>
      <c r="H33" s="39"/>
      <c r="I33" s="449">
        <f t="shared" si="1"/>
        <v>0</v>
      </c>
      <c r="J33" s="39"/>
      <c r="K33" s="449">
        <f t="shared" si="2"/>
        <v>0</v>
      </c>
      <c r="L33" s="565"/>
      <c r="M33" s="446" cm="1">
        <f t="array" ref="M33">_xlfn.IFS(E33="Nieuw",H33-J33,E33="Retrofit",H33,TRUE,0)</f>
        <v>0</v>
      </c>
      <c r="N33" s="446">
        <f t="shared" si="3"/>
        <v>0</v>
      </c>
      <c r="O33" s="446">
        <f t="shared" si="4"/>
        <v>0</v>
      </c>
      <c r="P33" s="446">
        <f t="shared" si="5"/>
        <v>0</v>
      </c>
      <c r="Q33" s="566"/>
      <c r="R33" s="40"/>
      <c r="S33" s="452" t="str">
        <f t="shared" si="6"/>
        <v/>
      </c>
      <c r="T33" s="453">
        <f t="shared" si="7"/>
        <v>0</v>
      </c>
      <c r="U33" s="567" t="str">
        <f t="shared" si="8"/>
        <v/>
      </c>
      <c r="V33" s="467">
        <f t="shared" si="9"/>
        <v>0</v>
      </c>
      <c r="W33" s="468">
        <f t="shared" si="10"/>
        <v>0</v>
      </c>
      <c r="X33" s="469"/>
      <c r="Y33" s="470"/>
      <c r="Z33" s="471">
        <f t="shared" si="11"/>
        <v>0</v>
      </c>
      <c r="AA33" s="472">
        <f t="shared" si="12"/>
        <v>0</v>
      </c>
      <c r="AB33" s="473">
        <f t="shared" si="13"/>
        <v>0</v>
      </c>
      <c r="AC33" s="474"/>
      <c r="AD33" s="475"/>
      <c r="AE33" s="471">
        <f t="shared" si="19"/>
        <v>0</v>
      </c>
      <c r="AF33" s="472">
        <f t="shared" si="14"/>
        <v>0</v>
      </c>
      <c r="AG33" s="476" cm="1">
        <f t="array" ref="AG33">_xlfn.IFS(E33="Nieuw",Z33-AE33,E33="Retrofit",Z33,TRUE,0)</f>
        <v>0</v>
      </c>
      <c r="AH33" s="476">
        <f t="shared" si="15"/>
        <v>0</v>
      </c>
      <c r="AI33" s="477">
        <f t="shared" si="16"/>
        <v>0</v>
      </c>
      <c r="AJ33" s="477">
        <f t="shared" si="17"/>
        <v>0</v>
      </c>
      <c r="AK33" s="478">
        <f t="shared" si="18"/>
        <v>0</v>
      </c>
      <c r="AL33" s="32"/>
      <c r="AM33" s="568">
        <f t="shared" si="20"/>
        <v>0</v>
      </c>
    </row>
    <row r="34" spans="1:50" ht="18.75" customHeight="1" x14ac:dyDescent="0.3">
      <c r="A34" s="569"/>
      <c r="B34" s="570"/>
      <c r="C34" s="571"/>
      <c r="D34" s="571"/>
      <c r="E34" s="571"/>
      <c r="F34" s="571"/>
      <c r="G34" s="571"/>
      <c r="H34" s="572"/>
      <c r="I34" s="539"/>
      <c r="J34" s="539"/>
      <c r="K34" s="539"/>
      <c r="L34" s="539"/>
      <c r="M34" s="573"/>
      <c r="N34" s="566"/>
      <c r="O34" s="572"/>
      <c r="P34" s="566"/>
      <c r="Q34" s="572"/>
      <c r="R34" s="574"/>
      <c r="S34" s="574"/>
      <c r="T34" s="575"/>
      <c r="V34" s="32"/>
      <c r="W34" s="32"/>
      <c r="X34" s="32"/>
      <c r="Y34" s="32"/>
      <c r="Z34" s="32"/>
      <c r="AA34" s="32"/>
      <c r="AB34" s="32"/>
      <c r="AC34" s="32"/>
      <c r="AD34" s="32"/>
      <c r="AH34" s="407"/>
      <c r="AL34" s="32"/>
    </row>
    <row r="35" spans="1:50" ht="19.2" customHeight="1" x14ac:dyDescent="0.3">
      <c r="A35" s="569"/>
      <c r="B35" s="576" t="s">
        <v>308</v>
      </c>
      <c r="C35" s="571"/>
      <c r="D35" s="571"/>
      <c r="E35" s="571"/>
      <c r="F35" s="571"/>
      <c r="G35" s="571"/>
      <c r="H35" s="572"/>
      <c r="I35" s="539"/>
      <c r="J35" s="539"/>
      <c r="K35" s="539"/>
      <c r="L35" s="539"/>
      <c r="M35" s="573"/>
      <c r="N35" s="566"/>
      <c r="O35" s="572"/>
      <c r="P35" s="566"/>
      <c r="Q35" s="572"/>
      <c r="R35" s="574"/>
      <c r="S35" s="574"/>
      <c r="T35" s="575"/>
      <c r="V35" s="536"/>
      <c r="W35" s="31"/>
      <c r="X35" s="31"/>
      <c r="Y35" s="31"/>
      <c r="Z35" s="577"/>
      <c r="AA35" s="577"/>
      <c r="AB35" s="509"/>
      <c r="AC35" s="509"/>
      <c r="AD35" s="509"/>
      <c r="AH35" s="407"/>
      <c r="AJ35" s="414"/>
      <c r="AL35" s="32"/>
    </row>
    <row r="36" spans="1:50" ht="31.95" customHeight="1" x14ac:dyDescent="0.3">
      <c r="A36" s="569"/>
      <c r="B36" s="576" t="s">
        <v>309</v>
      </c>
      <c r="C36" s="571"/>
      <c r="D36" s="571"/>
      <c r="E36" s="571"/>
      <c r="F36" s="571"/>
      <c r="G36" s="571"/>
      <c r="H36" s="572"/>
      <c r="I36" s="539"/>
      <c r="J36" s="539"/>
      <c r="K36" s="539"/>
      <c r="L36" s="539"/>
      <c r="M36" s="573"/>
      <c r="N36" s="566"/>
      <c r="O36" s="572"/>
      <c r="P36" s="566"/>
      <c r="Q36" s="572"/>
      <c r="R36" s="574"/>
      <c r="S36" s="574"/>
      <c r="T36" s="575"/>
      <c r="V36" s="536"/>
      <c r="W36" s="31"/>
      <c r="X36" s="31"/>
      <c r="Y36" s="31"/>
      <c r="Z36" s="577"/>
      <c r="AA36" s="577"/>
      <c r="AB36" s="509"/>
      <c r="AC36" s="509"/>
      <c r="AD36" s="509"/>
      <c r="AH36" s="407"/>
      <c r="AJ36" s="486"/>
      <c r="AK36" s="486"/>
      <c r="AL36" s="486"/>
    </row>
    <row r="37" spans="1:50" ht="18.75" customHeight="1" x14ac:dyDescent="0.3">
      <c r="A37" s="569"/>
      <c r="B37" s="578" t="s">
        <v>326</v>
      </c>
      <c r="C37" s="571"/>
      <c r="D37" s="571"/>
      <c r="E37" s="571"/>
      <c r="F37" s="571"/>
      <c r="G37" s="571"/>
      <c r="H37" s="572"/>
      <c r="I37" s="539"/>
      <c r="J37" s="539"/>
      <c r="K37" s="539"/>
      <c r="L37" s="539"/>
      <c r="M37" s="573"/>
      <c r="N37" s="566"/>
      <c r="O37" s="572"/>
      <c r="P37" s="566"/>
      <c r="Q37" s="572"/>
      <c r="R37" s="574"/>
      <c r="S37" s="574"/>
      <c r="T37" s="575"/>
      <c r="V37" s="579"/>
      <c r="W37" s="579"/>
      <c r="X37" s="579"/>
      <c r="Y37" s="579"/>
      <c r="Z37" s="580"/>
      <c r="AA37" s="580"/>
      <c r="AB37" s="509"/>
      <c r="AC37" s="509"/>
      <c r="AD37" s="509"/>
      <c r="AH37" s="407"/>
      <c r="AJ37" s="414"/>
      <c r="AL37" s="32"/>
    </row>
    <row r="38" spans="1:50" ht="48" customHeight="1" x14ac:dyDescent="0.3">
      <c r="A38" s="569"/>
      <c r="B38" s="576"/>
      <c r="C38" s="571"/>
      <c r="D38" s="571"/>
      <c r="E38" s="571"/>
      <c r="F38" s="571"/>
      <c r="G38" s="571"/>
      <c r="H38" s="572"/>
      <c r="I38" s="539"/>
      <c r="J38" s="539"/>
      <c r="K38" s="539"/>
      <c r="L38" s="539"/>
      <c r="M38" s="573"/>
      <c r="N38" s="566"/>
      <c r="O38" s="572"/>
      <c r="P38" s="566"/>
      <c r="Q38" s="572"/>
      <c r="R38" s="574"/>
      <c r="S38" s="574"/>
      <c r="T38" s="575"/>
      <c r="V38" s="579"/>
      <c r="W38" s="579"/>
      <c r="X38" s="579"/>
      <c r="Y38" s="579"/>
      <c r="Z38" s="580"/>
      <c r="AA38" s="580"/>
      <c r="AB38" s="31"/>
      <c r="AC38" s="31"/>
      <c r="AD38" s="31"/>
      <c r="AH38" s="407"/>
      <c r="AJ38" s="486"/>
      <c r="AK38" s="486"/>
      <c r="AL38" s="486"/>
    </row>
    <row r="39" spans="1:50" ht="18.75" customHeight="1" x14ac:dyDescent="0.3">
      <c r="A39" s="569"/>
      <c r="B39" s="543" t="s">
        <v>311</v>
      </c>
      <c r="C39" s="32"/>
      <c r="D39" s="31"/>
      <c r="E39" s="32"/>
      <c r="F39" s="536"/>
      <c r="G39" s="571"/>
      <c r="H39" s="32"/>
      <c r="I39" s="539"/>
      <c r="J39" s="539"/>
      <c r="K39" s="539"/>
      <c r="L39" s="539"/>
      <c r="M39" s="31"/>
      <c r="N39" s="31"/>
      <c r="O39" s="31"/>
      <c r="P39" s="31"/>
      <c r="Q39" s="31"/>
      <c r="R39" s="574"/>
      <c r="S39" s="574"/>
      <c r="T39" s="575"/>
      <c r="V39" s="543" t="s">
        <v>312</v>
      </c>
      <c r="W39" s="32"/>
      <c r="X39" s="31"/>
      <c r="Y39" s="31"/>
      <c r="Z39" s="580"/>
      <c r="AA39" s="580"/>
      <c r="AB39" s="403"/>
      <c r="AC39" s="403"/>
      <c r="AD39" s="403"/>
      <c r="AH39" s="407"/>
      <c r="AJ39" s="414"/>
      <c r="AL39" s="32"/>
    </row>
    <row r="40" spans="1:50" ht="18.75" customHeight="1" x14ac:dyDescent="0.3">
      <c r="A40" s="569"/>
      <c r="B40" s="104" t="s">
        <v>313</v>
      </c>
      <c r="C40" s="97"/>
      <c r="D40" s="488">
        <f>SUM(I19:I33)</f>
        <v>0</v>
      </c>
      <c r="E40" s="32"/>
      <c r="F40" s="536"/>
      <c r="G40" s="571"/>
      <c r="H40" s="32"/>
      <c r="I40" s="539"/>
      <c r="J40" s="539"/>
      <c r="K40" s="539"/>
      <c r="L40" s="539"/>
      <c r="M40" s="31"/>
      <c r="N40" s="31"/>
      <c r="O40" s="31"/>
      <c r="P40" s="31"/>
      <c r="Q40" s="31"/>
      <c r="R40" s="574"/>
      <c r="S40" s="574"/>
      <c r="T40" s="575"/>
      <c r="V40" s="666" t="s">
        <v>313</v>
      </c>
      <c r="W40" s="704"/>
      <c r="X40" s="667"/>
      <c r="Y40" s="37"/>
      <c r="Z40" s="488">
        <f>SUM(AA19:AA33)</f>
        <v>0</v>
      </c>
      <c r="AA40" s="280"/>
      <c r="AB40" s="31"/>
      <c r="AC40" s="31"/>
      <c r="AD40" s="31"/>
      <c r="AH40" s="407"/>
      <c r="AJ40" s="414"/>
      <c r="AL40" s="32"/>
    </row>
    <row r="41" spans="1:50" ht="18.75" customHeight="1" x14ac:dyDescent="0.3">
      <c r="A41" s="569"/>
      <c r="B41" s="104" t="s">
        <v>314</v>
      </c>
      <c r="C41" s="97"/>
      <c r="D41" s="488">
        <f>SUM(K19:K33)</f>
        <v>0</v>
      </c>
      <c r="E41" s="32"/>
      <c r="F41" s="536"/>
      <c r="G41" s="571"/>
      <c r="H41" s="32"/>
      <c r="I41" s="539"/>
      <c r="J41" s="539"/>
      <c r="K41" s="539"/>
      <c r="L41" s="539"/>
      <c r="M41" s="31"/>
      <c r="N41" s="31"/>
      <c r="O41" s="31"/>
      <c r="P41" s="31"/>
      <c r="Q41" s="31"/>
      <c r="R41" s="574"/>
      <c r="S41" s="574"/>
      <c r="T41" s="575"/>
      <c r="V41" s="703" t="s">
        <v>314</v>
      </c>
      <c r="W41" s="703"/>
      <c r="X41" s="703"/>
      <c r="Y41" s="8"/>
      <c r="Z41" s="488">
        <f>SUM(AF19:AF33)</f>
        <v>0</v>
      </c>
      <c r="AA41" s="280"/>
      <c r="AB41" s="31"/>
      <c r="AC41" s="31"/>
      <c r="AD41" s="31"/>
      <c r="AH41" s="407"/>
      <c r="AL41" s="32"/>
    </row>
    <row r="42" spans="1:50" ht="18.75" customHeight="1" x14ac:dyDescent="0.3">
      <c r="A42" s="569"/>
      <c r="B42" s="93" t="s">
        <v>315</v>
      </c>
      <c r="C42" s="93"/>
      <c r="D42" s="490">
        <f>SUM(N19:N33)</f>
        <v>0</v>
      </c>
      <c r="E42" s="581"/>
      <c r="F42" s="32"/>
      <c r="G42" s="571"/>
      <c r="I42" s="31"/>
      <c r="J42" s="31"/>
      <c r="K42" s="31"/>
      <c r="L42" s="31"/>
      <c r="M42" s="31"/>
      <c r="N42" s="32"/>
      <c r="O42" s="486"/>
      <c r="P42" s="32"/>
      <c r="Q42" s="486"/>
      <c r="R42" s="486"/>
      <c r="S42" s="486"/>
      <c r="T42" s="486"/>
      <c r="V42" s="703" t="s">
        <v>315</v>
      </c>
      <c r="W42" s="703"/>
      <c r="X42" s="703"/>
      <c r="Y42" s="8"/>
      <c r="Z42" s="490">
        <f>SUM(AH19:AH33)</f>
        <v>0</v>
      </c>
      <c r="AA42" s="281"/>
      <c r="AB42" s="31"/>
      <c r="AC42" s="31"/>
      <c r="AD42" s="31"/>
      <c r="AH42" s="407"/>
      <c r="AL42" s="32"/>
    </row>
    <row r="43" spans="1:50" s="30" customFormat="1" ht="18.75" customHeight="1" x14ac:dyDescent="0.3">
      <c r="A43" s="569"/>
      <c r="B43" s="93" t="s">
        <v>316</v>
      </c>
      <c r="C43" s="93"/>
      <c r="D43" s="490">
        <f>SUM(O19:O33)</f>
        <v>0</v>
      </c>
      <c r="E43" s="581"/>
      <c r="F43" s="31"/>
      <c r="G43" s="571"/>
      <c r="H43" s="31"/>
      <c r="I43" s="539"/>
      <c r="J43" s="539"/>
      <c r="K43" s="539"/>
      <c r="L43" s="539"/>
      <c r="M43" s="582"/>
      <c r="N43" s="486"/>
      <c r="O43" s="486"/>
      <c r="P43" s="486"/>
      <c r="Q43" s="486"/>
      <c r="R43" s="486"/>
      <c r="S43" s="486"/>
      <c r="T43" s="486"/>
      <c r="U43" s="414"/>
      <c r="V43" s="703" t="s">
        <v>316</v>
      </c>
      <c r="W43" s="703"/>
      <c r="X43" s="703"/>
      <c r="Y43" s="8"/>
      <c r="Z43" s="490">
        <f>SUM(AI19:AI33)</f>
        <v>0</v>
      </c>
      <c r="AA43" s="281"/>
      <c r="AB43" s="31"/>
      <c r="AC43" s="31"/>
      <c r="AD43" s="31"/>
      <c r="AE43" s="31"/>
      <c r="AF43" s="31"/>
      <c r="AG43" s="31"/>
      <c r="AH43" s="31"/>
      <c r="AI43" s="31"/>
      <c r="AJ43" s="31"/>
      <c r="AK43" s="31"/>
      <c r="AL43" s="31"/>
      <c r="AM43" s="31"/>
      <c r="AN43" s="31"/>
      <c r="AO43" s="31"/>
      <c r="AP43" s="31"/>
      <c r="AQ43" s="31"/>
      <c r="AR43" s="31"/>
      <c r="AS43" s="31"/>
      <c r="AT43" s="31"/>
      <c r="AU43" s="31"/>
      <c r="AV43" s="31"/>
      <c r="AW43" s="31"/>
      <c r="AX43" s="31"/>
    </row>
    <row r="44" spans="1:50" s="34" customFormat="1" ht="16.5" customHeight="1" x14ac:dyDescent="0.3">
      <c r="A44" s="539"/>
      <c r="B44" s="93" t="s">
        <v>317</v>
      </c>
      <c r="C44" s="93"/>
      <c r="D44" s="490">
        <f>SUM(T19:T33)</f>
        <v>0</v>
      </c>
      <c r="E44" s="581"/>
      <c r="G44" s="583"/>
      <c r="H44" s="584"/>
      <c r="I44" s="539"/>
      <c r="J44" s="539"/>
      <c r="K44" s="539"/>
      <c r="L44" s="539"/>
      <c r="M44" s="585"/>
      <c r="N44" s="585"/>
      <c r="O44" s="585"/>
      <c r="P44" s="585"/>
      <c r="Q44" s="585"/>
      <c r="R44" s="539"/>
      <c r="S44" s="539"/>
      <c r="T44" s="586"/>
      <c r="U44" s="405"/>
      <c r="V44" s="703" t="s">
        <v>318</v>
      </c>
      <c r="W44" s="703"/>
      <c r="X44" s="703"/>
      <c r="Y44" s="8"/>
      <c r="Z44" s="490">
        <f>SUM(AJ19:AJ33)</f>
        <v>0</v>
      </c>
      <c r="AA44" s="281"/>
    </row>
    <row r="45" spans="1:50" s="31" customFormat="1" ht="16.5" customHeight="1" x14ac:dyDescent="0.3">
      <c r="A45" s="569"/>
      <c r="B45" s="93" t="s">
        <v>319</v>
      </c>
      <c r="C45" s="93"/>
      <c r="D45" s="498">
        <f>IF(D43&gt;1,(D44/D42),0)</f>
        <v>0</v>
      </c>
      <c r="E45" s="581"/>
      <c r="G45" s="569"/>
      <c r="H45" s="587"/>
      <c r="I45" s="539"/>
      <c r="J45" s="539"/>
      <c r="K45" s="539"/>
      <c r="L45" s="539"/>
      <c r="M45" s="588"/>
      <c r="N45" s="589"/>
      <c r="O45" s="590"/>
      <c r="P45" s="589"/>
      <c r="Q45" s="590"/>
      <c r="R45" s="590"/>
      <c r="S45" s="590"/>
      <c r="T45" s="589"/>
      <c r="U45" s="414"/>
      <c r="V45" s="703" t="s">
        <v>319</v>
      </c>
      <c r="W45" s="703"/>
      <c r="X45" s="703"/>
      <c r="Y45" s="8"/>
      <c r="Z45" s="498" t="str">
        <f>IF(Z43&gt;1,(Z44/Z42),"")</f>
        <v/>
      </c>
      <c r="AA45" s="591"/>
    </row>
    <row r="46" spans="1:50" s="31" customFormat="1" ht="16.5" customHeight="1" x14ac:dyDescent="0.3">
      <c r="A46" s="536"/>
      <c r="B46" s="93" t="s">
        <v>320</v>
      </c>
      <c r="C46" s="93"/>
      <c r="D46" s="41">
        <v>0</v>
      </c>
      <c r="E46" s="581"/>
      <c r="G46" s="536"/>
      <c r="H46" s="538"/>
      <c r="I46" s="539"/>
      <c r="J46" s="539"/>
      <c r="K46" s="539"/>
      <c r="L46" s="539"/>
      <c r="M46" s="574"/>
      <c r="O46" s="592"/>
      <c r="Q46" s="592"/>
      <c r="R46" s="536"/>
      <c r="S46" s="536"/>
      <c r="U46" s="414"/>
      <c r="V46" s="703" t="s">
        <v>320</v>
      </c>
      <c r="W46" s="703"/>
      <c r="X46" s="703"/>
      <c r="Y46" s="8"/>
      <c r="Z46" s="504">
        <f>D46</f>
        <v>0</v>
      </c>
      <c r="AA46" s="280"/>
    </row>
    <row r="47" spans="1:50" s="31" customFormat="1" ht="16.5" customHeight="1" x14ac:dyDescent="0.3">
      <c r="A47" s="536"/>
      <c r="B47" s="71" t="s">
        <v>158</v>
      </c>
      <c r="C47" s="72"/>
      <c r="D47" s="507">
        <f>$D$40-$D$44-$D$46</f>
        <v>0</v>
      </c>
      <c r="E47" s="581"/>
      <c r="G47" s="536"/>
      <c r="H47" s="538"/>
      <c r="I47" s="539"/>
      <c r="J47" s="539"/>
      <c r="K47" s="539"/>
      <c r="L47" s="539"/>
      <c r="M47" s="574"/>
      <c r="O47" s="592"/>
      <c r="Q47" s="592"/>
      <c r="R47" s="536"/>
      <c r="S47" s="536"/>
      <c r="U47" s="414"/>
      <c r="V47" s="703" t="s">
        <v>158</v>
      </c>
      <c r="W47" s="703"/>
      <c r="X47" s="703"/>
      <c r="Y47" s="8"/>
      <c r="Z47" s="507">
        <f>$Z$40-$Z$44-$Z$46</f>
        <v>0</v>
      </c>
      <c r="AA47" s="593"/>
    </row>
    <row r="48" spans="1:50" s="31" customFormat="1" ht="16.5" customHeight="1" x14ac:dyDescent="0.3">
      <c r="A48" s="536"/>
      <c r="B48" s="536"/>
      <c r="C48" s="536"/>
      <c r="D48" s="536"/>
      <c r="E48" s="536"/>
      <c r="F48" s="32"/>
      <c r="G48" s="536"/>
      <c r="H48" s="538"/>
      <c r="I48" s="539"/>
      <c r="J48" s="539"/>
      <c r="K48" s="539"/>
      <c r="L48" s="539"/>
      <c r="M48" s="574"/>
      <c r="O48" s="592"/>
      <c r="Q48" s="592"/>
      <c r="R48" s="536"/>
      <c r="S48" s="536"/>
      <c r="U48" s="414"/>
      <c r="V48" s="414"/>
      <c r="W48" s="509"/>
      <c r="X48" s="509"/>
      <c r="Y48" s="509"/>
      <c r="Z48" s="509"/>
      <c r="AA48" s="509"/>
      <c r="AB48" s="509"/>
      <c r="AC48" s="509"/>
      <c r="AD48" s="509"/>
      <c r="AE48" s="509"/>
      <c r="AF48" s="509"/>
      <c r="AG48" s="509"/>
      <c r="AH48" s="407"/>
      <c r="AI48" s="407"/>
      <c r="AJ48" s="407"/>
      <c r="AK48" s="407"/>
    </row>
    <row r="49" spans="1:50" s="31" customFormat="1" ht="16.5" hidden="1" customHeight="1" x14ac:dyDescent="0.3">
      <c r="A49" s="536"/>
      <c r="B49" s="594" t="s">
        <v>321</v>
      </c>
      <c r="C49" s="536"/>
      <c r="D49" s="536"/>
      <c r="E49" s="536"/>
      <c r="F49" s="536"/>
      <c r="G49" s="536"/>
      <c r="H49" s="509"/>
      <c r="I49" s="514"/>
      <c r="J49" s="514"/>
      <c r="K49" s="514"/>
      <c r="L49" s="514"/>
      <c r="M49" s="573"/>
      <c r="O49" s="592"/>
      <c r="Q49" s="592"/>
      <c r="R49" s="28"/>
      <c r="S49" s="28"/>
      <c r="U49" s="414"/>
      <c r="V49" s="414"/>
      <c r="W49" s="414"/>
      <c r="X49" s="414"/>
      <c r="Y49" s="414"/>
      <c r="Z49" s="509"/>
      <c r="AA49" s="509"/>
      <c r="AB49" s="509"/>
      <c r="AC49" s="509"/>
      <c r="AD49" s="509"/>
      <c r="AE49" s="509"/>
      <c r="AF49" s="509"/>
      <c r="AG49" s="509"/>
      <c r="AH49" s="509"/>
      <c r="AI49" s="407"/>
      <c r="AJ49" s="407"/>
      <c r="AK49" s="407"/>
      <c r="AL49" s="407"/>
    </row>
    <row r="50" spans="1:50" s="31" customFormat="1" ht="16.5" hidden="1" customHeight="1" x14ac:dyDescent="0.3">
      <c r="A50" s="536"/>
      <c r="B50" s="543"/>
      <c r="C50" s="579"/>
      <c r="D50" s="579"/>
      <c r="E50" s="579"/>
      <c r="F50" s="579"/>
      <c r="G50" s="536"/>
      <c r="H50" s="509"/>
      <c r="I50" s="514"/>
      <c r="J50" s="514"/>
      <c r="K50" s="514"/>
      <c r="L50" s="514"/>
      <c r="M50" s="573"/>
      <c r="O50" s="592"/>
      <c r="Q50" s="592"/>
      <c r="R50" s="28"/>
      <c r="S50" s="28"/>
      <c r="U50" s="414"/>
      <c r="V50" s="414"/>
      <c r="W50" s="414"/>
      <c r="X50" s="414"/>
      <c r="Y50" s="414"/>
      <c r="Z50" s="509"/>
      <c r="AA50" s="509"/>
      <c r="AB50" s="509"/>
      <c r="AC50" s="509"/>
      <c r="AD50" s="509"/>
      <c r="AE50" s="509"/>
      <c r="AF50" s="509"/>
      <c r="AG50" s="509"/>
      <c r="AH50" s="509"/>
      <c r="AI50" s="407"/>
      <c r="AJ50" s="407"/>
      <c r="AK50" s="407"/>
      <c r="AL50" s="407"/>
    </row>
    <row r="51" spans="1:50" s="31" customFormat="1" ht="16.5" hidden="1" customHeight="1" x14ac:dyDescent="0.3">
      <c r="A51" s="536"/>
      <c r="B51" s="512" t="s">
        <v>322</v>
      </c>
      <c r="C51" s="710" t="s">
        <v>323</v>
      </c>
      <c r="D51" s="710"/>
      <c r="E51" s="710"/>
      <c r="F51" s="710"/>
      <c r="G51" s="543"/>
      <c r="H51" s="509"/>
      <c r="I51" s="514"/>
      <c r="J51" s="514"/>
      <c r="K51" s="514"/>
      <c r="L51" s="514"/>
      <c r="M51" s="573"/>
      <c r="O51" s="592"/>
      <c r="Q51" s="592"/>
      <c r="R51" s="28"/>
      <c r="S51" s="28"/>
      <c r="U51" s="414"/>
      <c r="V51" s="414"/>
      <c r="W51" s="414"/>
      <c r="X51" s="414"/>
      <c r="Y51" s="414"/>
      <c r="Z51" s="509"/>
      <c r="AA51" s="509"/>
      <c r="AB51" s="509"/>
      <c r="AC51" s="509"/>
      <c r="AD51" s="509"/>
      <c r="AE51" s="509"/>
      <c r="AF51" s="509"/>
      <c r="AG51" s="509"/>
      <c r="AH51" s="509"/>
      <c r="AI51" s="407"/>
      <c r="AJ51" s="407"/>
      <c r="AK51" s="407"/>
      <c r="AL51" s="407"/>
    </row>
    <row r="52" spans="1:50" s="31" customFormat="1" ht="16.5" hidden="1" customHeight="1" x14ac:dyDescent="0.3">
      <c r="A52" s="536"/>
      <c r="B52" s="513"/>
      <c r="C52" s="708"/>
      <c r="D52" s="708"/>
      <c r="E52" s="708"/>
      <c r="F52" s="708"/>
      <c r="G52" s="536"/>
      <c r="H52" s="509"/>
      <c r="I52" s="514"/>
      <c r="J52" s="514"/>
      <c r="K52" s="514"/>
      <c r="L52" s="514"/>
      <c r="M52" s="573"/>
      <c r="O52" s="592"/>
      <c r="Q52" s="592"/>
      <c r="R52" s="28"/>
      <c r="S52" s="28"/>
      <c r="U52" s="414"/>
      <c r="V52" s="414"/>
      <c r="W52" s="414"/>
      <c r="X52" s="414"/>
      <c r="Y52" s="414"/>
      <c r="Z52" s="509"/>
      <c r="AA52" s="509"/>
      <c r="AB52" s="509"/>
      <c r="AC52" s="509"/>
      <c r="AD52" s="509"/>
      <c r="AE52" s="509"/>
      <c r="AF52" s="509"/>
      <c r="AG52" s="509"/>
      <c r="AH52" s="509"/>
      <c r="AI52" s="407"/>
      <c r="AJ52" s="407"/>
      <c r="AK52" s="407"/>
      <c r="AL52" s="407"/>
    </row>
    <row r="53" spans="1:50" s="31" customFormat="1" ht="16.5" hidden="1" customHeight="1" x14ac:dyDescent="0.3">
      <c r="A53" s="536"/>
      <c r="B53" s="513"/>
      <c r="C53" s="708"/>
      <c r="D53" s="708"/>
      <c r="E53" s="708"/>
      <c r="F53" s="708"/>
      <c r="G53" s="536"/>
      <c r="H53" s="509"/>
      <c r="I53" s="514"/>
      <c r="J53" s="514"/>
      <c r="K53" s="514"/>
      <c r="L53" s="514"/>
      <c r="M53" s="573"/>
      <c r="O53" s="592"/>
      <c r="Q53" s="592"/>
      <c r="R53" s="28"/>
      <c r="S53" s="28"/>
      <c r="U53" s="414"/>
      <c r="V53" s="414"/>
      <c r="W53" s="414"/>
      <c r="X53" s="414"/>
      <c r="Y53" s="414"/>
      <c r="Z53" s="509"/>
      <c r="AA53" s="509"/>
      <c r="AB53" s="509"/>
      <c r="AC53" s="509"/>
      <c r="AD53" s="509"/>
      <c r="AE53" s="509"/>
      <c r="AF53" s="509"/>
      <c r="AG53" s="509"/>
      <c r="AH53" s="509"/>
      <c r="AI53" s="407"/>
      <c r="AJ53" s="407"/>
      <c r="AK53" s="407"/>
      <c r="AL53" s="407"/>
    </row>
    <row r="54" spans="1:50" s="30" customFormat="1" ht="16.5" hidden="1" customHeight="1" x14ac:dyDescent="0.3">
      <c r="A54" s="31"/>
      <c r="B54" s="513"/>
      <c r="C54" s="708"/>
      <c r="D54" s="708"/>
      <c r="E54" s="708"/>
      <c r="F54" s="708"/>
      <c r="G54" s="536"/>
      <c r="H54" s="509"/>
      <c r="I54" s="514"/>
      <c r="J54" s="514"/>
      <c r="K54" s="514"/>
      <c r="L54" s="514"/>
      <c r="M54" s="28"/>
      <c r="N54" s="28"/>
      <c r="O54" s="28"/>
      <c r="P54" s="28"/>
      <c r="Q54" s="28"/>
      <c r="R54" s="28"/>
      <c r="S54" s="28"/>
      <c r="T54" s="28"/>
      <c r="U54" s="414"/>
      <c r="V54" s="414"/>
      <c r="W54" s="414"/>
      <c r="X54" s="414"/>
      <c r="Y54" s="414"/>
      <c r="Z54" s="509"/>
      <c r="AA54" s="509"/>
      <c r="AB54" s="509"/>
      <c r="AC54" s="509"/>
      <c r="AD54" s="509"/>
      <c r="AE54" s="509"/>
      <c r="AF54" s="509"/>
      <c r="AG54" s="509"/>
      <c r="AH54" s="509"/>
      <c r="AI54" s="407"/>
      <c r="AJ54" s="407"/>
      <c r="AK54" s="407"/>
      <c r="AL54" s="407"/>
      <c r="AM54" s="31"/>
      <c r="AN54" s="31"/>
      <c r="AO54" s="31"/>
      <c r="AP54" s="31"/>
      <c r="AQ54" s="31"/>
      <c r="AR54" s="31"/>
      <c r="AS54" s="31"/>
      <c r="AT54" s="31"/>
      <c r="AU54" s="31"/>
      <c r="AV54" s="31"/>
      <c r="AW54" s="31"/>
      <c r="AX54" s="31"/>
    </row>
    <row r="55" spans="1:50" ht="16.5" hidden="1" customHeight="1" x14ac:dyDescent="0.3">
      <c r="B55" s="513"/>
      <c r="C55" s="708"/>
      <c r="D55" s="708"/>
      <c r="E55" s="708"/>
      <c r="F55" s="708"/>
      <c r="G55" s="536"/>
      <c r="H55" s="509"/>
      <c r="I55" s="514"/>
      <c r="J55" s="514"/>
      <c r="K55" s="514"/>
      <c r="L55" s="514"/>
      <c r="M55" s="28"/>
      <c r="N55" s="28"/>
      <c r="O55" s="28"/>
      <c r="P55" s="28"/>
      <c r="Q55" s="28"/>
      <c r="R55" s="28"/>
      <c r="S55" s="28"/>
      <c r="T55" s="28"/>
    </row>
    <row r="56" spans="1:50" ht="16.5" hidden="1" customHeight="1" x14ac:dyDescent="0.3">
      <c r="B56" s="31"/>
      <c r="C56" s="31"/>
      <c r="D56" s="31"/>
      <c r="E56" s="31"/>
      <c r="F56" s="31"/>
      <c r="H56" s="509"/>
      <c r="I56" s="514"/>
      <c r="J56" s="514"/>
      <c r="K56" s="514"/>
      <c r="L56" s="514"/>
      <c r="M56" s="28"/>
      <c r="N56" s="28"/>
      <c r="O56" s="28"/>
      <c r="P56" s="28"/>
      <c r="Q56" s="28"/>
      <c r="R56" s="28"/>
      <c r="S56" s="28"/>
      <c r="T56" s="28"/>
    </row>
    <row r="57" spans="1:50" ht="16.5" hidden="1" customHeight="1" x14ac:dyDescent="0.3">
      <c r="A57" s="536"/>
      <c r="B57" s="543"/>
      <c r="C57" s="579"/>
      <c r="D57" s="579"/>
      <c r="E57" s="579"/>
      <c r="F57" s="579"/>
      <c r="G57" s="536"/>
      <c r="I57" s="515"/>
      <c r="J57" s="515"/>
      <c r="K57" s="515"/>
      <c r="L57" s="514"/>
      <c r="M57" s="35"/>
      <c r="N57" s="35"/>
      <c r="O57" s="35"/>
      <c r="P57" s="35"/>
      <c r="Q57" s="28"/>
      <c r="R57" s="35"/>
      <c r="S57" s="35"/>
      <c r="T57" s="35"/>
    </row>
    <row r="58" spans="1:50" ht="16.5" hidden="1" customHeight="1" x14ac:dyDescent="0.3">
      <c r="A58" s="536"/>
      <c r="B58" s="516" t="s">
        <v>322</v>
      </c>
      <c r="C58" s="709" t="s">
        <v>324</v>
      </c>
      <c r="D58" s="709"/>
      <c r="E58" s="709"/>
      <c r="F58" s="709"/>
      <c r="G58" s="543"/>
      <c r="I58" s="515"/>
      <c r="J58" s="515"/>
      <c r="K58" s="515"/>
      <c r="L58" s="514"/>
      <c r="M58" s="35"/>
      <c r="N58" s="35"/>
      <c r="O58" s="35"/>
      <c r="P58" s="35"/>
      <c r="Q58" s="28"/>
      <c r="R58" s="35"/>
      <c r="S58" s="35"/>
      <c r="T58" s="35"/>
    </row>
    <row r="59" spans="1:50" ht="16.5" hidden="1" customHeight="1" x14ac:dyDescent="0.3">
      <c r="A59" s="536"/>
      <c r="B59" s="513"/>
      <c r="C59" s="708"/>
      <c r="D59" s="708"/>
      <c r="E59" s="708"/>
      <c r="F59" s="708"/>
      <c r="G59" s="536"/>
      <c r="I59" s="515"/>
      <c r="J59" s="515"/>
      <c r="K59" s="515"/>
      <c r="L59" s="514"/>
      <c r="M59" s="35"/>
      <c r="N59" s="35"/>
      <c r="O59" s="35"/>
      <c r="P59" s="35"/>
      <c r="Q59" s="28"/>
      <c r="R59" s="35"/>
      <c r="S59" s="35"/>
      <c r="T59" s="35"/>
    </row>
    <row r="60" spans="1:50" ht="16.5" hidden="1" customHeight="1" x14ac:dyDescent="0.3">
      <c r="A60" s="536"/>
      <c r="B60" s="513"/>
      <c r="C60" s="708"/>
      <c r="D60" s="708"/>
      <c r="E60" s="708"/>
      <c r="F60" s="708"/>
      <c r="G60" s="536"/>
      <c r="I60" s="515"/>
      <c r="J60" s="515"/>
      <c r="K60" s="515"/>
      <c r="L60" s="514"/>
      <c r="M60" s="35"/>
      <c r="N60" s="35"/>
      <c r="O60" s="35"/>
      <c r="P60" s="35"/>
      <c r="Q60" s="28"/>
      <c r="R60" s="35"/>
      <c r="S60" s="35"/>
      <c r="T60" s="35"/>
    </row>
    <row r="61" spans="1:50" ht="16.5" hidden="1" customHeight="1" x14ac:dyDescent="0.3">
      <c r="B61" s="513"/>
      <c r="C61" s="708"/>
      <c r="D61" s="708"/>
      <c r="E61" s="708"/>
      <c r="F61" s="708"/>
      <c r="G61" s="536"/>
      <c r="I61" s="515"/>
      <c r="J61" s="515"/>
      <c r="K61" s="515"/>
      <c r="L61" s="514"/>
      <c r="M61" s="35"/>
      <c r="N61" s="35"/>
      <c r="O61" s="35"/>
      <c r="P61" s="35"/>
      <c r="Q61" s="28"/>
      <c r="R61" s="35"/>
      <c r="S61" s="35"/>
      <c r="T61" s="35"/>
    </row>
    <row r="62" spans="1:50" ht="16.5" hidden="1" customHeight="1" x14ac:dyDescent="0.3">
      <c r="B62" s="513"/>
      <c r="C62" s="708"/>
      <c r="D62" s="708"/>
      <c r="E62" s="708"/>
      <c r="F62" s="708"/>
      <c r="G62" s="536"/>
      <c r="I62" s="515"/>
      <c r="J62" s="515"/>
      <c r="K62" s="515"/>
      <c r="L62" s="514"/>
      <c r="M62" s="35"/>
      <c r="N62" s="35"/>
      <c r="O62" s="35"/>
      <c r="P62" s="35"/>
      <c r="Q62" s="28"/>
      <c r="R62" s="35"/>
      <c r="S62" s="35"/>
      <c r="T62" s="35"/>
    </row>
    <row r="63" spans="1:50" ht="16.5" customHeight="1" x14ac:dyDescent="0.3">
      <c r="B63" s="31"/>
      <c r="C63" s="31"/>
      <c r="D63" s="31"/>
      <c r="E63" s="31"/>
      <c r="F63" s="31"/>
      <c r="H63" s="509"/>
      <c r="I63" s="514"/>
      <c r="J63" s="514"/>
      <c r="K63" s="514"/>
      <c r="L63" s="514"/>
      <c r="M63" s="28"/>
      <c r="N63" s="28"/>
      <c r="O63" s="28"/>
      <c r="P63" s="28"/>
      <c r="Q63" s="28"/>
      <c r="R63" s="28"/>
      <c r="S63" s="28"/>
      <c r="T63" s="28"/>
    </row>
    <row r="64" spans="1:50" ht="16.5" customHeight="1" x14ac:dyDescent="0.3">
      <c r="B64" s="517" t="str">
        <f>'Categorie H2 Vtg.'!B5</f>
        <v xml:space="preserve">M1, rolstoeltoegankelijk en meer dan 4 zitplaatsen </v>
      </c>
      <c r="C64" s="518"/>
      <c r="D64" s="519">
        <f t="shared" ref="D64:D79" si="21">SUMIF($B$19:$B$33,B64,$F$19:$F$33)</f>
        <v>0</v>
      </c>
      <c r="E64" s="32"/>
      <c r="F64" s="32"/>
      <c r="H64" s="595"/>
      <c r="I64" s="521"/>
      <c r="J64" s="521"/>
      <c r="K64" s="521"/>
      <c r="L64" s="596"/>
      <c r="M64" s="526"/>
      <c r="N64" s="526"/>
      <c r="O64" s="526"/>
      <c r="P64" s="526"/>
      <c r="Q64" s="597"/>
      <c r="R64" s="526"/>
      <c r="S64" s="526"/>
      <c r="T64" s="526"/>
    </row>
    <row r="65" spans="2:20" ht="16.5" customHeight="1" x14ac:dyDescent="0.3">
      <c r="B65" s="517" t="str">
        <f>'Categorie H2 Vtg.'!B6</f>
        <v xml:space="preserve">M2, emissievrij licht waterstofvoertuig </v>
      </c>
      <c r="C65" s="518"/>
      <c r="D65" s="519">
        <f t="shared" si="21"/>
        <v>0</v>
      </c>
      <c r="E65" s="32"/>
      <c r="F65" s="32"/>
      <c r="G65" s="598"/>
      <c r="H65" s="595"/>
      <c r="I65" s="521"/>
      <c r="J65" s="521"/>
      <c r="K65" s="521"/>
      <c r="L65" s="596"/>
      <c r="M65" s="526"/>
      <c r="N65" s="526"/>
      <c r="O65" s="526"/>
      <c r="P65" s="526"/>
      <c r="Q65" s="597"/>
      <c r="R65" s="526"/>
      <c r="S65" s="526"/>
      <c r="T65" s="526"/>
    </row>
    <row r="66" spans="2:20" ht="16.5" customHeight="1" x14ac:dyDescent="0.3">
      <c r="B66" s="517" t="str">
        <f>'Categorie H2 Vtg.'!B7</f>
        <v>M3, emissievrij zwaar waterstofvoertuig (brandstofcel)</v>
      </c>
      <c r="C66" s="518"/>
      <c r="D66" s="519">
        <f t="shared" si="21"/>
        <v>0</v>
      </c>
      <c r="E66" s="31"/>
      <c r="F66" s="31"/>
      <c r="G66" s="598"/>
      <c r="H66" s="599"/>
      <c r="I66" s="515"/>
      <c r="J66" s="515"/>
      <c r="K66" s="515"/>
      <c r="L66" s="514"/>
      <c r="M66" s="526"/>
      <c r="N66" s="526"/>
      <c r="O66" s="526"/>
      <c r="P66" s="526"/>
      <c r="Q66" s="597"/>
      <c r="R66" s="526"/>
      <c r="S66" s="526"/>
      <c r="T66" s="526"/>
    </row>
    <row r="67" spans="2:20" ht="16.5" customHeight="1" x14ac:dyDescent="0.3">
      <c r="B67" s="517" t="str">
        <f>'Categorie H2 Vtg.'!B8</f>
        <v xml:space="preserve">M3, emissievrij zwaar waterstofvoertuig (waterstofverbrandingsmotor) </v>
      </c>
      <c r="C67" s="518"/>
      <c r="D67" s="519">
        <f t="shared" si="21"/>
        <v>0</v>
      </c>
      <c r="E67" s="598"/>
      <c r="F67" s="31"/>
      <c r="G67" s="598"/>
      <c r="H67" s="599"/>
      <c r="I67" s="529"/>
      <c r="J67" s="529"/>
      <c r="K67" s="529"/>
      <c r="L67" s="600"/>
      <c r="M67" s="526"/>
      <c r="N67" s="526"/>
      <c r="O67" s="526"/>
      <c r="P67" s="526"/>
      <c r="Q67" s="597"/>
      <c r="R67" s="526"/>
      <c r="S67" s="526"/>
      <c r="T67" s="526"/>
    </row>
    <row r="68" spans="2:20" ht="16.5" customHeight="1" x14ac:dyDescent="0.3">
      <c r="B68" s="517" t="str">
        <f>'Categorie H2 Vtg.'!B9</f>
        <v>N1, emissievrij licht waterstofvoertuig</v>
      </c>
      <c r="C68" s="518"/>
      <c r="D68" s="519">
        <f t="shared" si="21"/>
        <v>0</v>
      </c>
      <c r="E68" s="598"/>
      <c r="F68" s="31"/>
      <c r="G68" s="598"/>
      <c r="N68" s="32"/>
      <c r="O68" s="32"/>
      <c r="P68" s="32"/>
      <c r="Q68" s="31"/>
      <c r="R68" s="32"/>
      <c r="S68" s="32"/>
    </row>
    <row r="69" spans="2:20" ht="12.75" customHeight="1" x14ac:dyDescent="0.3">
      <c r="B69" s="517" t="str">
        <f>'Categorie H2 Vtg.'!B10</f>
        <v>N2, emissievrij zwaar waterstofvoertuig (brandstofcel)</v>
      </c>
      <c r="C69" s="518"/>
      <c r="D69" s="519">
        <f t="shared" si="21"/>
        <v>0</v>
      </c>
      <c r="E69" s="598"/>
      <c r="F69" s="31"/>
      <c r="G69" s="598"/>
      <c r="N69" s="32"/>
      <c r="O69" s="32"/>
      <c r="P69" s="32"/>
      <c r="Q69" s="31"/>
      <c r="R69" s="32"/>
      <c r="S69" s="32"/>
    </row>
    <row r="70" spans="2:20" ht="12.75" customHeight="1" x14ac:dyDescent="0.3">
      <c r="B70" s="517" t="str">
        <f>'Categorie H2 Vtg.'!B11</f>
        <v>N2, emissievrij zwaar waterstofvoertuig (waterstofverbrandingsmotor)</v>
      </c>
      <c r="C70" s="518"/>
      <c r="D70" s="519">
        <f t="shared" si="21"/>
        <v>0</v>
      </c>
      <c r="E70" s="598"/>
      <c r="F70" s="31"/>
      <c r="G70" s="598"/>
      <c r="N70" s="32"/>
      <c r="O70" s="32"/>
      <c r="P70" s="32"/>
      <c r="Q70" s="31"/>
      <c r="R70" s="32"/>
      <c r="S70" s="32"/>
    </row>
    <row r="71" spans="2:20" ht="12.75" customHeight="1" x14ac:dyDescent="0.3">
      <c r="B71" s="517" t="str">
        <f>'Categorie H2 Vtg.'!B12</f>
        <v>N3, emissievrij zwaar waterstofvoertuig &lt; 30.000 kg (brandstofcel)</v>
      </c>
      <c r="C71" s="518"/>
      <c r="D71" s="519">
        <f t="shared" si="21"/>
        <v>0</v>
      </c>
      <c r="E71" s="598"/>
      <c r="F71" s="31"/>
      <c r="G71" s="598"/>
      <c r="N71" s="32"/>
      <c r="O71" s="32"/>
      <c r="P71" s="32"/>
      <c r="Q71" s="31"/>
      <c r="R71" s="32"/>
      <c r="S71" s="32"/>
    </row>
    <row r="72" spans="2:20" ht="12.75" customHeight="1" x14ac:dyDescent="0.3">
      <c r="B72" s="517" t="str">
        <f>'Categorie H2 Vtg.'!B13</f>
        <v>N3, emissievrij zwaar waterstofvoertuig &lt; 30.000kg (waterstofverbrandingsmotor)</v>
      </c>
      <c r="C72" s="518"/>
      <c r="D72" s="519">
        <f t="shared" si="21"/>
        <v>0</v>
      </c>
      <c r="E72" s="598"/>
      <c r="F72" s="31"/>
      <c r="G72" s="598"/>
      <c r="N72" s="32"/>
      <c r="O72" s="32"/>
      <c r="P72" s="32"/>
      <c r="Q72" s="31"/>
      <c r="R72" s="32"/>
      <c r="S72" s="32"/>
    </row>
    <row r="73" spans="2:20" ht="12.75" customHeight="1" x14ac:dyDescent="0.3">
      <c r="B73" s="517" t="str">
        <f>'Categorie H2 Vtg.'!B14</f>
        <v>N3, emissievrij zwaar waterstofvoertuig ≥ 30.000kg (brandstofcel)</v>
      </c>
      <c r="C73" s="518"/>
      <c r="D73" s="519">
        <f t="shared" si="21"/>
        <v>0</v>
      </c>
      <c r="E73" s="598"/>
      <c r="F73" s="31"/>
      <c r="G73" s="598"/>
      <c r="N73" s="32"/>
      <c r="O73" s="32"/>
      <c r="P73" s="32"/>
      <c r="Q73" s="31"/>
      <c r="R73" s="32"/>
      <c r="S73" s="32"/>
    </row>
    <row r="74" spans="2:20" ht="12.75" customHeight="1" x14ac:dyDescent="0.3">
      <c r="B74" s="517" t="str">
        <f>'Categorie H2 Vtg.'!B15</f>
        <v>N3, emissievrij zwaar waterstofvoertuig ≥ 30.000 kg (waterstofverbrandingsmotor)</v>
      </c>
      <c r="C74" s="518"/>
      <c r="D74" s="519">
        <f t="shared" si="21"/>
        <v>0</v>
      </c>
      <c r="E74" s="598"/>
      <c r="F74" s="31"/>
      <c r="G74" s="598"/>
      <c r="N74" s="32"/>
      <c r="O74" s="32"/>
      <c r="P74" s="32"/>
      <c r="Q74" s="31"/>
      <c r="R74" s="32"/>
      <c r="S74" s="32"/>
    </row>
    <row r="75" spans="2:20" ht="12.75" customHeight="1" x14ac:dyDescent="0.3">
      <c r="B75" s="517" t="str">
        <f>'Categorie H2 Vtg.'!B16</f>
        <v>emissievrije overslagmachine (brandstofcel)</v>
      </c>
      <c r="C75" s="518"/>
      <c r="D75" s="519">
        <f t="shared" si="21"/>
        <v>0</v>
      </c>
      <c r="E75" s="598"/>
      <c r="F75" s="31"/>
      <c r="G75" s="598"/>
      <c r="N75" s="32"/>
      <c r="O75" s="32"/>
      <c r="P75" s="32"/>
      <c r="Q75" s="31"/>
      <c r="R75" s="32"/>
      <c r="S75" s="32"/>
    </row>
    <row r="76" spans="2:20" ht="12.75" customHeight="1" x14ac:dyDescent="0.3">
      <c r="B76" s="517" t="str">
        <f>'Categorie H2 Vtg.'!B17</f>
        <v>emissievrije vorkheftruck (brandstofcel)</v>
      </c>
      <c r="C76" s="518"/>
      <c r="D76" s="519">
        <f t="shared" si="21"/>
        <v>0</v>
      </c>
      <c r="E76" s="598"/>
      <c r="F76" s="31"/>
      <c r="G76" s="598"/>
      <c r="N76" s="32"/>
      <c r="O76" s="32"/>
      <c r="P76" s="32"/>
      <c r="Q76" s="31"/>
      <c r="R76" s="32"/>
      <c r="S76" s="32"/>
    </row>
    <row r="77" spans="2:20" ht="12.75" customHeight="1" x14ac:dyDescent="0.3">
      <c r="B77" s="517" t="str">
        <f>'Categorie H2 Vtg.'!B18</f>
        <v>emissievrije verreiker (brandstofcel)</v>
      </c>
      <c r="C77" s="518"/>
      <c r="D77" s="519">
        <f t="shared" si="21"/>
        <v>0</v>
      </c>
      <c r="E77" s="598"/>
      <c r="F77" s="31"/>
      <c r="G77" s="598"/>
      <c r="N77" s="32"/>
      <c r="O77" s="32"/>
      <c r="P77" s="32"/>
      <c r="Q77" s="31"/>
      <c r="R77" s="32"/>
      <c r="S77" s="32"/>
    </row>
    <row r="78" spans="2:20" ht="12.75" customHeight="1" x14ac:dyDescent="0.3">
      <c r="B78" s="517" t="str">
        <f>'Categorie H2 Vtg.'!B19</f>
        <v>emissievrije pushbacktruck (brandstofcel)</v>
      </c>
      <c r="C78" s="518"/>
      <c r="D78" s="519">
        <f t="shared" si="21"/>
        <v>0</v>
      </c>
      <c r="E78" s="598"/>
      <c r="F78" s="31"/>
      <c r="G78" s="598"/>
      <c r="N78" s="32"/>
      <c r="O78" s="32"/>
      <c r="P78" s="32"/>
      <c r="Q78" s="31"/>
      <c r="R78" s="32"/>
      <c r="S78" s="32"/>
    </row>
    <row r="79" spans="2:20" ht="12.75" customHeight="1" x14ac:dyDescent="0.3">
      <c r="B79" s="517" t="str">
        <f>'Categorie H2 Vtg.'!B20</f>
        <v>emissievrije terminaltrekker (brandstofcel)</v>
      </c>
      <c r="C79" s="518"/>
      <c r="D79" s="519">
        <f t="shared" si="21"/>
        <v>0</v>
      </c>
      <c r="E79" s="598"/>
      <c r="F79" s="31"/>
      <c r="G79" s="598"/>
      <c r="N79" s="32"/>
      <c r="O79" s="32"/>
      <c r="P79" s="32"/>
      <c r="Q79" s="31"/>
      <c r="R79" s="32"/>
      <c r="S79" s="32"/>
    </row>
    <row r="80" spans="2:20" ht="12.75" customHeight="1" x14ac:dyDescent="0.3">
      <c r="C80" s="32"/>
      <c r="D80" s="32"/>
      <c r="E80" s="598"/>
      <c r="F80" s="598"/>
      <c r="G80" s="598"/>
      <c r="N80" s="32"/>
      <c r="O80" s="32"/>
      <c r="P80" s="32"/>
      <c r="Q80" s="31"/>
      <c r="R80" s="32"/>
      <c r="S80" s="32"/>
    </row>
    <row r="81" spans="1:19" ht="12.75" customHeight="1" x14ac:dyDescent="0.3">
      <c r="C81" s="32"/>
      <c r="D81" s="32"/>
      <c r="E81" s="598"/>
      <c r="F81" s="28"/>
      <c r="G81" s="28"/>
      <c r="N81" s="32"/>
      <c r="O81" s="32"/>
      <c r="P81" s="32"/>
      <c r="Q81" s="31"/>
      <c r="R81" s="32"/>
      <c r="S81" s="32"/>
    </row>
    <row r="82" spans="1:19" ht="12.75" customHeight="1" x14ac:dyDescent="0.3">
      <c r="C82" s="32"/>
      <c r="D82" s="32"/>
      <c r="E82" s="598"/>
      <c r="F82" s="28"/>
      <c r="G82" s="28"/>
      <c r="N82" s="32"/>
      <c r="O82" s="32"/>
      <c r="P82" s="32"/>
      <c r="Q82" s="31"/>
      <c r="R82" s="32"/>
      <c r="S82" s="32"/>
    </row>
    <row r="83" spans="1:19" ht="12.75" customHeight="1" x14ac:dyDescent="0.3">
      <c r="A83" s="601"/>
      <c r="B83" s="602"/>
      <c r="C83" s="602"/>
      <c r="D83" s="602"/>
      <c r="E83" s="603"/>
      <c r="F83" s="28"/>
      <c r="G83" s="28"/>
      <c r="N83" s="32"/>
      <c r="O83" s="32"/>
      <c r="P83" s="32"/>
      <c r="Q83" s="31"/>
      <c r="R83" s="32"/>
      <c r="S83" s="32"/>
    </row>
    <row r="84" spans="1:19" ht="12.75" customHeight="1" x14ac:dyDescent="0.3">
      <c r="A84" s="601"/>
      <c r="B84" s="604"/>
      <c r="C84" s="604"/>
      <c r="D84" s="604"/>
      <c r="E84" s="601"/>
      <c r="F84" s="31"/>
      <c r="N84" s="32"/>
      <c r="O84" s="32"/>
      <c r="P84" s="32"/>
      <c r="Q84" s="31"/>
      <c r="R84" s="32"/>
      <c r="S84" s="32"/>
    </row>
    <row r="85" spans="1:19" ht="12.75" customHeight="1" x14ac:dyDescent="0.3">
      <c r="C85" s="32"/>
      <c r="D85" s="32"/>
      <c r="E85" s="31"/>
      <c r="F85" s="31"/>
      <c r="N85" s="32"/>
      <c r="O85" s="32"/>
      <c r="P85" s="32"/>
      <c r="Q85" s="31"/>
      <c r="R85" s="32"/>
      <c r="S85" s="32"/>
    </row>
    <row r="86" spans="1:19" ht="12.75" customHeight="1" x14ac:dyDescent="0.3">
      <c r="C86" s="32"/>
      <c r="D86" s="32"/>
      <c r="E86" s="31"/>
      <c r="F86" s="31"/>
      <c r="N86" s="32"/>
      <c r="O86" s="32"/>
      <c r="P86" s="32"/>
      <c r="Q86" s="31"/>
      <c r="R86" s="32"/>
      <c r="S86" s="32"/>
    </row>
    <row r="87" spans="1:19" ht="12.75" customHeight="1" x14ac:dyDescent="0.3">
      <c r="C87" s="32"/>
      <c r="D87" s="32"/>
      <c r="E87" s="32"/>
      <c r="F87" s="32"/>
      <c r="N87" s="32"/>
      <c r="O87" s="32"/>
      <c r="P87" s="32"/>
      <c r="Q87" s="31"/>
      <c r="R87" s="32"/>
      <c r="S87" s="32"/>
    </row>
    <row r="88" spans="1:19" ht="12.75" customHeight="1" x14ac:dyDescent="0.3">
      <c r="C88" s="32"/>
      <c r="D88" s="32"/>
      <c r="E88" s="32"/>
      <c r="F88" s="32"/>
      <c r="N88" s="32"/>
      <c r="O88" s="32"/>
      <c r="P88" s="32"/>
      <c r="Q88" s="31"/>
      <c r="R88" s="32"/>
      <c r="S88" s="32"/>
    </row>
    <row r="89" spans="1:19" ht="12.75" customHeight="1" x14ac:dyDescent="0.3">
      <c r="C89" s="32"/>
      <c r="D89" s="32"/>
      <c r="E89" s="32"/>
      <c r="F89" s="32"/>
      <c r="N89" s="32"/>
      <c r="O89" s="32"/>
      <c r="P89" s="32"/>
      <c r="Q89" s="31"/>
      <c r="R89" s="32"/>
      <c r="S89" s="32"/>
    </row>
    <row r="90" spans="1:19" ht="12.75" customHeight="1" x14ac:dyDescent="0.3">
      <c r="C90" s="32"/>
      <c r="D90" s="32"/>
      <c r="E90" s="32"/>
      <c r="F90" s="32"/>
      <c r="N90" s="32"/>
      <c r="O90" s="32"/>
      <c r="P90" s="32"/>
      <c r="Q90" s="31"/>
      <c r="R90" s="32"/>
      <c r="S90" s="32"/>
    </row>
    <row r="91" spans="1:19" ht="12.75" customHeight="1" x14ac:dyDescent="0.3">
      <c r="C91" s="32"/>
      <c r="D91" s="32"/>
      <c r="E91" s="32"/>
      <c r="F91" s="32"/>
      <c r="N91" s="32"/>
      <c r="O91" s="32"/>
      <c r="P91" s="32"/>
      <c r="Q91" s="31"/>
      <c r="R91" s="32"/>
      <c r="S91" s="32"/>
    </row>
    <row r="92" spans="1:19" ht="12.75" customHeight="1" x14ac:dyDescent="0.3">
      <c r="C92" s="32"/>
      <c r="D92" s="32"/>
      <c r="E92" s="32"/>
      <c r="F92" s="32"/>
      <c r="N92" s="32"/>
      <c r="O92" s="32"/>
      <c r="P92" s="32"/>
      <c r="Q92" s="31"/>
      <c r="R92" s="32"/>
      <c r="S92" s="32"/>
    </row>
    <row r="93" spans="1:19" ht="12.75" customHeight="1" x14ac:dyDescent="0.3">
      <c r="C93" s="32"/>
      <c r="D93" s="32"/>
      <c r="E93" s="32"/>
      <c r="F93" s="32"/>
      <c r="N93" s="32"/>
      <c r="O93" s="32"/>
      <c r="P93" s="32"/>
      <c r="Q93" s="31"/>
      <c r="R93" s="32"/>
      <c r="S93" s="32"/>
    </row>
    <row r="94" spans="1:19" ht="12.75" customHeight="1" x14ac:dyDescent="0.3">
      <c r="C94" s="32"/>
      <c r="D94" s="32"/>
      <c r="E94" s="32"/>
      <c r="F94" s="32"/>
      <c r="N94" s="32"/>
      <c r="O94" s="32"/>
      <c r="P94" s="32"/>
      <c r="Q94" s="31"/>
      <c r="R94" s="32"/>
      <c r="S94" s="32"/>
    </row>
    <row r="95" spans="1:19" ht="12.75" customHeight="1" x14ac:dyDescent="0.3">
      <c r="C95" s="32"/>
      <c r="D95" s="32"/>
      <c r="E95" s="32"/>
      <c r="F95" s="32"/>
      <c r="N95" s="32"/>
      <c r="O95" s="32"/>
      <c r="P95" s="32"/>
      <c r="Q95" s="31"/>
      <c r="R95" s="32"/>
      <c r="S95" s="32"/>
    </row>
    <row r="96" spans="1:19" ht="12.75" customHeight="1" x14ac:dyDescent="0.3">
      <c r="C96" s="32"/>
      <c r="D96" s="32"/>
      <c r="E96" s="32"/>
      <c r="F96" s="32"/>
      <c r="N96" s="32"/>
      <c r="O96" s="32"/>
      <c r="P96" s="32"/>
      <c r="Q96" s="31"/>
      <c r="R96" s="32"/>
      <c r="S96" s="32"/>
    </row>
    <row r="97" spans="3:19" ht="12.75" customHeight="1" x14ac:dyDescent="0.3">
      <c r="C97" s="32"/>
      <c r="D97" s="32"/>
      <c r="E97" s="32"/>
      <c r="F97" s="32"/>
      <c r="N97" s="32"/>
      <c r="O97" s="32"/>
      <c r="P97" s="32"/>
      <c r="Q97" s="31"/>
      <c r="R97" s="32"/>
      <c r="S97" s="32"/>
    </row>
    <row r="98" spans="3:19" ht="12.75" customHeight="1" x14ac:dyDescent="0.3">
      <c r="C98" s="32"/>
      <c r="D98" s="32"/>
      <c r="E98" s="32"/>
      <c r="F98" s="32"/>
      <c r="N98" s="32"/>
      <c r="O98" s="32"/>
      <c r="P98" s="32"/>
      <c r="Q98" s="31"/>
      <c r="R98" s="32"/>
      <c r="S98" s="32"/>
    </row>
    <row r="99" spans="3:19" ht="12.75" customHeight="1" x14ac:dyDescent="0.3">
      <c r="C99" s="32"/>
      <c r="D99" s="32"/>
      <c r="E99" s="32"/>
      <c r="F99" s="32"/>
      <c r="N99" s="32"/>
      <c r="O99" s="32"/>
      <c r="P99" s="32"/>
      <c r="Q99" s="31"/>
      <c r="R99" s="32"/>
      <c r="S99" s="32"/>
    </row>
    <row r="100" spans="3:19" ht="12.75" customHeight="1" x14ac:dyDescent="0.3">
      <c r="C100" s="32"/>
      <c r="D100" s="32"/>
      <c r="E100" s="32"/>
      <c r="F100" s="32"/>
      <c r="N100" s="32"/>
      <c r="O100" s="32"/>
      <c r="P100" s="32"/>
      <c r="Q100" s="31"/>
      <c r="R100" s="32"/>
      <c r="S100" s="32"/>
    </row>
    <row r="101" spans="3:19" ht="12.75" customHeight="1" x14ac:dyDescent="0.3">
      <c r="C101" s="32"/>
      <c r="D101" s="32"/>
      <c r="E101" s="32"/>
      <c r="F101" s="32"/>
      <c r="N101" s="32"/>
      <c r="O101" s="32"/>
      <c r="P101" s="32"/>
      <c r="Q101" s="31"/>
      <c r="R101" s="32"/>
      <c r="S101" s="32"/>
    </row>
    <row r="102" spans="3:19" ht="15" customHeight="1" x14ac:dyDescent="0.3">
      <c r="C102" s="32"/>
      <c r="D102" s="32"/>
      <c r="E102" s="32"/>
      <c r="F102" s="32"/>
      <c r="N102" s="32"/>
      <c r="O102" s="32"/>
      <c r="P102" s="32"/>
      <c r="Q102" s="31"/>
      <c r="R102" s="32"/>
      <c r="S102" s="32"/>
    </row>
    <row r="103" spans="3:19" ht="15" customHeight="1" x14ac:dyDescent="0.3">
      <c r="C103" s="32"/>
      <c r="D103" s="32"/>
      <c r="E103" s="32"/>
      <c r="F103" s="32"/>
      <c r="N103" s="32"/>
      <c r="O103" s="32"/>
      <c r="P103" s="32"/>
      <c r="Q103" s="31"/>
      <c r="R103" s="32"/>
      <c r="S103" s="32"/>
    </row>
    <row r="104" spans="3:19" ht="15" customHeight="1" x14ac:dyDescent="0.3">
      <c r="C104" s="32"/>
      <c r="D104" s="32"/>
      <c r="E104" s="32"/>
      <c r="F104" s="32"/>
      <c r="N104" s="32"/>
      <c r="O104" s="32"/>
      <c r="P104" s="32"/>
      <c r="Q104" s="31"/>
      <c r="R104" s="32"/>
      <c r="S104" s="32"/>
    </row>
    <row r="105" spans="3:19" ht="15" customHeight="1" x14ac:dyDescent="0.3">
      <c r="C105" s="32"/>
      <c r="D105" s="32"/>
      <c r="E105" s="32"/>
      <c r="F105" s="32"/>
      <c r="N105" s="32"/>
      <c r="O105" s="32"/>
      <c r="P105" s="32"/>
      <c r="Q105" s="31"/>
      <c r="R105" s="32"/>
      <c r="S105" s="32"/>
    </row>
  </sheetData>
  <sheetProtection algorithmName="SHA-512" hashValue="8oBDDxLi0qYKeeuqx8medygs01fWTByQOHh5jIoWQfsxAFRKgwY6u93NHHHJNj+Kc0dDnaujz2Z9GywUqrSdMw==" saltValue="exdbOBMPkXLSqBGv7AG24g==" spinCount="100000" sheet="1" selectLockedCells="1"/>
  <mergeCells count="34">
    <mergeCell ref="B28:C28"/>
    <mergeCell ref="C53:F53"/>
    <mergeCell ref="C54:F54"/>
    <mergeCell ref="C55:F55"/>
    <mergeCell ref="C58:F58"/>
    <mergeCell ref="B29:C29"/>
    <mergeCell ref="B30:C30"/>
    <mergeCell ref="B31:C31"/>
    <mergeCell ref="B32:C32"/>
    <mergeCell ref="B33:C33"/>
    <mergeCell ref="B23:C23"/>
    <mergeCell ref="B24:C24"/>
    <mergeCell ref="B25:C25"/>
    <mergeCell ref="B26:C26"/>
    <mergeCell ref="B27:C27"/>
    <mergeCell ref="B18:C18"/>
    <mergeCell ref="B19:C19"/>
    <mergeCell ref="B20:C20"/>
    <mergeCell ref="B21:C21"/>
    <mergeCell ref="B22:C22"/>
    <mergeCell ref="V40:X40"/>
    <mergeCell ref="V41:X41"/>
    <mergeCell ref="V42:X42"/>
    <mergeCell ref="V43:X43"/>
    <mergeCell ref="V44:X44"/>
    <mergeCell ref="C59:F59"/>
    <mergeCell ref="C60:F60"/>
    <mergeCell ref="C61:F61"/>
    <mergeCell ref="C62:F62"/>
    <mergeCell ref="V45:X45"/>
    <mergeCell ref="V46:X46"/>
    <mergeCell ref="V47:X47"/>
    <mergeCell ref="C51:F51"/>
    <mergeCell ref="C52:F52"/>
  </mergeCells>
  <conditionalFormatting sqref="D64:D79 G65:G79 E67:E82 F80:G80">
    <cfRule type="cellIs" dxfId="2" priority="3" operator="greaterThan">
      <formula>0</formula>
    </cfRule>
  </conditionalFormatting>
  <conditionalFormatting sqref="R19:R23">
    <cfRule type="cellIs" dxfId="1" priority="1" operator="greaterThan">
      <formula>$D19</formula>
    </cfRule>
  </conditionalFormatting>
  <conditionalFormatting sqref="W18:Y18">
    <cfRule type="containsText" dxfId="0" priority="2" operator="containsText" text="U moet nog de gevraagde subsidiebedrag invullen">
      <formula>NOT(ISERROR(SEARCH("U moet nog de gevraagde subsidiebedrag invullen",W18)))</formula>
    </cfRule>
  </conditionalFormatting>
  <dataValidations count="2">
    <dataValidation type="list" allowBlank="1" showErrorMessage="1" sqref="C6" xr:uid="{4F81013F-DFB2-470B-B73C-21F64E3F63C3}">
      <formula1>"Ja,Nee"</formula1>
    </dataValidation>
    <dataValidation type="decimal" operator="greaterThan" allowBlank="1" showErrorMessage="1" sqref="AC19:AC20 AE19:AH33 AB19:AB33 AC22:AC33 H19:M33" xr:uid="{5548DADE-E141-4398-9D3E-1FBD95AE2BC4}">
      <formula1>0</formula1>
    </dataValidation>
  </dataValidations>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E8F84BA3-300B-4446-9DA9-AE8A2AC2399F}">
          <x14:formula1>
            <xm:f>'Categorie H2 Vtg.'!$B$4:$B$20</xm:f>
          </x14:formula1>
          <xm:sqref>B19:C33</xm:sqref>
        </x14:dataValidation>
        <x14:dataValidation type="list" allowBlank="1" showInputMessage="1" showErrorMessage="1" xr:uid="{7CC1DAC6-8B33-4772-8514-3302B792F5AD}">
          <x14:formula1>
            <xm:f>'Categorie H2 Vtg.'!$B$46:$B$48</xm:f>
          </x14:formula1>
          <xm:sqref>E19:E33</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DA39A-A108-E54E-B082-CCBAC9FEAAD9}">
  <sheetPr codeName="Blad34">
    <tabColor rgb="FFFFFF00"/>
  </sheetPr>
  <dimension ref="B1:W43"/>
  <sheetViews>
    <sheetView showGridLines="0" topLeftCell="A3" zoomScale="80" zoomScaleNormal="80" workbookViewId="0">
      <selection activeCell="D8" sqref="D8"/>
    </sheetView>
  </sheetViews>
  <sheetFormatPr defaultColWidth="14.44140625" defaultRowHeight="15" customHeight="1" x14ac:dyDescent="0.3"/>
  <cols>
    <col min="1" max="1" width="3.44140625" style="50" customWidth="1"/>
    <col min="2" max="2" width="3.44140625" style="49" customWidth="1"/>
    <col min="3" max="3" width="15.44140625" style="48" customWidth="1"/>
    <col min="4" max="4" width="20.6640625" style="50" customWidth="1"/>
    <col min="5" max="5" width="32.6640625" style="50" customWidth="1"/>
    <col min="6" max="6" width="21.6640625" style="50" customWidth="1"/>
    <col min="7" max="7" width="28" style="50" customWidth="1"/>
    <col min="8" max="8" width="25.6640625" style="50" customWidth="1"/>
    <col min="9" max="9" width="24.33203125" style="105" customWidth="1"/>
    <col min="10" max="10" width="22.5546875" style="105" customWidth="1"/>
    <col min="11" max="11" width="17.44140625" style="105" customWidth="1"/>
    <col min="12" max="12" width="25.33203125" style="105" customWidth="1"/>
    <col min="13" max="13" width="20.109375" style="105" customWidth="1"/>
    <col min="14" max="14" width="17.6640625" style="50" customWidth="1"/>
    <col min="15" max="15" width="26.33203125" style="49" customWidth="1"/>
    <col min="16" max="16" width="34" style="50" hidden="1" customWidth="1"/>
    <col min="17" max="17" width="20.44140625" style="105" hidden="1" customWidth="1"/>
    <col min="18" max="18" width="45.44140625" style="105" hidden="1" customWidth="1"/>
    <col min="19" max="19" width="31.44140625" style="105" hidden="1" customWidth="1"/>
    <col min="20" max="20" width="21.6640625" style="50" hidden="1" customWidth="1"/>
    <col min="21" max="21" width="17.5546875" style="50" hidden="1" customWidth="1"/>
    <col min="22" max="22" width="19" style="50" hidden="1" customWidth="1"/>
    <col min="23" max="23" width="15.109375" style="50" hidden="1" customWidth="1"/>
    <col min="24" max="27" width="9.109375" style="50" customWidth="1"/>
    <col min="28" max="16384" width="14.44140625" style="50"/>
  </cols>
  <sheetData>
    <row r="1" spans="2:23" ht="11.4" x14ac:dyDescent="0.3">
      <c r="B1" s="50"/>
      <c r="C1" s="42"/>
      <c r="D1" s="42"/>
      <c r="E1" s="42"/>
      <c r="F1" s="42"/>
      <c r="G1" s="42"/>
      <c r="H1" s="42"/>
      <c r="I1" s="43"/>
      <c r="J1" s="43"/>
      <c r="K1" s="43"/>
      <c r="L1" s="43"/>
      <c r="M1" s="43"/>
      <c r="N1" s="49"/>
    </row>
    <row r="2" spans="2:23" ht="17.399999999999999" x14ac:dyDescent="0.3">
      <c r="C2" s="232" t="s">
        <v>212</v>
      </c>
      <c r="D2" s="44"/>
      <c r="E2" s="44"/>
      <c r="F2" s="44"/>
      <c r="G2" s="44"/>
      <c r="H2" s="44"/>
      <c r="I2" s="45"/>
      <c r="J2" s="43"/>
      <c r="K2" s="43"/>
      <c r="L2" s="43"/>
      <c r="M2" s="43"/>
      <c r="N2" s="49"/>
    </row>
    <row r="3" spans="2:23" ht="17.399999999999999" x14ac:dyDescent="0.3">
      <c r="C3" s="232" t="s">
        <v>342</v>
      </c>
      <c r="D3" s="44"/>
      <c r="E3" s="44"/>
      <c r="F3" s="44"/>
      <c r="G3" s="44"/>
      <c r="H3" s="44"/>
      <c r="I3" s="45"/>
      <c r="J3" s="43"/>
      <c r="K3" s="43"/>
      <c r="L3" s="43"/>
      <c r="M3" s="43"/>
      <c r="N3" s="49"/>
    </row>
    <row r="4" spans="2:23" ht="11.4" x14ac:dyDescent="0.3">
      <c r="C4" s="42"/>
      <c r="D4" s="44"/>
      <c r="E4" s="44"/>
      <c r="F4" s="44"/>
      <c r="G4" s="44"/>
      <c r="H4" s="44"/>
      <c r="I4" s="45"/>
      <c r="J4" s="43"/>
      <c r="K4" s="43"/>
      <c r="L4" s="43"/>
      <c r="M4" s="43"/>
      <c r="N4" s="49"/>
    </row>
    <row r="5" spans="2:23" ht="11.4" x14ac:dyDescent="0.3">
      <c r="C5" s="50"/>
      <c r="E5" s="44"/>
      <c r="F5" s="692"/>
      <c r="G5" s="692"/>
      <c r="H5" s="44"/>
      <c r="I5" s="45"/>
      <c r="J5" s="49"/>
      <c r="K5" s="49"/>
      <c r="L5" s="49"/>
      <c r="M5" s="49"/>
      <c r="N5" s="49"/>
    </row>
    <row r="6" spans="2:23" s="49" customFormat="1" ht="11.4" x14ac:dyDescent="0.3">
      <c r="C6" s="46" t="s">
        <v>218</v>
      </c>
      <c r="D6" s="44"/>
      <c r="E6" s="52"/>
      <c r="F6" s="723"/>
      <c r="G6" s="723"/>
      <c r="H6" s="44"/>
      <c r="I6" s="45"/>
      <c r="Q6" s="43"/>
      <c r="R6" s="43"/>
      <c r="S6" s="43"/>
    </row>
    <row r="7" spans="2:23" s="49" customFormat="1" ht="11.4" x14ac:dyDescent="0.3">
      <c r="C7" s="47" t="s">
        <v>219</v>
      </c>
      <c r="D7" s="308" t="s">
        <v>220</v>
      </c>
      <c r="F7" s="724" t="str">
        <f>IF(D7="ja","Penvoerder", "Deelnemer 1")</f>
        <v>Deelnemer 1</v>
      </c>
      <c r="G7" s="724"/>
      <c r="I7" s="45"/>
      <c r="Q7" s="43"/>
      <c r="R7" s="43"/>
      <c r="S7" s="43"/>
    </row>
    <row r="8" spans="2:23" ht="11.4" x14ac:dyDescent="0.3">
      <c r="C8" s="47" t="s">
        <v>125</v>
      </c>
      <c r="D8" s="73"/>
      <c r="E8" s="302" t="str">
        <f>IFERROR(IF(AND(#REF!&lt;#REF!,#REF!&gt;0),"Het project mag niet gestart zijn voor indiening van de aanvraag, anders komt u niet in aanmerking voor subsidie",""),"")</f>
        <v/>
      </c>
      <c r="F8" s="728"/>
      <c r="G8" s="728"/>
      <c r="H8" s="49"/>
      <c r="I8" s="43"/>
      <c r="J8" s="49"/>
      <c r="K8" s="49"/>
      <c r="L8" s="49"/>
      <c r="M8" s="49"/>
      <c r="N8" s="49"/>
    </row>
    <row r="9" spans="2:23" ht="11.4" x14ac:dyDescent="0.3">
      <c r="C9" s="50"/>
      <c r="E9" s="677" t="str">
        <f>IFERROR(IF(#REF!-#REF!&gt;=(365*3),"Het project moet binnen 36 maanden uitgevoerd worden, anders komt u niet in aanmerking voor subsidie",""),"")</f>
        <v/>
      </c>
      <c r="F9" s="677"/>
      <c r="G9" s="677"/>
      <c r="H9" s="677"/>
      <c r="I9" s="303"/>
      <c r="J9" s="49"/>
      <c r="K9" s="49"/>
      <c r="L9" s="49"/>
      <c r="M9" s="49"/>
      <c r="N9" s="49"/>
    </row>
    <row r="10" spans="2:23" ht="11.4" x14ac:dyDescent="0.3">
      <c r="C10" s="46" t="s">
        <v>235</v>
      </c>
      <c r="D10" s="42"/>
      <c r="E10" s="42"/>
      <c r="F10" s="42"/>
      <c r="G10" s="42"/>
      <c r="H10" s="42"/>
      <c r="I10" s="43"/>
      <c r="J10" s="43"/>
      <c r="K10" s="43"/>
      <c r="L10" s="43"/>
      <c r="M10" s="43"/>
      <c r="N10" s="42"/>
      <c r="O10" s="42"/>
      <c r="P10" s="42"/>
      <c r="Q10" s="43"/>
      <c r="S10" s="43"/>
    </row>
    <row r="11" spans="2:23" ht="11.4" x14ac:dyDescent="0.3">
      <c r="C11" s="42" t="s">
        <v>327</v>
      </c>
      <c r="D11" s="42"/>
      <c r="E11" s="42"/>
      <c r="F11" s="42"/>
      <c r="G11" s="42"/>
      <c r="H11" s="42"/>
      <c r="I11" s="43"/>
      <c r="J11" s="43"/>
      <c r="K11" s="43"/>
      <c r="L11" s="43"/>
      <c r="M11" s="43"/>
      <c r="N11" s="42"/>
      <c r="O11" s="42"/>
    </row>
    <row r="12" spans="2:23" ht="11.4" x14ac:dyDescent="0.3">
      <c r="C12" s="46"/>
      <c r="D12" s="42"/>
      <c r="E12" s="42"/>
      <c r="F12" s="42"/>
      <c r="G12" s="42"/>
      <c r="H12" s="42"/>
      <c r="I12" s="43"/>
      <c r="J12" s="43"/>
      <c r="K12" s="43"/>
      <c r="L12" s="43"/>
      <c r="M12" s="43"/>
      <c r="N12" s="42"/>
      <c r="O12" s="42"/>
      <c r="P12" s="657" t="s">
        <v>152</v>
      </c>
      <c r="Q12" s="657"/>
      <c r="R12" s="657"/>
      <c r="S12" s="321"/>
      <c r="T12" s="324"/>
      <c r="U12" s="324"/>
      <c r="V12" s="331"/>
      <c r="W12" s="331"/>
    </row>
    <row r="13" spans="2:23" ht="11.4" x14ac:dyDescent="0.3">
      <c r="C13" s="63"/>
      <c r="D13" s="64"/>
      <c r="E13" s="64"/>
      <c r="F13" s="64"/>
      <c r="G13" s="64"/>
      <c r="H13" s="65"/>
      <c r="I13" s="61"/>
      <c r="J13" s="61"/>
      <c r="K13" s="108"/>
      <c r="L13" s="108"/>
      <c r="M13" s="236"/>
      <c r="N13" s="245" t="str">
        <f t="shared" ref="N13:N24" si="0">IF(AND(M13&gt;0, L13=""), "Fout: kies nog een type modaliteit voor deze kostensoort", "")</f>
        <v/>
      </c>
      <c r="O13" s="42"/>
      <c r="P13" s="248"/>
      <c r="Q13" s="248"/>
      <c r="R13" s="248"/>
      <c r="S13" s="245"/>
    </row>
    <row r="14" spans="2:23" ht="11.4" x14ac:dyDescent="0.3">
      <c r="C14" s="59" t="s">
        <v>377</v>
      </c>
      <c r="D14" s="67"/>
      <c r="E14" s="67"/>
      <c r="F14" s="67"/>
      <c r="G14" s="67"/>
      <c r="H14" s="60"/>
      <c r="I14" s="61"/>
      <c r="J14" s="61"/>
      <c r="K14" s="61"/>
      <c r="L14" s="61"/>
      <c r="M14" s="49"/>
      <c r="N14" s="245" t="str">
        <f t="shared" si="0"/>
        <v/>
      </c>
      <c r="O14" s="42"/>
      <c r="P14" s="109"/>
      <c r="R14" s="109"/>
      <c r="S14" s="245"/>
    </row>
    <row r="15" spans="2:23" ht="11.4" x14ac:dyDescent="0.3">
      <c r="C15" s="696" t="s">
        <v>237</v>
      </c>
      <c r="D15" s="725"/>
      <c r="E15" s="725"/>
      <c r="F15" s="725"/>
      <c r="G15" s="726"/>
      <c r="H15" s="696" t="s">
        <v>238</v>
      </c>
      <c r="I15" s="725"/>
      <c r="J15" s="725"/>
      <c r="K15" s="726"/>
      <c r="L15" s="243" t="s">
        <v>239</v>
      </c>
      <c r="M15" s="62" t="s">
        <v>240</v>
      </c>
      <c r="N15" s="245" t="str">
        <f t="shared" si="0"/>
        <v/>
      </c>
      <c r="O15" s="42"/>
      <c r="P15" s="62" t="s">
        <v>241</v>
      </c>
      <c r="Q15" s="106" t="s">
        <v>242</v>
      </c>
      <c r="R15" s="62" t="s">
        <v>243</v>
      </c>
      <c r="S15" s="245"/>
    </row>
    <row r="16" spans="2:23" ht="15.6" x14ac:dyDescent="0.3">
      <c r="C16" s="688"/>
      <c r="D16" s="714"/>
      <c r="E16" s="714"/>
      <c r="F16" s="714"/>
      <c r="G16" s="715"/>
      <c r="H16" s="686"/>
      <c r="I16" s="712"/>
      <c r="J16" s="712"/>
      <c r="K16" s="713"/>
      <c r="L16" s="242"/>
      <c r="M16" s="75"/>
      <c r="N16" s="245" t="str">
        <f t="shared" si="0"/>
        <v/>
      </c>
      <c r="O16" s="42"/>
      <c r="P16" s="117"/>
      <c r="Q16" s="107">
        <f t="shared" ref="Q16:Q22" si="1">IF(P16&gt;0,M16-P16,M16)</f>
        <v>0</v>
      </c>
      <c r="R16" s="117"/>
      <c r="S16" s="274" t="str">
        <f>IF(AND(R16&lt;1,P16&gt;0),"Vul de toelichting in","")</f>
        <v/>
      </c>
    </row>
    <row r="17" spans="3:23" ht="15.6" x14ac:dyDescent="0.3">
      <c r="C17" s="688"/>
      <c r="D17" s="714"/>
      <c r="E17" s="714"/>
      <c r="F17" s="714"/>
      <c r="G17" s="715"/>
      <c r="H17" s="686"/>
      <c r="I17" s="712"/>
      <c r="J17" s="712"/>
      <c r="K17" s="713"/>
      <c r="L17" s="242"/>
      <c r="M17" s="75"/>
      <c r="N17" s="245" t="str">
        <f t="shared" si="0"/>
        <v/>
      </c>
      <c r="O17" s="42"/>
      <c r="P17" s="117"/>
      <c r="Q17" s="107">
        <f t="shared" si="1"/>
        <v>0</v>
      </c>
      <c r="R17" s="117"/>
      <c r="S17" s="274" t="str">
        <f t="shared" ref="S17:S22" si="2">IF(AND(R17&lt;1,P17&gt;0),"Vul de toelichting in","")</f>
        <v/>
      </c>
    </row>
    <row r="18" spans="3:23" ht="15.6" x14ac:dyDescent="0.3">
      <c r="C18" s="688"/>
      <c r="D18" s="714"/>
      <c r="E18" s="714"/>
      <c r="F18" s="714"/>
      <c r="G18" s="715"/>
      <c r="H18" s="686"/>
      <c r="I18" s="712"/>
      <c r="J18" s="712"/>
      <c r="K18" s="713"/>
      <c r="L18" s="242"/>
      <c r="M18" s="75"/>
      <c r="N18" s="245" t="str">
        <f t="shared" si="0"/>
        <v/>
      </c>
      <c r="O18" s="42"/>
      <c r="P18" s="117"/>
      <c r="Q18" s="107">
        <f t="shared" si="1"/>
        <v>0</v>
      </c>
      <c r="R18" s="117"/>
      <c r="S18" s="274" t="str">
        <f t="shared" si="2"/>
        <v/>
      </c>
    </row>
    <row r="19" spans="3:23" ht="15.6" x14ac:dyDescent="0.3">
      <c r="C19" s="688"/>
      <c r="D19" s="714"/>
      <c r="E19" s="714"/>
      <c r="F19" s="714"/>
      <c r="G19" s="715"/>
      <c r="H19" s="686"/>
      <c r="I19" s="712"/>
      <c r="J19" s="712"/>
      <c r="K19" s="713"/>
      <c r="L19" s="242"/>
      <c r="M19" s="75"/>
      <c r="N19" s="245" t="str">
        <f t="shared" si="0"/>
        <v/>
      </c>
      <c r="O19" s="42"/>
      <c r="P19" s="117"/>
      <c r="Q19" s="107">
        <f t="shared" si="1"/>
        <v>0</v>
      </c>
      <c r="R19" s="117"/>
      <c r="S19" s="274" t="str">
        <f t="shared" si="2"/>
        <v/>
      </c>
    </row>
    <row r="20" spans="3:23" ht="15.6" x14ac:dyDescent="0.3">
      <c r="C20" s="688"/>
      <c r="D20" s="714"/>
      <c r="E20" s="714"/>
      <c r="F20" s="714"/>
      <c r="G20" s="715"/>
      <c r="H20" s="686"/>
      <c r="I20" s="712"/>
      <c r="J20" s="712"/>
      <c r="K20" s="713"/>
      <c r="L20" s="242"/>
      <c r="M20" s="75"/>
      <c r="N20" s="245" t="str">
        <f t="shared" si="0"/>
        <v/>
      </c>
      <c r="O20" s="42"/>
      <c r="P20" s="117"/>
      <c r="Q20" s="107">
        <f t="shared" si="1"/>
        <v>0</v>
      </c>
      <c r="R20" s="117"/>
      <c r="S20" s="274" t="str">
        <f t="shared" si="2"/>
        <v/>
      </c>
    </row>
    <row r="21" spans="3:23" ht="15.6" x14ac:dyDescent="0.3">
      <c r="C21" s="688"/>
      <c r="D21" s="714"/>
      <c r="E21" s="714"/>
      <c r="F21" s="714"/>
      <c r="G21" s="715"/>
      <c r="H21" s="686"/>
      <c r="I21" s="712"/>
      <c r="J21" s="712"/>
      <c r="K21" s="713"/>
      <c r="L21" s="242"/>
      <c r="M21" s="75"/>
      <c r="N21" s="245" t="str">
        <f t="shared" si="0"/>
        <v/>
      </c>
      <c r="O21" s="42"/>
      <c r="P21" s="117"/>
      <c r="Q21" s="107">
        <f t="shared" si="1"/>
        <v>0</v>
      </c>
      <c r="R21" s="117"/>
      <c r="S21" s="274" t="str">
        <f t="shared" si="2"/>
        <v/>
      </c>
      <c r="T21" s="700" t="s">
        <v>357</v>
      </c>
    </row>
    <row r="22" spans="3:23" ht="15.6" x14ac:dyDescent="0.3">
      <c r="C22" s="688"/>
      <c r="D22" s="714"/>
      <c r="E22" s="714"/>
      <c r="F22" s="714"/>
      <c r="G22" s="715"/>
      <c r="H22" s="686"/>
      <c r="I22" s="712"/>
      <c r="J22" s="712"/>
      <c r="K22" s="713"/>
      <c r="L22" s="242"/>
      <c r="M22" s="75"/>
      <c r="N22" s="245" t="str">
        <f t="shared" si="0"/>
        <v/>
      </c>
      <c r="O22" s="42"/>
      <c r="P22" s="117"/>
      <c r="Q22" s="107">
        <f t="shared" si="1"/>
        <v>0</v>
      </c>
      <c r="R22" s="117"/>
      <c r="S22" s="274" t="str">
        <f t="shared" si="2"/>
        <v/>
      </c>
      <c r="T22" s="700"/>
    </row>
    <row r="23" spans="3:23" ht="11.4" x14ac:dyDescent="0.3">
      <c r="C23" s="63"/>
      <c r="D23" s="52"/>
      <c r="E23" s="52"/>
      <c r="F23" s="52"/>
      <c r="G23" s="52"/>
      <c r="H23" s="65"/>
      <c r="I23" s="61"/>
      <c r="J23" s="61"/>
      <c r="K23" s="108"/>
      <c r="L23" s="108" t="s">
        <v>245</v>
      </c>
      <c r="M23" s="68">
        <f>SUM(M16:M22)</f>
        <v>0</v>
      </c>
      <c r="N23" s="245" t="str">
        <f t="shared" si="0"/>
        <v/>
      </c>
      <c r="O23" s="42"/>
      <c r="P23" s="68">
        <f>SUM(P16:P22)</f>
        <v>0</v>
      </c>
      <c r="Q23" s="107">
        <f>SUM(Q16:Q22)</f>
        <v>0</v>
      </c>
      <c r="R23" s="78"/>
      <c r="S23" s="245"/>
      <c r="T23" s="700"/>
    </row>
    <row r="24" spans="3:23" s="49" customFormat="1" ht="11.4" x14ac:dyDescent="0.3">
      <c r="C24" s="52"/>
      <c r="D24" s="52"/>
      <c r="E24" s="52"/>
      <c r="F24" s="52"/>
      <c r="G24" s="52"/>
      <c r="H24" s="65"/>
      <c r="I24" s="61"/>
      <c r="J24" s="61"/>
      <c r="K24" s="61"/>
      <c r="L24" s="61"/>
      <c r="M24" s="66"/>
      <c r="N24" s="245" t="str">
        <f t="shared" si="0"/>
        <v/>
      </c>
      <c r="O24" s="42"/>
      <c r="P24" s="66"/>
      <c r="Q24" s="43"/>
      <c r="R24" s="66"/>
      <c r="S24" s="245"/>
      <c r="T24" s="700"/>
    </row>
    <row r="25" spans="3:23" ht="11.4" x14ac:dyDescent="0.3">
      <c r="T25" s="700"/>
    </row>
    <row r="26" spans="3:23" ht="45.6" x14ac:dyDescent="0.3">
      <c r="C26" s="51" t="s">
        <v>255</v>
      </c>
      <c r="D26" s="44"/>
      <c r="E26" s="44"/>
      <c r="F26" s="258" t="s">
        <v>249</v>
      </c>
      <c r="G26" s="254" t="s">
        <v>328</v>
      </c>
      <c r="H26" s="273" t="s">
        <v>256</v>
      </c>
      <c r="I26" s="279" t="s">
        <v>329</v>
      </c>
      <c r="J26" s="279" t="s">
        <v>330</v>
      </c>
      <c r="K26" s="273" t="s">
        <v>379</v>
      </c>
      <c r="L26" s="273" t="s">
        <v>362</v>
      </c>
      <c r="M26" s="279" t="s">
        <v>257</v>
      </c>
      <c r="O26" s="236"/>
      <c r="P26" s="259"/>
      <c r="Q26" s="68" t="s">
        <v>258</v>
      </c>
      <c r="R26" s="261" t="s">
        <v>259</v>
      </c>
      <c r="S26" s="68" t="s">
        <v>260</v>
      </c>
      <c r="T26" s="305" t="s">
        <v>356</v>
      </c>
      <c r="U26" s="305" t="s">
        <v>369</v>
      </c>
      <c r="V26" s="305" t="s">
        <v>372</v>
      </c>
      <c r="W26" s="305" t="s">
        <v>353</v>
      </c>
    </row>
    <row r="27" spans="3:23" ht="11.4" x14ac:dyDescent="0.3">
      <c r="C27" s="697" t="s">
        <v>261</v>
      </c>
      <c r="D27" s="718"/>
      <c r="E27" s="262" t="s">
        <v>25</v>
      </c>
      <c r="F27" s="78">
        <f ca="1">SUMIF($L$13:$M$24,E27,$M$13:$M$24)</f>
        <v>0</v>
      </c>
      <c r="G27" s="78"/>
      <c r="H27" s="78">
        <f ca="1">F27</f>
        <v>0</v>
      </c>
      <c r="I27" s="255">
        <f ca="1">IF(H27*40%&gt;$I$31,$I$31,H27*0.4)</f>
        <v>0</v>
      </c>
      <c r="J27" s="244"/>
      <c r="K27" s="255">
        <f>IF(ISBLANK('Deelnemer 1 tankstation'!J126),0,'Deelnemer 1 tankstation'!J126)</f>
        <v>0</v>
      </c>
      <c r="L27" s="255">
        <f>IF(SUM(J27+K27)&gt;0,J27+K27,0)</f>
        <v>0</v>
      </c>
      <c r="M27" s="307">
        <f ca="1">IF(H27&gt;0,J27/H27,0)</f>
        <v>0</v>
      </c>
      <c r="O27" s="248"/>
      <c r="P27" s="260" t="str">
        <f>E27</f>
        <v>Wegvervoer</v>
      </c>
      <c r="Q27" s="78">
        <f ca="1">SUMIF($L$16:$M$22,P27,$P$16:$P$22)</f>
        <v>0</v>
      </c>
      <c r="R27" s="78">
        <f ca="1">H27-Q27</f>
        <v>0</v>
      </c>
      <c r="S27" s="78">
        <f ca="1">IF(R27*40%&gt;$S$31,$S$31,R27*0.4)</f>
        <v>0</v>
      </c>
      <c r="T27" s="333">
        <f ca="1">IF($S$31=0.4*$R$31,R27*M27,(J27/$J$31)*MIN($J$31,$S$31))</f>
        <v>0</v>
      </c>
      <c r="U27" s="117"/>
      <c r="V27" s="328">
        <f ca="1">IF(U27="",T27,U27)</f>
        <v>0</v>
      </c>
      <c r="W27" s="327" t="str">
        <f ca="1">IF(R27=0,"",V27/R27)</f>
        <v/>
      </c>
    </row>
    <row r="28" spans="3:23" ht="11.4" x14ac:dyDescent="0.3">
      <c r="C28" s="719"/>
      <c r="D28" s="720"/>
      <c r="E28" s="260" t="s">
        <v>230</v>
      </c>
      <c r="F28" s="56">
        <f ca="1">SUMIF($L$13:$M$24,E28,$M$13:$M$24)</f>
        <v>0</v>
      </c>
      <c r="G28" s="56"/>
      <c r="H28" s="56">
        <f ca="1">F28</f>
        <v>0</v>
      </c>
      <c r="I28" s="255">
        <f ca="1">IF(H28*40%&gt;$I$31,$I$31,H28*0.4)</f>
        <v>0</v>
      </c>
      <c r="J28" s="244"/>
      <c r="K28" s="255">
        <f>IF(ISBLANK('Deelnemer 1 tankstation'!J127),0,'Deelnemer 1 tankstation'!J127)</f>
        <v>0</v>
      </c>
      <c r="L28" s="255">
        <f>IF(SUM(J28+K28)&gt;0,J28+K28,0)</f>
        <v>0</v>
      </c>
      <c r="M28" s="307">
        <f ca="1">IF(H28&gt;0,J28/H28,0)</f>
        <v>0</v>
      </c>
      <c r="O28" s="248"/>
      <c r="P28" s="55" t="str">
        <f>E28</f>
        <v>Spoorvervoer</v>
      </c>
      <c r="Q28" s="78">
        <f ca="1">SUMIF($L$16:$M$22,P28,$P$16:$P$22)</f>
        <v>0</v>
      </c>
      <c r="R28" s="78">
        <f t="shared" ref="R28:R30" ca="1" si="3">H28-Q28</f>
        <v>0</v>
      </c>
      <c r="S28" s="78">
        <f t="shared" ref="S28:S30" ca="1" si="4">IF(R28*40%&gt;$S$31,$S$31,R28*0.4)</f>
        <v>0</v>
      </c>
      <c r="T28" s="333">
        <f ca="1">IF($S$31=0.4*$R$31,R28*M28,(J28/$J$31)*MIN($J$31,$S$31))</f>
        <v>0</v>
      </c>
      <c r="U28" s="117"/>
      <c r="V28" s="328">
        <f ca="1">IF(U28="",T28,U28)</f>
        <v>0</v>
      </c>
      <c r="W28" s="327" t="str">
        <f ca="1">IF(R28=0,"",V28/R28)</f>
        <v/>
      </c>
    </row>
    <row r="29" spans="3:23" ht="11.4" x14ac:dyDescent="0.3">
      <c r="C29" s="719"/>
      <c r="D29" s="720"/>
      <c r="E29" s="260" t="s">
        <v>231</v>
      </c>
      <c r="F29" s="56">
        <f ca="1">SUMIF($L$13:$M$24,E29,$M$13:$M$24)</f>
        <v>0</v>
      </c>
      <c r="G29" s="244"/>
      <c r="H29" s="56">
        <f ca="1">IF(G29&gt;0, F29-G29, F29)</f>
        <v>0</v>
      </c>
      <c r="I29" s="255">
        <f ca="1">IF(H29*40%&gt;$I$31,$I$31,H29*0.4)</f>
        <v>0</v>
      </c>
      <c r="J29" s="244"/>
      <c r="K29" s="255">
        <f>IF(ISBLANK('Deelnemer 1 tankstation'!J128),0,'Deelnemer 1 tankstation'!J128)</f>
        <v>0</v>
      </c>
      <c r="L29" s="255">
        <f>IF(SUM(J29+K29)&gt;0,J29+K29,0)</f>
        <v>0</v>
      </c>
      <c r="M29" s="307">
        <f ca="1">IF(H29&gt;0,J29/H29,0)</f>
        <v>0</v>
      </c>
      <c r="O29" s="248"/>
      <c r="P29" s="55" t="str">
        <f>E29</f>
        <v>Vervoer over de binnenwateren</v>
      </c>
      <c r="Q29" s="78">
        <f ca="1">SUMIF($L$16:$M$22,P29,$P$16:$P$22)</f>
        <v>0</v>
      </c>
      <c r="R29" s="78">
        <f t="shared" ca="1" si="3"/>
        <v>0</v>
      </c>
      <c r="S29" s="78">
        <f t="shared" ca="1" si="4"/>
        <v>0</v>
      </c>
      <c r="T29" s="333">
        <f ca="1">IF($S$31=0.4*$R$31,R29*M29,(J29/$J$31)*MIN($J$31,$S$31))</f>
        <v>0</v>
      </c>
      <c r="U29" s="117"/>
      <c r="V29" s="328">
        <f ca="1">IF(U29="",T29,U29)</f>
        <v>0</v>
      </c>
      <c r="W29" s="327" t="str">
        <f ca="1">IF(R29=0,"",V29/R29)</f>
        <v/>
      </c>
    </row>
    <row r="30" spans="3:23" ht="11.4" x14ac:dyDescent="0.3">
      <c r="C30" s="721"/>
      <c r="D30" s="722"/>
      <c r="E30" s="260" t="s">
        <v>232</v>
      </c>
      <c r="F30" s="56">
        <f ca="1">SUMIF($L$13:$M$24,E30,$M$13:$M$24)</f>
        <v>0</v>
      </c>
      <c r="G30" s="56"/>
      <c r="H30" s="56">
        <f ca="1">F30</f>
        <v>0</v>
      </c>
      <c r="I30" s="255">
        <f ca="1">IF(H30*40%&gt;$I$31,$I$31,H30*0.4)</f>
        <v>0</v>
      </c>
      <c r="J30" s="244"/>
      <c r="K30" s="255">
        <f>IF(ISBLANK('Deelnemer 1 tankstation'!J129),0,'Deelnemer 1 tankstation'!J129)</f>
        <v>0</v>
      </c>
      <c r="L30" s="255">
        <f>IF(SUM(J30+K30)&gt;0,J30+K30,0)</f>
        <v>0</v>
      </c>
      <c r="M30" s="307">
        <f ca="1">IF(H30&gt;0,J30/H30,0)</f>
        <v>0</v>
      </c>
      <c r="O30" s="248"/>
      <c r="P30" s="55" t="str">
        <f>E30</f>
        <v>Zeevervoer</v>
      </c>
      <c r="Q30" s="78">
        <f ca="1">SUMIF($L$16:$M$22,P30,$P$16:$P$22)</f>
        <v>0</v>
      </c>
      <c r="R30" s="78">
        <f t="shared" ca="1" si="3"/>
        <v>0</v>
      </c>
      <c r="S30" s="78">
        <f t="shared" ca="1" si="4"/>
        <v>0</v>
      </c>
      <c r="T30" s="333">
        <f ca="1">IF($S$31=0.4*$R$31,R30*M30,(J30/$J$31)*MIN($J$31,$S$31))</f>
        <v>0</v>
      </c>
      <c r="U30" s="117"/>
      <c r="V30" s="328">
        <f ca="1">IF(U30="",T30,U30)</f>
        <v>0</v>
      </c>
      <c r="W30" s="327" t="str">
        <f ca="1">IF(R30=0,"",V30/R30)</f>
        <v/>
      </c>
    </row>
    <row r="31" spans="3:23" ht="15.6" x14ac:dyDescent="0.3">
      <c r="C31" s="702" t="s">
        <v>162</v>
      </c>
      <c r="D31" s="716"/>
      <c r="E31" s="717"/>
      <c r="F31" s="249">
        <f ca="1">SUM(F27:F30)</f>
        <v>0</v>
      </c>
      <c r="G31" s="249"/>
      <c r="H31" s="249">
        <f ca="1">SUM(H27:H30)</f>
        <v>0</v>
      </c>
      <c r="I31" s="256">
        <f ca="1">MIN(IF('Deelnemer 1 tankstation'!F23="Ja",4000000,3000000), 0.4*H31)</f>
        <v>0</v>
      </c>
      <c r="J31" s="249">
        <f>SUM(J27:J30)</f>
        <v>0</v>
      </c>
      <c r="K31" s="249">
        <f>SUM(K27:K30)</f>
        <v>0</v>
      </c>
      <c r="L31" s="249">
        <f>SUM(L27:L30)</f>
        <v>0</v>
      </c>
      <c r="M31" s="329">
        <f ca="1">IF(H31&gt;0,J31/H31,0)</f>
        <v>0</v>
      </c>
      <c r="O31" s="325"/>
      <c r="P31" s="263" t="s">
        <v>162</v>
      </c>
      <c r="Q31" s="264">
        <f ca="1">SUM(Q27:Q30)</f>
        <v>0</v>
      </c>
      <c r="R31" s="264">
        <f ca="1">SUM(R27:R30)</f>
        <v>0</v>
      </c>
      <c r="S31" s="296">
        <f ca="1">MIN(IF('Deelnemer 1 tankstation'!F23="Ja",4000000,3000000), 0.4*R31)</f>
        <v>0</v>
      </c>
      <c r="T31" s="334">
        <f ca="1">SUM(T27:T30)</f>
        <v>0</v>
      </c>
      <c r="U31" s="337">
        <f>SUM(U27:U30)</f>
        <v>0</v>
      </c>
      <c r="V31" s="337">
        <f ca="1">SUM(V27:V30)</f>
        <v>0</v>
      </c>
      <c r="W31" s="342" t="e">
        <f ca="1">V31/R31</f>
        <v>#DIV/0!</v>
      </c>
    </row>
    <row r="32" spans="3:23" ht="11.25" customHeight="1" x14ac:dyDescent="0.3">
      <c r="G32" s="108"/>
      <c r="H32" s="257"/>
      <c r="I32" s="330"/>
      <c r="J32" s="711" t="str">
        <f ca="1">IF(J31&gt;I31,"Let op! U vraagt meer subsidie aan dan de maximale subsidie","")</f>
        <v/>
      </c>
      <c r="K32" s="711"/>
      <c r="L32" s="711"/>
      <c r="O32" s="48"/>
      <c r="P32" s="266"/>
      <c r="Q32" s="267"/>
      <c r="R32" s="266"/>
      <c r="T32" s="729"/>
      <c r="U32" s="326"/>
      <c r="V32" s="343" t="str">
        <f ca="1">IF('Deelnemer 1 tankstation'!X131="","",'Deelnemer 1 tankstation'!X131)</f>
        <v/>
      </c>
    </row>
    <row r="33" spans="2:22" ht="12.6" x14ac:dyDescent="0.3">
      <c r="C33" s="93" t="s">
        <v>346</v>
      </c>
      <c r="D33" s="58"/>
      <c r="E33" s="244"/>
      <c r="J33" s="332" t="str">
        <f ca="1">IF(($J$31+K31)&gt;(MIN(IF('Deelnemer 1 tankstation'!F23="Ja",4000000,3000000), 0.4*(H31+'Deelnemer 1 tankstation'!H130))),"Let op! Voor tankstation en mobiele waterstofopslagen samen wordt meer subsidie gevraagd dan de maximale subsidie","")</f>
        <v/>
      </c>
      <c r="K33" s="332"/>
      <c r="L33" s="332"/>
      <c r="P33" s="93" t="s">
        <v>263</v>
      </c>
      <c r="Q33" s="244">
        <f>E33</f>
        <v>0</v>
      </c>
      <c r="R33" s="335"/>
      <c r="S33" s="248"/>
      <c r="T33" s="729"/>
      <c r="V33" s="326"/>
    </row>
    <row r="34" spans="2:22" ht="11.4" x14ac:dyDescent="0.3">
      <c r="C34" s="53" t="s">
        <v>158</v>
      </c>
      <c r="D34" s="54"/>
      <c r="E34" s="57">
        <f ca="1">F31-J31-E33</f>
        <v>0</v>
      </c>
      <c r="J34" s="248"/>
      <c r="P34" s="53" t="s">
        <v>158</v>
      </c>
      <c r="Q34" s="57">
        <f ca="1">F31-V31-Q33</f>
        <v>0</v>
      </c>
      <c r="R34" s="336"/>
      <c r="T34" s="729"/>
    </row>
    <row r="35" spans="2:22" ht="11.4" x14ac:dyDescent="0.3">
      <c r="O35" s="48"/>
      <c r="P35" s="248"/>
      <c r="Q35" s="265"/>
      <c r="R35" s="248"/>
      <c r="T35" s="729"/>
    </row>
    <row r="36" spans="2:22" ht="11.4" x14ac:dyDescent="0.3">
      <c r="T36" s="729"/>
    </row>
    <row r="37" spans="2:22" ht="11.4" x14ac:dyDescent="0.3">
      <c r="Q37" s="45"/>
      <c r="S37" s="45"/>
      <c r="T37" s="729"/>
    </row>
    <row r="38" spans="2:22" ht="12.6" x14ac:dyDescent="0.3">
      <c r="B38" s="239"/>
      <c r="C38" s="268" t="s">
        <v>376</v>
      </c>
    </row>
    <row r="39" spans="2:22" ht="12.75" customHeight="1" x14ac:dyDescent="0.3">
      <c r="B39" s="239"/>
      <c r="C39" s="727" t="s">
        <v>352</v>
      </c>
      <c r="D39" s="727"/>
      <c r="E39" s="727"/>
      <c r="F39" s="727"/>
      <c r="G39" s="727"/>
      <c r="H39" s="727"/>
      <c r="I39" s="727"/>
      <c r="J39" s="727"/>
    </row>
    <row r="40" spans="2:22" ht="11.4" x14ac:dyDescent="0.3">
      <c r="C40" s="727"/>
      <c r="D40" s="727"/>
      <c r="E40" s="727"/>
      <c r="F40" s="727"/>
      <c r="G40" s="727"/>
      <c r="H40" s="727"/>
      <c r="I40" s="727"/>
      <c r="J40" s="727"/>
    </row>
    <row r="41" spans="2:22" ht="15" customHeight="1" x14ac:dyDescent="0.3">
      <c r="C41" s="269" t="s">
        <v>360</v>
      </c>
    </row>
    <row r="42" spans="2:22" ht="15" customHeight="1" x14ac:dyDescent="0.3">
      <c r="C42" s="198" t="s">
        <v>345</v>
      </c>
    </row>
    <row r="43" spans="2:22" ht="15" customHeight="1" x14ac:dyDescent="0.3">
      <c r="C43" s="198" t="s">
        <v>361</v>
      </c>
    </row>
  </sheetData>
  <sheetProtection algorithmName="SHA-512" hashValue="PyjwGQrwscI+VrqHS40FW8Krob/DSLhCj+K28Kc6sDa4AcCkh8Icx/VdjTMBdOXwbO5JRLmuW7nAwu2Lmwf9AQ==" saltValue="vom0EFK11RqMeLkNsjRiIw==" spinCount="100000" sheet="1" objects="1" scenarios="1" selectLockedCells="1"/>
  <mergeCells count="28">
    <mergeCell ref="C39:J40"/>
    <mergeCell ref="T21:T25"/>
    <mergeCell ref="F8:G8"/>
    <mergeCell ref="E9:H9"/>
    <mergeCell ref="C16:G16"/>
    <mergeCell ref="H16:K16"/>
    <mergeCell ref="C17:G17"/>
    <mergeCell ref="H17:K17"/>
    <mergeCell ref="C18:G18"/>
    <mergeCell ref="H18:K18"/>
    <mergeCell ref="C19:G19"/>
    <mergeCell ref="H19:K19"/>
    <mergeCell ref="C20:G20"/>
    <mergeCell ref="H20:K20"/>
    <mergeCell ref="C21:G21"/>
    <mergeCell ref="T32:T37"/>
    <mergeCell ref="F5:G5"/>
    <mergeCell ref="F6:G6"/>
    <mergeCell ref="F7:G7"/>
    <mergeCell ref="P12:R12"/>
    <mergeCell ref="H15:K15"/>
    <mergeCell ref="C15:G15"/>
    <mergeCell ref="J32:L32"/>
    <mergeCell ref="H21:K21"/>
    <mergeCell ref="C22:G22"/>
    <mergeCell ref="H22:K22"/>
    <mergeCell ref="C31:E31"/>
    <mergeCell ref="C27:D30"/>
  </mergeCells>
  <dataValidations count="1">
    <dataValidation allowBlank="1" showErrorMessage="1" sqref="D7" xr:uid="{1FB02D9D-45E8-4E52-BA1D-225C3190A28F}"/>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4598BD0-46E6-438D-92FF-0EE91854995A}">
          <x14:formula1>
            <xm:f>'Categorie H2 Vtg.'!$B$25:$B$28</xm:f>
          </x14:formula1>
          <xm:sqref>L16:L22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4">
    <tabColor rgb="FFFF0000"/>
  </sheetPr>
  <dimension ref="B3:J39"/>
  <sheetViews>
    <sheetView zoomScale="90" zoomScaleNormal="90" workbookViewId="0">
      <selection activeCell="D22" sqref="D22"/>
    </sheetView>
  </sheetViews>
  <sheetFormatPr defaultColWidth="20.109375" defaultRowHeight="15" customHeight="1" x14ac:dyDescent="0.2"/>
  <cols>
    <col min="1" max="1" width="20.109375" style="201"/>
    <col min="2" max="2" width="28.6640625" style="201" customWidth="1"/>
    <col min="3" max="3" width="34.44140625" style="201" customWidth="1"/>
    <col min="4" max="4" width="13.6640625" style="201" customWidth="1"/>
    <col min="5" max="5" width="30.6640625" style="201" customWidth="1"/>
    <col min="6" max="6" width="3.6640625" style="201" customWidth="1"/>
    <col min="7" max="7" width="36.6640625" style="201" customWidth="1"/>
    <col min="8" max="8" width="68.109375" style="201" customWidth="1"/>
    <col min="9" max="16384" width="20.109375" style="201"/>
  </cols>
  <sheetData>
    <row r="3" spans="2:8" ht="12.6" x14ac:dyDescent="0.2">
      <c r="B3" s="200" t="s">
        <v>90</v>
      </c>
    </row>
    <row r="4" spans="2:8" ht="12.6" x14ac:dyDescent="0.2">
      <c r="B4" s="202" t="s">
        <v>91</v>
      </c>
      <c r="E4" s="200" t="s">
        <v>92</v>
      </c>
      <c r="F4" s="200"/>
      <c r="G4" s="200" t="s">
        <v>340</v>
      </c>
    </row>
    <row r="5" spans="2:8" ht="12.6" x14ac:dyDescent="0.2">
      <c r="B5" s="626" t="s">
        <v>93</v>
      </c>
      <c r="C5" s="627"/>
      <c r="D5" s="627"/>
      <c r="E5" s="291">
        <f>'Deelnemer 1 tankstation'!J130</f>
        <v>0</v>
      </c>
      <c r="F5" s="309"/>
      <c r="G5" s="292">
        <f>'Deelnemer 1 tankstation'!J130</f>
        <v>0</v>
      </c>
      <c r="H5" s="201" t="s">
        <v>94</v>
      </c>
    </row>
    <row r="6" spans="2:8" ht="12.6" x14ac:dyDescent="0.2">
      <c r="B6" s="626" t="s">
        <v>338</v>
      </c>
      <c r="C6" s="627"/>
      <c r="D6" s="627"/>
      <c r="E6" s="291">
        <f>'Deelnemer 26 tankstation'!$J$31</f>
        <v>0</v>
      </c>
      <c r="F6" s="309"/>
      <c r="G6" s="292">
        <f>'Deelnemer 26 tankstation'!$J$31</f>
        <v>0</v>
      </c>
    </row>
    <row r="7" spans="2:8" ht="12.6" x14ac:dyDescent="0.2">
      <c r="B7" s="626" t="s">
        <v>339</v>
      </c>
      <c r="C7" s="627"/>
      <c r="D7" s="627"/>
      <c r="E7" s="291">
        <f>SUM(E5:E6)</f>
        <v>0</v>
      </c>
      <c r="F7" s="309"/>
      <c r="G7" s="291">
        <f t="shared" ref="G7" si="0">SUM(G5:G6)</f>
        <v>0</v>
      </c>
    </row>
    <row r="8" spans="2:8" ht="12.6" x14ac:dyDescent="0.2">
      <c r="B8" s="628" t="s">
        <v>95</v>
      </c>
      <c r="C8" s="627"/>
      <c r="D8" s="627"/>
      <c r="E8" s="295" t="str">
        <f>IF('Deelnemer 1 tankstation'!F16&lt;&gt;"", 'Deelnemer 1 tankstation'!F16, "")</f>
        <v/>
      </c>
      <c r="F8" s="310"/>
      <c r="G8" s="299"/>
    </row>
    <row r="9" spans="2:8" ht="12.75" customHeight="1" x14ac:dyDescent="0.2">
      <c r="B9" s="635" t="s">
        <v>96</v>
      </c>
      <c r="C9" s="636"/>
      <c r="D9" s="637"/>
      <c r="E9" s="295" t="str">
        <f>IF('Deelnemer 1 tankstation'!F17&lt;&gt;"", 'Deelnemer 1 tankstation'!F17, "")</f>
        <v/>
      </c>
      <c r="F9" s="310"/>
      <c r="G9" s="299"/>
    </row>
    <row r="10" spans="2:8" ht="12.6" x14ac:dyDescent="0.2">
      <c r="B10" s="629" t="s">
        <v>97</v>
      </c>
      <c r="C10" s="630"/>
      <c r="D10" s="631"/>
      <c r="E10" s="295" t="str">
        <f>IF('Deelnemer 1 tankstation'!F29&lt;&gt;"", 'Deelnemer 1 tankstation'!F29, "")</f>
        <v/>
      </c>
      <c r="F10" s="310"/>
      <c r="G10" s="203"/>
    </row>
    <row r="11" spans="2:8" ht="12.6" x14ac:dyDescent="0.2">
      <c r="B11" s="638" t="s">
        <v>98</v>
      </c>
      <c r="C11" s="630"/>
      <c r="D11" s="631"/>
      <c r="E11" s="295" t="str">
        <f>IF('Deelnemer 1 tankstation'!F30&lt;&gt;"", 'Deelnemer 1 tankstation'!F30, "")</f>
        <v/>
      </c>
      <c r="F11" s="310"/>
      <c r="G11" s="203"/>
    </row>
    <row r="12" spans="2:8" ht="12.6" x14ac:dyDescent="0.2">
      <c r="B12" s="638" t="s">
        <v>99</v>
      </c>
      <c r="C12" s="630"/>
      <c r="D12" s="631"/>
      <c r="E12" s="295" t="str">
        <f>IF('Deelnemer 1 tankstation'!F31&lt;&gt;"", 'Deelnemer 1 tankstation'!F31, "")</f>
        <v/>
      </c>
      <c r="F12" s="310"/>
      <c r="G12" s="203"/>
    </row>
    <row r="13" spans="2:8" ht="12.6" x14ac:dyDescent="0.2">
      <c r="B13" s="628" t="s">
        <v>100</v>
      </c>
      <c r="C13" s="627"/>
      <c r="D13" s="627"/>
      <c r="E13" s="295" t="str">
        <f>IF('Deelnemer 1 tankstation'!F18&lt;&gt;"", 'Deelnemer 1 tankstation'!F18, "")</f>
        <v/>
      </c>
      <c r="F13" s="310"/>
      <c r="G13" s="203"/>
    </row>
    <row r="14" spans="2:8" ht="12.6" x14ac:dyDescent="0.2">
      <c r="B14" s="628" t="s">
        <v>101</v>
      </c>
      <c r="C14" s="627"/>
      <c r="D14" s="627"/>
      <c r="E14" s="295" t="str">
        <f>IF('Deelnemer 1 tankstation'!F19&lt;&gt;"", 'Deelnemer 1 tankstation'!F19, "")</f>
        <v/>
      </c>
      <c r="F14" s="310"/>
      <c r="G14" s="203"/>
    </row>
    <row r="15" spans="2:8" ht="12.6" x14ac:dyDescent="0.2">
      <c r="B15" s="628" t="s">
        <v>102</v>
      </c>
      <c r="C15" s="627"/>
      <c r="D15" s="627"/>
      <c r="E15" s="295" t="str">
        <f>IF('Deelnemer 1 tankstation'!F20&lt;&gt;"", 'Deelnemer 1 tankstation'!F20, "")</f>
        <v/>
      </c>
      <c r="F15" s="310"/>
      <c r="G15" s="203"/>
    </row>
    <row r="17" spans="2:8" ht="12.6" x14ac:dyDescent="0.2">
      <c r="B17" s="202" t="s">
        <v>103</v>
      </c>
    </row>
    <row r="18" spans="2:8" ht="12.6" x14ac:dyDescent="0.2">
      <c r="B18" s="632" t="s">
        <v>104</v>
      </c>
      <c r="C18" s="633"/>
      <c r="D18" s="634"/>
      <c r="E18" s="292">
        <f>Totaaloverzicht!O42</f>
        <v>0</v>
      </c>
      <c r="F18" s="311"/>
    </row>
    <row r="19" spans="2:8" ht="12.6" x14ac:dyDescent="0.2">
      <c r="B19" s="632" t="s">
        <v>105</v>
      </c>
      <c r="C19" s="633"/>
      <c r="D19" s="634"/>
      <c r="E19" s="292">
        <f>Totaaloverzicht!O41</f>
        <v>0</v>
      </c>
      <c r="F19" s="311"/>
    </row>
    <row r="24" spans="2:8" ht="12.6" x14ac:dyDescent="0.2">
      <c r="B24" s="200" t="s">
        <v>106</v>
      </c>
    </row>
    <row r="25" spans="2:8" ht="12.6" x14ac:dyDescent="0.2">
      <c r="B25" s="204" t="s">
        <v>107</v>
      </c>
      <c r="C25" s="205"/>
      <c r="D25" s="205"/>
      <c r="E25" s="206" t="s">
        <v>108</v>
      </c>
      <c r="F25" s="312"/>
      <c r="G25" s="207" t="s">
        <v>109</v>
      </c>
      <c r="H25" s="208" t="s">
        <v>110</v>
      </c>
    </row>
    <row r="26" spans="2:8" ht="12.6" x14ac:dyDescent="0.2">
      <c r="B26" s="209"/>
      <c r="C26" s="205"/>
      <c r="D26" s="205"/>
      <c r="E26" s="210"/>
      <c r="F26" s="313"/>
      <c r="G26" s="294"/>
      <c r="H26" s="211"/>
    </row>
    <row r="27" spans="2:8" ht="15.75" customHeight="1" x14ac:dyDescent="0.2">
      <c r="B27" s="209" t="s">
        <v>111</v>
      </c>
      <c r="C27" s="205"/>
      <c r="D27" s="205"/>
      <c r="E27" s="212">
        <f>Totaaloverzicht!E76</f>
        <v>0</v>
      </c>
      <c r="F27" s="314"/>
      <c r="G27" s="293">
        <f>IFERROR(70-(70*(($G$7/($G$8*$G$10))/20/100)),0)</f>
        <v>0</v>
      </c>
      <c r="H27" s="211"/>
    </row>
    <row r="28" spans="2:8" ht="15.75" customHeight="1" x14ac:dyDescent="0.2">
      <c r="B28" s="205" t="s">
        <v>96</v>
      </c>
      <c r="C28" s="205"/>
      <c r="D28" s="205"/>
      <c r="E28" s="212">
        <f>Totaaloverzicht!E77</f>
        <v>0</v>
      </c>
      <c r="F28" s="314"/>
      <c r="G28" s="293">
        <f>IF($G$9&gt;=2000,5,IF($G$9&gt;=1500,3,IF($G$9&gt;=1000,1,0)))</f>
        <v>0</v>
      </c>
      <c r="H28" s="211"/>
    </row>
    <row r="29" spans="2:8" ht="15.75" customHeight="1" x14ac:dyDescent="0.2">
      <c r="B29" s="205" t="s">
        <v>112</v>
      </c>
      <c r="C29" s="205"/>
      <c r="D29" s="205"/>
      <c r="E29" s="212">
        <f>Totaaloverzicht!E78</f>
        <v>0</v>
      </c>
      <c r="F29" s="314"/>
      <c r="G29" s="293">
        <f>IF($G$11&gt;=3,5,IF($G$11=2,0,0))</f>
        <v>0</v>
      </c>
      <c r="H29" s="211"/>
    </row>
    <row r="30" spans="2:8" ht="15.75" customHeight="1" x14ac:dyDescent="0.2">
      <c r="B30" s="205" t="s">
        <v>113</v>
      </c>
      <c r="C30" s="205"/>
      <c r="D30" s="205"/>
      <c r="E30" s="212">
        <f>Totaaloverzicht!E79</f>
        <v>0</v>
      </c>
      <c r="F30" s="314"/>
      <c r="G30" s="293">
        <f>IF($G$13="aanvraag ingediend",1,IF($G$13="verleend",5,IF($G$13="onherroepelijk",10,0)))</f>
        <v>0</v>
      </c>
      <c r="H30" s="211"/>
    </row>
    <row r="31" spans="2:8" ht="15.75" customHeight="1" x14ac:dyDescent="0.2">
      <c r="B31" s="205" t="s">
        <v>114</v>
      </c>
      <c r="C31" s="205"/>
      <c r="D31" s="205"/>
      <c r="E31" s="212">
        <f>Totaaloverzicht!E80</f>
        <v>0</v>
      </c>
      <c r="F31" s="314"/>
      <c r="G31" s="293">
        <f>IF($G$14="ja",10,0)</f>
        <v>0</v>
      </c>
      <c r="H31" s="211"/>
    </row>
    <row r="32" spans="2:8" ht="15.75" customHeight="1" x14ac:dyDescent="0.2">
      <c r="B32" s="205" t="s">
        <v>115</v>
      </c>
      <c r="C32" s="205"/>
      <c r="D32" s="205"/>
      <c r="E32" s="212">
        <f>Totaaloverzicht!E81</f>
        <v>0</v>
      </c>
      <c r="F32" s="314"/>
      <c r="G32" s="293">
        <f>IF($G$15="ja",5,0)</f>
        <v>0</v>
      </c>
      <c r="H32" s="211"/>
    </row>
    <row r="33" spans="2:10" ht="15.75" customHeight="1" x14ac:dyDescent="0.2">
      <c r="B33" s="213" t="s">
        <v>116</v>
      </c>
      <c r="C33" s="214"/>
      <c r="D33" s="214"/>
      <c r="E33" s="212">
        <f>Totaaloverzicht!E75</f>
        <v>0</v>
      </c>
      <c r="F33" s="315"/>
      <c r="G33" s="215">
        <f>ROUND(IFERROR(SUM(G27:G32),""),2)</f>
        <v>0</v>
      </c>
      <c r="H33" s="211"/>
    </row>
    <row r="34" spans="2:10" ht="15.75" customHeight="1" x14ac:dyDescent="0.2">
      <c r="B34" s="214"/>
      <c r="C34" s="214"/>
      <c r="D34" s="214"/>
      <c r="E34" s="216"/>
      <c r="F34" s="316"/>
      <c r="G34" s="293"/>
      <c r="H34" s="211"/>
    </row>
    <row r="35" spans="2:10" ht="15.75" customHeight="1" x14ac:dyDescent="0.2">
      <c r="B35" s="204" t="s">
        <v>117</v>
      </c>
      <c r="C35" s="205"/>
      <c r="D35" s="205"/>
      <c r="E35" s="217">
        <f>Totaaloverzicht!E83</f>
        <v>0</v>
      </c>
      <c r="F35" s="317"/>
      <c r="G35" s="293">
        <f>ROUND(IFERROR(100-((E18/E19)*100),0),2)</f>
        <v>0</v>
      </c>
      <c r="H35" s="211"/>
      <c r="I35" s="300"/>
      <c r="J35" s="300"/>
    </row>
    <row r="36" spans="2:10" ht="15.75" customHeight="1" x14ac:dyDescent="0.2">
      <c r="B36" s="214"/>
      <c r="C36" s="214"/>
      <c r="D36" s="214"/>
      <c r="E36" s="216"/>
      <c r="F36" s="316"/>
      <c r="G36" s="293"/>
      <c r="H36" s="211"/>
    </row>
    <row r="37" spans="2:10" ht="15.75" customHeight="1" x14ac:dyDescent="0.2">
      <c r="B37" s="218" t="s">
        <v>118</v>
      </c>
      <c r="C37" s="218"/>
      <c r="D37" s="219"/>
      <c r="E37" s="220">
        <f t="shared" ref="E37:G37" si="1">IFERROR(E33+E35,"")</f>
        <v>0</v>
      </c>
      <c r="F37" s="318"/>
      <c r="G37" s="220">
        <f t="shared" si="1"/>
        <v>0</v>
      </c>
      <c r="H37" s="211"/>
    </row>
    <row r="38" spans="2:10" ht="15.75" customHeight="1" x14ac:dyDescent="0.2"/>
    <row r="39" spans="2:10" ht="15.75" customHeight="1" x14ac:dyDescent="0.2">
      <c r="B39" s="624" t="s">
        <v>119</v>
      </c>
      <c r="C39" s="625"/>
      <c r="D39" s="625"/>
      <c r="E39" s="221"/>
      <c r="F39" s="319"/>
      <c r="G39" s="222"/>
      <c r="H39" s="211"/>
    </row>
  </sheetData>
  <sheetProtection algorithmName="SHA-512" hashValue="xNui7yhiaPHQ2ihMQKL9die2mN63ILuPXujudDFW9awnkxUJ8HzCiXJyhbQ9S2hCuvA26ORubHM1IrrXCnt6ZQ==" saltValue="0HhhwA6sktAXhs8YOTd1Rw==" spinCount="100000" sheet="1" objects="1" scenarios="1"/>
  <mergeCells count="14">
    <mergeCell ref="B39:D39"/>
    <mergeCell ref="B5:D5"/>
    <mergeCell ref="B8:D8"/>
    <mergeCell ref="B10:D10"/>
    <mergeCell ref="B13:D13"/>
    <mergeCell ref="B15:D15"/>
    <mergeCell ref="B18:D18"/>
    <mergeCell ref="B19:D19"/>
    <mergeCell ref="B9:D9"/>
    <mergeCell ref="B14:D14"/>
    <mergeCell ref="B11:D11"/>
    <mergeCell ref="B12:D12"/>
    <mergeCell ref="B6:D6"/>
    <mergeCell ref="B7:D7"/>
  </mergeCells>
  <dataValidations count="5">
    <dataValidation type="list" allowBlank="1" showErrorMessage="1" sqref="G13" xr:uid="{00000000-0002-0000-0200-000000000000}">
      <formula1>"Aanvraag ingediend,Verleend,Onherroepelijk"</formula1>
    </dataValidation>
    <dataValidation type="list" allowBlank="1" showErrorMessage="1" sqref="G10:G11" xr:uid="{00000000-0002-0000-0200-000001000000}">
      <formula1>"2,3,4,5,6,7,8,9,10"</formula1>
    </dataValidation>
    <dataValidation type="list" allowBlank="1" showErrorMessage="1" sqref="G39" xr:uid="{00000000-0002-0000-0200-000002000000}">
      <formula1>"ja,nee"</formula1>
    </dataValidation>
    <dataValidation type="list" allowBlank="1" showErrorMessage="1" sqref="G14:G15" xr:uid="{9D960AEF-73F4-4E58-AF40-A5B60F04BE8B}">
      <formula1>"Ja,Nee"</formula1>
    </dataValidation>
    <dataValidation type="list" allowBlank="1" showErrorMessage="1" sqref="G12" xr:uid="{953836E2-2184-4EF3-8F94-A93104312848}">
      <formula1>"1,2,3,4,5,6,7,8,9,10"</formula1>
    </dataValidation>
  </dataValidations>
  <pageMargins left="0.7" right="0.7" top="0.75" bottom="0.75" header="0" footer="0"/>
  <pageSetup orientation="landscape"/>
  <headerFooter>
    <oddFooter>&amp;L_x000D_&amp;1#&amp;"Calibri"&amp;10&amp;K000000 Intern gebruik</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144F4-6760-436F-9941-EF1FB5948EF7}">
  <sheetPr codeName="Blad5">
    <tabColor rgb="FFFF0000"/>
    <pageSetUpPr fitToPage="1"/>
  </sheetPr>
  <dimension ref="B1:R595"/>
  <sheetViews>
    <sheetView topLeftCell="C2" zoomScaleNormal="100" workbookViewId="0">
      <selection activeCell="H5" sqref="H5"/>
    </sheetView>
  </sheetViews>
  <sheetFormatPr defaultColWidth="8.6640625" defaultRowHeight="10.199999999999999" outlineLevelRow="1" x14ac:dyDescent="0.3"/>
  <cols>
    <col min="1" max="3" width="8.6640625" style="161" customWidth="1"/>
    <col min="4" max="4" width="13.44140625" style="161" customWidth="1"/>
    <col min="5" max="5" width="15.44140625" style="162" customWidth="1"/>
    <col min="6" max="6" width="15.109375" style="162" customWidth="1"/>
    <col min="7" max="7" width="45" style="162" customWidth="1"/>
    <col min="8" max="8" width="8.6640625" style="162" customWidth="1"/>
    <col min="9" max="9" width="15" style="161" customWidth="1"/>
    <col min="10" max="10" width="13.44140625" style="161" customWidth="1"/>
    <col min="11" max="11" width="17" style="163" customWidth="1"/>
    <col min="12" max="12" width="19.33203125" style="163" customWidth="1"/>
    <col min="13" max="13" width="18.6640625" style="163" customWidth="1"/>
    <col min="14" max="14" width="22.33203125" style="163" customWidth="1"/>
    <col min="15" max="15" width="16.6640625" style="163" customWidth="1"/>
    <col min="16" max="16" width="21" style="163" customWidth="1"/>
    <col min="17" max="17" width="22.109375" style="163" customWidth="1"/>
    <col min="18" max="16384" width="8.6640625" style="161"/>
  </cols>
  <sheetData>
    <row r="1" spans="4:17" ht="24" customHeight="1" x14ac:dyDescent="0.3"/>
    <row r="2" spans="4:17" ht="24" customHeight="1" x14ac:dyDescent="0.3">
      <c r="E2" s="164" t="s">
        <v>120</v>
      </c>
    </row>
    <row r="3" spans="4:17" ht="24" customHeight="1" x14ac:dyDescent="0.3">
      <c r="E3" s="164" t="s">
        <v>0</v>
      </c>
    </row>
    <row r="4" spans="4:17" ht="22.5" customHeight="1" x14ac:dyDescent="0.3">
      <c r="E4" s="161"/>
    </row>
    <row r="5" spans="4:17" ht="22.5" customHeight="1" x14ac:dyDescent="0.3">
      <c r="E5" s="161"/>
    </row>
    <row r="6" spans="4:17" ht="16.5" customHeight="1" x14ac:dyDescent="0.3"/>
    <row r="7" spans="4:17" ht="16.5" customHeight="1" x14ac:dyDescent="0.3"/>
    <row r="8" spans="4:17" ht="16.5" customHeight="1" x14ac:dyDescent="0.3">
      <c r="E8" s="165" t="s">
        <v>121</v>
      </c>
      <c r="F8" s="285">
        <f>'Deelnemer 1 tankstation'!D6</f>
        <v>0</v>
      </c>
    </row>
    <row r="9" spans="4:17" ht="16.5" customHeight="1" x14ac:dyDescent="0.3">
      <c r="E9" s="165" t="s">
        <v>122</v>
      </c>
      <c r="F9" s="165" t="str">
        <f>'Deelnemer 1 tankstation'!D7</f>
        <v>in te vullen door RVO</v>
      </c>
    </row>
    <row r="10" spans="4:17" ht="16.5" customHeight="1" x14ac:dyDescent="0.3"/>
    <row r="11" spans="4:17" ht="31.95" customHeight="1" x14ac:dyDescent="0.3">
      <c r="D11" s="166" t="s">
        <v>123</v>
      </c>
      <c r="E11" s="167" t="s">
        <v>124</v>
      </c>
      <c r="F11" s="167" t="s">
        <v>125</v>
      </c>
      <c r="G11" s="167" t="str">
        <f>G94</f>
        <v>Voertuigcategorie</v>
      </c>
      <c r="H11" s="167"/>
      <c r="I11" s="168" t="s">
        <v>126</v>
      </c>
      <c r="J11" s="168" t="s">
        <v>127</v>
      </c>
      <c r="K11" s="169" t="s">
        <v>387</v>
      </c>
      <c r="L11" s="170" t="s">
        <v>386</v>
      </c>
      <c r="M11" s="169" t="s">
        <v>385</v>
      </c>
      <c r="N11" s="169" t="s">
        <v>384</v>
      </c>
      <c r="O11" s="169" t="s">
        <v>132</v>
      </c>
      <c r="P11" s="169" t="s">
        <v>383</v>
      </c>
      <c r="Q11" s="169" t="s">
        <v>382</v>
      </c>
    </row>
    <row r="12" spans="4:17" ht="16.5" customHeight="1" x14ac:dyDescent="0.3">
      <c r="D12" s="171" t="str" cm="1">
        <f t="array" ref="D12">_xlfn._xlws.FILTER(D95:Q454,D95:D454="Voertuig","")</f>
        <v/>
      </c>
      <c r="E12" s="165"/>
      <c r="F12" s="165"/>
      <c r="G12" s="165"/>
      <c r="H12" s="250"/>
      <c r="I12" s="172"/>
      <c r="J12" s="173"/>
      <c r="K12" s="174"/>
      <c r="L12" s="174"/>
      <c r="M12" s="174"/>
      <c r="N12" s="174"/>
      <c r="O12" s="174"/>
      <c r="P12" s="174"/>
      <c r="Q12" s="174"/>
    </row>
    <row r="13" spans="4:17" ht="16.5" customHeight="1" x14ac:dyDescent="0.3">
      <c r="D13" s="171"/>
      <c r="E13" s="165"/>
      <c r="F13" s="165"/>
      <c r="G13" s="165"/>
      <c r="H13" s="250"/>
      <c r="I13" s="172"/>
      <c r="J13" s="173"/>
      <c r="K13" s="174"/>
      <c r="L13" s="174"/>
      <c r="M13" s="174"/>
      <c r="N13" s="174"/>
      <c r="O13" s="174"/>
      <c r="P13" s="174"/>
      <c r="Q13" s="174"/>
    </row>
    <row r="14" spans="4:17" ht="16.5" customHeight="1" x14ac:dyDescent="0.3">
      <c r="D14" s="171"/>
      <c r="E14" s="165"/>
      <c r="F14" s="165"/>
      <c r="G14" s="165"/>
      <c r="H14" s="250"/>
      <c r="I14" s="172"/>
      <c r="J14" s="173"/>
      <c r="K14" s="174"/>
      <c r="L14" s="174"/>
      <c r="M14" s="174"/>
      <c r="N14" s="174"/>
      <c r="O14" s="174"/>
      <c r="P14" s="174"/>
      <c r="Q14" s="174"/>
    </row>
    <row r="15" spans="4:17" ht="16.5" customHeight="1" x14ac:dyDescent="0.3">
      <c r="D15" s="171"/>
      <c r="E15" s="165"/>
      <c r="F15" s="165"/>
      <c r="G15" s="165"/>
      <c r="H15" s="250"/>
      <c r="I15" s="172"/>
      <c r="J15" s="173"/>
      <c r="K15" s="174"/>
      <c r="L15" s="174"/>
      <c r="M15" s="174"/>
      <c r="N15" s="174"/>
      <c r="O15" s="174"/>
      <c r="P15" s="174"/>
      <c r="Q15" s="174"/>
    </row>
    <row r="16" spans="4:17" ht="16.5" customHeight="1" x14ac:dyDescent="0.3">
      <c r="D16" s="171"/>
      <c r="E16" s="165"/>
      <c r="F16" s="165"/>
      <c r="G16" s="165"/>
      <c r="H16" s="250"/>
      <c r="I16" s="172"/>
      <c r="J16" s="173"/>
      <c r="K16" s="174"/>
      <c r="L16" s="174"/>
      <c r="M16" s="174"/>
      <c r="N16" s="174"/>
      <c r="O16" s="174"/>
      <c r="P16" s="174"/>
      <c r="Q16" s="174"/>
    </row>
    <row r="17" spans="4:17" ht="16.5" customHeight="1" x14ac:dyDescent="0.3">
      <c r="D17" s="171"/>
      <c r="E17" s="165"/>
      <c r="F17" s="165"/>
      <c r="G17" s="165"/>
      <c r="H17" s="250"/>
      <c r="I17" s="172"/>
      <c r="J17" s="173"/>
      <c r="K17" s="174"/>
      <c r="L17" s="174"/>
      <c r="M17" s="174"/>
      <c r="N17" s="174"/>
      <c r="O17" s="174"/>
      <c r="P17" s="174"/>
      <c r="Q17" s="174"/>
    </row>
    <row r="18" spans="4:17" ht="16.5" customHeight="1" x14ac:dyDescent="0.3">
      <c r="D18" s="171"/>
      <c r="E18" s="165"/>
      <c r="F18" s="165"/>
      <c r="G18" s="165"/>
      <c r="H18" s="250"/>
      <c r="I18" s="172"/>
      <c r="J18" s="173"/>
      <c r="K18" s="174"/>
      <c r="L18" s="174"/>
      <c r="M18" s="174"/>
      <c r="N18" s="174"/>
      <c r="O18" s="174"/>
      <c r="P18" s="174"/>
      <c r="Q18" s="174"/>
    </row>
    <row r="19" spans="4:17" ht="16.5" customHeight="1" x14ac:dyDescent="0.3">
      <c r="D19" s="171"/>
      <c r="E19" s="165"/>
      <c r="F19" s="165"/>
      <c r="G19" s="165"/>
      <c r="H19" s="250"/>
      <c r="I19" s="172"/>
      <c r="J19" s="173"/>
      <c r="K19" s="174"/>
      <c r="L19" s="174"/>
      <c r="M19" s="174"/>
      <c r="N19" s="174"/>
      <c r="O19" s="174"/>
      <c r="P19" s="174"/>
      <c r="Q19" s="174"/>
    </row>
    <row r="20" spans="4:17" ht="16.5" customHeight="1" x14ac:dyDescent="0.3">
      <c r="D20" s="171"/>
      <c r="E20" s="165"/>
      <c r="F20" s="165"/>
      <c r="G20" s="165"/>
      <c r="H20" s="250"/>
      <c r="I20" s="172"/>
      <c r="J20" s="173"/>
      <c r="K20" s="174"/>
      <c r="L20" s="174"/>
      <c r="M20" s="174"/>
      <c r="N20" s="174"/>
      <c r="O20" s="174"/>
      <c r="P20" s="174"/>
      <c r="Q20" s="174"/>
    </row>
    <row r="21" spans="4:17" ht="16.5" customHeight="1" x14ac:dyDescent="0.3">
      <c r="D21" s="171"/>
      <c r="E21" s="165"/>
      <c r="F21" s="165"/>
      <c r="G21" s="165"/>
      <c r="H21" s="250"/>
      <c r="I21" s="172"/>
      <c r="J21" s="173"/>
      <c r="K21" s="174"/>
      <c r="L21" s="174"/>
      <c r="M21" s="174"/>
      <c r="N21" s="174"/>
      <c r="O21" s="174"/>
      <c r="P21" s="174"/>
      <c r="Q21" s="174"/>
    </row>
    <row r="22" spans="4:17" ht="16.5" customHeight="1" x14ac:dyDescent="0.3">
      <c r="D22" s="171"/>
      <c r="E22" s="165"/>
      <c r="F22" s="165"/>
      <c r="G22" s="165"/>
      <c r="H22" s="250"/>
      <c r="I22" s="172"/>
      <c r="J22" s="173"/>
      <c r="K22" s="174"/>
      <c r="L22" s="174"/>
      <c r="M22" s="174"/>
      <c r="N22" s="174"/>
      <c r="O22" s="174"/>
      <c r="P22" s="174"/>
      <c r="Q22" s="174"/>
    </row>
    <row r="23" spans="4:17" ht="16.5" customHeight="1" x14ac:dyDescent="0.3">
      <c r="D23" s="171"/>
      <c r="E23" s="165"/>
      <c r="F23" s="165"/>
      <c r="G23" s="165"/>
      <c r="H23" s="250"/>
      <c r="I23" s="172"/>
      <c r="J23" s="173"/>
      <c r="K23" s="174"/>
      <c r="L23" s="174"/>
      <c r="M23" s="174"/>
      <c r="N23" s="174"/>
      <c r="O23" s="174"/>
      <c r="P23" s="174"/>
      <c r="Q23" s="174"/>
    </row>
    <row r="24" spans="4:17" ht="16.5" customHeight="1" x14ac:dyDescent="0.3">
      <c r="D24" s="171"/>
      <c r="E24" s="165"/>
      <c r="F24" s="165"/>
      <c r="G24" s="165"/>
      <c r="H24" s="250"/>
      <c r="I24" s="172"/>
      <c r="J24" s="173"/>
      <c r="K24" s="174"/>
      <c r="L24" s="174"/>
      <c r="M24" s="174"/>
      <c r="N24" s="174"/>
      <c r="O24" s="174"/>
      <c r="P24" s="174"/>
      <c r="Q24" s="174"/>
    </row>
    <row r="25" spans="4:17" ht="16.5" customHeight="1" x14ac:dyDescent="0.3">
      <c r="D25" s="171"/>
      <c r="E25" s="165"/>
      <c r="F25" s="165"/>
      <c r="G25" s="165"/>
      <c r="H25" s="165"/>
      <c r="I25" s="173"/>
      <c r="J25" s="173"/>
      <c r="K25" s="174"/>
      <c r="L25" s="174"/>
      <c r="M25" s="174"/>
      <c r="N25" s="174"/>
      <c r="O25" s="174"/>
      <c r="P25" s="174"/>
      <c r="Q25" s="174"/>
    </row>
    <row r="26" spans="4:17" ht="16.5" customHeight="1" x14ac:dyDescent="0.3">
      <c r="D26" s="171"/>
      <c r="E26" s="165"/>
      <c r="F26" s="165"/>
      <c r="G26" s="165"/>
      <c r="H26" s="165"/>
      <c r="I26" s="173"/>
      <c r="J26" s="173"/>
      <c r="K26" s="174"/>
      <c r="L26" s="174"/>
      <c r="M26" s="174"/>
      <c r="N26" s="174"/>
      <c r="O26" s="174"/>
      <c r="P26" s="174"/>
      <c r="Q26" s="174"/>
    </row>
    <row r="27" spans="4:17" ht="16.5" customHeight="1" x14ac:dyDescent="0.3">
      <c r="D27" s="171"/>
      <c r="E27" s="165"/>
      <c r="F27" s="165"/>
      <c r="G27" s="165"/>
      <c r="H27" s="165"/>
      <c r="I27" s="173"/>
      <c r="J27" s="173"/>
      <c r="K27" s="174"/>
      <c r="L27" s="174"/>
      <c r="M27" s="174"/>
      <c r="N27" s="174"/>
      <c r="O27" s="174"/>
      <c r="P27" s="174"/>
      <c r="Q27" s="174"/>
    </row>
    <row r="28" spans="4:17" ht="16.5" customHeight="1" x14ac:dyDescent="0.3">
      <c r="D28" s="171"/>
      <c r="E28" s="165"/>
      <c r="F28" s="165"/>
      <c r="G28" s="165"/>
      <c r="H28" s="165"/>
      <c r="I28" s="173"/>
      <c r="J28" s="173"/>
      <c r="K28" s="174"/>
      <c r="L28" s="174"/>
      <c r="M28" s="174"/>
      <c r="N28" s="174"/>
      <c r="O28" s="174"/>
      <c r="P28" s="174"/>
      <c r="Q28" s="174"/>
    </row>
    <row r="29" spans="4:17" ht="16.5" customHeight="1" x14ac:dyDescent="0.3">
      <c r="D29" s="171"/>
      <c r="E29" s="165"/>
      <c r="F29" s="165"/>
      <c r="G29" s="165"/>
      <c r="H29" s="165"/>
      <c r="I29" s="173"/>
      <c r="J29" s="173"/>
      <c r="K29" s="174"/>
      <c r="L29" s="174"/>
      <c r="M29" s="174"/>
      <c r="N29" s="174"/>
      <c r="O29" s="174"/>
      <c r="P29" s="174"/>
      <c r="Q29" s="174"/>
    </row>
    <row r="30" spans="4:17" ht="16.5" customHeight="1" x14ac:dyDescent="0.3">
      <c r="D30" s="171"/>
      <c r="E30" s="165"/>
      <c r="F30" s="277"/>
      <c r="G30" s="165"/>
      <c r="H30" s="165"/>
      <c r="I30" s="173"/>
      <c r="J30" s="173"/>
      <c r="K30" s="174"/>
      <c r="L30" s="174"/>
      <c r="M30" s="174"/>
      <c r="N30" s="174"/>
      <c r="O30" s="174"/>
      <c r="P30" s="174"/>
      <c r="Q30" s="174"/>
    </row>
    <row r="31" spans="4:17" ht="16.5" customHeight="1" x14ac:dyDescent="0.3">
      <c r="D31" s="171"/>
      <c r="E31" s="165"/>
      <c r="F31" s="277"/>
      <c r="G31" s="165"/>
      <c r="H31" s="165"/>
      <c r="I31" s="173"/>
      <c r="J31" s="173"/>
      <c r="K31" s="174"/>
      <c r="L31" s="174"/>
      <c r="M31" s="174"/>
      <c r="N31" s="174"/>
      <c r="O31" s="174"/>
      <c r="P31" s="174"/>
      <c r="Q31" s="174"/>
    </row>
    <row r="32" spans="4:17" ht="16.5" customHeight="1" x14ac:dyDescent="0.3">
      <c r="D32" s="171"/>
      <c r="E32" s="165"/>
      <c r="F32" s="165"/>
      <c r="G32" s="165"/>
      <c r="H32" s="165"/>
      <c r="I32" s="173"/>
      <c r="J32" s="173"/>
      <c r="K32" s="174"/>
      <c r="L32" s="174"/>
      <c r="M32" s="174"/>
      <c r="N32" s="174"/>
      <c r="O32" s="174"/>
      <c r="P32" s="174"/>
      <c r="Q32" s="174"/>
    </row>
    <row r="33" spans="4:17" ht="16.5" customHeight="1" x14ac:dyDescent="0.3">
      <c r="D33" s="171"/>
      <c r="E33" s="165"/>
      <c r="F33" s="165"/>
      <c r="G33" s="165"/>
      <c r="H33" s="165"/>
      <c r="I33" s="173"/>
      <c r="J33" s="173"/>
      <c r="K33" s="174"/>
      <c r="L33" s="174"/>
      <c r="M33" s="174"/>
      <c r="N33" s="174"/>
      <c r="O33" s="174"/>
      <c r="P33" s="174"/>
      <c r="Q33" s="174"/>
    </row>
    <row r="34" spans="4:17" ht="16.5" customHeight="1" x14ac:dyDescent="0.3">
      <c r="D34" s="171"/>
      <c r="E34" s="165"/>
      <c r="F34" s="165"/>
      <c r="G34" s="165"/>
      <c r="H34" s="165"/>
      <c r="I34" s="173"/>
      <c r="J34" s="173"/>
      <c r="K34" s="174"/>
      <c r="L34" s="174"/>
      <c r="M34" s="174"/>
      <c r="N34" s="174"/>
      <c r="O34" s="174"/>
      <c r="P34" s="174"/>
      <c r="Q34" s="174"/>
    </row>
    <row r="35" spans="4:17" ht="16.5" customHeight="1" x14ac:dyDescent="0.3">
      <c r="D35" s="171"/>
      <c r="E35" s="165"/>
      <c r="F35" s="165"/>
      <c r="G35" s="165"/>
      <c r="H35" s="165"/>
      <c r="I35" s="173"/>
      <c r="J35" s="173"/>
      <c r="K35" s="174"/>
      <c r="L35" s="174"/>
      <c r="M35" s="174"/>
      <c r="N35" s="174"/>
      <c r="O35" s="174"/>
      <c r="P35" s="174"/>
      <c r="Q35" s="174"/>
    </row>
    <row r="36" spans="4:17" ht="16.5" customHeight="1" x14ac:dyDescent="0.3">
      <c r="D36" s="171"/>
      <c r="E36" s="165"/>
      <c r="F36" s="165"/>
      <c r="G36" s="165"/>
      <c r="H36" s="165"/>
      <c r="I36" s="173"/>
      <c r="J36" s="173"/>
      <c r="K36" s="174"/>
      <c r="L36" s="174"/>
      <c r="M36" s="174"/>
      <c r="N36" s="174"/>
      <c r="O36" s="174"/>
      <c r="P36" s="174"/>
      <c r="Q36" s="174"/>
    </row>
    <row r="37" spans="4:17" ht="16.5" customHeight="1" x14ac:dyDescent="0.3">
      <c r="D37" s="171"/>
      <c r="E37" s="165"/>
      <c r="F37" s="165"/>
      <c r="G37" s="165"/>
      <c r="H37" s="165"/>
      <c r="I37" s="173"/>
      <c r="J37" s="173"/>
      <c r="K37" s="174"/>
      <c r="L37" s="174"/>
      <c r="M37" s="174"/>
      <c r="N37" s="174"/>
      <c r="O37" s="174"/>
      <c r="P37" s="174"/>
      <c r="Q37" s="174"/>
    </row>
    <row r="38" spans="4:17" ht="16.5" customHeight="1" x14ac:dyDescent="0.3">
      <c r="D38" s="171"/>
      <c r="E38" s="165"/>
      <c r="F38" s="165"/>
      <c r="G38" s="165"/>
      <c r="H38" s="165"/>
      <c r="I38" s="173"/>
      <c r="J38" s="173"/>
      <c r="K38" s="174"/>
      <c r="L38" s="174"/>
      <c r="M38" s="174"/>
      <c r="N38" s="174"/>
      <c r="O38" s="174"/>
      <c r="P38" s="174"/>
      <c r="Q38" s="174"/>
    </row>
    <row r="39" spans="4:17" ht="16.5" customHeight="1" x14ac:dyDescent="0.3">
      <c r="D39" s="171"/>
      <c r="E39" s="165"/>
      <c r="F39" s="165"/>
      <c r="G39" s="165"/>
      <c r="H39" s="165"/>
      <c r="I39" s="173"/>
      <c r="J39" s="173"/>
      <c r="K39" s="174"/>
      <c r="L39" s="174"/>
      <c r="M39" s="174"/>
      <c r="N39" s="174"/>
      <c r="O39" s="174"/>
      <c r="P39" s="174"/>
      <c r="Q39" s="174"/>
    </row>
    <row r="40" spans="4:17" ht="16.5" customHeight="1" x14ac:dyDescent="0.3">
      <c r="D40" s="171"/>
      <c r="E40" s="165"/>
      <c r="F40" s="165"/>
      <c r="G40" s="165"/>
      <c r="H40" s="165"/>
      <c r="I40" s="173"/>
      <c r="J40" s="173"/>
      <c r="K40" s="174"/>
      <c r="L40" s="174"/>
      <c r="M40" s="174"/>
      <c r="N40" s="174"/>
      <c r="O40" s="174"/>
      <c r="P40" s="174"/>
      <c r="Q40" s="174"/>
    </row>
    <row r="41" spans="4:17" ht="16.5" customHeight="1" x14ac:dyDescent="0.3">
      <c r="D41" s="171"/>
      <c r="E41" s="165"/>
      <c r="F41" s="165"/>
      <c r="G41" s="165"/>
      <c r="H41" s="165"/>
      <c r="I41" s="173"/>
      <c r="J41" s="173"/>
      <c r="K41" s="174"/>
      <c r="L41" s="174"/>
      <c r="M41" s="174"/>
      <c r="N41" s="174"/>
      <c r="O41" s="174"/>
      <c r="P41" s="174"/>
      <c r="Q41" s="174"/>
    </row>
    <row r="42" spans="4:17" ht="16.5" customHeight="1" x14ac:dyDescent="0.3">
      <c r="D42" s="171"/>
      <c r="E42" s="165"/>
      <c r="F42" s="165"/>
      <c r="G42" s="165"/>
      <c r="H42" s="165"/>
      <c r="I42" s="173"/>
      <c r="J42" s="173"/>
      <c r="K42" s="174"/>
      <c r="L42" s="174"/>
      <c r="M42" s="174"/>
      <c r="N42" s="174"/>
      <c r="O42" s="174"/>
      <c r="P42" s="174"/>
      <c r="Q42" s="174"/>
    </row>
    <row r="43" spans="4:17" ht="16.5" customHeight="1" x14ac:dyDescent="0.3">
      <c r="D43" s="171"/>
      <c r="E43" s="165"/>
      <c r="F43" s="165"/>
      <c r="G43" s="165"/>
      <c r="H43" s="165"/>
      <c r="I43" s="173"/>
      <c r="J43" s="173"/>
      <c r="K43" s="174"/>
      <c r="L43" s="174"/>
      <c r="M43" s="174"/>
      <c r="N43" s="174"/>
      <c r="O43" s="174"/>
      <c r="P43" s="174"/>
      <c r="Q43" s="174"/>
    </row>
    <row r="44" spans="4:17" ht="16.5" customHeight="1" x14ac:dyDescent="0.3">
      <c r="D44" s="171"/>
      <c r="E44" s="165"/>
      <c r="F44" s="165"/>
      <c r="G44" s="165"/>
      <c r="H44" s="165"/>
      <c r="I44" s="173"/>
      <c r="J44" s="173"/>
      <c r="K44" s="174"/>
      <c r="L44" s="174"/>
      <c r="M44" s="174"/>
      <c r="N44" s="174"/>
      <c r="O44" s="174"/>
      <c r="P44" s="174"/>
      <c r="Q44" s="174"/>
    </row>
    <row r="45" spans="4:17" ht="16.5" customHeight="1" x14ac:dyDescent="0.3">
      <c r="D45" s="171"/>
      <c r="E45" s="165"/>
      <c r="F45" s="165"/>
      <c r="G45" s="165"/>
      <c r="H45" s="165"/>
      <c r="I45" s="173"/>
      <c r="J45" s="173"/>
      <c r="K45" s="174"/>
      <c r="L45" s="174"/>
      <c r="M45" s="174"/>
      <c r="N45" s="174"/>
      <c r="O45" s="174"/>
      <c r="P45" s="174"/>
      <c r="Q45" s="174"/>
    </row>
    <row r="46" spans="4:17" ht="16.5" customHeight="1" x14ac:dyDescent="0.3">
      <c r="D46" s="171"/>
      <c r="E46" s="165"/>
      <c r="F46" s="165"/>
      <c r="G46" s="165"/>
      <c r="H46" s="165"/>
      <c r="I46" s="173"/>
      <c r="J46" s="173"/>
      <c r="K46" s="174"/>
      <c r="L46" s="174"/>
      <c r="M46" s="174"/>
      <c r="N46" s="174"/>
      <c r="O46" s="174"/>
      <c r="P46" s="174"/>
      <c r="Q46" s="174"/>
    </row>
    <row r="47" spans="4:17" ht="16.5" customHeight="1" x14ac:dyDescent="0.3">
      <c r="D47" s="171"/>
      <c r="E47" s="165"/>
      <c r="F47" s="165"/>
      <c r="G47" s="165"/>
      <c r="H47" s="165"/>
      <c r="I47" s="173"/>
      <c r="J47" s="173"/>
      <c r="K47" s="174"/>
      <c r="L47" s="174"/>
      <c r="M47" s="174"/>
      <c r="N47" s="174"/>
      <c r="O47" s="174"/>
      <c r="P47" s="174"/>
      <c r="Q47" s="174"/>
    </row>
    <row r="48" spans="4:17" ht="16.5" customHeight="1" x14ac:dyDescent="0.3">
      <c r="D48" s="171"/>
      <c r="E48" s="165"/>
      <c r="F48" s="165"/>
      <c r="G48" s="165"/>
      <c r="H48" s="165"/>
      <c r="I48" s="173"/>
      <c r="J48" s="173"/>
      <c r="K48" s="174"/>
      <c r="L48" s="174"/>
      <c r="M48" s="174"/>
      <c r="N48" s="174"/>
      <c r="O48" s="174"/>
      <c r="P48" s="174"/>
      <c r="Q48" s="174"/>
    </row>
    <row r="49" spans="4:17" ht="16.5" customHeight="1" x14ac:dyDescent="0.3">
      <c r="D49" s="171"/>
      <c r="E49" s="165"/>
      <c r="F49" s="165"/>
      <c r="G49" s="165"/>
      <c r="H49" s="165"/>
      <c r="I49" s="173"/>
      <c r="J49" s="173"/>
      <c r="K49" s="174"/>
      <c r="L49" s="174"/>
      <c r="M49" s="174"/>
      <c r="N49" s="174"/>
      <c r="O49" s="174"/>
      <c r="P49" s="174"/>
      <c r="Q49" s="174"/>
    </row>
    <row r="50" spans="4:17" ht="16.5" customHeight="1" x14ac:dyDescent="0.3">
      <c r="D50" s="171"/>
      <c r="E50" s="165"/>
      <c r="F50" s="165"/>
      <c r="G50" s="165"/>
      <c r="H50" s="165"/>
      <c r="I50" s="173"/>
      <c r="J50" s="173"/>
      <c r="K50" s="174"/>
      <c r="L50" s="174"/>
      <c r="M50" s="174"/>
      <c r="N50" s="174"/>
      <c r="O50" s="174"/>
      <c r="P50" s="174"/>
      <c r="Q50" s="174"/>
    </row>
    <row r="51" spans="4:17" ht="16.5" customHeight="1" x14ac:dyDescent="0.3">
      <c r="D51" s="171"/>
      <c r="E51" s="165"/>
      <c r="F51" s="165"/>
      <c r="G51" s="165"/>
      <c r="H51" s="165"/>
      <c r="I51" s="173"/>
      <c r="J51" s="173"/>
      <c r="K51" s="174"/>
      <c r="L51" s="174"/>
      <c r="M51" s="174"/>
      <c r="N51" s="174"/>
      <c r="O51" s="174"/>
      <c r="P51" s="174"/>
      <c r="Q51" s="174"/>
    </row>
    <row r="52" spans="4:17" ht="16.5" customHeight="1" x14ac:dyDescent="0.3">
      <c r="D52" s="171"/>
      <c r="E52" s="165"/>
      <c r="F52" s="165"/>
      <c r="G52" s="165"/>
      <c r="H52" s="165"/>
      <c r="I52" s="173"/>
      <c r="J52" s="173"/>
      <c r="K52" s="174"/>
      <c r="L52" s="174"/>
      <c r="M52" s="174"/>
      <c r="N52" s="174"/>
      <c r="O52" s="174"/>
      <c r="P52" s="174"/>
      <c r="Q52" s="174"/>
    </row>
    <row r="53" spans="4:17" ht="16.5" customHeight="1" x14ac:dyDescent="0.3">
      <c r="D53" s="171"/>
      <c r="E53" s="165"/>
      <c r="F53" s="165"/>
      <c r="G53" s="165"/>
      <c r="H53" s="165"/>
      <c r="I53" s="173"/>
      <c r="J53" s="173"/>
      <c r="K53" s="174"/>
      <c r="L53" s="174"/>
      <c r="M53" s="174"/>
      <c r="N53" s="174"/>
      <c r="O53" s="174"/>
      <c r="P53" s="174"/>
      <c r="Q53" s="174"/>
    </row>
    <row r="54" spans="4:17" ht="16.5" customHeight="1" x14ac:dyDescent="0.3">
      <c r="D54" s="171"/>
      <c r="E54" s="165"/>
      <c r="F54" s="165"/>
      <c r="G54" s="165"/>
      <c r="H54" s="165"/>
      <c r="I54" s="173"/>
      <c r="J54" s="173"/>
      <c r="K54" s="174"/>
      <c r="L54" s="174"/>
      <c r="M54" s="174"/>
      <c r="N54" s="174"/>
      <c r="O54" s="174"/>
      <c r="P54" s="174"/>
      <c r="Q54" s="174"/>
    </row>
    <row r="55" spans="4:17" ht="16.5" customHeight="1" outlineLevel="1" x14ac:dyDescent="0.3">
      <c r="D55" s="171"/>
      <c r="E55" s="165"/>
      <c r="F55" s="165"/>
      <c r="G55" s="165"/>
      <c r="H55" s="165"/>
      <c r="I55" s="173"/>
      <c r="J55" s="173"/>
      <c r="K55" s="174"/>
      <c r="L55" s="174"/>
      <c r="M55" s="174"/>
      <c r="N55" s="174"/>
      <c r="O55" s="174"/>
      <c r="P55" s="174"/>
      <c r="Q55" s="174"/>
    </row>
    <row r="56" spans="4:17" ht="16.5" customHeight="1" outlineLevel="1" x14ac:dyDescent="0.3">
      <c r="D56" s="171"/>
      <c r="E56" s="165"/>
      <c r="F56" s="165"/>
      <c r="G56" s="165"/>
      <c r="H56" s="165"/>
      <c r="I56" s="173"/>
      <c r="J56" s="173"/>
      <c r="K56" s="174"/>
      <c r="L56" s="174"/>
      <c r="M56" s="174"/>
      <c r="N56" s="174"/>
      <c r="O56" s="174"/>
      <c r="P56" s="174"/>
      <c r="Q56" s="174"/>
    </row>
    <row r="57" spans="4:17" ht="16.5" customHeight="1" outlineLevel="1" x14ac:dyDescent="0.3">
      <c r="D57" s="171"/>
      <c r="E57" s="165"/>
      <c r="F57" s="165"/>
      <c r="G57" s="165"/>
      <c r="H57" s="165"/>
      <c r="I57" s="173"/>
      <c r="J57" s="173"/>
      <c r="K57" s="174"/>
      <c r="L57" s="174"/>
      <c r="M57" s="174"/>
      <c r="N57" s="174"/>
      <c r="O57" s="174"/>
      <c r="P57" s="174"/>
      <c r="Q57" s="174"/>
    </row>
    <row r="58" spans="4:17" ht="16.5" customHeight="1" outlineLevel="1" x14ac:dyDescent="0.3">
      <c r="D58" s="171"/>
      <c r="E58" s="165"/>
      <c r="F58" s="165"/>
      <c r="G58" s="165"/>
      <c r="H58" s="165"/>
      <c r="I58" s="173"/>
      <c r="J58" s="173"/>
      <c r="K58" s="174"/>
      <c r="L58" s="174"/>
      <c r="M58" s="174"/>
      <c r="N58" s="174"/>
      <c r="O58" s="174"/>
      <c r="P58" s="174"/>
      <c r="Q58" s="174"/>
    </row>
    <row r="59" spans="4:17" ht="16.5" customHeight="1" outlineLevel="1" x14ac:dyDescent="0.3">
      <c r="D59" s="171"/>
      <c r="E59" s="165"/>
      <c r="F59" s="165"/>
      <c r="G59" s="165"/>
      <c r="H59" s="165"/>
      <c r="I59" s="173"/>
      <c r="J59" s="173"/>
      <c r="K59" s="174"/>
      <c r="L59" s="174"/>
      <c r="M59" s="174"/>
      <c r="N59" s="174"/>
      <c r="O59" s="174"/>
      <c r="P59" s="174"/>
      <c r="Q59" s="174"/>
    </row>
    <row r="60" spans="4:17" ht="16.5" customHeight="1" outlineLevel="1" x14ac:dyDescent="0.3">
      <c r="D60" s="171"/>
      <c r="E60" s="165"/>
      <c r="F60" s="165"/>
      <c r="G60" s="165"/>
      <c r="H60" s="165"/>
      <c r="I60" s="173"/>
      <c r="J60" s="173"/>
      <c r="K60" s="174"/>
      <c r="L60" s="174"/>
      <c r="M60" s="174"/>
      <c r="N60" s="174"/>
      <c r="O60" s="174"/>
      <c r="P60" s="174"/>
      <c r="Q60" s="174"/>
    </row>
    <row r="61" spans="4:17" ht="16.5" customHeight="1" outlineLevel="1" x14ac:dyDescent="0.3">
      <c r="D61" s="171"/>
      <c r="E61" s="165"/>
      <c r="F61" s="165"/>
      <c r="G61" s="165"/>
      <c r="H61" s="165"/>
      <c r="I61" s="173"/>
      <c r="J61" s="173"/>
      <c r="K61" s="174"/>
      <c r="L61" s="174"/>
      <c r="M61" s="174"/>
      <c r="N61" s="174"/>
      <c r="O61" s="174"/>
      <c r="P61" s="174"/>
      <c r="Q61" s="174"/>
    </row>
    <row r="62" spans="4:17" ht="16.5" customHeight="1" outlineLevel="1" x14ac:dyDescent="0.3">
      <c r="D62" s="171"/>
      <c r="E62" s="165"/>
      <c r="F62" s="165"/>
      <c r="G62" s="165"/>
      <c r="H62" s="165"/>
      <c r="I62" s="173"/>
      <c r="J62" s="173"/>
      <c r="K62" s="174"/>
      <c r="L62" s="174"/>
      <c r="M62" s="174"/>
      <c r="N62" s="174"/>
      <c r="O62" s="174"/>
      <c r="P62" s="174"/>
      <c r="Q62" s="174"/>
    </row>
    <row r="63" spans="4:17" ht="16.5" customHeight="1" outlineLevel="1" x14ac:dyDescent="0.3">
      <c r="D63" s="171"/>
      <c r="E63" s="165"/>
      <c r="F63" s="165"/>
      <c r="G63" s="165"/>
      <c r="H63" s="165"/>
      <c r="I63" s="173"/>
      <c r="J63" s="173"/>
      <c r="K63" s="174"/>
      <c r="L63" s="174"/>
      <c r="M63" s="174"/>
      <c r="N63" s="174"/>
      <c r="O63" s="174"/>
      <c r="P63" s="174"/>
      <c r="Q63" s="174"/>
    </row>
    <row r="64" spans="4:17" ht="16.5" customHeight="1" outlineLevel="1" x14ac:dyDescent="0.3">
      <c r="D64" s="171"/>
      <c r="E64" s="165"/>
      <c r="F64" s="165"/>
      <c r="G64" s="165"/>
      <c r="H64" s="165"/>
      <c r="I64" s="173"/>
      <c r="J64" s="173"/>
      <c r="K64" s="174"/>
      <c r="L64" s="174"/>
      <c r="M64" s="174"/>
      <c r="N64" s="174"/>
      <c r="O64" s="174"/>
      <c r="P64" s="174"/>
      <c r="Q64" s="174"/>
    </row>
    <row r="65" spans="4:17" ht="16.5" customHeight="1" outlineLevel="1" x14ac:dyDescent="0.3">
      <c r="D65" s="171"/>
      <c r="E65" s="165"/>
      <c r="F65" s="165"/>
      <c r="G65" s="165"/>
      <c r="H65" s="165"/>
      <c r="I65" s="173"/>
      <c r="J65" s="173"/>
      <c r="K65" s="174"/>
      <c r="L65" s="174"/>
      <c r="M65" s="174"/>
      <c r="N65" s="174"/>
      <c r="O65" s="174"/>
      <c r="P65" s="174"/>
      <c r="Q65" s="174"/>
    </row>
    <row r="66" spans="4:17" ht="16.5" customHeight="1" outlineLevel="1" x14ac:dyDescent="0.3">
      <c r="D66" s="171"/>
      <c r="E66" s="165"/>
      <c r="F66" s="165"/>
      <c r="G66" s="165"/>
      <c r="H66" s="165"/>
      <c r="I66" s="173"/>
      <c r="J66" s="173"/>
      <c r="K66" s="174"/>
      <c r="L66" s="174"/>
      <c r="M66" s="174"/>
      <c r="N66" s="174"/>
      <c r="O66" s="174"/>
      <c r="P66" s="174"/>
      <c r="Q66" s="174"/>
    </row>
    <row r="67" spans="4:17" ht="16.5" customHeight="1" outlineLevel="1" x14ac:dyDescent="0.3">
      <c r="D67" s="171"/>
      <c r="E67" s="165"/>
      <c r="F67" s="165"/>
      <c r="G67" s="165"/>
      <c r="H67" s="165"/>
      <c r="I67" s="173"/>
      <c r="J67" s="173"/>
      <c r="K67" s="174"/>
      <c r="L67" s="174"/>
      <c r="M67" s="174"/>
      <c r="N67" s="174"/>
      <c r="O67" s="174"/>
      <c r="P67" s="174"/>
      <c r="Q67" s="174"/>
    </row>
    <row r="68" spans="4:17" ht="16.5" customHeight="1" outlineLevel="1" x14ac:dyDescent="0.3">
      <c r="D68" s="171"/>
      <c r="E68" s="165"/>
      <c r="F68" s="165"/>
      <c r="G68" s="165"/>
      <c r="H68" s="165"/>
      <c r="I68" s="173"/>
      <c r="J68" s="173"/>
      <c r="K68" s="174"/>
      <c r="L68" s="174"/>
      <c r="M68" s="174"/>
      <c r="N68" s="174"/>
      <c r="O68" s="174"/>
      <c r="P68" s="174"/>
      <c r="Q68" s="174"/>
    </row>
    <row r="69" spans="4:17" ht="16.5" customHeight="1" outlineLevel="1" x14ac:dyDescent="0.3">
      <c r="D69" s="171"/>
      <c r="E69" s="165"/>
      <c r="F69" s="165"/>
      <c r="G69" s="165"/>
      <c r="H69" s="165"/>
      <c r="I69" s="173"/>
      <c r="J69" s="173"/>
      <c r="K69" s="174"/>
      <c r="L69" s="174"/>
      <c r="M69" s="174"/>
      <c r="N69" s="174"/>
      <c r="O69" s="174"/>
      <c r="P69" s="174"/>
      <c r="Q69" s="174"/>
    </row>
    <row r="70" spans="4:17" ht="16.5" customHeight="1" outlineLevel="1" x14ac:dyDescent="0.3">
      <c r="D70" s="171"/>
      <c r="E70" s="165"/>
      <c r="F70" s="165"/>
      <c r="G70" s="165"/>
      <c r="H70" s="165"/>
      <c r="I70" s="173"/>
      <c r="J70" s="173"/>
      <c r="K70" s="174"/>
      <c r="L70" s="174"/>
      <c r="M70" s="174"/>
      <c r="N70" s="174"/>
      <c r="O70" s="174"/>
      <c r="P70" s="174"/>
      <c r="Q70" s="174"/>
    </row>
    <row r="71" spans="4:17" ht="16.5" customHeight="1" outlineLevel="1" x14ac:dyDescent="0.3">
      <c r="D71" s="171"/>
      <c r="E71" s="165"/>
      <c r="F71" s="165"/>
      <c r="G71" s="165"/>
      <c r="H71" s="165"/>
      <c r="I71" s="173"/>
      <c r="J71" s="173"/>
      <c r="K71" s="174"/>
      <c r="L71" s="174"/>
      <c r="M71" s="174"/>
      <c r="N71" s="174"/>
      <c r="O71" s="174"/>
      <c r="P71" s="174"/>
      <c r="Q71" s="174"/>
    </row>
    <row r="72" spans="4:17" ht="16.5" customHeight="1" outlineLevel="1" x14ac:dyDescent="0.3">
      <c r="D72" s="171"/>
      <c r="E72" s="165"/>
      <c r="F72" s="165"/>
      <c r="G72" s="165"/>
      <c r="H72" s="165"/>
      <c r="I72" s="173"/>
      <c r="J72" s="173"/>
      <c r="K72" s="174"/>
      <c r="L72" s="174"/>
      <c r="M72" s="174"/>
      <c r="N72" s="174"/>
      <c r="O72" s="174"/>
      <c r="P72" s="174"/>
      <c r="Q72" s="174"/>
    </row>
    <row r="73" spans="4:17" ht="16.5" customHeight="1" outlineLevel="1" x14ac:dyDescent="0.3">
      <c r="D73" s="171"/>
      <c r="E73" s="165"/>
      <c r="F73" s="165"/>
      <c r="G73" s="165"/>
      <c r="H73" s="165"/>
      <c r="I73" s="173"/>
      <c r="J73" s="173"/>
      <c r="K73" s="174"/>
      <c r="L73" s="174"/>
      <c r="M73" s="174"/>
      <c r="N73" s="174"/>
      <c r="O73" s="174"/>
      <c r="P73" s="174"/>
      <c r="Q73" s="174"/>
    </row>
    <row r="74" spans="4:17" ht="16.5" customHeight="1" outlineLevel="1" x14ac:dyDescent="0.3">
      <c r="D74" s="171"/>
      <c r="E74" s="165"/>
      <c r="F74" s="165"/>
      <c r="G74" s="165"/>
      <c r="H74" s="165"/>
      <c r="I74" s="173"/>
      <c r="J74" s="173"/>
      <c r="K74" s="174"/>
      <c r="L74" s="174"/>
      <c r="M74" s="174"/>
      <c r="N74" s="174"/>
      <c r="O74" s="174"/>
      <c r="P74" s="174"/>
      <c r="Q74" s="174"/>
    </row>
    <row r="75" spans="4:17" ht="16.5" customHeight="1" outlineLevel="1" x14ac:dyDescent="0.3">
      <c r="D75" s="171"/>
      <c r="E75" s="165"/>
      <c r="F75" s="165"/>
      <c r="G75" s="165"/>
      <c r="H75" s="165"/>
      <c r="I75" s="173"/>
      <c r="J75" s="173"/>
      <c r="K75" s="174"/>
      <c r="L75" s="174"/>
      <c r="M75" s="174"/>
      <c r="N75" s="174"/>
      <c r="O75" s="174"/>
      <c r="P75" s="174"/>
      <c r="Q75" s="174"/>
    </row>
    <row r="76" spans="4:17" ht="16.5" customHeight="1" outlineLevel="1" x14ac:dyDescent="0.3">
      <c r="D76" s="171"/>
      <c r="E76" s="165"/>
      <c r="F76" s="165"/>
      <c r="G76" s="165"/>
      <c r="H76" s="165"/>
      <c r="I76" s="173"/>
      <c r="J76" s="173"/>
      <c r="K76" s="174"/>
      <c r="L76" s="174"/>
      <c r="M76" s="174"/>
      <c r="N76" s="174"/>
      <c r="O76" s="174"/>
      <c r="P76" s="174"/>
      <c r="Q76" s="174"/>
    </row>
    <row r="77" spans="4:17" ht="16.5" customHeight="1" outlineLevel="1" x14ac:dyDescent="0.3">
      <c r="D77" s="171"/>
      <c r="E77" s="165"/>
      <c r="F77" s="165"/>
      <c r="G77" s="165"/>
      <c r="H77" s="165"/>
      <c r="I77" s="173"/>
      <c r="J77" s="173"/>
      <c r="K77" s="174"/>
      <c r="L77" s="174"/>
      <c r="M77" s="174"/>
      <c r="N77" s="174"/>
      <c r="O77" s="174"/>
      <c r="P77" s="174"/>
      <c r="Q77" s="174"/>
    </row>
    <row r="78" spans="4:17" ht="16.5" customHeight="1" outlineLevel="1" x14ac:dyDescent="0.3">
      <c r="D78" s="171"/>
      <c r="E78" s="165"/>
      <c r="F78" s="165"/>
      <c r="G78" s="165"/>
      <c r="H78" s="165"/>
      <c r="I78" s="173"/>
      <c r="J78" s="173"/>
      <c r="K78" s="174"/>
      <c r="L78" s="174"/>
      <c r="M78" s="174"/>
      <c r="N78" s="174"/>
      <c r="O78" s="174"/>
      <c r="P78" s="174"/>
      <c r="Q78" s="174"/>
    </row>
    <row r="79" spans="4:17" ht="16.5" customHeight="1" x14ac:dyDescent="0.3"/>
    <row r="80" spans="4:17" ht="16.5" customHeight="1" x14ac:dyDescent="0.3">
      <c r="I80" s="175" t="s">
        <v>135</v>
      </c>
      <c r="J80" s="176">
        <f t="shared" ref="J80:Q80" si="0">SUM(J12:J78)</f>
        <v>0</v>
      </c>
      <c r="K80" s="177">
        <f t="shared" si="0"/>
        <v>0</v>
      </c>
      <c r="L80" s="177">
        <f t="shared" si="0"/>
        <v>0</v>
      </c>
      <c r="M80" s="177">
        <f t="shared" si="0"/>
        <v>0</v>
      </c>
      <c r="N80" s="177">
        <f t="shared" si="0"/>
        <v>0</v>
      </c>
      <c r="O80" s="177">
        <f t="shared" si="0"/>
        <v>0</v>
      </c>
      <c r="P80" s="177">
        <f t="shared" si="0"/>
        <v>0</v>
      </c>
      <c r="Q80" s="177">
        <f t="shared" si="0"/>
        <v>0</v>
      </c>
    </row>
    <row r="81" spans="2:18" ht="16.5" customHeight="1" x14ac:dyDescent="0.3"/>
    <row r="82" spans="2:18" ht="16.5" customHeight="1" x14ac:dyDescent="0.3"/>
    <row r="83" spans="2:18" ht="16.5" customHeight="1" x14ac:dyDescent="0.3"/>
    <row r="84" spans="2:18" ht="16.5" customHeight="1" x14ac:dyDescent="0.3"/>
    <row r="85" spans="2:18" ht="16.5" customHeight="1" x14ac:dyDescent="0.3"/>
    <row r="86" spans="2:18" ht="16.5" customHeight="1" x14ac:dyDescent="0.3"/>
    <row r="87" spans="2:18" ht="16.5" customHeight="1" x14ac:dyDescent="0.3"/>
    <row r="88" spans="2:18" ht="16.5" customHeight="1" x14ac:dyDescent="0.3"/>
    <row r="89" spans="2:18" ht="16.5" customHeight="1" x14ac:dyDescent="0.3"/>
    <row r="90" spans="2:18" ht="16.5" customHeight="1" x14ac:dyDescent="0.3"/>
    <row r="91" spans="2:18" ht="16.5" customHeight="1" x14ac:dyDescent="0.3"/>
    <row r="92" spans="2:18" ht="16.5" customHeight="1" x14ac:dyDescent="0.3"/>
    <row r="93" spans="2:18" ht="16.5" hidden="1" customHeight="1" x14ac:dyDescent="0.3"/>
    <row r="94" spans="2:18" ht="40.200000000000003" hidden="1" customHeight="1" x14ac:dyDescent="0.3">
      <c r="D94" s="178" t="s">
        <v>123</v>
      </c>
      <c r="E94" s="287" t="s">
        <v>124</v>
      </c>
      <c r="F94" s="287" t="s">
        <v>125</v>
      </c>
      <c r="G94" s="287" t="s">
        <v>136</v>
      </c>
      <c r="H94" s="169" t="s">
        <v>137</v>
      </c>
      <c r="I94" s="288" t="s">
        <v>126</v>
      </c>
      <c r="J94" s="288" t="s">
        <v>127</v>
      </c>
      <c r="K94" s="289" t="s">
        <v>128</v>
      </c>
      <c r="L94" s="290" t="s">
        <v>129</v>
      </c>
      <c r="M94" s="169" t="s">
        <v>130</v>
      </c>
      <c r="N94" s="179" t="s">
        <v>131</v>
      </c>
      <c r="O94" s="289" t="s">
        <v>132</v>
      </c>
      <c r="P94" s="289" t="s">
        <v>134</v>
      </c>
      <c r="Q94" s="289" t="s">
        <v>133</v>
      </c>
    </row>
    <row r="95" spans="2:18" s="181" customFormat="1" ht="16.5" hidden="1" customHeight="1" x14ac:dyDescent="0.3">
      <c r="B95" s="640">
        <v>2</v>
      </c>
      <c r="C95" s="181">
        <v>1</v>
      </c>
      <c r="D95" s="182" t="str">
        <f>'Deelnemer 2 vtg'!A19</f>
        <v/>
      </c>
      <c r="E95" s="183" t="str">
        <f>MID(_xlfn.TEXTJOIN(" ",TRUE,'Deelnemer 2 vtg'!$D$6,$B$95),1,11)</f>
        <v>Deelnemer 2</v>
      </c>
      <c r="F95" s="183">
        <f>'Deelnemer 2 vtg'!$C$7</f>
        <v>0</v>
      </c>
      <c r="G95" s="183" t="str">
        <f>'Deelnemer 2 vtg'!B19</f>
        <v xml:space="preserve"> - </v>
      </c>
      <c r="H95" s="183" t="str">
        <f>VLOOKUP(G95,'Categorie H2 Vtg.'!$B$4:$D$20,3,0)</f>
        <v>-</v>
      </c>
      <c r="I95" s="180">
        <f>'Deelnemer 2 vtg'!E19</f>
        <v>0</v>
      </c>
      <c r="J95" s="234">
        <f>'Deelnemer 2 vtg'!V19</f>
        <v>0</v>
      </c>
      <c r="K95" s="184">
        <f>'Deelnemer 2 vtg'!Z19</f>
        <v>0</v>
      </c>
      <c r="L95" s="185">
        <f>'Deelnemer 2 vtg'!AE19</f>
        <v>0</v>
      </c>
      <c r="M95" s="184">
        <f t="shared" ref="M95:M110" si="1">K95*J95</f>
        <v>0</v>
      </c>
      <c r="N95" s="184">
        <f t="shared" ref="N95:N110" si="2">L95*J95</f>
        <v>0</v>
      </c>
      <c r="O95" s="184">
        <f>'Deelnemer 2 vtg'!AG19</f>
        <v>0</v>
      </c>
      <c r="P95" s="184">
        <f>'Deelnemer 2 vtg'!AJ19</f>
        <v>0</v>
      </c>
      <c r="Q95" s="184">
        <f>'Deelnemer 2 vtg'!AK19</f>
        <v>0</v>
      </c>
      <c r="R95" s="161"/>
    </row>
    <row r="96" spans="2:18" ht="16.5" hidden="1" customHeight="1" x14ac:dyDescent="0.3">
      <c r="B96" s="640"/>
      <c r="C96" s="161">
        <v>2</v>
      </c>
      <c r="D96" s="275" t="str">
        <f>'Deelnemer 2 vtg'!A20</f>
        <v/>
      </c>
      <c r="E96" s="183" t="str">
        <f>MID(_xlfn.TEXTJOIN(" ",TRUE,'Deelnemer 2 vtg'!$D$6,$B$95),1,11)</f>
        <v>Deelnemer 2</v>
      </c>
      <c r="F96" s="186">
        <f>'Deelnemer 2 vtg'!$C$7</f>
        <v>0</v>
      </c>
      <c r="G96" s="233" t="str">
        <f>'Deelnemer 2 vtg'!B20</f>
        <v xml:space="preserve"> - </v>
      </c>
      <c r="H96" s="233" t="str">
        <f>VLOOKUP(G96,'Categorie H2 Vtg.'!$B$4:$D$20,3,0)</f>
        <v>-</v>
      </c>
      <c r="I96" s="187">
        <f>'Deelnemer 2 vtg'!E20</f>
        <v>0</v>
      </c>
      <c r="J96" s="234">
        <f>'Deelnemer 2 vtg'!V20</f>
        <v>0</v>
      </c>
      <c r="K96" s="251">
        <f>'Deelnemer 2 vtg'!Z20</f>
        <v>0</v>
      </c>
      <c r="L96" s="252">
        <f>'Deelnemer 2 vtg'!AE20</f>
        <v>0</v>
      </c>
      <c r="M96" s="251">
        <f t="shared" si="1"/>
        <v>0</v>
      </c>
      <c r="N96" s="251">
        <f t="shared" si="2"/>
        <v>0</v>
      </c>
      <c r="O96" s="251">
        <f>'Deelnemer 2 vtg'!AG20</f>
        <v>0</v>
      </c>
      <c r="P96" s="184">
        <f>'Deelnemer 2 vtg'!AJ20</f>
        <v>0</v>
      </c>
      <c r="Q96" s="184">
        <f>'Deelnemer 2 vtg'!AK20</f>
        <v>0</v>
      </c>
    </row>
    <row r="97" spans="2:18" ht="16.5" hidden="1" customHeight="1" x14ac:dyDescent="0.3">
      <c r="B97" s="640"/>
      <c r="C97" s="161">
        <v>3</v>
      </c>
      <c r="D97" s="275" t="str">
        <f>'Deelnemer 2 vtg'!A21</f>
        <v/>
      </c>
      <c r="E97" s="183" t="str">
        <f>MID(_xlfn.TEXTJOIN(" ",TRUE,'Deelnemer 2 vtg'!$D$6,$B$95),1,11)</f>
        <v>Deelnemer 2</v>
      </c>
      <c r="F97" s="186">
        <f>'Deelnemer 2 vtg'!$C$7</f>
        <v>0</v>
      </c>
      <c r="G97" s="233" t="str">
        <f>'Deelnemer 2 vtg'!B21</f>
        <v xml:space="preserve"> - </v>
      </c>
      <c r="H97" s="233" t="str">
        <f>VLOOKUP(G97,'Categorie H2 Vtg.'!$B$4:$D$20,3,0)</f>
        <v>-</v>
      </c>
      <c r="I97" s="187">
        <f>'Deelnemer 2 vtg'!E21</f>
        <v>0</v>
      </c>
      <c r="J97" s="234">
        <f>'Deelnemer 2 vtg'!V21</f>
        <v>0</v>
      </c>
      <c r="K97" s="251">
        <f>'Deelnemer 2 vtg'!Z21</f>
        <v>0</v>
      </c>
      <c r="L97" s="252">
        <f>'Deelnemer 2 vtg'!AE21</f>
        <v>0</v>
      </c>
      <c r="M97" s="251">
        <f t="shared" si="1"/>
        <v>0</v>
      </c>
      <c r="N97" s="251">
        <f t="shared" si="2"/>
        <v>0</v>
      </c>
      <c r="O97" s="251">
        <f>'Deelnemer 2 vtg'!AG21</f>
        <v>0</v>
      </c>
      <c r="P97" s="184">
        <f>'Deelnemer 2 vtg'!AJ21</f>
        <v>0</v>
      </c>
      <c r="Q97" s="184">
        <f>'Deelnemer 2 vtg'!AK21</f>
        <v>0</v>
      </c>
    </row>
    <row r="98" spans="2:18" ht="16.5" hidden="1" customHeight="1" x14ac:dyDescent="0.3">
      <c r="B98" s="640"/>
      <c r="C98" s="161">
        <v>4</v>
      </c>
      <c r="D98" s="275" t="str">
        <f>'Deelnemer 2 vtg'!A22</f>
        <v/>
      </c>
      <c r="E98" s="183" t="str">
        <f>MID(_xlfn.TEXTJOIN(" ",TRUE,'Deelnemer 2 vtg'!$D$6,$B$95),1,11)</f>
        <v>Deelnemer 2</v>
      </c>
      <c r="F98" s="186">
        <f>'Deelnemer 2 vtg'!$C$7</f>
        <v>0</v>
      </c>
      <c r="G98" s="233" t="str">
        <f>'Deelnemer 2 vtg'!B22</f>
        <v xml:space="preserve"> - </v>
      </c>
      <c r="H98" s="233" t="str">
        <f>VLOOKUP(G98,'Categorie H2 Vtg.'!$B$4:$D$20,3,0)</f>
        <v>-</v>
      </c>
      <c r="I98" s="187">
        <f>'Deelnemer 2 vtg'!E22</f>
        <v>0</v>
      </c>
      <c r="J98" s="234">
        <f>'Deelnemer 2 vtg'!V22</f>
        <v>0</v>
      </c>
      <c r="K98" s="251">
        <f>'Deelnemer 2 vtg'!Z22</f>
        <v>0</v>
      </c>
      <c r="L98" s="252">
        <f>'Deelnemer 2 vtg'!AE22</f>
        <v>0</v>
      </c>
      <c r="M98" s="251">
        <f t="shared" si="1"/>
        <v>0</v>
      </c>
      <c r="N98" s="251">
        <f t="shared" si="2"/>
        <v>0</v>
      </c>
      <c r="O98" s="251">
        <f>'Deelnemer 2 vtg'!AG22</f>
        <v>0</v>
      </c>
      <c r="P98" s="184">
        <f>'Deelnemer 2 vtg'!AJ22</f>
        <v>0</v>
      </c>
      <c r="Q98" s="184">
        <f>'Deelnemer 2 vtg'!AK22</f>
        <v>0</v>
      </c>
    </row>
    <row r="99" spans="2:18" ht="16.5" hidden="1" customHeight="1" x14ac:dyDescent="0.3">
      <c r="B99" s="640"/>
      <c r="C99" s="161">
        <v>5</v>
      </c>
      <c r="D99" s="275" t="str">
        <f>'Deelnemer 2 vtg'!A23</f>
        <v/>
      </c>
      <c r="E99" s="183" t="str">
        <f>MID(_xlfn.TEXTJOIN(" ",TRUE,'Deelnemer 2 vtg'!$D$6,$B$95),1,11)</f>
        <v>Deelnemer 2</v>
      </c>
      <c r="F99" s="186">
        <f>'Deelnemer 2 vtg'!$C$7</f>
        <v>0</v>
      </c>
      <c r="G99" s="233" t="str">
        <f>'Deelnemer 2 vtg'!B23</f>
        <v xml:space="preserve"> - </v>
      </c>
      <c r="H99" s="233" t="str">
        <f>VLOOKUP(G99,'Categorie H2 Vtg.'!$B$4:$D$20,3,0)</f>
        <v>-</v>
      </c>
      <c r="I99" s="187">
        <f>'Deelnemer 2 vtg'!E23</f>
        <v>0</v>
      </c>
      <c r="J99" s="234">
        <f>'Deelnemer 2 vtg'!V23</f>
        <v>0</v>
      </c>
      <c r="K99" s="251">
        <f>'Deelnemer 2 vtg'!Z23</f>
        <v>0</v>
      </c>
      <c r="L99" s="252">
        <f>'Deelnemer 2 vtg'!AE23</f>
        <v>0</v>
      </c>
      <c r="M99" s="251">
        <f t="shared" si="1"/>
        <v>0</v>
      </c>
      <c r="N99" s="251">
        <f t="shared" si="2"/>
        <v>0</v>
      </c>
      <c r="O99" s="251">
        <f>'Deelnemer 2 vtg'!AG23</f>
        <v>0</v>
      </c>
      <c r="P99" s="184">
        <f>'Deelnemer 2 vtg'!AJ23</f>
        <v>0</v>
      </c>
      <c r="Q99" s="184">
        <f>'Deelnemer 2 vtg'!AK23</f>
        <v>0</v>
      </c>
    </row>
    <row r="100" spans="2:18" ht="16.5" hidden="1" customHeight="1" x14ac:dyDescent="0.3">
      <c r="B100" s="640"/>
      <c r="C100" s="161">
        <v>6</v>
      </c>
      <c r="D100" s="275" t="str">
        <f>'Deelnemer 2 vtg'!A24</f>
        <v/>
      </c>
      <c r="E100" s="183" t="str">
        <f>MID(_xlfn.TEXTJOIN(" ",TRUE,'Deelnemer 2 vtg'!$D$6,$B$95),1,11)</f>
        <v>Deelnemer 2</v>
      </c>
      <c r="F100" s="186">
        <f>'Deelnemer 2 vtg'!$C$7</f>
        <v>0</v>
      </c>
      <c r="G100" s="233" t="str">
        <f>'Deelnemer 2 vtg'!B24</f>
        <v xml:space="preserve"> - </v>
      </c>
      <c r="H100" s="233" t="str">
        <f>VLOOKUP(G100,'Categorie H2 Vtg.'!$B$4:$D$20,3,0)</f>
        <v>-</v>
      </c>
      <c r="I100" s="187">
        <f>'Deelnemer 2 vtg'!E24</f>
        <v>0</v>
      </c>
      <c r="J100" s="234">
        <f>'Deelnemer 2 vtg'!V24</f>
        <v>0</v>
      </c>
      <c r="K100" s="251">
        <f>'Deelnemer 2 vtg'!Z24</f>
        <v>0</v>
      </c>
      <c r="L100" s="252">
        <f>'Deelnemer 2 vtg'!AE24</f>
        <v>0</v>
      </c>
      <c r="M100" s="251">
        <f t="shared" si="1"/>
        <v>0</v>
      </c>
      <c r="N100" s="251">
        <f t="shared" si="2"/>
        <v>0</v>
      </c>
      <c r="O100" s="251">
        <f>'Deelnemer 2 vtg'!AG24</f>
        <v>0</v>
      </c>
      <c r="P100" s="184">
        <f>'Deelnemer 2 vtg'!AJ24</f>
        <v>0</v>
      </c>
      <c r="Q100" s="184">
        <f>'Deelnemer 2 vtg'!AK24</f>
        <v>0</v>
      </c>
    </row>
    <row r="101" spans="2:18" ht="16.5" hidden="1" customHeight="1" x14ac:dyDescent="0.3">
      <c r="B101" s="640"/>
      <c r="C101" s="161">
        <v>7</v>
      </c>
      <c r="D101" s="275" t="str">
        <f>'Deelnemer 2 vtg'!A25</f>
        <v/>
      </c>
      <c r="E101" s="183" t="str">
        <f>MID(_xlfn.TEXTJOIN(" ",TRUE,'Deelnemer 2 vtg'!$D$6,$B$95),1,11)</f>
        <v>Deelnemer 2</v>
      </c>
      <c r="F101" s="186">
        <f>'Deelnemer 2 vtg'!$C$7</f>
        <v>0</v>
      </c>
      <c r="G101" s="233" t="str">
        <f>'Deelnemer 2 vtg'!B25</f>
        <v xml:space="preserve"> - </v>
      </c>
      <c r="H101" s="233" t="str">
        <f>VLOOKUP(G101,'Categorie H2 Vtg.'!$B$4:$D$20,3,0)</f>
        <v>-</v>
      </c>
      <c r="I101" s="187">
        <f>'Deelnemer 2 vtg'!E25</f>
        <v>0</v>
      </c>
      <c r="J101" s="234">
        <f>'Deelnemer 2 vtg'!V25</f>
        <v>0</v>
      </c>
      <c r="K101" s="251">
        <f>'Deelnemer 2 vtg'!Z25</f>
        <v>0</v>
      </c>
      <c r="L101" s="252">
        <f>'Deelnemer 2 vtg'!AE25</f>
        <v>0</v>
      </c>
      <c r="M101" s="251">
        <f t="shared" si="1"/>
        <v>0</v>
      </c>
      <c r="N101" s="251">
        <f t="shared" si="2"/>
        <v>0</v>
      </c>
      <c r="O101" s="251">
        <f>'Deelnemer 2 vtg'!AG25</f>
        <v>0</v>
      </c>
      <c r="P101" s="184">
        <f>'Deelnemer 2 vtg'!AJ25</f>
        <v>0</v>
      </c>
      <c r="Q101" s="184">
        <f>'Deelnemer 2 vtg'!AK25</f>
        <v>0</v>
      </c>
    </row>
    <row r="102" spans="2:18" ht="16.5" hidden="1" customHeight="1" x14ac:dyDescent="0.3">
      <c r="B102" s="640"/>
      <c r="C102" s="161">
        <v>8</v>
      </c>
      <c r="D102" s="275" t="str">
        <f>'Deelnemer 2 vtg'!A26</f>
        <v/>
      </c>
      <c r="E102" s="183" t="str">
        <f>MID(_xlfn.TEXTJOIN(" ",TRUE,'Deelnemer 2 vtg'!$D$6,$B$95),1,11)</f>
        <v>Deelnemer 2</v>
      </c>
      <c r="F102" s="186">
        <f>'Deelnemer 2 vtg'!$C$7</f>
        <v>0</v>
      </c>
      <c r="G102" s="233" t="str">
        <f>'Deelnemer 2 vtg'!B26</f>
        <v xml:space="preserve"> - </v>
      </c>
      <c r="H102" s="233" t="str">
        <f>VLOOKUP(G102,'Categorie H2 Vtg.'!$B$4:$D$20,3,0)</f>
        <v>-</v>
      </c>
      <c r="I102" s="187">
        <f>'Deelnemer 2 vtg'!E26</f>
        <v>0</v>
      </c>
      <c r="J102" s="234">
        <f>'Deelnemer 2 vtg'!V26</f>
        <v>0</v>
      </c>
      <c r="K102" s="251">
        <f>'Deelnemer 2 vtg'!Z26</f>
        <v>0</v>
      </c>
      <c r="L102" s="252">
        <f>'Deelnemer 2 vtg'!AE26</f>
        <v>0</v>
      </c>
      <c r="M102" s="251">
        <f t="shared" si="1"/>
        <v>0</v>
      </c>
      <c r="N102" s="251">
        <f t="shared" si="2"/>
        <v>0</v>
      </c>
      <c r="O102" s="251">
        <f>'Deelnemer 2 vtg'!AG26</f>
        <v>0</v>
      </c>
      <c r="P102" s="184">
        <f>'Deelnemer 2 vtg'!AJ26</f>
        <v>0</v>
      </c>
      <c r="Q102" s="184">
        <f>'Deelnemer 2 vtg'!AK26</f>
        <v>0</v>
      </c>
    </row>
    <row r="103" spans="2:18" ht="16.5" hidden="1" customHeight="1" x14ac:dyDescent="0.3">
      <c r="B103" s="640"/>
      <c r="C103" s="161">
        <v>9</v>
      </c>
      <c r="D103" s="275" t="str">
        <f>'Deelnemer 2 vtg'!A27</f>
        <v/>
      </c>
      <c r="E103" s="183" t="str">
        <f>MID(_xlfn.TEXTJOIN(" ",TRUE,'Deelnemer 2 vtg'!$D$6,$B$95),1,11)</f>
        <v>Deelnemer 2</v>
      </c>
      <c r="F103" s="186">
        <f>'Deelnemer 2 vtg'!$C$7</f>
        <v>0</v>
      </c>
      <c r="G103" s="233" t="str">
        <f>'Deelnemer 2 vtg'!B27</f>
        <v xml:space="preserve"> - </v>
      </c>
      <c r="H103" s="233" t="str">
        <f>VLOOKUP(G103,'Categorie H2 Vtg.'!$B$4:$D$20,3,0)</f>
        <v>-</v>
      </c>
      <c r="I103" s="187">
        <f>'Deelnemer 2 vtg'!E27</f>
        <v>0</v>
      </c>
      <c r="J103" s="234">
        <f>'Deelnemer 2 vtg'!V27</f>
        <v>0</v>
      </c>
      <c r="K103" s="251">
        <f>'Deelnemer 2 vtg'!Z27</f>
        <v>0</v>
      </c>
      <c r="L103" s="252">
        <f>'Deelnemer 2 vtg'!AE27</f>
        <v>0</v>
      </c>
      <c r="M103" s="251">
        <f t="shared" si="1"/>
        <v>0</v>
      </c>
      <c r="N103" s="251">
        <f t="shared" si="2"/>
        <v>0</v>
      </c>
      <c r="O103" s="251">
        <f>'Deelnemer 2 vtg'!AG27</f>
        <v>0</v>
      </c>
      <c r="P103" s="184">
        <f>'Deelnemer 2 vtg'!AJ27</f>
        <v>0</v>
      </c>
      <c r="Q103" s="184">
        <f>'Deelnemer 2 vtg'!AK27</f>
        <v>0</v>
      </c>
    </row>
    <row r="104" spans="2:18" ht="16.5" hidden="1" customHeight="1" x14ac:dyDescent="0.3">
      <c r="B104" s="640"/>
      <c r="C104" s="161">
        <v>10</v>
      </c>
      <c r="D104" s="275" t="str">
        <f>'Deelnemer 2 vtg'!A28</f>
        <v/>
      </c>
      <c r="E104" s="183" t="str">
        <f>MID(_xlfn.TEXTJOIN(" ",TRUE,'Deelnemer 2 vtg'!$D$6,$B$95),1,11)</f>
        <v>Deelnemer 2</v>
      </c>
      <c r="F104" s="186">
        <f>'Deelnemer 2 vtg'!$C$7</f>
        <v>0</v>
      </c>
      <c r="G104" s="233" t="str">
        <f>'Deelnemer 2 vtg'!B28</f>
        <v xml:space="preserve"> - </v>
      </c>
      <c r="H104" s="233" t="str">
        <f>VLOOKUP(G104,'Categorie H2 Vtg.'!$B$4:$D$20,3,0)</f>
        <v>-</v>
      </c>
      <c r="I104" s="187">
        <f>'Deelnemer 2 vtg'!E28</f>
        <v>0</v>
      </c>
      <c r="J104" s="234">
        <f>'Deelnemer 2 vtg'!V28</f>
        <v>0</v>
      </c>
      <c r="K104" s="251">
        <f>'Deelnemer 2 vtg'!Z28</f>
        <v>0</v>
      </c>
      <c r="L104" s="252">
        <f>'Deelnemer 2 vtg'!AE28</f>
        <v>0</v>
      </c>
      <c r="M104" s="251">
        <f t="shared" si="1"/>
        <v>0</v>
      </c>
      <c r="N104" s="251">
        <f t="shared" si="2"/>
        <v>0</v>
      </c>
      <c r="O104" s="251">
        <f>'Deelnemer 2 vtg'!AG28</f>
        <v>0</v>
      </c>
      <c r="P104" s="184">
        <f>'Deelnemer 2 vtg'!AJ28</f>
        <v>0</v>
      </c>
      <c r="Q104" s="184">
        <f>'Deelnemer 2 vtg'!AK28</f>
        <v>0</v>
      </c>
    </row>
    <row r="105" spans="2:18" ht="16.5" hidden="1" customHeight="1" x14ac:dyDescent="0.3">
      <c r="B105" s="640"/>
      <c r="C105" s="161">
        <v>11</v>
      </c>
      <c r="D105" s="275" t="str">
        <f>'Deelnemer 2 vtg'!A29</f>
        <v/>
      </c>
      <c r="E105" s="183" t="str">
        <f>MID(_xlfn.TEXTJOIN(" ",TRUE,'Deelnemer 2 vtg'!$D$6,$B$95),1,11)</f>
        <v>Deelnemer 2</v>
      </c>
      <c r="F105" s="186">
        <f>'Deelnemer 2 vtg'!$C$7</f>
        <v>0</v>
      </c>
      <c r="G105" s="233" t="str">
        <f>'Deelnemer 2 vtg'!B29</f>
        <v xml:space="preserve"> - </v>
      </c>
      <c r="H105" s="233" t="str">
        <f>VLOOKUP(G105,'Categorie H2 Vtg.'!$B$4:$D$20,3,0)</f>
        <v>-</v>
      </c>
      <c r="I105" s="187">
        <f>'Deelnemer 2 vtg'!E29</f>
        <v>0</v>
      </c>
      <c r="J105" s="234">
        <f>'Deelnemer 2 vtg'!V29</f>
        <v>0</v>
      </c>
      <c r="K105" s="251">
        <f>'Deelnemer 2 vtg'!Z29</f>
        <v>0</v>
      </c>
      <c r="L105" s="252">
        <f>'Deelnemer 2 vtg'!AE29</f>
        <v>0</v>
      </c>
      <c r="M105" s="251">
        <f t="shared" si="1"/>
        <v>0</v>
      </c>
      <c r="N105" s="251">
        <f t="shared" si="2"/>
        <v>0</v>
      </c>
      <c r="O105" s="251">
        <f>'Deelnemer 2 vtg'!AG29</f>
        <v>0</v>
      </c>
      <c r="P105" s="184">
        <f>'Deelnemer 2 vtg'!AJ29</f>
        <v>0</v>
      </c>
      <c r="Q105" s="184">
        <f>'Deelnemer 2 vtg'!AK29</f>
        <v>0</v>
      </c>
    </row>
    <row r="106" spans="2:18" ht="16.5" hidden="1" customHeight="1" x14ac:dyDescent="0.3">
      <c r="B106" s="640"/>
      <c r="C106" s="161">
        <v>12</v>
      </c>
      <c r="D106" s="275" t="str">
        <f>'Deelnemer 2 vtg'!A30</f>
        <v/>
      </c>
      <c r="E106" s="183" t="str">
        <f>MID(_xlfn.TEXTJOIN(" ",TRUE,'Deelnemer 2 vtg'!$D$6,$B$95),1,11)</f>
        <v>Deelnemer 2</v>
      </c>
      <c r="F106" s="186">
        <f>'Deelnemer 2 vtg'!$C$7</f>
        <v>0</v>
      </c>
      <c r="G106" s="233" t="str">
        <f>'Deelnemer 2 vtg'!B30</f>
        <v xml:space="preserve"> - </v>
      </c>
      <c r="H106" s="233" t="str">
        <f>VLOOKUP(G106,'Categorie H2 Vtg.'!$B$4:$D$20,3,0)</f>
        <v>-</v>
      </c>
      <c r="I106" s="187">
        <f>'Deelnemer 2 vtg'!E30</f>
        <v>0</v>
      </c>
      <c r="J106" s="234">
        <f>'Deelnemer 2 vtg'!V30</f>
        <v>0</v>
      </c>
      <c r="K106" s="251">
        <f>'Deelnemer 2 vtg'!Z30</f>
        <v>0</v>
      </c>
      <c r="L106" s="252">
        <f>'Deelnemer 2 vtg'!AE30</f>
        <v>0</v>
      </c>
      <c r="M106" s="251">
        <f t="shared" si="1"/>
        <v>0</v>
      </c>
      <c r="N106" s="251">
        <f t="shared" si="2"/>
        <v>0</v>
      </c>
      <c r="O106" s="251">
        <f>'Deelnemer 2 vtg'!AG30</f>
        <v>0</v>
      </c>
      <c r="P106" s="184">
        <f>'Deelnemer 2 vtg'!AJ30</f>
        <v>0</v>
      </c>
      <c r="Q106" s="184">
        <f>'Deelnemer 2 vtg'!AK30</f>
        <v>0</v>
      </c>
    </row>
    <row r="107" spans="2:18" ht="16.5" hidden="1" customHeight="1" x14ac:dyDescent="0.3">
      <c r="B107" s="640"/>
      <c r="C107" s="161">
        <v>13</v>
      </c>
      <c r="D107" s="275" t="str">
        <f>'Deelnemer 2 vtg'!A31</f>
        <v/>
      </c>
      <c r="E107" s="183" t="str">
        <f>MID(_xlfn.TEXTJOIN(" ",TRUE,'Deelnemer 2 vtg'!$D$6,$B$95),1,11)</f>
        <v>Deelnemer 2</v>
      </c>
      <c r="F107" s="186">
        <f>'Deelnemer 2 vtg'!$C$7</f>
        <v>0</v>
      </c>
      <c r="G107" s="233" t="str">
        <f>'Deelnemer 2 vtg'!B31</f>
        <v xml:space="preserve"> - </v>
      </c>
      <c r="H107" s="233" t="str">
        <f>VLOOKUP(G107,'Categorie H2 Vtg.'!$B$4:$D$20,3,0)</f>
        <v>-</v>
      </c>
      <c r="I107" s="187">
        <f>'Deelnemer 2 vtg'!E31</f>
        <v>0</v>
      </c>
      <c r="J107" s="234">
        <f>'Deelnemer 2 vtg'!V31</f>
        <v>0</v>
      </c>
      <c r="K107" s="251">
        <f>'Deelnemer 2 vtg'!Z31</f>
        <v>0</v>
      </c>
      <c r="L107" s="252">
        <f>'Deelnemer 2 vtg'!AE31</f>
        <v>0</v>
      </c>
      <c r="M107" s="251">
        <f t="shared" si="1"/>
        <v>0</v>
      </c>
      <c r="N107" s="251">
        <f t="shared" si="2"/>
        <v>0</v>
      </c>
      <c r="O107" s="251">
        <f>'Deelnemer 2 vtg'!AG31</f>
        <v>0</v>
      </c>
      <c r="P107" s="184">
        <f>'Deelnemer 2 vtg'!AJ31</f>
        <v>0</v>
      </c>
      <c r="Q107" s="184">
        <f>'Deelnemer 2 vtg'!AK31</f>
        <v>0</v>
      </c>
    </row>
    <row r="108" spans="2:18" ht="16.5" hidden="1" customHeight="1" x14ac:dyDescent="0.3">
      <c r="B108" s="640"/>
      <c r="C108" s="161">
        <v>14</v>
      </c>
      <c r="D108" s="275" t="str">
        <f>'Deelnemer 2 vtg'!A32</f>
        <v/>
      </c>
      <c r="E108" s="183" t="str">
        <f>MID(_xlfn.TEXTJOIN(" ",TRUE,'Deelnemer 2 vtg'!$D$6,$B$95),1,11)</f>
        <v>Deelnemer 2</v>
      </c>
      <c r="F108" s="186">
        <f>'Deelnemer 2 vtg'!$C$7</f>
        <v>0</v>
      </c>
      <c r="G108" s="233" t="str">
        <f>'Deelnemer 2 vtg'!B32</f>
        <v xml:space="preserve"> - </v>
      </c>
      <c r="H108" s="233" t="str">
        <f>VLOOKUP(G108,'Categorie H2 Vtg.'!$B$4:$D$20,3,0)</f>
        <v>-</v>
      </c>
      <c r="I108" s="187">
        <f>'Deelnemer 2 vtg'!E32</f>
        <v>0</v>
      </c>
      <c r="J108" s="234">
        <f>'Deelnemer 2 vtg'!V32</f>
        <v>0</v>
      </c>
      <c r="K108" s="251">
        <f>'Deelnemer 2 vtg'!Z32</f>
        <v>0</v>
      </c>
      <c r="L108" s="252">
        <f>'Deelnemer 2 vtg'!AE32</f>
        <v>0</v>
      </c>
      <c r="M108" s="251">
        <f t="shared" si="1"/>
        <v>0</v>
      </c>
      <c r="N108" s="251">
        <f t="shared" si="2"/>
        <v>0</v>
      </c>
      <c r="O108" s="251">
        <f>'Deelnemer 2 vtg'!AG32</f>
        <v>0</v>
      </c>
      <c r="P108" s="184">
        <f>'Deelnemer 2 vtg'!AJ32</f>
        <v>0</v>
      </c>
      <c r="Q108" s="184">
        <f>'Deelnemer 2 vtg'!AK32</f>
        <v>0</v>
      </c>
    </row>
    <row r="109" spans="2:18" ht="16.5" hidden="1" customHeight="1" x14ac:dyDescent="0.3">
      <c r="B109" s="640"/>
      <c r="C109" s="161">
        <v>15</v>
      </c>
      <c r="D109" s="275" t="str">
        <f>'Deelnemer 2 vtg'!A33</f>
        <v/>
      </c>
      <c r="E109" s="183" t="str">
        <f>MID(_xlfn.TEXTJOIN(" ",TRUE,'Deelnemer 2 vtg'!$D$6,$B$95),1,11)</f>
        <v>Deelnemer 2</v>
      </c>
      <c r="F109" s="186">
        <f>'Deelnemer 2 vtg'!$C$7</f>
        <v>0</v>
      </c>
      <c r="G109" s="233" t="str">
        <f>'Deelnemer 2 vtg'!B33</f>
        <v xml:space="preserve"> - </v>
      </c>
      <c r="H109" s="233" t="str">
        <f>VLOOKUP(G109,'Categorie H2 Vtg.'!$B$4:$D$20,3,0)</f>
        <v>-</v>
      </c>
      <c r="I109" s="187">
        <f>'Deelnemer 2 vtg'!E33</f>
        <v>0</v>
      </c>
      <c r="J109" s="234">
        <f>'Deelnemer 2 vtg'!V33</f>
        <v>0</v>
      </c>
      <c r="K109" s="251">
        <f>'Deelnemer 2 vtg'!Z33</f>
        <v>0</v>
      </c>
      <c r="L109" s="252">
        <f>'Deelnemer 2 vtg'!AE33</f>
        <v>0</v>
      </c>
      <c r="M109" s="251">
        <f t="shared" si="1"/>
        <v>0</v>
      </c>
      <c r="N109" s="251">
        <f t="shared" si="2"/>
        <v>0</v>
      </c>
      <c r="O109" s="251">
        <f>'Deelnemer 2 vtg'!AG33</f>
        <v>0</v>
      </c>
      <c r="P109" s="184">
        <f>'Deelnemer 2 vtg'!AJ33</f>
        <v>0</v>
      </c>
      <c r="Q109" s="184">
        <f>'Deelnemer 2 vtg'!AK33</f>
        <v>0</v>
      </c>
    </row>
    <row r="110" spans="2:18" s="181" customFormat="1" ht="16.5" hidden="1" customHeight="1" x14ac:dyDescent="0.3">
      <c r="B110" s="640">
        <f>B95+1</f>
        <v>3</v>
      </c>
      <c r="C110" s="181">
        <v>1</v>
      </c>
      <c r="D110" s="182" t="str">
        <f>'Deelnemer 3 vtg'!A19</f>
        <v/>
      </c>
      <c r="E110" s="183" t="str">
        <f>MID(_xlfn.TEXTJOIN(" ",TRUE,'Deelnemer 3 vtg'!$D$6,$B$110),1,11)</f>
        <v>Deelnemer 3</v>
      </c>
      <c r="F110" s="183">
        <f>'Deelnemer 3 vtg'!$C$7</f>
        <v>0</v>
      </c>
      <c r="G110" s="183" t="str">
        <f>'Deelnemer 3 vtg'!B19</f>
        <v xml:space="preserve"> - </v>
      </c>
      <c r="H110" s="183" t="str">
        <f>VLOOKUP(G110,'Categorie H2 Vtg.'!$B$4:$D$20,3,0)</f>
        <v>-</v>
      </c>
      <c r="I110" s="187">
        <f>'Deelnemer 3 vtg'!E19</f>
        <v>0</v>
      </c>
      <c r="J110" s="180">
        <f>'Deelnemer 3 vtg'!V19</f>
        <v>0</v>
      </c>
      <c r="K110" s="184">
        <f>'Deelnemer 3 vtg'!Z19</f>
        <v>0</v>
      </c>
      <c r="L110" s="185">
        <f>'Deelnemer 3 vtg'!AE19</f>
        <v>0</v>
      </c>
      <c r="M110" s="184">
        <f t="shared" si="1"/>
        <v>0</v>
      </c>
      <c r="N110" s="184">
        <f t="shared" si="2"/>
        <v>0</v>
      </c>
      <c r="O110" s="184">
        <f>'Deelnemer 3 vtg'!AG19</f>
        <v>0</v>
      </c>
      <c r="P110" s="184">
        <f>'Deelnemer 3 vtg'!AJ19</f>
        <v>0</v>
      </c>
      <c r="Q110" s="184">
        <f>'Deelnemer 3 vtg'!AK19</f>
        <v>0</v>
      </c>
      <c r="R110" s="161"/>
    </row>
    <row r="111" spans="2:18" ht="16.5" hidden="1" customHeight="1" x14ac:dyDescent="0.3">
      <c r="B111" s="640"/>
      <c r="C111" s="161">
        <v>2</v>
      </c>
      <c r="D111" s="275" t="str">
        <f>'Deelnemer 3 vtg'!A20</f>
        <v/>
      </c>
      <c r="E111" s="183" t="str">
        <f>MID(_xlfn.TEXTJOIN(" ",TRUE,'Deelnemer 3 vtg'!$D$6,$B$110),1,11)</f>
        <v>Deelnemer 3</v>
      </c>
      <c r="F111" s="183">
        <f>'Deelnemer 3 vtg'!$C$7</f>
        <v>0</v>
      </c>
      <c r="G111" s="183" t="str">
        <f>'Deelnemer 3 vtg'!B20</f>
        <v xml:space="preserve"> - </v>
      </c>
      <c r="H111" s="186" t="str">
        <f>VLOOKUP(G111,'Categorie H2 Vtg.'!$B$4:$D$20,3,0)</f>
        <v>-</v>
      </c>
      <c r="I111" s="187">
        <f>'Deelnemer 3 vtg'!E20</f>
        <v>0</v>
      </c>
      <c r="J111" s="180">
        <f>'Deelnemer 3 vtg'!V20</f>
        <v>0</v>
      </c>
      <c r="K111" s="184">
        <f>'Deelnemer 3 vtg'!Z20</f>
        <v>0</v>
      </c>
      <c r="L111" s="185">
        <f>'Deelnemer 3 vtg'!AE20</f>
        <v>0</v>
      </c>
      <c r="M111" s="188">
        <f t="shared" ref="M111:M124" si="3">K111*J111</f>
        <v>0</v>
      </c>
      <c r="N111" s="188">
        <f t="shared" ref="N111:N124" si="4">L111*J111</f>
        <v>0</v>
      </c>
      <c r="O111" s="184">
        <f>'Deelnemer 3 vtg'!AG20</f>
        <v>0</v>
      </c>
      <c r="P111" s="184">
        <f>'Deelnemer 3 vtg'!AJ20</f>
        <v>0</v>
      </c>
      <c r="Q111" s="184">
        <f>'Deelnemer 3 vtg'!AK20</f>
        <v>0</v>
      </c>
    </row>
    <row r="112" spans="2:18" ht="16.5" hidden="1" customHeight="1" x14ac:dyDescent="0.3">
      <c r="B112" s="640"/>
      <c r="C112" s="161">
        <v>3</v>
      </c>
      <c r="D112" s="275" t="str">
        <f>'Deelnemer 3 vtg'!A21</f>
        <v/>
      </c>
      <c r="E112" s="183" t="str">
        <f>MID(_xlfn.TEXTJOIN(" ",TRUE,'Deelnemer 3 vtg'!$D$6,$B$110),1,11)</f>
        <v>Deelnemer 3</v>
      </c>
      <c r="F112" s="183">
        <f>'Deelnemer 3 vtg'!$C$7</f>
        <v>0</v>
      </c>
      <c r="G112" s="183" t="str">
        <f>'Deelnemer 3 vtg'!B21</f>
        <v xml:space="preserve"> - </v>
      </c>
      <c r="H112" s="186" t="str">
        <f>VLOOKUP(G112,'Categorie H2 Vtg.'!$B$4:$D$20,3,0)</f>
        <v>-</v>
      </c>
      <c r="I112" s="187">
        <f>'Deelnemer 3 vtg'!E21</f>
        <v>0</v>
      </c>
      <c r="J112" s="180">
        <f>'Deelnemer 3 vtg'!V21</f>
        <v>0</v>
      </c>
      <c r="K112" s="184">
        <f>'Deelnemer 3 vtg'!Z21</f>
        <v>0</v>
      </c>
      <c r="L112" s="185">
        <f>'Deelnemer 3 vtg'!AE21</f>
        <v>0</v>
      </c>
      <c r="M112" s="188">
        <f t="shared" si="3"/>
        <v>0</v>
      </c>
      <c r="N112" s="188">
        <f t="shared" si="4"/>
        <v>0</v>
      </c>
      <c r="O112" s="184">
        <f>'Deelnemer 3 vtg'!AG21</f>
        <v>0</v>
      </c>
      <c r="P112" s="184">
        <f>'Deelnemer 3 vtg'!AJ21</f>
        <v>0</v>
      </c>
      <c r="Q112" s="184">
        <f>'Deelnemer 3 vtg'!AK21</f>
        <v>0</v>
      </c>
    </row>
    <row r="113" spans="2:18" ht="16.5" hidden="1" customHeight="1" x14ac:dyDescent="0.3">
      <c r="B113" s="640"/>
      <c r="C113" s="161">
        <v>4</v>
      </c>
      <c r="D113" s="275" t="str">
        <f>'Deelnemer 3 vtg'!A22</f>
        <v/>
      </c>
      <c r="E113" s="183" t="str">
        <f>MID(_xlfn.TEXTJOIN(" ",TRUE,'Deelnemer 3 vtg'!$D$6,$B$110),1,11)</f>
        <v>Deelnemer 3</v>
      </c>
      <c r="F113" s="183">
        <f>'Deelnemer 3 vtg'!$C$7</f>
        <v>0</v>
      </c>
      <c r="G113" s="183" t="str">
        <f>'Deelnemer 3 vtg'!B22</f>
        <v xml:space="preserve"> - </v>
      </c>
      <c r="H113" s="186" t="str">
        <f>VLOOKUP(G113,'Categorie H2 Vtg.'!$B$4:$D$20,3,0)</f>
        <v>-</v>
      </c>
      <c r="I113" s="187">
        <f>'Deelnemer 3 vtg'!E22</f>
        <v>0</v>
      </c>
      <c r="J113" s="180">
        <f>'Deelnemer 3 vtg'!V22</f>
        <v>0</v>
      </c>
      <c r="K113" s="184">
        <f>'Deelnemer 3 vtg'!Z22</f>
        <v>0</v>
      </c>
      <c r="L113" s="185">
        <f>'Deelnemer 3 vtg'!AE22</f>
        <v>0</v>
      </c>
      <c r="M113" s="188">
        <f t="shared" si="3"/>
        <v>0</v>
      </c>
      <c r="N113" s="188">
        <f t="shared" si="4"/>
        <v>0</v>
      </c>
      <c r="O113" s="184">
        <f>'Deelnemer 3 vtg'!AG22</f>
        <v>0</v>
      </c>
      <c r="P113" s="184">
        <f>'Deelnemer 3 vtg'!AJ22</f>
        <v>0</v>
      </c>
      <c r="Q113" s="184">
        <f>'Deelnemer 3 vtg'!AK22</f>
        <v>0</v>
      </c>
    </row>
    <row r="114" spans="2:18" ht="16.5" hidden="1" customHeight="1" x14ac:dyDescent="0.3">
      <c r="B114" s="640"/>
      <c r="C114" s="161">
        <v>5</v>
      </c>
      <c r="D114" s="275" t="str">
        <f>'Deelnemer 3 vtg'!A23</f>
        <v/>
      </c>
      <c r="E114" s="183" t="str">
        <f>MID(_xlfn.TEXTJOIN(" ",TRUE,'Deelnemer 3 vtg'!$D$6,$B$110),1,11)</f>
        <v>Deelnemer 3</v>
      </c>
      <c r="F114" s="183">
        <f>'Deelnemer 3 vtg'!$C$7</f>
        <v>0</v>
      </c>
      <c r="G114" s="183" t="str">
        <f>'Deelnemer 3 vtg'!B23</f>
        <v xml:space="preserve"> - </v>
      </c>
      <c r="H114" s="186" t="str">
        <f>VLOOKUP(G114,'Categorie H2 Vtg.'!$B$4:$D$20,3,0)</f>
        <v>-</v>
      </c>
      <c r="I114" s="187">
        <f>'Deelnemer 3 vtg'!E23</f>
        <v>0</v>
      </c>
      <c r="J114" s="180">
        <f>'Deelnemer 3 vtg'!V23</f>
        <v>0</v>
      </c>
      <c r="K114" s="184">
        <f>'Deelnemer 3 vtg'!Z23</f>
        <v>0</v>
      </c>
      <c r="L114" s="185">
        <f>'Deelnemer 3 vtg'!AE23</f>
        <v>0</v>
      </c>
      <c r="M114" s="188">
        <f t="shared" si="3"/>
        <v>0</v>
      </c>
      <c r="N114" s="188">
        <f t="shared" si="4"/>
        <v>0</v>
      </c>
      <c r="O114" s="184">
        <f>'Deelnemer 3 vtg'!AG23</f>
        <v>0</v>
      </c>
      <c r="P114" s="184">
        <f>'Deelnemer 3 vtg'!AJ23</f>
        <v>0</v>
      </c>
      <c r="Q114" s="184">
        <f>'Deelnemer 3 vtg'!AK23</f>
        <v>0</v>
      </c>
    </row>
    <row r="115" spans="2:18" ht="16.5" hidden="1" customHeight="1" x14ac:dyDescent="0.3">
      <c r="B115" s="640"/>
      <c r="C115" s="161">
        <v>6</v>
      </c>
      <c r="D115" s="275" t="str">
        <f>'Deelnemer 3 vtg'!A24</f>
        <v/>
      </c>
      <c r="E115" s="183" t="str">
        <f>MID(_xlfn.TEXTJOIN(" ",TRUE,'Deelnemer 3 vtg'!$D$6,$B$110),1,11)</f>
        <v>Deelnemer 3</v>
      </c>
      <c r="F115" s="183">
        <f>'Deelnemer 3 vtg'!$C$7</f>
        <v>0</v>
      </c>
      <c r="G115" s="183" t="str">
        <f>'Deelnemer 3 vtg'!B24</f>
        <v xml:space="preserve"> - </v>
      </c>
      <c r="H115" s="186" t="str">
        <f>VLOOKUP(G115,'Categorie H2 Vtg.'!$B$4:$D$20,3,0)</f>
        <v>-</v>
      </c>
      <c r="I115" s="187">
        <f>'Deelnemer 3 vtg'!E24</f>
        <v>0</v>
      </c>
      <c r="J115" s="180">
        <f>'Deelnemer 3 vtg'!V24</f>
        <v>0</v>
      </c>
      <c r="K115" s="184">
        <f>'Deelnemer 3 vtg'!Z24</f>
        <v>0</v>
      </c>
      <c r="L115" s="185">
        <f>'Deelnemer 3 vtg'!AE24</f>
        <v>0</v>
      </c>
      <c r="M115" s="188">
        <f t="shared" si="3"/>
        <v>0</v>
      </c>
      <c r="N115" s="188">
        <f t="shared" si="4"/>
        <v>0</v>
      </c>
      <c r="O115" s="184">
        <f>'Deelnemer 3 vtg'!AG24</f>
        <v>0</v>
      </c>
      <c r="P115" s="184">
        <f>'Deelnemer 3 vtg'!AJ24</f>
        <v>0</v>
      </c>
      <c r="Q115" s="184">
        <f>'Deelnemer 3 vtg'!AK24</f>
        <v>0</v>
      </c>
    </row>
    <row r="116" spans="2:18" ht="16.5" hidden="1" customHeight="1" x14ac:dyDescent="0.3">
      <c r="B116" s="640"/>
      <c r="C116" s="161">
        <v>7</v>
      </c>
      <c r="D116" s="275" t="str">
        <f>'Deelnemer 3 vtg'!A25</f>
        <v/>
      </c>
      <c r="E116" s="183" t="str">
        <f>MID(_xlfn.TEXTJOIN(" ",TRUE,'Deelnemer 3 vtg'!$D$6,$B$110),1,11)</f>
        <v>Deelnemer 3</v>
      </c>
      <c r="F116" s="183">
        <f>'Deelnemer 3 vtg'!$C$7</f>
        <v>0</v>
      </c>
      <c r="G116" s="183" t="str">
        <f>'Deelnemer 3 vtg'!B25</f>
        <v xml:space="preserve"> - </v>
      </c>
      <c r="H116" s="186" t="str">
        <f>VLOOKUP(G116,'Categorie H2 Vtg.'!$B$4:$D$20,3,0)</f>
        <v>-</v>
      </c>
      <c r="I116" s="187">
        <f>'Deelnemer 3 vtg'!E25</f>
        <v>0</v>
      </c>
      <c r="J116" s="180">
        <f>'Deelnemer 3 vtg'!V25</f>
        <v>0</v>
      </c>
      <c r="K116" s="184">
        <f>'Deelnemer 3 vtg'!Z25</f>
        <v>0</v>
      </c>
      <c r="L116" s="185">
        <f>'Deelnemer 3 vtg'!AE25</f>
        <v>0</v>
      </c>
      <c r="M116" s="188">
        <f t="shared" si="3"/>
        <v>0</v>
      </c>
      <c r="N116" s="188">
        <f t="shared" si="4"/>
        <v>0</v>
      </c>
      <c r="O116" s="184">
        <f>'Deelnemer 3 vtg'!AG25</f>
        <v>0</v>
      </c>
      <c r="P116" s="184">
        <f>'Deelnemer 3 vtg'!AJ25</f>
        <v>0</v>
      </c>
      <c r="Q116" s="184">
        <f>'Deelnemer 3 vtg'!AK25</f>
        <v>0</v>
      </c>
    </row>
    <row r="117" spans="2:18" ht="16.5" hidden="1" customHeight="1" x14ac:dyDescent="0.3">
      <c r="B117" s="640"/>
      <c r="C117" s="161">
        <v>8</v>
      </c>
      <c r="D117" s="275" t="str">
        <f>'Deelnemer 3 vtg'!A26</f>
        <v/>
      </c>
      <c r="E117" s="183" t="str">
        <f>MID(_xlfn.TEXTJOIN(" ",TRUE,'Deelnemer 3 vtg'!$D$6,$B$110),1,11)</f>
        <v>Deelnemer 3</v>
      </c>
      <c r="F117" s="183">
        <f>'Deelnemer 3 vtg'!$C$7</f>
        <v>0</v>
      </c>
      <c r="G117" s="183" t="str">
        <f>'Deelnemer 3 vtg'!B26</f>
        <v xml:space="preserve"> - </v>
      </c>
      <c r="H117" s="186" t="str">
        <f>VLOOKUP(G117,'Categorie H2 Vtg.'!$B$4:$D$20,3,0)</f>
        <v>-</v>
      </c>
      <c r="I117" s="187">
        <f>'Deelnemer 3 vtg'!E26</f>
        <v>0</v>
      </c>
      <c r="J117" s="180">
        <f>'Deelnemer 3 vtg'!V26</f>
        <v>0</v>
      </c>
      <c r="K117" s="184">
        <f>'Deelnemer 3 vtg'!Z26</f>
        <v>0</v>
      </c>
      <c r="L117" s="185">
        <f>'Deelnemer 3 vtg'!AE26</f>
        <v>0</v>
      </c>
      <c r="M117" s="188">
        <f t="shared" si="3"/>
        <v>0</v>
      </c>
      <c r="N117" s="188">
        <f t="shared" si="4"/>
        <v>0</v>
      </c>
      <c r="O117" s="184">
        <f>'Deelnemer 3 vtg'!AG26</f>
        <v>0</v>
      </c>
      <c r="P117" s="184">
        <f>'Deelnemer 3 vtg'!AJ26</f>
        <v>0</v>
      </c>
      <c r="Q117" s="184">
        <f>'Deelnemer 3 vtg'!AK26</f>
        <v>0</v>
      </c>
    </row>
    <row r="118" spans="2:18" ht="16.5" hidden="1" customHeight="1" x14ac:dyDescent="0.3">
      <c r="B118" s="640"/>
      <c r="C118" s="161">
        <v>9</v>
      </c>
      <c r="D118" s="275" t="str">
        <f>'Deelnemer 3 vtg'!A27</f>
        <v/>
      </c>
      <c r="E118" s="183" t="str">
        <f>MID(_xlfn.TEXTJOIN(" ",TRUE,'Deelnemer 3 vtg'!$D$6,$B$110),1,11)</f>
        <v>Deelnemer 3</v>
      </c>
      <c r="F118" s="183">
        <f>'Deelnemer 3 vtg'!$C$7</f>
        <v>0</v>
      </c>
      <c r="G118" s="183" t="str">
        <f>'Deelnemer 3 vtg'!B27</f>
        <v xml:space="preserve"> - </v>
      </c>
      <c r="H118" s="186" t="str">
        <f>VLOOKUP(G118,'Categorie H2 Vtg.'!$B$4:$D$20,3,0)</f>
        <v>-</v>
      </c>
      <c r="I118" s="187">
        <f>'Deelnemer 3 vtg'!E27</f>
        <v>0</v>
      </c>
      <c r="J118" s="180">
        <f>'Deelnemer 3 vtg'!V27</f>
        <v>0</v>
      </c>
      <c r="K118" s="184">
        <f>'Deelnemer 3 vtg'!Z27</f>
        <v>0</v>
      </c>
      <c r="L118" s="185">
        <f>'Deelnemer 3 vtg'!AE27</f>
        <v>0</v>
      </c>
      <c r="M118" s="188">
        <f t="shared" si="3"/>
        <v>0</v>
      </c>
      <c r="N118" s="188">
        <f t="shared" si="4"/>
        <v>0</v>
      </c>
      <c r="O118" s="184">
        <f>'Deelnemer 3 vtg'!AG27</f>
        <v>0</v>
      </c>
      <c r="P118" s="184">
        <f>'Deelnemer 3 vtg'!AJ27</f>
        <v>0</v>
      </c>
      <c r="Q118" s="184">
        <f>'Deelnemer 3 vtg'!AK27</f>
        <v>0</v>
      </c>
    </row>
    <row r="119" spans="2:18" ht="16.5" hidden="1" customHeight="1" x14ac:dyDescent="0.3">
      <c r="B119" s="640"/>
      <c r="C119" s="161">
        <v>10</v>
      </c>
      <c r="D119" s="275" t="str">
        <f>'Deelnemer 3 vtg'!A28</f>
        <v/>
      </c>
      <c r="E119" s="183" t="str">
        <f>MID(_xlfn.TEXTJOIN(" ",TRUE,'Deelnemer 3 vtg'!$D$6,$B$110),1,11)</f>
        <v>Deelnemer 3</v>
      </c>
      <c r="F119" s="183">
        <f>'Deelnemer 3 vtg'!$C$7</f>
        <v>0</v>
      </c>
      <c r="G119" s="183" t="str">
        <f>'Deelnemer 3 vtg'!B28</f>
        <v xml:space="preserve"> - </v>
      </c>
      <c r="H119" s="186" t="str">
        <f>VLOOKUP(G119,'Categorie H2 Vtg.'!$B$4:$D$20,3,0)</f>
        <v>-</v>
      </c>
      <c r="I119" s="187">
        <f>'Deelnemer 3 vtg'!E28</f>
        <v>0</v>
      </c>
      <c r="J119" s="180">
        <f>'Deelnemer 3 vtg'!V28</f>
        <v>0</v>
      </c>
      <c r="K119" s="184">
        <f>'Deelnemer 3 vtg'!Z28</f>
        <v>0</v>
      </c>
      <c r="L119" s="185">
        <f>'Deelnemer 3 vtg'!AE28</f>
        <v>0</v>
      </c>
      <c r="M119" s="188">
        <f t="shared" si="3"/>
        <v>0</v>
      </c>
      <c r="N119" s="188">
        <f t="shared" si="4"/>
        <v>0</v>
      </c>
      <c r="O119" s="184">
        <f>'Deelnemer 3 vtg'!AG28</f>
        <v>0</v>
      </c>
      <c r="P119" s="184">
        <f>'Deelnemer 3 vtg'!AJ28</f>
        <v>0</v>
      </c>
      <c r="Q119" s="184">
        <f>'Deelnemer 3 vtg'!AK28</f>
        <v>0</v>
      </c>
    </row>
    <row r="120" spans="2:18" ht="16.5" hidden="1" customHeight="1" x14ac:dyDescent="0.3">
      <c r="B120" s="640"/>
      <c r="C120" s="161">
        <v>11</v>
      </c>
      <c r="D120" s="275" t="str">
        <f>'Deelnemer 3 vtg'!A29</f>
        <v/>
      </c>
      <c r="E120" s="183" t="str">
        <f>MID(_xlfn.TEXTJOIN(" ",TRUE,'Deelnemer 3 vtg'!$D$6,$B$110),1,11)</f>
        <v>Deelnemer 3</v>
      </c>
      <c r="F120" s="183">
        <f>'Deelnemer 3 vtg'!$C$7</f>
        <v>0</v>
      </c>
      <c r="G120" s="183" t="str">
        <f>'Deelnemer 3 vtg'!B29</f>
        <v xml:space="preserve"> - </v>
      </c>
      <c r="H120" s="186" t="str">
        <f>VLOOKUP(G120,'Categorie H2 Vtg.'!$B$4:$D$20,3,0)</f>
        <v>-</v>
      </c>
      <c r="I120" s="187">
        <f>'Deelnemer 3 vtg'!E29</f>
        <v>0</v>
      </c>
      <c r="J120" s="180">
        <f>'Deelnemer 3 vtg'!V29</f>
        <v>0</v>
      </c>
      <c r="K120" s="184">
        <f>'Deelnemer 3 vtg'!Z29</f>
        <v>0</v>
      </c>
      <c r="L120" s="185">
        <f>'Deelnemer 3 vtg'!AE29</f>
        <v>0</v>
      </c>
      <c r="M120" s="188">
        <f t="shared" si="3"/>
        <v>0</v>
      </c>
      <c r="N120" s="188">
        <f t="shared" si="4"/>
        <v>0</v>
      </c>
      <c r="O120" s="184">
        <f>'Deelnemer 3 vtg'!AG29</f>
        <v>0</v>
      </c>
      <c r="P120" s="184">
        <f>'Deelnemer 3 vtg'!AJ29</f>
        <v>0</v>
      </c>
      <c r="Q120" s="184">
        <f>'Deelnemer 3 vtg'!AK29</f>
        <v>0</v>
      </c>
    </row>
    <row r="121" spans="2:18" ht="16.5" hidden="1" customHeight="1" x14ac:dyDescent="0.3">
      <c r="B121" s="640"/>
      <c r="C121" s="161">
        <v>12</v>
      </c>
      <c r="D121" s="275" t="str">
        <f>'Deelnemer 3 vtg'!A30</f>
        <v/>
      </c>
      <c r="E121" s="183" t="str">
        <f>MID(_xlfn.TEXTJOIN(" ",TRUE,'Deelnemer 3 vtg'!$D$6,$B$110),1,11)</f>
        <v>Deelnemer 3</v>
      </c>
      <c r="F121" s="183">
        <f>'Deelnemer 3 vtg'!$C$7</f>
        <v>0</v>
      </c>
      <c r="G121" s="183" t="str">
        <f>'Deelnemer 3 vtg'!B30</f>
        <v xml:space="preserve"> - </v>
      </c>
      <c r="H121" s="186" t="str">
        <f>VLOOKUP(G121,'Categorie H2 Vtg.'!$B$4:$D$20,3,0)</f>
        <v>-</v>
      </c>
      <c r="I121" s="187">
        <f>'Deelnemer 3 vtg'!E30</f>
        <v>0</v>
      </c>
      <c r="J121" s="180">
        <f>'Deelnemer 3 vtg'!V30</f>
        <v>0</v>
      </c>
      <c r="K121" s="184">
        <f>'Deelnemer 3 vtg'!Z30</f>
        <v>0</v>
      </c>
      <c r="L121" s="185">
        <f>'Deelnemer 3 vtg'!AE30</f>
        <v>0</v>
      </c>
      <c r="M121" s="188">
        <f t="shared" si="3"/>
        <v>0</v>
      </c>
      <c r="N121" s="188">
        <f t="shared" si="4"/>
        <v>0</v>
      </c>
      <c r="O121" s="184">
        <f>'Deelnemer 3 vtg'!AG30</f>
        <v>0</v>
      </c>
      <c r="P121" s="184">
        <f>'Deelnemer 3 vtg'!AJ30</f>
        <v>0</v>
      </c>
      <c r="Q121" s="184">
        <f>'Deelnemer 3 vtg'!AK30</f>
        <v>0</v>
      </c>
    </row>
    <row r="122" spans="2:18" ht="16.5" hidden="1" customHeight="1" x14ac:dyDescent="0.3">
      <c r="B122" s="640"/>
      <c r="C122" s="161">
        <v>13</v>
      </c>
      <c r="D122" s="275" t="str">
        <f>'Deelnemer 3 vtg'!A31</f>
        <v/>
      </c>
      <c r="E122" s="183" t="str">
        <f>MID(_xlfn.TEXTJOIN(" ",TRUE,'Deelnemer 3 vtg'!$D$6,$B$110),1,11)</f>
        <v>Deelnemer 3</v>
      </c>
      <c r="F122" s="183">
        <f>'Deelnemer 3 vtg'!$C$7</f>
        <v>0</v>
      </c>
      <c r="G122" s="183" t="str">
        <f>'Deelnemer 3 vtg'!B31</f>
        <v xml:space="preserve"> - </v>
      </c>
      <c r="H122" s="186" t="str">
        <f>VLOOKUP(G122,'Categorie H2 Vtg.'!$B$4:$D$20,3,0)</f>
        <v>-</v>
      </c>
      <c r="I122" s="187">
        <f>'Deelnemer 3 vtg'!E31</f>
        <v>0</v>
      </c>
      <c r="J122" s="180">
        <f>'Deelnemer 3 vtg'!V31</f>
        <v>0</v>
      </c>
      <c r="K122" s="184">
        <f>'Deelnemer 3 vtg'!Z31</f>
        <v>0</v>
      </c>
      <c r="L122" s="185">
        <f>'Deelnemer 3 vtg'!AE31</f>
        <v>0</v>
      </c>
      <c r="M122" s="188">
        <f t="shared" si="3"/>
        <v>0</v>
      </c>
      <c r="N122" s="188">
        <f t="shared" si="4"/>
        <v>0</v>
      </c>
      <c r="O122" s="184">
        <f>'Deelnemer 3 vtg'!AG31</f>
        <v>0</v>
      </c>
      <c r="P122" s="184">
        <f>'Deelnemer 3 vtg'!AJ31</f>
        <v>0</v>
      </c>
      <c r="Q122" s="184">
        <f>'Deelnemer 3 vtg'!AK31</f>
        <v>0</v>
      </c>
    </row>
    <row r="123" spans="2:18" ht="16.5" hidden="1" customHeight="1" x14ac:dyDescent="0.3">
      <c r="B123" s="640"/>
      <c r="C123" s="161">
        <v>14</v>
      </c>
      <c r="D123" s="275" t="str">
        <f>'Deelnemer 3 vtg'!A32</f>
        <v/>
      </c>
      <c r="E123" s="183" t="str">
        <f>MID(_xlfn.TEXTJOIN(" ",TRUE,'Deelnemer 3 vtg'!$D$6,$B$110),1,11)</f>
        <v>Deelnemer 3</v>
      </c>
      <c r="F123" s="183">
        <f>'Deelnemer 3 vtg'!$C$7</f>
        <v>0</v>
      </c>
      <c r="G123" s="183" t="str">
        <f>'Deelnemer 3 vtg'!B32</f>
        <v xml:space="preserve"> - </v>
      </c>
      <c r="H123" s="186" t="str">
        <f>VLOOKUP(G123,'Categorie H2 Vtg.'!$B$4:$D$20,3,0)</f>
        <v>-</v>
      </c>
      <c r="I123" s="187">
        <f>'Deelnemer 3 vtg'!E32</f>
        <v>0</v>
      </c>
      <c r="J123" s="180">
        <f>'Deelnemer 3 vtg'!V32</f>
        <v>0</v>
      </c>
      <c r="K123" s="184">
        <f>'Deelnemer 3 vtg'!Z32</f>
        <v>0</v>
      </c>
      <c r="L123" s="185">
        <f>'Deelnemer 3 vtg'!AE32</f>
        <v>0</v>
      </c>
      <c r="M123" s="188">
        <f t="shared" si="3"/>
        <v>0</v>
      </c>
      <c r="N123" s="188">
        <f t="shared" si="4"/>
        <v>0</v>
      </c>
      <c r="O123" s="184">
        <f>'Deelnemer 3 vtg'!AG32</f>
        <v>0</v>
      </c>
      <c r="P123" s="184">
        <f>'Deelnemer 3 vtg'!AJ32</f>
        <v>0</v>
      </c>
      <c r="Q123" s="184">
        <f>'Deelnemer 3 vtg'!AK32</f>
        <v>0</v>
      </c>
    </row>
    <row r="124" spans="2:18" ht="16.5" hidden="1" customHeight="1" x14ac:dyDescent="0.3">
      <c r="B124" s="640"/>
      <c r="C124" s="161">
        <v>15</v>
      </c>
      <c r="D124" s="275" t="str">
        <f>'Deelnemer 3 vtg'!A33</f>
        <v/>
      </c>
      <c r="E124" s="183" t="str">
        <f>MID(_xlfn.TEXTJOIN(" ",TRUE,'Deelnemer 3 vtg'!$D$6,$B$110),1,11)</f>
        <v>Deelnemer 3</v>
      </c>
      <c r="F124" s="183">
        <f>'Deelnemer 3 vtg'!$C$7</f>
        <v>0</v>
      </c>
      <c r="G124" s="183" t="str">
        <f>'Deelnemer 3 vtg'!B33</f>
        <v xml:space="preserve"> - </v>
      </c>
      <c r="H124" s="186" t="str">
        <f>VLOOKUP(G124,'Categorie H2 Vtg.'!$B$4:$D$20,3,0)</f>
        <v>-</v>
      </c>
      <c r="I124" s="187">
        <f>'Deelnemer 3 vtg'!E33</f>
        <v>0</v>
      </c>
      <c r="J124" s="180">
        <f>'Deelnemer 3 vtg'!V33</f>
        <v>0</v>
      </c>
      <c r="K124" s="184">
        <f>'Deelnemer 3 vtg'!Z33</f>
        <v>0</v>
      </c>
      <c r="L124" s="185">
        <f>'Deelnemer 3 vtg'!AE33</f>
        <v>0</v>
      </c>
      <c r="M124" s="188">
        <f t="shared" si="3"/>
        <v>0</v>
      </c>
      <c r="N124" s="188">
        <f t="shared" si="4"/>
        <v>0</v>
      </c>
      <c r="O124" s="184">
        <f>'Deelnemer 3 vtg'!AG33</f>
        <v>0</v>
      </c>
      <c r="P124" s="184">
        <f>'Deelnemer 3 vtg'!AJ33</f>
        <v>0</v>
      </c>
      <c r="Q124" s="184">
        <f>'Deelnemer 3 vtg'!AK33</f>
        <v>0</v>
      </c>
    </row>
    <row r="125" spans="2:18" s="181" customFormat="1" ht="16.5" hidden="1" customHeight="1" x14ac:dyDescent="0.3">
      <c r="B125" s="640">
        <f t="shared" ref="B125:B170" si="5">B110+1</f>
        <v>4</v>
      </c>
      <c r="C125" s="181">
        <v>1</v>
      </c>
      <c r="D125" s="182" t="str">
        <f>'Deelnemer 4 vtg'!A19</f>
        <v/>
      </c>
      <c r="E125" s="183" t="str">
        <f>MID(_xlfn.TEXTJOIN(" ",TRUE,'Deelnemer 4 vtg'!$D$6,$B$125),1,11)</f>
        <v>Deelnemer 4</v>
      </c>
      <c r="F125" s="183">
        <f>'Deelnemer 4 vtg'!$C$7</f>
        <v>0</v>
      </c>
      <c r="G125" s="183" t="str">
        <f>'Deelnemer 4 vtg'!B19</f>
        <v xml:space="preserve"> - </v>
      </c>
      <c r="H125" s="183" t="str">
        <f>VLOOKUP(G125,'Categorie H2 Vtg.'!$B$4:$D$20,3,0)</f>
        <v>-</v>
      </c>
      <c r="I125" s="187">
        <f>'Deelnemer 4 vtg'!E19</f>
        <v>0</v>
      </c>
      <c r="J125" s="180">
        <f>'Deelnemer 4 vtg'!V19</f>
        <v>0</v>
      </c>
      <c r="K125" s="184">
        <f>'Deelnemer 4 vtg'!Z19</f>
        <v>0</v>
      </c>
      <c r="L125" s="185">
        <f>'Deelnemer 4 vtg'!AE19</f>
        <v>0</v>
      </c>
      <c r="M125" s="184">
        <f>K125*J125</f>
        <v>0</v>
      </c>
      <c r="N125" s="184">
        <f>L125*J125</f>
        <v>0</v>
      </c>
      <c r="O125" s="184">
        <f>'Deelnemer 4 vtg'!AG19</f>
        <v>0</v>
      </c>
      <c r="P125" s="184">
        <f>'Deelnemer 4 vtg'!AJ19</f>
        <v>0</v>
      </c>
      <c r="Q125" s="184">
        <f>'Deelnemer 4 vtg'!AK19</f>
        <v>0</v>
      </c>
      <c r="R125" s="161"/>
    </row>
    <row r="126" spans="2:18" ht="16.5" hidden="1" customHeight="1" x14ac:dyDescent="0.3">
      <c r="B126" s="640"/>
      <c r="C126" s="161">
        <v>2</v>
      </c>
      <c r="D126" s="182" t="str">
        <f>'Deelnemer 4 vtg'!A20</f>
        <v/>
      </c>
      <c r="E126" s="183" t="str">
        <f>MID(_xlfn.TEXTJOIN(" ",TRUE,'Deelnemer 4 vtg'!$D$6,$B$125),1,11)</f>
        <v>Deelnemer 4</v>
      </c>
      <c r="F126" s="183">
        <f>'Deelnemer 4 vtg'!$C$7</f>
        <v>0</v>
      </c>
      <c r="G126" s="183" t="str">
        <f>'Deelnemer 4 vtg'!B20</f>
        <v xml:space="preserve"> - </v>
      </c>
      <c r="H126" s="186" t="str">
        <f>VLOOKUP(G126,'Categorie H2 Vtg.'!$B$4:$D$20,3,0)</f>
        <v>-</v>
      </c>
      <c r="I126" s="187">
        <f>'Deelnemer 4 vtg'!E20</f>
        <v>0</v>
      </c>
      <c r="J126" s="180">
        <f>'Deelnemer 4 vtg'!V20</f>
        <v>0</v>
      </c>
      <c r="K126" s="184">
        <f>'Deelnemer 4 vtg'!Z20</f>
        <v>0</v>
      </c>
      <c r="L126" s="185">
        <f>'Deelnemer 4 vtg'!AE20</f>
        <v>0</v>
      </c>
      <c r="M126" s="188">
        <f t="shared" ref="M126:M139" si="6">K126*J126</f>
        <v>0</v>
      </c>
      <c r="N126" s="188">
        <f t="shared" ref="N126:N139" si="7">L126*J126</f>
        <v>0</v>
      </c>
      <c r="O126" s="184">
        <f>'Deelnemer 4 vtg'!AG20</f>
        <v>0</v>
      </c>
      <c r="P126" s="184">
        <f>'Deelnemer 4 vtg'!AJ20</f>
        <v>0</v>
      </c>
      <c r="Q126" s="184">
        <f>'Deelnemer 4 vtg'!AK20</f>
        <v>0</v>
      </c>
    </row>
    <row r="127" spans="2:18" ht="16.5" hidden="1" customHeight="1" x14ac:dyDescent="0.3">
      <c r="B127" s="640"/>
      <c r="C127" s="161">
        <v>3</v>
      </c>
      <c r="D127" s="182" t="str">
        <f>'Deelnemer 4 vtg'!A21</f>
        <v/>
      </c>
      <c r="E127" s="183" t="str">
        <f>MID(_xlfn.TEXTJOIN(" ",TRUE,'Deelnemer 4 vtg'!$D$6,$B$125),1,11)</f>
        <v>Deelnemer 4</v>
      </c>
      <c r="F127" s="183">
        <f>'Deelnemer 4 vtg'!$C$7</f>
        <v>0</v>
      </c>
      <c r="G127" s="183" t="str">
        <f>'Deelnemer 4 vtg'!B21</f>
        <v xml:space="preserve"> - </v>
      </c>
      <c r="H127" s="186" t="str">
        <f>VLOOKUP(G127,'Categorie H2 Vtg.'!$B$4:$D$20,3,0)</f>
        <v>-</v>
      </c>
      <c r="I127" s="187">
        <f>'Deelnemer 4 vtg'!E21</f>
        <v>0</v>
      </c>
      <c r="J127" s="180">
        <f>'Deelnemer 4 vtg'!V21</f>
        <v>0</v>
      </c>
      <c r="K127" s="184">
        <f>'Deelnemer 4 vtg'!Z21</f>
        <v>0</v>
      </c>
      <c r="L127" s="185">
        <f>'Deelnemer 4 vtg'!AE21</f>
        <v>0</v>
      </c>
      <c r="M127" s="188">
        <f t="shared" si="6"/>
        <v>0</v>
      </c>
      <c r="N127" s="188">
        <f t="shared" si="7"/>
        <v>0</v>
      </c>
      <c r="O127" s="184">
        <f>'Deelnemer 4 vtg'!AG21</f>
        <v>0</v>
      </c>
      <c r="P127" s="184">
        <f>'Deelnemer 4 vtg'!AJ21</f>
        <v>0</v>
      </c>
      <c r="Q127" s="184">
        <f>'Deelnemer 4 vtg'!AK21</f>
        <v>0</v>
      </c>
    </row>
    <row r="128" spans="2:18" ht="16.5" hidden="1" customHeight="1" x14ac:dyDescent="0.3">
      <c r="B128" s="640"/>
      <c r="C128" s="161">
        <v>4</v>
      </c>
      <c r="D128" s="182" t="str">
        <f>'Deelnemer 4 vtg'!A22</f>
        <v/>
      </c>
      <c r="E128" s="183" t="str">
        <f>MID(_xlfn.TEXTJOIN(" ",TRUE,'Deelnemer 4 vtg'!$D$6,$B$125),1,11)</f>
        <v>Deelnemer 4</v>
      </c>
      <c r="F128" s="183">
        <f>'Deelnemer 4 vtg'!$C$7</f>
        <v>0</v>
      </c>
      <c r="G128" s="183" t="str">
        <f>'Deelnemer 4 vtg'!B22</f>
        <v xml:space="preserve"> - </v>
      </c>
      <c r="H128" s="186" t="str">
        <f>VLOOKUP(G128,'Categorie H2 Vtg.'!$B$4:$D$20,3,0)</f>
        <v>-</v>
      </c>
      <c r="I128" s="187">
        <f>'Deelnemer 4 vtg'!E22</f>
        <v>0</v>
      </c>
      <c r="J128" s="180">
        <f>'Deelnemer 4 vtg'!V22</f>
        <v>0</v>
      </c>
      <c r="K128" s="184">
        <f>'Deelnemer 4 vtg'!Z22</f>
        <v>0</v>
      </c>
      <c r="L128" s="185">
        <f>'Deelnemer 4 vtg'!AE22</f>
        <v>0</v>
      </c>
      <c r="M128" s="188">
        <f t="shared" si="6"/>
        <v>0</v>
      </c>
      <c r="N128" s="188">
        <f t="shared" si="7"/>
        <v>0</v>
      </c>
      <c r="O128" s="184">
        <f>'Deelnemer 4 vtg'!AG22</f>
        <v>0</v>
      </c>
      <c r="P128" s="184">
        <f>'Deelnemer 4 vtg'!AJ22</f>
        <v>0</v>
      </c>
      <c r="Q128" s="184">
        <f>'Deelnemer 4 vtg'!AK22</f>
        <v>0</v>
      </c>
    </row>
    <row r="129" spans="2:18" ht="16.5" hidden="1" customHeight="1" x14ac:dyDescent="0.3">
      <c r="B129" s="640"/>
      <c r="C129" s="161">
        <v>5</v>
      </c>
      <c r="D129" s="182" t="str">
        <f>'Deelnemer 4 vtg'!A23</f>
        <v/>
      </c>
      <c r="E129" s="183" t="str">
        <f>MID(_xlfn.TEXTJOIN(" ",TRUE,'Deelnemer 4 vtg'!$D$6,$B$125),1,11)</f>
        <v>Deelnemer 4</v>
      </c>
      <c r="F129" s="183">
        <f>'Deelnemer 4 vtg'!$C$7</f>
        <v>0</v>
      </c>
      <c r="G129" s="183" t="str">
        <f>'Deelnemer 4 vtg'!B23</f>
        <v xml:space="preserve"> - </v>
      </c>
      <c r="H129" s="186" t="str">
        <f>VLOOKUP(G129,'Categorie H2 Vtg.'!$B$4:$D$20,3,0)</f>
        <v>-</v>
      </c>
      <c r="I129" s="187">
        <f>'Deelnemer 4 vtg'!E23</f>
        <v>0</v>
      </c>
      <c r="J129" s="180">
        <f>'Deelnemer 4 vtg'!V23</f>
        <v>0</v>
      </c>
      <c r="K129" s="184">
        <f>'Deelnemer 4 vtg'!Z23</f>
        <v>0</v>
      </c>
      <c r="L129" s="185">
        <f>'Deelnemer 4 vtg'!AE23</f>
        <v>0</v>
      </c>
      <c r="M129" s="188">
        <f t="shared" si="6"/>
        <v>0</v>
      </c>
      <c r="N129" s="188">
        <f t="shared" si="7"/>
        <v>0</v>
      </c>
      <c r="O129" s="184">
        <f>'Deelnemer 4 vtg'!AG23</f>
        <v>0</v>
      </c>
      <c r="P129" s="184">
        <f>'Deelnemer 4 vtg'!AJ23</f>
        <v>0</v>
      </c>
      <c r="Q129" s="184">
        <f>'Deelnemer 4 vtg'!AK23</f>
        <v>0</v>
      </c>
    </row>
    <row r="130" spans="2:18" ht="16.5" hidden="1" customHeight="1" x14ac:dyDescent="0.3">
      <c r="B130" s="640"/>
      <c r="C130" s="161">
        <v>6</v>
      </c>
      <c r="D130" s="182" t="str">
        <f>'Deelnemer 4 vtg'!A24</f>
        <v/>
      </c>
      <c r="E130" s="183" t="str">
        <f>MID(_xlfn.TEXTJOIN(" ",TRUE,'Deelnemer 4 vtg'!$D$6,$B$125),1,11)</f>
        <v>Deelnemer 4</v>
      </c>
      <c r="F130" s="183">
        <f>'Deelnemer 4 vtg'!$C$7</f>
        <v>0</v>
      </c>
      <c r="G130" s="183" t="str">
        <f>'Deelnemer 4 vtg'!B24</f>
        <v xml:space="preserve"> - </v>
      </c>
      <c r="H130" s="186" t="str">
        <f>VLOOKUP(G130,'Categorie H2 Vtg.'!$B$4:$D$20,3,0)</f>
        <v>-</v>
      </c>
      <c r="I130" s="187">
        <f>'Deelnemer 4 vtg'!E24</f>
        <v>0</v>
      </c>
      <c r="J130" s="180">
        <f>'Deelnemer 4 vtg'!V24</f>
        <v>0</v>
      </c>
      <c r="K130" s="184">
        <f>'Deelnemer 4 vtg'!Z24</f>
        <v>0</v>
      </c>
      <c r="L130" s="185">
        <f>'Deelnemer 4 vtg'!AE24</f>
        <v>0</v>
      </c>
      <c r="M130" s="188">
        <f t="shared" si="6"/>
        <v>0</v>
      </c>
      <c r="N130" s="188">
        <f t="shared" si="7"/>
        <v>0</v>
      </c>
      <c r="O130" s="184">
        <f>'Deelnemer 4 vtg'!AG24</f>
        <v>0</v>
      </c>
      <c r="P130" s="184">
        <f>'Deelnemer 4 vtg'!AJ24</f>
        <v>0</v>
      </c>
      <c r="Q130" s="184">
        <f>'Deelnemer 4 vtg'!AK24</f>
        <v>0</v>
      </c>
    </row>
    <row r="131" spans="2:18" ht="16.5" hidden="1" customHeight="1" x14ac:dyDescent="0.3">
      <c r="B131" s="640"/>
      <c r="C131" s="161">
        <v>7</v>
      </c>
      <c r="D131" s="182" t="str">
        <f>'Deelnemer 4 vtg'!A25</f>
        <v/>
      </c>
      <c r="E131" s="183" t="str">
        <f>MID(_xlfn.TEXTJOIN(" ",TRUE,'Deelnemer 4 vtg'!$D$6,$B$125),1,11)</f>
        <v>Deelnemer 4</v>
      </c>
      <c r="F131" s="183">
        <f>'Deelnemer 4 vtg'!$C$7</f>
        <v>0</v>
      </c>
      <c r="G131" s="183" t="str">
        <f>'Deelnemer 4 vtg'!B25</f>
        <v xml:space="preserve"> - </v>
      </c>
      <c r="H131" s="186" t="str">
        <f>VLOOKUP(G131,'Categorie H2 Vtg.'!$B$4:$D$20,3,0)</f>
        <v>-</v>
      </c>
      <c r="I131" s="187">
        <f>'Deelnemer 4 vtg'!E25</f>
        <v>0</v>
      </c>
      <c r="J131" s="180">
        <f>'Deelnemer 4 vtg'!V25</f>
        <v>0</v>
      </c>
      <c r="K131" s="184">
        <f>'Deelnemer 4 vtg'!Z25</f>
        <v>0</v>
      </c>
      <c r="L131" s="185">
        <f>'Deelnemer 4 vtg'!AE25</f>
        <v>0</v>
      </c>
      <c r="M131" s="188">
        <f t="shared" si="6"/>
        <v>0</v>
      </c>
      <c r="N131" s="188">
        <f t="shared" si="7"/>
        <v>0</v>
      </c>
      <c r="O131" s="184">
        <f>'Deelnemer 4 vtg'!AG25</f>
        <v>0</v>
      </c>
      <c r="P131" s="184">
        <f>'Deelnemer 4 vtg'!AJ25</f>
        <v>0</v>
      </c>
      <c r="Q131" s="184">
        <f>'Deelnemer 4 vtg'!AK25</f>
        <v>0</v>
      </c>
    </row>
    <row r="132" spans="2:18" ht="16.5" hidden="1" customHeight="1" x14ac:dyDescent="0.3">
      <c r="B132" s="640"/>
      <c r="C132" s="161">
        <v>8</v>
      </c>
      <c r="D132" s="182" t="str">
        <f>'Deelnemer 4 vtg'!A26</f>
        <v/>
      </c>
      <c r="E132" s="183" t="str">
        <f>MID(_xlfn.TEXTJOIN(" ",TRUE,'Deelnemer 4 vtg'!$D$6,$B$125),1,11)</f>
        <v>Deelnemer 4</v>
      </c>
      <c r="F132" s="183">
        <f>'Deelnemer 4 vtg'!$C$7</f>
        <v>0</v>
      </c>
      <c r="G132" s="183" t="str">
        <f>'Deelnemer 4 vtg'!B26</f>
        <v xml:space="preserve"> - </v>
      </c>
      <c r="H132" s="186" t="str">
        <f>VLOOKUP(G132,'Categorie H2 Vtg.'!$B$4:$D$20,3,0)</f>
        <v>-</v>
      </c>
      <c r="I132" s="187">
        <f>'Deelnemer 4 vtg'!E26</f>
        <v>0</v>
      </c>
      <c r="J132" s="180">
        <f>'Deelnemer 4 vtg'!V26</f>
        <v>0</v>
      </c>
      <c r="K132" s="184">
        <f>'Deelnemer 4 vtg'!Z26</f>
        <v>0</v>
      </c>
      <c r="L132" s="185">
        <f>'Deelnemer 4 vtg'!AE26</f>
        <v>0</v>
      </c>
      <c r="M132" s="188">
        <f t="shared" si="6"/>
        <v>0</v>
      </c>
      <c r="N132" s="188">
        <f t="shared" si="7"/>
        <v>0</v>
      </c>
      <c r="O132" s="184">
        <f>'Deelnemer 4 vtg'!AG26</f>
        <v>0</v>
      </c>
      <c r="P132" s="184">
        <f>'Deelnemer 4 vtg'!AJ26</f>
        <v>0</v>
      </c>
      <c r="Q132" s="184">
        <f>'Deelnemer 4 vtg'!AK26</f>
        <v>0</v>
      </c>
    </row>
    <row r="133" spans="2:18" ht="16.5" hidden="1" customHeight="1" x14ac:dyDescent="0.3">
      <c r="B133" s="640"/>
      <c r="C133" s="161">
        <v>9</v>
      </c>
      <c r="D133" s="182" t="str">
        <f>'Deelnemer 4 vtg'!A27</f>
        <v/>
      </c>
      <c r="E133" s="183" t="str">
        <f>MID(_xlfn.TEXTJOIN(" ",TRUE,'Deelnemer 4 vtg'!$D$6,$B$125),1,11)</f>
        <v>Deelnemer 4</v>
      </c>
      <c r="F133" s="183">
        <f>'Deelnemer 4 vtg'!$C$7</f>
        <v>0</v>
      </c>
      <c r="G133" s="183" t="str">
        <f>'Deelnemer 4 vtg'!B27</f>
        <v xml:space="preserve"> - </v>
      </c>
      <c r="H133" s="186" t="str">
        <f>VLOOKUP(G133,'Categorie H2 Vtg.'!$B$4:$D$20,3,0)</f>
        <v>-</v>
      </c>
      <c r="I133" s="187">
        <f>'Deelnemer 4 vtg'!E27</f>
        <v>0</v>
      </c>
      <c r="J133" s="180">
        <f>'Deelnemer 4 vtg'!V27</f>
        <v>0</v>
      </c>
      <c r="K133" s="184">
        <f>'Deelnemer 4 vtg'!Z27</f>
        <v>0</v>
      </c>
      <c r="L133" s="185">
        <f>'Deelnemer 4 vtg'!AE27</f>
        <v>0</v>
      </c>
      <c r="M133" s="188">
        <f t="shared" si="6"/>
        <v>0</v>
      </c>
      <c r="N133" s="188">
        <f t="shared" si="7"/>
        <v>0</v>
      </c>
      <c r="O133" s="184">
        <f>'Deelnemer 4 vtg'!AG27</f>
        <v>0</v>
      </c>
      <c r="P133" s="184">
        <f>'Deelnemer 4 vtg'!AJ27</f>
        <v>0</v>
      </c>
      <c r="Q133" s="184">
        <f>'Deelnemer 4 vtg'!AK27</f>
        <v>0</v>
      </c>
    </row>
    <row r="134" spans="2:18" ht="16.5" hidden="1" customHeight="1" x14ac:dyDescent="0.3">
      <c r="B134" s="640"/>
      <c r="C134" s="161">
        <v>10</v>
      </c>
      <c r="D134" s="182" t="str">
        <f>'Deelnemer 4 vtg'!A28</f>
        <v/>
      </c>
      <c r="E134" s="183" t="str">
        <f>MID(_xlfn.TEXTJOIN(" ",TRUE,'Deelnemer 4 vtg'!$D$6,$B$125),1,11)</f>
        <v>Deelnemer 4</v>
      </c>
      <c r="F134" s="183">
        <f>'Deelnemer 4 vtg'!$C$7</f>
        <v>0</v>
      </c>
      <c r="G134" s="183" t="str">
        <f>'Deelnemer 4 vtg'!B28</f>
        <v xml:space="preserve"> - </v>
      </c>
      <c r="H134" s="186" t="str">
        <f>VLOOKUP(G134,'Categorie H2 Vtg.'!$B$4:$D$20,3,0)</f>
        <v>-</v>
      </c>
      <c r="I134" s="187">
        <f>'Deelnemer 4 vtg'!E28</f>
        <v>0</v>
      </c>
      <c r="J134" s="180">
        <f>'Deelnemer 4 vtg'!V28</f>
        <v>0</v>
      </c>
      <c r="K134" s="184">
        <f>'Deelnemer 4 vtg'!Z28</f>
        <v>0</v>
      </c>
      <c r="L134" s="185">
        <f>'Deelnemer 4 vtg'!AE28</f>
        <v>0</v>
      </c>
      <c r="M134" s="188">
        <f t="shared" si="6"/>
        <v>0</v>
      </c>
      <c r="N134" s="188">
        <f t="shared" si="7"/>
        <v>0</v>
      </c>
      <c r="O134" s="184">
        <f>'Deelnemer 4 vtg'!AG28</f>
        <v>0</v>
      </c>
      <c r="P134" s="184">
        <f>'Deelnemer 4 vtg'!AJ28</f>
        <v>0</v>
      </c>
      <c r="Q134" s="184">
        <f>'Deelnemer 4 vtg'!AK28</f>
        <v>0</v>
      </c>
    </row>
    <row r="135" spans="2:18" ht="16.5" hidden="1" customHeight="1" x14ac:dyDescent="0.3">
      <c r="B135" s="640"/>
      <c r="C135" s="161">
        <v>11</v>
      </c>
      <c r="D135" s="182" t="str">
        <f>'Deelnemer 4 vtg'!A29</f>
        <v/>
      </c>
      <c r="E135" s="183" t="str">
        <f>MID(_xlfn.TEXTJOIN(" ",TRUE,'Deelnemer 4 vtg'!$D$6,$B$125),1,11)</f>
        <v>Deelnemer 4</v>
      </c>
      <c r="F135" s="183">
        <f>'Deelnemer 4 vtg'!$C$7</f>
        <v>0</v>
      </c>
      <c r="G135" s="183" t="str">
        <f>'Deelnemer 4 vtg'!B29</f>
        <v xml:space="preserve"> - </v>
      </c>
      <c r="H135" s="186" t="str">
        <f>VLOOKUP(G135,'Categorie H2 Vtg.'!$B$4:$D$20,3,0)</f>
        <v>-</v>
      </c>
      <c r="I135" s="187">
        <f>'Deelnemer 4 vtg'!E29</f>
        <v>0</v>
      </c>
      <c r="J135" s="180">
        <f>'Deelnemer 4 vtg'!V29</f>
        <v>0</v>
      </c>
      <c r="K135" s="184">
        <f>'Deelnemer 4 vtg'!Z29</f>
        <v>0</v>
      </c>
      <c r="L135" s="185">
        <f>'Deelnemer 4 vtg'!AE29</f>
        <v>0</v>
      </c>
      <c r="M135" s="188">
        <f t="shared" si="6"/>
        <v>0</v>
      </c>
      <c r="N135" s="188">
        <f t="shared" si="7"/>
        <v>0</v>
      </c>
      <c r="O135" s="184">
        <f>'Deelnemer 4 vtg'!AG29</f>
        <v>0</v>
      </c>
      <c r="P135" s="184">
        <f>'Deelnemer 4 vtg'!AJ29</f>
        <v>0</v>
      </c>
      <c r="Q135" s="184">
        <f>'Deelnemer 4 vtg'!AK29</f>
        <v>0</v>
      </c>
    </row>
    <row r="136" spans="2:18" ht="16.5" hidden="1" customHeight="1" x14ac:dyDescent="0.3">
      <c r="B136" s="640"/>
      <c r="C136" s="161">
        <v>12</v>
      </c>
      <c r="D136" s="182" t="str">
        <f>'Deelnemer 4 vtg'!A30</f>
        <v/>
      </c>
      <c r="E136" s="183" t="str">
        <f>MID(_xlfn.TEXTJOIN(" ",TRUE,'Deelnemer 4 vtg'!$D$6,$B$125),1,11)</f>
        <v>Deelnemer 4</v>
      </c>
      <c r="F136" s="183">
        <f>'Deelnemer 4 vtg'!$C$7</f>
        <v>0</v>
      </c>
      <c r="G136" s="183" t="str">
        <f>'Deelnemer 4 vtg'!B30</f>
        <v xml:space="preserve"> - </v>
      </c>
      <c r="H136" s="186" t="str">
        <f>VLOOKUP(G136,'Categorie H2 Vtg.'!$B$4:$D$20,3,0)</f>
        <v>-</v>
      </c>
      <c r="I136" s="187">
        <f>'Deelnemer 4 vtg'!E30</f>
        <v>0</v>
      </c>
      <c r="J136" s="180">
        <f>'Deelnemer 4 vtg'!V30</f>
        <v>0</v>
      </c>
      <c r="K136" s="184">
        <f>'Deelnemer 4 vtg'!Z30</f>
        <v>0</v>
      </c>
      <c r="L136" s="185">
        <f>'Deelnemer 4 vtg'!AE30</f>
        <v>0</v>
      </c>
      <c r="M136" s="188">
        <f t="shared" si="6"/>
        <v>0</v>
      </c>
      <c r="N136" s="188">
        <f t="shared" si="7"/>
        <v>0</v>
      </c>
      <c r="O136" s="184">
        <f>'Deelnemer 4 vtg'!AG30</f>
        <v>0</v>
      </c>
      <c r="P136" s="184">
        <f>'Deelnemer 4 vtg'!AJ30</f>
        <v>0</v>
      </c>
      <c r="Q136" s="184">
        <f>'Deelnemer 4 vtg'!AK30</f>
        <v>0</v>
      </c>
    </row>
    <row r="137" spans="2:18" ht="16.5" hidden="1" customHeight="1" x14ac:dyDescent="0.3">
      <c r="B137" s="640"/>
      <c r="C137" s="161">
        <v>13</v>
      </c>
      <c r="D137" s="182" t="str">
        <f>'Deelnemer 4 vtg'!A31</f>
        <v/>
      </c>
      <c r="E137" s="183" t="str">
        <f>MID(_xlfn.TEXTJOIN(" ",TRUE,'Deelnemer 4 vtg'!$D$6,$B$125),1,11)</f>
        <v>Deelnemer 4</v>
      </c>
      <c r="F137" s="183">
        <f>'Deelnemer 4 vtg'!$C$7</f>
        <v>0</v>
      </c>
      <c r="G137" s="183" t="str">
        <f>'Deelnemer 4 vtg'!B31</f>
        <v xml:space="preserve"> - </v>
      </c>
      <c r="H137" s="186" t="str">
        <f>VLOOKUP(G137,'Categorie H2 Vtg.'!$B$4:$D$20,3,0)</f>
        <v>-</v>
      </c>
      <c r="I137" s="187">
        <f>'Deelnemer 4 vtg'!E31</f>
        <v>0</v>
      </c>
      <c r="J137" s="180">
        <f>'Deelnemer 4 vtg'!V31</f>
        <v>0</v>
      </c>
      <c r="K137" s="184">
        <f>'Deelnemer 4 vtg'!Z31</f>
        <v>0</v>
      </c>
      <c r="L137" s="185">
        <f>'Deelnemer 4 vtg'!AE31</f>
        <v>0</v>
      </c>
      <c r="M137" s="188">
        <f t="shared" si="6"/>
        <v>0</v>
      </c>
      <c r="N137" s="188">
        <f t="shared" si="7"/>
        <v>0</v>
      </c>
      <c r="O137" s="184">
        <f>'Deelnemer 4 vtg'!AG31</f>
        <v>0</v>
      </c>
      <c r="P137" s="184">
        <f>'Deelnemer 4 vtg'!AJ31</f>
        <v>0</v>
      </c>
      <c r="Q137" s="184">
        <f>'Deelnemer 4 vtg'!AK31</f>
        <v>0</v>
      </c>
    </row>
    <row r="138" spans="2:18" ht="16.5" hidden="1" customHeight="1" x14ac:dyDescent="0.3">
      <c r="B138" s="640"/>
      <c r="C138" s="161">
        <v>14</v>
      </c>
      <c r="D138" s="182" t="str">
        <f>'Deelnemer 4 vtg'!A32</f>
        <v/>
      </c>
      <c r="E138" s="183" t="str">
        <f>MID(_xlfn.TEXTJOIN(" ",TRUE,'Deelnemer 4 vtg'!$D$6,$B$125),1,11)</f>
        <v>Deelnemer 4</v>
      </c>
      <c r="F138" s="183">
        <f>'Deelnemer 4 vtg'!$C$7</f>
        <v>0</v>
      </c>
      <c r="G138" s="183" t="str">
        <f>'Deelnemer 4 vtg'!B32</f>
        <v xml:space="preserve"> - </v>
      </c>
      <c r="H138" s="186" t="str">
        <f>VLOOKUP(G138,'Categorie H2 Vtg.'!$B$4:$D$20,3,0)</f>
        <v>-</v>
      </c>
      <c r="I138" s="187">
        <f>'Deelnemer 4 vtg'!E32</f>
        <v>0</v>
      </c>
      <c r="J138" s="180">
        <f>'Deelnemer 4 vtg'!V32</f>
        <v>0</v>
      </c>
      <c r="K138" s="184">
        <f>'Deelnemer 4 vtg'!Z32</f>
        <v>0</v>
      </c>
      <c r="L138" s="185">
        <f>'Deelnemer 4 vtg'!AE32</f>
        <v>0</v>
      </c>
      <c r="M138" s="188">
        <f t="shared" si="6"/>
        <v>0</v>
      </c>
      <c r="N138" s="188">
        <f t="shared" si="7"/>
        <v>0</v>
      </c>
      <c r="O138" s="184">
        <f>'Deelnemer 4 vtg'!AG32</f>
        <v>0</v>
      </c>
      <c r="P138" s="184">
        <f>'Deelnemer 4 vtg'!AJ32</f>
        <v>0</v>
      </c>
      <c r="Q138" s="184">
        <f>'Deelnemer 4 vtg'!AK32</f>
        <v>0</v>
      </c>
    </row>
    <row r="139" spans="2:18" ht="16.5" hidden="1" customHeight="1" x14ac:dyDescent="0.3">
      <c r="B139" s="640"/>
      <c r="C139" s="161">
        <v>15</v>
      </c>
      <c r="D139" s="182" t="str">
        <f>'Deelnemer 4 vtg'!A33</f>
        <v/>
      </c>
      <c r="E139" s="183" t="str">
        <f>MID(_xlfn.TEXTJOIN(" ",TRUE,'Deelnemer 4 vtg'!$D$6,$B$125),1,11)</f>
        <v>Deelnemer 4</v>
      </c>
      <c r="F139" s="183">
        <f>'Deelnemer 4 vtg'!$C$7</f>
        <v>0</v>
      </c>
      <c r="G139" s="183" t="str">
        <f>'Deelnemer 4 vtg'!B33</f>
        <v xml:space="preserve"> - </v>
      </c>
      <c r="H139" s="186" t="str">
        <f>VLOOKUP(G139,'Categorie H2 Vtg.'!$B$4:$D$20,3,0)</f>
        <v>-</v>
      </c>
      <c r="I139" s="187">
        <f>'Deelnemer 4 vtg'!E33</f>
        <v>0</v>
      </c>
      <c r="J139" s="180">
        <f>'Deelnemer 4 vtg'!V33</f>
        <v>0</v>
      </c>
      <c r="K139" s="184">
        <f>'Deelnemer 4 vtg'!Z33</f>
        <v>0</v>
      </c>
      <c r="L139" s="185">
        <f>'Deelnemer 4 vtg'!AE33</f>
        <v>0</v>
      </c>
      <c r="M139" s="188">
        <f t="shared" si="6"/>
        <v>0</v>
      </c>
      <c r="N139" s="188">
        <f t="shared" si="7"/>
        <v>0</v>
      </c>
      <c r="O139" s="184">
        <f>'Deelnemer 4 vtg'!AG33</f>
        <v>0</v>
      </c>
      <c r="P139" s="184">
        <f>'Deelnemer 4 vtg'!AJ33</f>
        <v>0</v>
      </c>
      <c r="Q139" s="184">
        <f>'Deelnemer 4 vtg'!AK33</f>
        <v>0</v>
      </c>
    </row>
    <row r="140" spans="2:18" s="181" customFormat="1" ht="16.5" hidden="1" customHeight="1" x14ac:dyDescent="0.3">
      <c r="B140" s="639">
        <f t="shared" si="5"/>
        <v>5</v>
      </c>
      <c r="C140" s="189">
        <v>1</v>
      </c>
      <c r="D140" s="182" t="str">
        <f>'Deelnemer 5 vtg'!A19</f>
        <v/>
      </c>
      <c r="E140" s="183" t="str">
        <f>MID(_xlfn.TEXTJOIN(" ",TRUE,'Deelnemer 5 vtg'!$D$6,$B$140),1,11)</f>
        <v>Deelnemer 5</v>
      </c>
      <c r="F140" s="183">
        <f>'Deelnemer 5 vtg'!$C$7</f>
        <v>0</v>
      </c>
      <c r="G140" s="183" t="str">
        <f>'Deelnemer 5 vtg'!B19</f>
        <v xml:space="preserve"> - </v>
      </c>
      <c r="H140" s="183" t="str">
        <f>VLOOKUP(G140,'Categorie H2 Vtg.'!$B$4:$D$20,3,0)</f>
        <v>-</v>
      </c>
      <c r="I140" s="187">
        <f>'Deelnemer 5 vtg'!E19</f>
        <v>0</v>
      </c>
      <c r="J140" s="180">
        <f>'Deelnemer 5 vtg'!V19</f>
        <v>0</v>
      </c>
      <c r="K140" s="184">
        <f>'Deelnemer 5 vtg'!Z19</f>
        <v>0</v>
      </c>
      <c r="L140" s="184">
        <f>'Deelnemer 5 vtg'!AE19</f>
        <v>0</v>
      </c>
      <c r="M140" s="184">
        <f>K140*J140</f>
        <v>0</v>
      </c>
      <c r="N140" s="184">
        <f>L140*J140</f>
        <v>0</v>
      </c>
      <c r="O140" s="184">
        <f>'Deelnemer 5 vtg'!AG19</f>
        <v>0</v>
      </c>
      <c r="P140" s="184">
        <f>'Deelnemer 5 vtg'!AJ19</f>
        <v>0</v>
      </c>
      <c r="Q140" s="184">
        <f>'Deelnemer 5 vtg'!AK19</f>
        <v>0</v>
      </c>
      <c r="R140" s="161"/>
    </row>
    <row r="141" spans="2:18" ht="16.5" hidden="1" customHeight="1" x14ac:dyDescent="0.3">
      <c r="B141" s="639"/>
      <c r="C141" s="161">
        <v>2</v>
      </c>
      <c r="D141" s="182" t="str">
        <f>'Deelnemer 5 vtg'!A20</f>
        <v/>
      </c>
      <c r="E141" s="183" t="str">
        <f>MID(_xlfn.TEXTJOIN(" ",TRUE,'Deelnemer 5 vtg'!$D$6,$B$140),1,11)</f>
        <v>Deelnemer 5</v>
      </c>
      <c r="F141" s="183">
        <f>'Deelnemer 5 vtg'!$C$7</f>
        <v>0</v>
      </c>
      <c r="G141" s="183" t="str">
        <f>'Deelnemer 5 vtg'!B20</f>
        <v xml:space="preserve"> - </v>
      </c>
      <c r="H141" s="186" t="str">
        <f>VLOOKUP(G141,'Categorie H2 Vtg.'!$B$4:$D$20,3,0)</f>
        <v>-</v>
      </c>
      <c r="I141" s="187">
        <f>'Deelnemer 5 vtg'!E20</f>
        <v>0</v>
      </c>
      <c r="J141" s="180">
        <f>'Deelnemer 5 vtg'!V20</f>
        <v>0</v>
      </c>
      <c r="K141" s="184">
        <f>'Deelnemer 5 vtg'!Z20</f>
        <v>0</v>
      </c>
      <c r="L141" s="184">
        <f>'Deelnemer 5 vtg'!AE20</f>
        <v>0</v>
      </c>
      <c r="M141" s="188">
        <f t="shared" ref="M141:M154" si="8">K141*J141</f>
        <v>0</v>
      </c>
      <c r="N141" s="188">
        <f t="shared" ref="N141:N154" si="9">L141*J141</f>
        <v>0</v>
      </c>
      <c r="O141" s="184">
        <f>'Deelnemer 5 vtg'!AG20</f>
        <v>0</v>
      </c>
      <c r="P141" s="184">
        <f>'Deelnemer 5 vtg'!AJ20</f>
        <v>0</v>
      </c>
      <c r="Q141" s="184">
        <f>'Deelnemer 5 vtg'!AK20</f>
        <v>0</v>
      </c>
    </row>
    <row r="142" spans="2:18" ht="16.5" hidden="1" customHeight="1" x14ac:dyDescent="0.3">
      <c r="B142" s="639"/>
      <c r="C142" s="161">
        <v>3</v>
      </c>
      <c r="D142" s="182" t="str">
        <f>'Deelnemer 5 vtg'!A21</f>
        <v/>
      </c>
      <c r="E142" s="183" t="str">
        <f>MID(_xlfn.TEXTJOIN(" ",TRUE,'Deelnemer 5 vtg'!$D$6,$B$140),1,11)</f>
        <v>Deelnemer 5</v>
      </c>
      <c r="F142" s="183">
        <f>'Deelnemer 5 vtg'!$C$7</f>
        <v>0</v>
      </c>
      <c r="G142" s="183" t="str">
        <f>'Deelnemer 5 vtg'!B21</f>
        <v xml:space="preserve"> - </v>
      </c>
      <c r="H142" s="186" t="str">
        <f>VLOOKUP(G142,'Categorie H2 Vtg.'!$B$4:$D$20,3,0)</f>
        <v>-</v>
      </c>
      <c r="I142" s="187">
        <f>'Deelnemer 5 vtg'!E21</f>
        <v>0</v>
      </c>
      <c r="J142" s="180">
        <f>'Deelnemer 5 vtg'!V21</f>
        <v>0</v>
      </c>
      <c r="K142" s="184">
        <f>'Deelnemer 5 vtg'!Z21</f>
        <v>0</v>
      </c>
      <c r="L142" s="184">
        <f>'Deelnemer 5 vtg'!AE21</f>
        <v>0</v>
      </c>
      <c r="M142" s="188">
        <f t="shared" si="8"/>
        <v>0</v>
      </c>
      <c r="N142" s="188">
        <f t="shared" si="9"/>
        <v>0</v>
      </c>
      <c r="O142" s="184">
        <f>'Deelnemer 5 vtg'!AG21</f>
        <v>0</v>
      </c>
      <c r="P142" s="184">
        <f>'Deelnemer 5 vtg'!AJ21</f>
        <v>0</v>
      </c>
      <c r="Q142" s="184">
        <f>'Deelnemer 5 vtg'!AK21</f>
        <v>0</v>
      </c>
    </row>
    <row r="143" spans="2:18" ht="16.5" hidden="1" customHeight="1" x14ac:dyDescent="0.3">
      <c r="B143" s="639"/>
      <c r="C143" s="161">
        <v>4</v>
      </c>
      <c r="D143" s="182" t="str">
        <f>'Deelnemer 5 vtg'!A22</f>
        <v/>
      </c>
      <c r="E143" s="183" t="str">
        <f>MID(_xlfn.TEXTJOIN(" ",TRUE,'Deelnemer 5 vtg'!$D$6,$B$140),1,11)</f>
        <v>Deelnemer 5</v>
      </c>
      <c r="F143" s="183">
        <f>'Deelnemer 5 vtg'!$C$7</f>
        <v>0</v>
      </c>
      <c r="G143" s="183" t="str">
        <f>'Deelnemer 5 vtg'!B22</f>
        <v xml:space="preserve"> - </v>
      </c>
      <c r="H143" s="186" t="str">
        <f>VLOOKUP(G143,'Categorie H2 Vtg.'!$B$4:$D$20,3,0)</f>
        <v>-</v>
      </c>
      <c r="I143" s="187">
        <f>'Deelnemer 5 vtg'!E22</f>
        <v>0</v>
      </c>
      <c r="J143" s="180">
        <f>'Deelnemer 5 vtg'!V22</f>
        <v>0</v>
      </c>
      <c r="K143" s="184">
        <f>'Deelnemer 5 vtg'!Z22</f>
        <v>0</v>
      </c>
      <c r="L143" s="184">
        <f>'Deelnemer 5 vtg'!AE22</f>
        <v>0</v>
      </c>
      <c r="M143" s="188">
        <f t="shared" si="8"/>
        <v>0</v>
      </c>
      <c r="N143" s="188">
        <f t="shared" si="9"/>
        <v>0</v>
      </c>
      <c r="O143" s="184">
        <f>'Deelnemer 5 vtg'!AG22</f>
        <v>0</v>
      </c>
      <c r="P143" s="184">
        <f>'Deelnemer 5 vtg'!AJ22</f>
        <v>0</v>
      </c>
      <c r="Q143" s="184">
        <f>'Deelnemer 5 vtg'!AK22</f>
        <v>0</v>
      </c>
    </row>
    <row r="144" spans="2:18" ht="16.5" hidden="1" customHeight="1" x14ac:dyDescent="0.3">
      <c r="B144" s="639"/>
      <c r="C144" s="161">
        <v>5</v>
      </c>
      <c r="D144" s="182" t="str">
        <f>'Deelnemer 5 vtg'!A23</f>
        <v/>
      </c>
      <c r="E144" s="183" t="str">
        <f>MID(_xlfn.TEXTJOIN(" ",TRUE,'Deelnemer 5 vtg'!$D$6,$B$140),1,11)</f>
        <v>Deelnemer 5</v>
      </c>
      <c r="F144" s="183">
        <f>'Deelnemer 5 vtg'!$C$7</f>
        <v>0</v>
      </c>
      <c r="G144" s="183" t="str">
        <f>'Deelnemer 5 vtg'!B23</f>
        <v xml:space="preserve"> - </v>
      </c>
      <c r="H144" s="186" t="str">
        <f>VLOOKUP(G144,'Categorie H2 Vtg.'!$B$4:$D$20,3,0)</f>
        <v>-</v>
      </c>
      <c r="I144" s="187">
        <f>'Deelnemer 5 vtg'!E23</f>
        <v>0</v>
      </c>
      <c r="J144" s="180">
        <f>'Deelnemer 5 vtg'!V23</f>
        <v>0</v>
      </c>
      <c r="K144" s="184">
        <f>'Deelnemer 5 vtg'!Z23</f>
        <v>0</v>
      </c>
      <c r="L144" s="184">
        <f>'Deelnemer 5 vtg'!AE23</f>
        <v>0</v>
      </c>
      <c r="M144" s="188">
        <f t="shared" si="8"/>
        <v>0</v>
      </c>
      <c r="N144" s="188">
        <f t="shared" si="9"/>
        <v>0</v>
      </c>
      <c r="O144" s="184">
        <f>'Deelnemer 5 vtg'!AG23</f>
        <v>0</v>
      </c>
      <c r="P144" s="184">
        <f>'Deelnemer 5 vtg'!AJ23</f>
        <v>0</v>
      </c>
      <c r="Q144" s="184">
        <f>'Deelnemer 5 vtg'!AK23</f>
        <v>0</v>
      </c>
    </row>
    <row r="145" spans="2:18" ht="16.5" hidden="1" customHeight="1" x14ac:dyDescent="0.3">
      <c r="B145" s="639"/>
      <c r="C145" s="161">
        <v>6</v>
      </c>
      <c r="D145" s="182" t="str">
        <f>'Deelnemer 5 vtg'!A24</f>
        <v/>
      </c>
      <c r="E145" s="183" t="str">
        <f>MID(_xlfn.TEXTJOIN(" ",TRUE,'Deelnemer 5 vtg'!$D$6,$B$140),1,11)</f>
        <v>Deelnemer 5</v>
      </c>
      <c r="F145" s="183">
        <f>'Deelnemer 5 vtg'!$C$7</f>
        <v>0</v>
      </c>
      <c r="G145" s="183" t="str">
        <f>'Deelnemer 5 vtg'!B24</f>
        <v xml:space="preserve"> - </v>
      </c>
      <c r="H145" s="186" t="str">
        <f>VLOOKUP(G145,'Categorie H2 Vtg.'!$B$4:$D$20,3,0)</f>
        <v>-</v>
      </c>
      <c r="I145" s="187">
        <f>'Deelnemer 5 vtg'!E24</f>
        <v>0</v>
      </c>
      <c r="J145" s="180">
        <f>'Deelnemer 5 vtg'!V24</f>
        <v>0</v>
      </c>
      <c r="K145" s="184">
        <f>'Deelnemer 5 vtg'!Z24</f>
        <v>0</v>
      </c>
      <c r="L145" s="184">
        <f>'Deelnemer 5 vtg'!AE24</f>
        <v>0</v>
      </c>
      <c r="M145" s="188">
        <f t="shared" si="8"/>
        <v>0</v>
      </c>
      <c r="N145" s="188">
        <f t="shared" si="9"/>
        <v>0</v>
      </c>
      <c r="O145" s="184">
        <f>'Deelnemer 5 vtg'!AG24</f>
        <v>0</v>
      </c>
      <c r="P145" s="184">
        <f>'Deelnemer 5 vtg'!AJ24</f>
        <v>0</v>
      </c>
      <c r="Q145" s="184">
        <f>'Deelnemer 5 vtg'!AK24</f>
        <v>0</v>
      </c>
    </row>
    <row r="146" spans="2:18" ht="16.5" hidden="1" customHeight="1" x14ac:dyDescent="0.3">
      <c r="B146" s="639"/>
      <c r="C146" s="161">
        <v>7</v>
      </c>
      <c r="D146" s="182" t="str">
        <f>'Deelnemer 5 vtg'!A25</f>
        <v/>
      </c>
      <c r="E146" s="183" t="str">
        <f>MID(_xlfn.TEXTJOIN(" ",TRUE,'Deelnemer 5 vtg'!$D$6,$B$140),1,11)</f>
        <v>Deelnemer 5</v>
      </c>
      <c r="F146" s="183">
        <f>'Deelnemer 5 vtg'!$C$7</f>
        <v>0</v>
      </c>
      <c r="G146" s="183" t="str">
        <f>'Deelnemer 5 vtg'!B25</f>
        <v xml:space="preserve"> - </v>
      </c>
      <c r="H146" s="186" t="str">
        <f>VLOOKUP(G146,'Categorie H2 Vtg.'!$B$4:$D$20,3,0)</f>
        <v>-</v>
      </c>
      <c r="I146" s="187">
        <f>'Deelnemer 5 vtg'!E25</f>
        <v>0</v>
      </c>
      <c r="J146" s="180">
        <f>'Deelnemer 5 vtg'!V25</f>
        <v>0</v>
      </c>
      <c r="K146" s="184">
        <f>'Deelnemer 5 vtg'!Z25</f>
        <v>0</v>
      </c>
      <c r="L146" s="184">
        <f>'Deelnemer 5 vtg'!AE25</f>
        <v>0</v>
      </c>
      <c r="M146" s="188">
        <f t="shared" si="8"/>
        <v>0</v>
      </c>
      <c r="N146" s="188">
        <f t="shared" si="9"/>
        <v>0</v>
      </c>
      <c r="O146" s="184">
        <f>'Deelnemer 5 vtg'!AG25</f>
        <v>0</v>
      </c>
      <c r="P146" s="184">
        <f>'Deelnemer 5 vtg'!AJ25</f>
        <v>0</v>
      </c>
      <c r="Q146" s="184">
        <f>'Deelnemer 5 vtg'!AK25</f>
        <v>0</v>
      </c>
    </row>
    <row r="147" spans="2:18" ht="16.5" hidden="1" customHeight="1" x14ac:dyDescent="0.3">
      <c r="B147" s="639"/>
      <c r="C147" s="161">
        <v>8</v>
      </c>
      <c r="D147" s="182" t="str">
        <f>'Deelnemer 5 vtg'!A26</f>
        <v/>
      </c>
      <c r="E147" s="183" t="str">
        <f>MID(_xlfn.TEXTJOIN(" ",TRUE,'Deelnemer 5 vtg'!$D$6,$B$140),1,11)</f>
        <v>Deelnemer 5</v>
      </c>
      <c r="F147" s="183">
        <f>'Deelnemer 5 vtg'!$C$7</f>
        <v>0</v>
      </c>
      <c r="G147" s="183" t="str">
        <f>'Deelnemer 5 vtg'!B26</f>
        <v xml:space="preserve"> - </v>
      </c>
      <c r="H147" s="186" t="str">
        <f>VLOOKUP(G147,'Categorie H2 Vtg.'!$B$4:$D$20,3,0)</f>
        <v>-</v>
      </c>
      <c r="I147" s="187">
        <f>'Deelnemer 5 vtg'!E26</f>
        <v>0</v>
      </c>
      <c r="J147" s="180">
        <f>'Deelnemer 5 vtg'!V26</f>
        <v>0</v>
      </c>
      <c r="K147" s="184">
        <f>'Deelnemer 5 vtg'!Z26</f>
        <v>0</v>
      </c>
      <c r="L147" s="184">
        <f>'Deelnemer 5 vtg'!AE26</f>
        <v>0</v>
      </c>
      <c r="M147" s="188">
        <f t="shared" si="8"/>
        <v>0</v>
      </c>
      <c r="N147" s="188">
        <f t="shared" si="9"/>
        <v>0</v>
      </c>
      <c r="O147" s="184">
        <f>'Deelnemer 5 vtg'!AG26</f>
        <v>0</v>
      </c>
      <c r="P147" s="184">
        <f>'Deelnemer 5 vtg'!AJ26</f>
        <v>0</v>
      </c>
      <c r="Q147" s="184">
        <f>'Deelnemer 5 vtg'!AK26</f>
        <v>0</v>
      </c>
    </row>
    <row r="148" spans="2:18" ht="16.5" hidden="1" customHeight="1" x14ac:dyDescent="0.3">
      <c r="B148" s="639"/>
      <c r="C148" s="161">
        <v>9</v>
      </c>
      <c r="D148" s="182" t="str">
        <f>'Deelnemer 5 vtg'!A27</f>
        <v/>
      </c>
      <c r="E148" s="183" t="str">
        <f>MID(_xlfn.TEXTJOIN(" ",TRUE,'Deelnemer 5 vtg'!$D$6,$B$140),1,11)</f>
        <v>Deelnemer 5</v>
      </c>
      <c r="F148" s="183">
        <f>'Deelnemer 5 vtg'!$C$7</f>
        <v>0</v>
      </c>
      <c r="G148" s="183" t="str">
        <f>'Deelnemer 5 vtg'!B27</f>
        <v xml:space="preserve"> - </v>
      </c>
      <c r="H148" s="186" t="str">
        <f>VLOOKUP(G148,'Categorie H2 Vtg.'!$B$4:$D$20,3,0)</f>
        <v>-</v>
      </c>
      <c r="I148" s="187">
        <f>'Deelnemer 5 vtg'!E27</f>
        <v>0</v>
      </c>
      <c r="J148" s="180">
        <f>'Deelnemer 5 vtg'!V27</f>
        <v>0</v>
      </c>
      <c r="K148" s="184">
        <f>'Deelnemer 5 vtg'!Z27</f>
        <v>0</v>
      </c>
      <c r="L148" s="184">
        <f>'Deelnemer 5 vtg'!AE27</f>
        <v>0</v>
      </c>
      <c r="M148" s="188">
        <f t="shared" si="8"/>
        <v>0</v>
      </c>
      <c r="N148" s="188">
        <f t="shared" si="9"/>
        <v>0</v>
      </c>
      <c r="O148" s="184">
        <f>'Deelnemer 5 vtg'!AG27</f>
        <v>0</v>
      </c>
      <c r="P148" s="184">
        <f>'Deelnemer 5 vtg'!AJ27</f>
        <v>0</v>
      </c>
      <c r="Q148" s="184">
        <f>'Deelnemer 5 vtg'!AK27</f>
        <v>0</v>
      </c>
    </row>
    <row r="149" spans="2:18" ht="16.5" hidden="1" customHeight="1" x14ac:dyDescent="0.3">
      <c r="B149" s="639"/>
      <c r="C149" s="161">
        <v>10</v>
      </c>
      <c r="D149" s="182" t="str">
        <f>'Deelnemer 5 vtg'!A28</f>
        <v/>
      </c>
      <c r="E149" s="183" t="str">
        <f>MID(_xlfn.TEXTJOIN(" ",TRUE,'Deelnemer 5 vtg'!$D$6,$B$140),1,11)</f>
        <v>Deelnemer 5</v>
      </c>
      <c r="F149" s="183">
        <f>'Deelnemer 5 vtg'!$C$7</f>
        <v>0</v>
      </c>
      <c r="G149" s="183" t="str">
        <f>'Deelnemer 5 vtg'!B28</f>
        <v xml:space="preserve"> - </v>
      </c>
      <c r="H149" s="186" t="str">
        <f>VLOOKUP(G149,'Categorie H2 Vtg.'!$B$4:$D$20,3,0)</f>
        <v>-</v>
      </c>
      <c r="I149" s="187">
        <f>'Deelnemer 5 vtg'!E28</f>
        <v>0</v>
      </c>
      <c r="J149" s="180">
        <f>'Deelnemer 5 vtg'!V28</f>
        <v>0</v>
      </c>
      <c r="K149" s="184">
        <f>'Deelnemer 5 vtg'!Z28</f>
        <v>0</v>
      </c>
      <c r="L149" s="184">
        <f>'Deelnemer 5 vtg'!AE28</f>
        <v>0</v>
      </c>
      <c r="M149" s="188">
        <f t="shared" si="8"/>
        <v>0</v>
      </c>
      <c r="N149" s="188">
        <f t="shared" si="9"/>
        <v>0</v>
      </c>
      <c r="O149" s="184">
        <f>'Deelnemer 5 vtg'!AG28</f>
        <v>0</v>
      </c>
      <c r="P149" s="184">
        <f>'Deelnemer 5 vtg'!AJ28</f>
        <v>0</v>
      </c>
      <c r="Q149" s="184">
        <f>'Deelnemer 5 vtg'!AK28</f>
        <v>0</v>
      </c>
    </row>
    <row r="150" spans="2:18" ht="16.5" hidden="1" customHeight="1" x14ac:dyDescent="0.3">
      <c r="B150" s="639"/>
      <c r="C150" s="161">
        <v>11</v>
      </c>
      <c r="D150" s="182" t="str">
        <f>'Deelnemer 5 vtg'!A29</f>
        <v/>
      </c>
      <c r="E150" s="183" t="str">
        <f>MID(_xlfn.TEXTJOIN(" ",TRUE,'Deelnemer 5 vtg'!$D$6,$B$140),1,11)</f>
        <v>Deelnemer 5</v>
      </c>
      <c r="F150" s="183">
        <f>'Deelnemer 5 vtg'!$C$7</f>
        <v>0</v>
      </c>
      <c r="G150" s="183" t="str">
        <f>'Deelnemer 5 vtg'!B29</f>
        <v xml:space="preserve"> - </v>
      </c>
      <c r="H150" s="186" t="str">
        <f>VLOOKUP(G150,'Categorie H2 Vtg.'!$B$4:$D$20,3,0)</f>
        <v>-</v>
      </c>
      <c r="I150" s="187">
        <f>'Deelnemer 5 vtg'!E29</f>
        <v>0</v>
      </c>
      <c r="J150" s="180">
        <f>'Deelnemer 5 vtg'!V29</f>
        <v>0</v>
      </c>
      <c r="K150" s="184">
        <f>'Deelnemer 5 vtg'!Z29</f>
        <v>0</v>
      </c>
      <c r="L150" s="184">
        <f>'Deelnemer 5 vtg'!AE29</f>
        <v>0</v>
      </c>
      <c r="M150" s="188">
        <f t="shared" si="8"/>
        <v>0</v>
      </c>
      <c r="N150" s="188">
        <f t="shared" si="9"/>
        <v>0</v>
      </c>
      <c r="O150" s="184">
        <f>'Deelnemer 5 vtg'!AG29</f>
        <v>0</v>
      </c>
      <c r="P150" s="184">
        <f>'Deelnemer 5 vtg'!AJ29</f>
        <v>0</v>
      </c>
      <c r="Q150" s="184">
        <f>'Deelnemer 5 vtg'!AK29</f>
        <v>0</v>
      </c>
    </row>
    <row r="151" spans="2:18" ht="16.5" hidden="1" customHeight="1" x14ac:dyDescent="0.3">
      <c r="B151" s="639"/>
      <c r="C151" s="161">
        <v>12</v>
      </c>
      <c r="D151" s="182" t="str">
        <f>'Deelnemer 5 vtg'!A30</f>
        <v/>
      </c>
      <c r="E151" s="183" t="str">
        <f>MID(_xlfn.TEXTJOIN(" ",TRUE,'Deelnemer 5 vtg'!$D$6,$B$140),1,11)</f>
        <v>Deelnemer 5</v>
      </c>
      <c r="F151" s="183">
        <f>'Deelnemer 5 vtg'!$C$7</f>
        <v>0</v>
      </c>
      <c r="G151" s="183" t="str">
        <f>'Deelnemer 5 vtg'!B30</f>
        <v xml:space="preserve"> - </v>
      </c>
      <c r="H151" s="186" t="str">
        <f>VLOOKUP(G151,'Categorie H2 Vtg.'!$B$4:$D$20,3,0)</f>
        <v>-</v>
      </c>
      <c r="I151" s="187">
        <f>'Deelnemer 5 vtg'!E30</f>
        <v>0</v>
      </c>
      <c r="J151" s="180">
        <f>'Deelnemer 5 vtg'!V30</f>
        <v>0</v>
      </c>
      <c r="K151" s="184">
        <f>'Deelnemer 5 vtg'!Z30</f>
        <v>0</v>
      </c>
      <c r="L151" s="184">
        <f>'Deelnemer 5 vtg'!AE30</f>
        <v>0</v>
      </c>
      <c r="M151" s="188">
        <f t="shared" si="8"/>
        <v>0</v>
      </c>
      <c r="N151" s="188">
        <f t="shared" si="9"/>
        <v>0</v>
      </c>
      <c r="O151" s="184">
        <f>'Deelnemer 5 vtg'!AG30</f>
        <v>0</v>
      </c>
      <c r="P151" s="184">
        <f>'Deelnemer 5 vtg'!AJ30</f>
        <v>0</v>
      </c>
      <c r="Q151" s="184">
        <f>'Deelnemer 5 vtg'!AK30</f>
        <v>0</v>
      </c>
    </row>
    <row r="152" spans="2:18" ht="16.5" hidden="1" customHeight="1" x14ac:dyDescent="0.3">
      <c r="B152" s="639"/>
      <c r="C152" s="161">
        <v>13</v>
      </c>
      <c r="D152" s="182" t="str">
        <f>'Deelnemer 5 vtg'!A31</f>
        <v/>
      </c>
      <c r="E152" s="183" t="str">
        <f>MID(_xlfn.TEXTJOIN(" ",TRUE,'Deelnemer 5 vtg'!$D$6,$B$140),1,11)</f>
        <v>Deelnemer 5</v>
      </c>
      <c r="F152" s="183">
        <f>'Deelnemer 5 vtg'!$C$7</f>
        <v>0</v>
      </c>
      <c r="G152" s="183" t="str">
        <f>'Deelnemer 5 vtg'!B31</f>
        <v xml:space="preserve"> - </v>
      </c>
      <c r="H152" s="186" t="str">
        <f>VLOOKUP(G152,'Categorie H2 Vtg.'!$B$4:$D$20,3,0)</f>
        <v>-</v>
      </c>
      <c r="I152" s="187">
        <f>'Deelnemer 5 vtg'!E31</f>
        <v>0</v>
      </c>
      <c r="J152" s="180">
        <f>'Deelnemer 5 vtg'!V31</f>
        <v>0</v>
      </c>
      <c r="K152" s="184">
        <f>'Deelnemer 5 vtg'!Z31</f>
        <v>0</v>
      </c>
      <c r="L152" s="184">
        <f>'Deelnemer 5 vtg'!AE31</f>
        <v>0</v>
      </c>
      <c r="M152" s="188">
        <f t="shared" si="8"/>
        <v>0</v>
      </c>
      <c r="N152" s="188">
        <f t="shared" si="9"/>
        <v>0</v>
      </c>
      <c r="O152" s="184">
        <f>'Deelnemer 5 vtg'!AG31</f>
        <v>0</v>
      </c>
      <c r="P152" s="184">
        <f>'Deelnemer 5 vtg'!AJ31</f>
        <v>0</v>
      </c>
      <c r="Q152" s="184">
        <f>'Deelnemer 5 vtg'!AK31</f>
        <v>0</v>
      </c>
    </row>
    <row r="153" spans="2:18" ht="16.5" hidden="1" customHeight="1" x14ac:dyDescent="0.3">
      <c r="B153" s="639"/>
      <c r="C153" s="161">
        <v>14</v>
      </c>
      <c r="D153" s="182" t="str">
        <f>'Deelnemer 5 vtg'!A32</f>
        <v/>
      </c>
      <c r="E153" s="183" t="str">
        <f>MID(_xlfn.TEXTJOIN(" ",TRUE,'Deelnemer 5 vtg'!$D$6,$B$140),1,11)</f>
        <v>Deelnemer 5</v>
      </c>
      <c r="F153" s="183">
        <f>'Deelnemer 5 vtg'!$C$7</f>
        <v>0</v>
      </c>
      <c r="G153" s="183" t="str">
        <f>'Deelnemer 5 vtg'!B32</f>
        <v xml:space="preserve"> - </v>
      </c>
      <c r="H153" s="186" t="str">
        <f>VLOOKUP(G153,'Categorie H2 Vtg.'!$B$4:$D$20,3,0)</f>
        <v>-</v>
      </c>
      <c r="I153" s="187">
        <f>'Deelnemer 5 vtg'!E32</f>
        <v>0</v>
      </c>
      <c r="J153" s="180">
        <f>'Deelnemer 5 vtg'!V32</f>
        <v>0</v>
      </c>
      <c r="K153" s="184">
        <f>'Deelnemer 5 vtg'!Z32</f>
        <v>0</v>
      </c>
      <c r="L153" s="184">
        <f>'Deelnemer 5 vtg'!AE32</f>
        <v>0</v>
      </c>
      <c r="M153" s="188">
        <f t="shared" si="8"/>
        <v>0</v>
      </c>
      <c r="N153" s="188">
        <f t="shared" si="9"/>
        <v>0</v>
      </c>
      <c r="O153" s="184">
        <f>'Deelnemer 5 vtg'!AG32</f>
        <v>0</v>
      </c>
      <c r="P153" s="184">
        <f>'Deelnemer 5 vtg'!AJ32</f>
        <v>0</v>
      </c>
      <c r="Q153" s="184">
        <f>'Deelnemer 5 vtg'!AK32</f>
        <v>0</v>
      </c>
    </row>
    <row r="154" spans="2:18" ht="16.5" hidden="1" customHeight="1" x14ac:dyDescent="0.3">
      <c r="B154" s="639"/>
      <c r="C154" s="161">
        <v>15</v>
      </c>
      <c r="D154" s="182" t="str">
        <f>'Deelnemer 5 vtg'!A33</f>
        <v/>
      </c>
      <c r="E154" s="183" t="str">
        <f>MID(_xlfn.TEXTJOIN(" ",TRUE,'Deelnemer 5 vtg'!$D$6,$B$140),1,11)</f>
        <v>Deelnemer 5</v>
      </c>
      <c r="F154" s="183">
        <f>'Deelnemer 5 vtg'!$C$7</f>
        <v>0</v>
      </c>
      <c r="G154" s="183" t="str">
        <f>'Deelnemer 5 vtg'!B33</f>
        <v xml:space="preserve"> - </v>
      </c>
      <c r="H154" s="186" t="str">
        <f>VLOOKUP(G154,'Categorie H2 Vtg.'!$B$4:$D$20,3,0)</f>
        <v>-</v>
      </c>
      <c r="I154" s="187">
        <f>'Deelnemer 5 vtg'!E33</f>
        <v>0</v>
      </c>
      <c r="J154" s="180">
        <f>'Deelnemer 5 vtg'!V33</f>
        <v>0</v>
      </c>
      <c r="K154" s="184">
        <f>'Deelnemer 5 vtg'!Z33</f>
        <v>0</v>
      </c>
      <c r="L154" s="184">
        <f>'Deelnemer 5 vtg'!AE33</f>
        <v>0</v>
      </c>
      <c r="M154" s="188">
        <f t="shared" si="8"/>
        <v>0</v>
      </c>
      <c r="N154" s="188">
        <f t="shared" si="9"/>
        <v>0</v>
      </c>
      <c r="O154" s="184">
        <f>'Deelnemer 5 vtg'!AG33</f>
        <v>0</v>
      </c>
      <c r="P154" s="184">
        <f>'Deelnemer 5 vtg'!AJ33</f>
        <v>0</v>
      </c>
      <c r="Q154" s="184">
        <f>'Deelnemer 5 vtg'!AK33</f>
        <v>0</v>
      </c>
    </row>
    <row r="155" spans="2:18" s="181" customFormat="1" ht="16.5" hidden="1" customHeight="1" x14ac:dyDescent="0.3">
      <c r="B155" s="639">
        <f t="shared" si="5"/>
        <v>6</v>
      </c>
      <c r="C155" s="189">
        <v>1</v>
      </c>
      <c r="D155" s="182" t="str">
        <f>'Deelnemer 6 vtg'!A19</f>
        <v/>
      </c>
      <c r="E155" s="183" t="str">
        <f>MID(_xlfn.TEXTJOIN(" ",TRUE,'Deelnemer 6 vtg'!$D$6,$B$155),1,11)</f>
        <v>Deelnemer 6</v>
      </c>
      <c r="F155" s="183">
        <f>'Deelnemer 6 vtg'!$C$7</f>
        <v>0</v>
      </c>
      <c r="G155" s="183" t="str">
        <f>'Deelnemer 6 vtg'!B19</f>
        <v xml:space="preserve"> - </v>
      </c>
      <c r="H155" s="183" t="str">
        <f>VLOOKUP(G155,'Categorie H2 Vtg.'!$B$4:$D$20,3,0)</f>
        <v>-</v>
      </c>
      <c r="I155" s="187">
        <f>'Deelnemer 6 vtg'!E19</f>
        <v>0</v>
      </c>
      <c r="J155" s="180">
        <f>'Deelnemer 6 vtg'!V19</f>
        <v>0</v>
      </c>
      <c r="K155" s="184">
        <f>'Deelnemer 6 vtg'!Z19</f>
        <v>0</v>
      </c>
      <c r="L155" s="184">
        <f>'Deelnemer 6 vtg'!AE19</f>
        <v>0</v>
      </c>
      <c r="M155" s="184">
        <f>K155*J155</f>
        <v>0</v>
      </c>
      <c r="N155" s="184">
        <f>L155*J155</f>
        <v>0</v>
      </c>
      <c r="O155" s="184">
        <f>'Deelnemer 6 vtg'!AG19</f>
        <v>0</v>
      </c>
      <c r="P155" s="184">
        <f>'Deelnemer 6 vtg'!AJ19</f>
        <v>0</v>
      </c>
      <c r="Q155" s="184">
        <f>'Deelnemer 6 vtg'!AK19</f>
        <v>0</v>
      </c>
      <c r="R155" s="161"/>
    </row>
    <row r="156" spans="2:18" ht="16.5" hidden="1" customHeight="1" x14ac:dyDescent="0.3">
      <c r="B156" s="639"/>
      <c r="C156" s="161">
        <v>2</v>
      </c>
      <c r="D156" s="182" t="str">
        <f>'Deelnemer 6 vtg'!A20</f>
        <v/>
      </c>
      <c r="E156" s="183" t="str">
        <f>MID(_xlfn.TEXTJOIN(" ",TRUE,'Deelnemer 6 vtg'!$D$6,$B$155),1,11)</f>
        <v>Deelnemer 6</v>
      </c>
      <c r="F156" s="183">
        <f>'Deelnemer 6 vtg'!$C$7</f>
        <v>0</v>
      </c>
      <c r="G156" s="183" t="str">
        <f>'Deelnemer 6 vtg'!B20</f>
        <v xml:space="preserve"> - </v>
      </c>
      <c r="H156" s="186" t="str">
        <f>VLOOKUP(G156,'Categorie H2 Vtg.'!$B$4:$D$20,3,0)</f>
        <v>-</v>
      </c>
      <c r="I156" s="187">
        <f>'Deelnemer 6 vtg'!E20</f>
        <v>0</v>
      </c>
      <c r="J156" s="180">
        <f>'Deelnemer 6 vtg'!V20</f>
        <v>0</v>
      </c>
      <c r="K156" s="184">
        <f>'Deelnemer 6 vtg'!Z20</f>
        <v>0</v>
      </c>
      <c r="L156" s="184">
        <f>'Deelnemer 6 vtg'!AE20</f>
        <v>0</v>
      </c>
      <c r="M156" s="188">
        <f t="shared" ref="M156:M169" si="10">K156*J156</f>
        <v>0</v>
      </c>
      <c r="N156" s="188">
        <f t="shared" ref="N156:N169" si="11">L156*J156</f>
        <v>0</v>
      </c>
      <c r="O156" s="184">
        <f>'Deelnemer 6 vtg'!AG20</f>
        <v>0</v>
      </c>
      <c r="P156" s="184">
        <f>'Deelnemer 6 vtg'!AJ20</f>
        <v>0</v>
      </c>
      <c r="Q156" s="184">
        <f>'Deelnemer 6 vtg'!AK20</f>
        <v>0</v>
      </c>
    </row>
    <row r="157" spans="2:18" ht="16.5" hidden="1" customHeight="1" x14ac:dyDescent="0.3">
      <c r="B157" s="639"/>
      <c r="C157" s="161">
        <v>3</v>
      </c>
      <c r="D157" s="182" t="str">
        <f>'Deelnemer 6 vtg'!A21</f>
        <v/>
      </c>
      <c r="E157" s="183" t="str">
        <f>MID(_xlfn.TEXTJOIN(" ",TRUE,'Deelnemer 6 vtg'!$D$6,$B$155),1,11)</f>
        <v>Deelnemer 6</v>
      </c>
      <c r="F157" s="183">
        <f>'Deelnemer 6 vtg'!$C$7</f>
        <v>0</v>
      </c>
      <c r="G157" s="183" t="str">
        <f>'Deelnemer 6 vtg'!B21</f>
        <v xml:space="preserve"> - </v>
      </c>
      <c r="H157" s="186" t="str">
        <f>VLOOKUP(G157,'Categorie H2 Vtg.'!$B$4:$D$20,3,0)</f>
        <v>-</v>
      </c>
      <c r="I157" s="187">
        <f>'Deelnemer 6 vtg'!E21</f>
        <v>0</v>
      </c>
      <c r="J157" s="180">
        <f>'Deelnemer 6 vtg'!V21</f>
        <v>0</v>
      </c>
      <c r="K157" s="184">
        <f>'Deelnemer 6 vtg'!Z21</f>
        <v>0</v>
      </c>
      <c r="L157" s="184">
        <f>'Deelnemer 6 vtg'!AE21</f>
        <v>0</v>
      </c>
      <c r="M157" s="188">
        <f t="shared" si="10"/>
        <v>0</v>
      </c>
      <c r="N157" s="188">
        <f t="shared" si="11"/>
        <v>0</v>
      </c>
      <c r="O157" s="184">
        <f>'Deelnemer 6 vtg'!AG21</f>
        <v>0</v>
      </c>
      <c r="P157" s="184">
        <f>'Deelnemer 6 vtg'!AJ21</f>
        <v>0</v>
      </c>
      <c r="Q157" s="184">
        <f>'Deelnemer 6 vtg'!AK21</f>
        <v>0</v>
      </c>
    </row>
    <row r="158" spans="2:18" ht="16.5" hidden="1" customHeight="1" x14ac:dyDescent="0.3">
      <c r="B158" s="639"/>
      <c r="C158" s="161">
        <v>4</v>
      </c>
      <c r="D158" s="182" t="str">
        <f>'Deelnemer 6 vtg'!A22</f>
        <v/>
      </c>
      <c r="E158" s="183" t="str">
        <f>MID(_xlfn.TEXTJOIN(" ",TRUE,'Deelnemer 6 vtg'!$D$6,$B$155),1,11)</f>
        <v>Deelnemer 6</v>
      </c>
      <c r="F158" s="183">
        <f>'Deelnemer 6 vtg'!$C$7</f>
        <v>0</v>
      </c>
      <c r="G158" s="183" t="str">
        <f>'Deelnemer 6 vtg'!B22</f>
        <v xml:space="preserve"> - </v>
      </c>
      <c r="H158" s="186" t="str">
        <f>VLOOKUP(G158,'Categorie H2 Vtg.'!$B$4:$D$20,3,0)</f>
        <v>-</v>
      </c>
      <c r="I158" s="187">
        <f>'Deelnemer 6 vtg'!E22</f>
        <v>0</v>
      </c>
      <c r="J158" s="180">
        <f>'Deelnemer 6 vtg'!V22</f>
        <v>0</v>
      </c>
      <c r="K158" s="184">
        <f>'Deelnemer 6 vtg'!Z22</f>
        <v>0</v>
      </c>
      <c r="L158" s="184">
        <f>'Deelnemer 6 vtg'!AE22</f>
        <v>0</v>
      </c>
      <c r="M158" s="188">
        <f t="shared" si="10"/>
        <v>0</v>
      </c>
      <c r="N158" s="188">
        <f t="shared" si="11"/>
        <v>0</v>
      </c>
      <c r="O158" s="184">
        <f>'Deelnemer 6 vtg'!AG22</f>
        <v>0</v>
      </c>
      <c r="P158" s="184">
        <f>'Deelnemer 6 vtg'!AJ22</f>
        <v>0</v>
      </c>
      <c r="Q158" s="184">
        <f>'Deelnemer 6 vtg'!AK22</f>
        <v>0</v>
      </c>
    </row>
    <row r="159" spans="2:18" ht="16.5" hidden="1" customHeight="1" x14ac:dyDescent="0.3">
      <c r="B159" s="639"/>
      <c r="C159" s="161">
        <v>5</v>
      </c>
      <c r="D159" s="182" t="str">
        <f>'Deelnemer 6 vtg'!A23</f>
        <v/>
      </c>
      <c r="E159" s="183" t="str">
        <f>MID(_xlfn.TEXTJOIN(" ",TRUE,'Deelnemer 6 vtg'!$D$6,$B$155),1,11)</f>
        <v>Deelnemer 6</v>
      </c>
      <c r="F159" s="183">
        <f>'Deelnemer 6 vtg'!$C$7</f>
        <v>0</v>
      </c>
      <c r="G159" s="183" t="str">
        <f>'Deelnemer 6 vtg'!B23</f>
        <v xml:space="preserve"> - </v>
      </c>
      <c r="H159" s="186" t="str">
        <f>VLOOKUP(G159,'Categorie H2 Vtg.'!$B$4:$D$20,3,0)</f>
        <v>-</v>
      </c>
      <c r="I159" s="187">
        <f>'Deelnemer 6 vtg'!E23</f>
        <v>0</v>
      </c>
      <c r="J159" s="180">
        <f>'Deelnemer 6 vtg'!V23</f>
        <v>0</v>
      </c>
      <c r="K159" s="184">
        <f>'Deelnemer 6 vtg'!Z23</f>
        <v>0</v>
      </c>
      <c r="L159" s="184">
        <f>'Deelnemer 6 vtg'!AE23</f>
        <v>0</v>
      </c>
      <c r="M159" s="188">
        <f t="shared" si="10"/>
        <v>0</v>
      </c>
      <c r="N159" s="188">
        <f t="shared" si="11"/>
        <v>0</v>
      </c>
      <c r="O159" s="184">
        <f>'Deelnemer 6 vtg'!AG23</f>
        <v>0</v>
      </c>
      <c r="P159" s="184">
        <f>'Deelnemer 6 vtg'!AJ23</f>
        <v>0</v>
      </c>
      <c r="Q159" s="184">
        <f>'Deelnemer 6 vtg'!AK23</f>
        <v>0</v>
      </c>
    </row>
    <row r="160" spans="2:18" ht="16.5" hidden="1" customHeight="1" x14ac:dyDescent="0.3">
      <c r="B160" s="639"/>
      <c r="C160" s="161">
        <v>6</v>
      </c>
      <c r="D160" s="182" t="str">
        <f>'Deelnemer 6 vtg'!A24</f>
        <v/>
      </c>
      <c r="E160" s="183" t="str">
        <f>MID(_xlfn.TEXTJOIN(" ",TRUE,'Deelnemer 6 vtg'!$D$6,$B$155),1,11)</f>
        <v>Deelnemer 6</v>
      </c>
      <c r="F160" s="183">
        <f>'Deelnemer 6 vtg'!$C$7</f>
        <v>0</v>
      </c>
      <c r="G160" s="183" t="str">
        <f>'Deelnemer 6 vtg'!B24</f>
        <v xml:space="preserve"> - </v>
      </c>
      <c r="H160" s="186" t="str">
        <f>VLOOKUP(G160,'Categorie H2 Vtg.'!$B$4:$D$20,3,0)</f>
        <v>-</v>
      </c>
      <c r="I160" s="187">
        <f>'Deelnemer 6 vtg'!E24</f>
        <v>0</v>
      </c>
      <c r="J160" s="180">
        <f>'Deelnemer 6 vtg'!V24</f>
        <v>0</v>
      </c>
      <c r="K160" s="184">
        <f>'Deelnemer 6 vtg'!Z24</f>
        <v>0</v>
      </c>
      <c r="L160" s="184">
        <f>'Deelnemer 6 vtg'!AE24</f>
        <v>0</v>
      </c>
      <c r="M160" s="188">
        <f t="shared" si="10"/>
        <v>0</v>
      </c>
      <c r="N160" s="188">
        <f t="shared" si="11"/>
        <v>0</v>
      </c>
      <c r="O160" s="184">
        <f>'Deelnemer 6 vtg'!AG24</f>
        <v>0</v>
      </c>
      <c r="P160" s="184">
        <f>'Deelnemer 6 vtg'!AJ24</f>
        <v>0</v>
      </c>
      <c r="Q160" s="184">
        <f>'Deelnemer 6 vtg'!AK24</f>
        <v>0</v>
      </c>
    </row>
    <row r="161" spans="2:18" ht="16.5" hidden="1" customHeight="1" x14ac:dyDescent="0.3">
      <c r="B161" s="639"/>
      <c r="C161" s="161">
        <v>7</v>
      </c>
      <c r="D161" s="182" t="str">
        <f>'Deelnemer 6 vtg'!A25</f>
        <v/>
      </c>
      <c r="E161" s="183" t="str">
        <f>MID(_xlfn.TEXTJOIN(" ",TRUE,'Deelnemer 6 vtg'!$D$6,$B$155),1,11)</f>
        <v>Deelnemer 6</v>
      </c>
      <c r="F161" s="183">
        <f>'Deelnemer 6 vtg'!$C$7</f>
        <v>0</v>
      </c>
      <c r="G161" s="183" t="str">
        <f>'Deelnemer 6 vtg'!B25</f>
        <v xml:space="preserve"> - </v>
      </c>
      <c r="H161" s="186" t="str">
        <f>VLOOKUP(G161,'Categorie H2 Vtg.'!$B$4:$D$20,3,0)</f>
        <v>-</v>
      </c>
      <c r="I161" s="187">
        <f>'Deelnemer 6 vtg'!E25</f>
        <v>0</v>
      </c>
      <c r="J161" s="180">
        <f>'Deelnemer 6 vtg'!V25</f>
        <v>0</v>
      </c>
      <c r="K161" s="184">
        <f>'Deelnemer 6 vtg'!Z25</f>
        <v>0</v>
      </c>
      <c r="L161" s="184">
        <f>'Deelnemer 6 vtg'!AE25</f>
        <v>0</v>
      </c>
      <c r="M161" s="188">
        <f t="shared" si="10"/>
        <v>0</v>
      </c>
      <c r="N161" s="188">
        <f t="shared" si="11"/>
        <v>0</v>
      </c>
      <c r="O161" s="184">
        <f>'Deelnemer 6 vtg'!AG25</f>
        <v>0</v>
      </c>
      <c r="P161" s="184">
        <f>'Deelnemer 6 vtg'!AJ25</f>
        <v>0</v>
      </c>
      <c r="Q161" s="184">
        <f>'Deelnemer 6 vtg'!AK25</f>
        <v>0</v>
      </c>
    </row>
    <row r="162" spans="2:18" ht="16.5" hidden="1" customHeight="1" x14ac:dyDescent="0.3">
      <c r="B162" s="639"/>
      <c r="C162" s="161">
        <v>8</v>
      </c>
      <c r="D162" s="182" t="str">
        <f>'Deelnemer 6 vtg'!A26</f>
        <v/>
      </c>
      <c r="E162" s="183" t="str">
        <f>MID(_xlfn.TEXTJOIN(" ",TRUE,'Deelnemer 6 vtg'!$D$6,$B$155),1,11)</f>
        <v>Deelnemer 6</v>
      </c>
      <c r="F162" s="183">
        <f>'Deelnemer 6 vtg'!$C$7</f>
        <v>0</v>
      </c>
      <c r="G162" s="183" t="str">
        <f>'Deelnemer 6 vtg'!B26</f>
        <v xml:space="preserve"> - </v>
      </c>
      <c r="H162" s="186" t="str">
        <f>VLOOKUP(G162,'Categorie H2 Vtg.'!$B$4:$D$20,3,0)</f>
        <v>-</v>
      </c>
      <c r="I162" s="187">
        <f>'Deelnemer 6 vtg'!E26</f>
        <v>0</v>
      </c>
      <c r="J162" s="180">
        <f>'Deelnemer 6 vtg'!V26</f>
        <v>0</v>
      </c>
      <c r="K162" s="184">
        <f>'Deelnemer 6 vtg'!Z26</f>
        <v>0</v>
      </c>
      <c r="L162" s="184">
        <f>'Deelnemer 6 vtg'!AE26</f>
        <v>0</v>
      </c>
      <c r="M162" s="188">
        <f t="shared" si="10"/>
        <v>0</v>
      </c>
      <c r="N162" s="188">
        <f t="shared" si="11"/>
        <v>0</v>
      </c>
      <c r="O162" s="184">
        <f>'Deelnemer 6 vtg'!AG26</f>
        <v>0</v>
      </c>
      <c r="P162" s="184">
        <f>'Deelnemer 6 vtg'!AJ26</f>
        <v>0</v>
      </c>
      <c r="Q162" s="184">
        <f>'Deelnemer 6 vtg'!AK26</f>
        <v>0</v>
      </c>
    </row>
    <row r="163" spans="2:18" ht="16.5" hidden="1" customHeight="1" x14ac:dyDescent="0.3">
      <c r="B163" s="639"/>
      <c r="C163" s="161">
        <v>9</v>
      </c>
      <c r="D163" s="182" t="str">
        <f>'Deelnemer 6 vtg'!A27</f>
        <v/>
      </c>
      <c r="E163" s="183" t="str">
        <f>MID(_xlfn.TEXTJOIN(" ",TRUE,'Deelnemer 6 vtg'!$D$6,$B$155),1,11)</f>
        <v>Deelnemer 6</v>
      </c>
      <c r="F163" s="183">
        <f>'Deelnemer 6 vtg'!$C$7</f>
        <v>0</v>
      </c>
      <c r="G163" s="183" t="str">
        <f>'Deelnemer 6 vtg'!B27</f>
        <v xml:space="preserve"> - </v>
      </c>
      <c r="H163" s="186" t="str">
        <f>VLOOKUP(G163,'Categorie H2 Vtg.'!$B$4:$D$20,3,0)</f>
        <v>-</v>
      </c>
      <c r="I163" s="187">
        <f>'Deelnemer 6 vtg'!E27</f>
        <v>0</v>
      </c>
      <c r="J163" s="180">
        <f>'Deelnemer 6 vtg'!V27</f>
        <v>0</v>
      </c>
      <c r="K163" s="184">
        <f>'Deelnemer 6 vtg'!Z27</f>
        <v>0</v>
      </c>
      <c r="L163" s="184">
        <f>'Deelnemer 6 vtg'!AE27</f>
        <v>0</v>
      </c>
      <c r="M163" s="188">
        <f t="shared" si="10"/>
        <v>0</v>
      </c>
      <c r="N163" s="188">
        <f t="shared" si="11"/>
        <v>0</v>
      </c>
      <c r="O163" s="184">
        <f>'Deelnemer 6 vtg'!AG27</f>
        <v>0</v>
      </c>
      <c r="P163" s="184">
        <f>'Deelnemer 6 vtg'!AJ27</f>
        <v>0</v>
      </c>
      <c r="Q163" s="184">
        <f>'Deelnemer 6 vtg'!AK27</f>
        <v>0</v>
      </c>
    </row>
    <row r="164" spans="2:18" ht="16.5" hidden="1" customHeight="1" x14ac:dyDescent="0.3">
      <c r="B164" s="639"/>
      <c r="C164" s="161">
        <v>10</v>
      </c>
      <c r="D164" s="182" t="str">
        <f>'Deelnemer 6 vtg'!A28</f>
        <v/>
      </c>
      <c r="E164" s="183" t="str">
        <f>MID(_xlfn.TEXTJOIN(" ",TRUE,'Deelnemer 6 vtg'!$D$6,$B$155),1,11)</f>
        <v>Deelnemer 6</v>
      </c>
      <c r="F164" s="183">
        <f>'Deelnemer 6 vtg'!$C$7</f>
        <v>0</v>
      </c>
      <c r="G164" s="183" t="str">
        <f>'Deelnemer 6 vtg'!B28</f>
        <v xml:space="preserve"> - </v>
      </c>
      <c r="H164" s="186" t="str">
        <f>VLOOKUP(G164,'Categorie H2 Vtg.'!$B$4:$D$20,3,0)</f>
        <v>-</v>
      </c>
      <c r="I164" s="187">
        <f>'Deelnemer 6 vtg'!E28</f>
        <v>0</v>
      </c>
      <c r="J164" s="180">
        <f>'Deelnemer 6 vtg'!V28</f>
        <v>0</v>
      </c>
      <c r="K164" s="184">
        <f>'Deelnemer 6 vtg'!Z28</f>
        <v>0</v>
      </c>
      <c r="L164" s="184">
        <f>'Deelnemer 6 vtg'!AE28</f>
        <v>0</v>
      </c>
      <c r="M164" s="188">
        <f t="shared" si="10"/>
        <v>0</v>
      </c>
      <c r="N164" s="188">
        <f t="shared" si="11"/>
        <v>0</v>
      </c>
      <c r="O164" s="184">
        <f>'Deelnemer 6 vtg'!AG28</f>
        <v>0</v>
      </c>
      <c r="P164" s="184">
        <f>'Deelnemer 6 vtg'!AJ28</f>
        <v>0</v>
      </c>
      <c r="Q164" s="184">
        <f>'Deelnemer 6 vtg'!AK28</f>
        <v>0</v>
      </c>
    </row>
    <row r="165" spans="2:18" ht="16.5" hidden="1" customHeight="1" x14ac:dyDescent="0.3">
      <c r="B165" s="639"/>
      <c r="C165" s="161">
        <v>11</v>
      </c>
      <c r="D165" s="182" t="str">
        <f>'Deelnemer 6 vtg'!A29</f>
        <v/>
      </c>
      <c r="E165" s="183" t="str">
        <f>MID(_xlfn.TEXTJOIN(" ",TRUE,'Deelnemer 6 vtg'!$D$6,$B$155),1,11)</f>
        <v>Deelnemer 6</v>
      </c>
      <c r="F165" s="183">
        <f>'Deelnemer 6 vtg'!$C$7</f>
        <v>0</v>
      </c>
      <c r="G165" s="183" t="str">
        <f>'Deelnemer 6 vtg'!B29</f>
        <v xml:space="preserve"> - </v>
      </c>
      <c r="H165" s="186" t="str">
        <f>VLOOKUP(G165,'Categorie H2 Vtg.'!$B$4:$D$20,3,0)</f>
        <v>-</v>
      </c>
      <c r="I165" s="187">
        <f>'Deelnemer 6 vtg'!E29</f>
        <v>0</v>
      </c>
      <c r="J165" s="180">
        <f>'Deelnemer 6 vtg'!V29</f>
        <v>0</v>
      </c>
      <c r="K165" s="184">
        <f>'Deelnemer 6 vtg'!Z29</f>
        <v>0</v>
      </c>
      <c r="L165" s="184">
        <f>'Deelnemer 6 vtg'!AE29</f>
        <v>0</v>
      </c>
      <c r="M165" s="188">
        <f t="shared" si="10"/>
        <v>0</v>
      </c>
      <c r="N165" s="188">
        <f t="shared" si="11"/>
        <v>0</v>
      </c>
      <c r="O165" s="184">
        <f>'Deelnemer 6 vtg'!AG29</f>
        <v>0</v>
      </c>
      <c r="P165" s="184">
        <f>'Deelnemer 6 vtg'!AJ29</f>
        <v>0</v>
      </c>
      <c r="Q165" s="184">
        <f>'Deelnemer 6 vtg'!AK29</f>
        <v>0</v>
      </c>
    </row>
    <row r="166" spans="2:18" ht="16.5" hidden="1" customHeight="1" x14ac:dyDescent="0.3">
      <c r="B166" s="639"/>
      <c r="C166" s="161">
        <v>12</v>
      </c>
      <c r="D166" s="182" t="str">
        <f>'Deelnemer 6 vtg'!A30</f>
        <v/>
      </c>
      <c r="E166" s="183" t="str">
        <f>MID(_xlfn.TEXTJOIN(" ",TRUE,'Deelnemer 6 vtg'!$D$6,$B$155),1,11)</f>
        <v>Deelnemer 6</v>
      </c>
      <c r="F166" s="183">
        <f>'Deelnemer 6 vtg'!$C$7</f>
        <v>0</v>
      </c>
      <c r="G166" s="183" t="str">
        <f>'Deelnemer 6 vtg'!B30</f>
        <v xml:space="preserve"> - </v>
      </c>
      <c r="H166" s="186" t="str">
        <f>VLOOKUP(G166,'Categorie H2 Vtg.'!$B$4:$D$20,3,0)</f>
        <v>-</v>
      </c>
      <c r="I166" s="187">
        <f>'Deelnemer 6 vtg'!E30</f>
        <v>0</v>
      </c>
      <c r="J166" s="180">
        <f>'Deelnemer 6 vtg'!V30</f>
        <v>0</v>
      </c>
      <c r="K166" s="184">
        <f>'Deelnemer 6 vtg'!Z30</f>
        <v>0</v>
      </c>
      <c r="L166" s="184">
        <f>'Deelnemer 6 vtg'!AE30</f>
        <v>0</v>
      </c>
      <c r="M166" s="188">
        <f t="shared" si="10"/>
        <v>0</v>
      </c>
      <c r="N166" s="188">
        <f t="shared" si="11"/>
        <v>0</v>
      </c>
      <c r="O166" s="184">
        <f>'Deelnemer 6 vtg'!AG30</f>
        <v>0</v>
      </c>
      <c r="P166" s="184">
        <f>'Deelnemer 6 vtg'!AJ30</f>
        <v>0</v>
      </c>
      <c r="Q166" s="184">
        <f>'Deelnemer 6 vtg'!AK30</f>
        <v>0</v>
      </c>
    </row>
    <row r="167" spans="2:18" ht="16.5" hidden="1" customHeight="1" x14ac:dyDescent="0.3">
      <c r="B167" s="639"/>
      <c r="C167" s="161">
        <v>13</v>
      </c>
      <c r="D167" s="182" t="str">
        <f>'Deelnemer 6 vtg'!A31</f>
        <v/>
      </c>
      <c r="E167" s="183" t="str">
        <f>MID(_xlfn.TEXTJOIN(" ",TRUE,'Deelnemer 6 vtg'!$D$6,$B$155),1,11)</f>
        <v>Deelnemer 6</v>
      </c>
      <c r="F167" s="183">
        <f>'Deelnemer 6 vtg'!$C$7</f>
        <v>0</v>
      </c>
      <c r="G167" s="183" t="str">
        <f>'Deelnemer 6 vtg'!B31</f>
        <v xml:space="preserve"> - </v>
      </c>
      <c r="H167" s="186" t="str">
        <f>VLOOKUP(G167,'Categorie H2 Vtg.'!$B$4:$D$20,3,0)</f>
        <v>-</v>
      </c>
      <c r="I167" s="187">
        <f>'Deelnemer 6 vtg'!E31</f>
        <v>0</v>
      </c>
      <c r="J167" s="180">
        <f>'Deelnemer 6 vtg'!V31</f>
        <v>0</v>
      </c>
      <c r="K167" s="184">
        <f>'Deelnemer 6 vtg'!Z31</f>
        <v>0</v>
      </c>
      <c r="L167" s="184">
        <f>'Deelnemer 6 vtg'!AE31</f>
        <v>0</v>
      </c>
      <c r="M167" s="188">
        <f t="shared" si="10"/>
        <v>0</v>
      </c>
      <c r="N167" s="188">
        <f t="shared" si="11"/>
        <v>0</v>
      </c>
      <c r="O167" s="184">
        <f>'Deelnemer 6 vtg'!AG31</f>
        <v>0</v>
      </c>
      <c r="P167" s="184">
        <f>'Deelnemer 6 vtg'!AJ31</f>
        <v>0</v>
      </c>
      <c r="Q167" s="184">
        <f>'Deelnemer 6 vtg'!AK31</f>
        <v>0</v>
      </c>
    </row>
    <row r="168" spans="2:18" ht="16.5" hidden="1" customHeight="1" x14ac:dyDescent="0.3">
      <c r="B168" s="639"/>
      <c r="C168" s="161">
        <v>14</v>
      </c>
      <c r="D168" s="182" t="str">
        <f>'Deelnemer 6 vtg'!A32</f>
        <v/>
      </c>
      <c r="E168" s="183" t="str">
        <f>MID(_xlfn.TEXTJOIN(" ",TRUE,'Deelnemer 6 vtg'!$D$6,$B$155),1,11)</f>
        <v>Deelnemer 6</v>
      </c>
      <c r="F168" s="183">
        <f>'Deelnemer 6 vtg'!$C$7</f>
        <v>0</v>
      </c>
      <c r="G168" s="183" t="str">
        <f>'Deelnemer 6 vtg'!B32</f>
        <v xml:space="preserve"> - </v>
      </c>
      <c r="H168" s="186" t="str">
        <f>VLOOKUP(G168,'Categorie H2 Vtg.'!$B$4:$D$20,3,0)</f>
        <v>-</v>
      </c>
      <c r="I168" s="187">
        <f>'Deelnemer 6 vtg'!E32</f>
        <v>0</v>
      </c>
      <c r="J168" s="180">
        <f>'Deelnemer 6 vtg'!V32</f>
        <v>0</v>
      </c>
      <c r="K168" s="184">
        <f>'Deelnemer 6 vtg'!Z32</f>
        <v>0</v>
      </c>
      <c r="L168" s="184">
        <f>'Deelnemer 6 vtg'!AE32</f>
        <v>0</v>
      </c>
      <c r="M168" s="188">
        <f t="shared" si="10"/>
        <v>0</v>
      </c>
      <c r="N168" s="188">
        <f t="shared" si="11"/>
        <v>0</v>
      </c>
      <c r="O168" s="184">
        <f>'Deelnemer 6 vtg'!AG32</f>
        <v>0</v>
      </c>
      <c r="P168" s="184">
        <f>'Deelnemer 6 vtg'!AJ32</f>
        <v>0</v>
      </c>
      <c r="Q168" s="184">
        <f>'Deelnemer 6 vtg'!AK32</f>
        <v>0</v>
      </c>
    </row>
    <row r="169" spans="2:18" ht="16.5" hidden="1" customHeight="1" x14ac:dyDescent="0.3">
      <c r="B169" s="639"/>
      <c r="C169" s="161">
        <v>15</v>
      </c>
      <c r="D169" s="182" t="str">
        <f>'Deelnemer 6 vtg'!A33</f>
        <v/>
      </c>
      <c r="E169" s="183" t="str">
        <f>MID(_xlfn.TEXTJOIN(" ",TRUE,'Deelnemer 6 vtg'!$D$6,$B$155),1,11)</f>
        <v>Deelnemer 6</v>
      </c>
      <c r="F169" s="183">
        <f>'Deelnemer 6 vtg'!$C$7</f>
        <v>0</v>
      </c>
      <c r="G169" s="183" t="str">
        <f>'Deelnemer 6 vtg'!B33</f>
        <v xml:space="preserve"> - </v>
      </c>
      <c r="H169" s="186" t="str">
        <f>VLOOKUP(G169,'Categorie H2 Vtg.'!$B$4:$D$20,3,0)</f>
        <v>-</v>
      </c>
      <c r="I169" s="187">
        <f>'Deelnemer 6 vtg'!E33</f>
        <v>0</v>
      </c>
      <c r="J169" s="180">
        <f>'Deelnemer 6 vtg'!V33</f>
        <v>0</v>
      </c>
      <c r="K169" s="184">
        <f>'Deelnemer 6 vtg'!Z33</f>
        <v>0</v>
      </c>
      <c r="L169" s="184">
        <f>'Deelnemer 6 vtg'!AE33</f>
        <v>0</v>
      </c>
      <c r="M169" s="188">
        <f t="shared" si="10"/>
        <v>0</v>
      </c>
      <c r="N169" s="188">
        <f t="shared" si="11"/>
        <v>0</v>
      </c>
      <c r="O169" s="184">
        <f>'Deelnemer 6 vtg'!AG33</f>
        <v>0</v>
      </c>
      <c r="P169" s="184">
        <f>'Deelnemer 6 vtg'!AJ33</f>
        <v>0</v>
      </c>
      <c r="Q169" s="184">
        <f>'Deelnemer 6 vtg'!AK33</f>
        <v>0</v>
      </c>
    </row>
    <row r="170" spans="2:18" s="181" customFormat="1" ht="16.5" hidden="1" customHeight="1" x14ac:dyDescent="0.3">
      <c r="B170" s="639">
        <f t="shared" si="5"/>
        <v>7</v>
      </c>
      <c r="C170" s="189">
        <v>1</v>
      </c>
      <c r="D170" s="182" t="str">
        <f>'Deelnemer 7 vtg'!A19</f>
        <v/>
      </c>
      <c r="E170" s="183" t="str">
        <f>MID(_xlfn.TEXTJOIN(" ",TRUE,'Deelnemer 7 vtg'!$D$6,$B$170),1,11)</f>
        <v>Deelnemer 7</v>
      </c>
      <c r="F170" s="183">
        <f>'Deelnemer 7 vtg'!$C$7</f>
        <v>0</v>
      </c>
      <c r="G170" s="183" t="str">
        <f>'Deelnemer 7 vtg'!B19</f>
        <v xml:space="preserve"> - </v>
      </c>
      <c r="H170" s="183" t="str">
        <f>VLOOKUP(G170,'Categorie H2 Vtg.'!$B$4:$D$20,3,0)</f>
        <v>-</v>
      </c>
      <c r="I170" s="187">
        <f>'Deelnemer 7 vtg'!E19</f>
        <v>0</v>
      </c>
      <c r="J170" s="180">
        <f>'Deelnemer 7 vtg'!V19</f>
        <v>0</v>
      </c>
      <c r="K170" s="184">
        <f>'Deelnemer 7 vtg'!Z19</f>
        <v>0</v>
      </c>
      <c r="L170" s="184">
        <f>'Deelnemer 7 vtg'!AE19</f>
        <v>0</v>
      </c>
      <c r="M170" s="184">
        <f>K170*J170</f>
        <v>0</v>
      </c>
      <c r="N170" s="184">
        <f>L170*J170</f>
        <v>0</v>
      </c>
      <c r="O170" s="184">
        <f>'Deelnemer 7 vtg'!AG19</f>
        <v>0</v>
      </c>
      <c r="P170" s="184">
        <f>'Deelnemer 7 vtg'!AJ19</f>
        <v>0</v>
      </c>
      <c r="Q170" s="184">
        <f>'Deelnemer 7 vtg'!AK19</f>
        <v>0</v>
      </c>
      <c r="R170" s="161"/>
    </row>
    <row r="171" spans="2:18" ht="16.5" hidden="1" customHeight="1" x14ac:dyDescent="0.3">
      <c r="B171" s="639"/>
      <c r="C171" s="161">
        <v>2</v>
      </c>
      <c r="D171" s="182" t="str">
        <f>'Deelnemer 7 vtg'!A20</f>
        <v/>
      </c>
      <c r="E171" s="183" t="str">
        <f>MID(_xlfn.TEXTJOIN(" ",TRUE,'Deelnemer 7 vtg'!$D$6,$B$170),1,11)</f>
        <v>Deelnemer 7</v>
      </c>
      <c r="F171" s="183">
        <f>'Deelnemer 7 vtg'!$C$7</f>
        <v>0</v>
      </c>
      <c r="G171" s="183" t="str">
        <f>'Deelnemer 7 vtg'!B20</f>
        <v xml:space="preserve"> - </v>
      </c>
      <c r="H171" s="186" t="str">
        <f>VLOOKUP(G171,'Categorie H2 Vtg.'!$B$4:$D$20,3,0)</f>
        <v>-</v>
      </c>
      <c r="I171" s="187">
        <f>'Deelnemer 7 vtg'!E20</f>
        <v>0</v>
      </c>
      <c r="J171" s="180">
        <f>'Deelnemer 7 vtg'!V20</f>
        <v>0</v>
      </c>
      <c r="K171" s="184">
        <f>'Deelnemer 7 vtg'!Z20</f>
        <v>0</v>
      </c>
      <c r="L171" s="184">
        <f>'Deelnemer 7 vtg'!AE20</f>
        <v>0</v>
      </c>
      <c r="M171" s="188">
        <f t="shared" ref="M171:M184" si="12">K171*J171</f>
        <v>0</v>
      </c>
      <c r="N171" s="188">
        <f t="shared" ref="N171:N184" si="13">L171*J171</f>
        <v>0</v>
      </c>
      <c r="O171" s="184">
        <f>'Deelnemer 7 vtg'!AG20</f>
        <v>0</v>
      </c>
      <c r="P171" s="184">
        <f>'Deelnemer 7 vtg'!AJ20</f>
        <v>0</v>
      </c>
      <c r="Q171" s="184">
        <f>'Deelnemer 7 vtg'!AK20</f>
        <v>0</v>
      </c>
    </row>
    <row r="172" spans="2:18" ht="16.5" hidden="1" customHeight="1" x14ac:dyDescent="0.3">
      <c r="B172" s="639"/>
      <c r="C172" s="161">
        <v>3</v>
      </c>
      <c r="D172" s="182" t="str">
        <f>'Deelnemer 7 vtg'!A21</f>
        <v/>
      </c>
      <c r="E172" s="183" t="str">
        <f>MID(_xlfn.TEXTJOIN(" ",TRUE,'Deelnemer 7 vtg'!$D$6,$B$170),1,11)</f>
        <v>Deelnemer 7</v>
      </c>
      <c r="F172" s="183">
        <f>'Deelnemer 7 vtg'!$C$7</f>
        <v>0</v>
      </c>
      <c r="G172" s="183" t="str">
        <f>'Deelnemer 7 vtg'!B21</f>
        <v xml:space="preserve"> - </v>
      </c>
      <c r="H172" s="186" t="str">
        <f>VLOOKUP(G172,'Categorie H2 Vtg.'!$B$4:$D$20,3,0)</f>
        <v>-</v>
      </c>
      <c r="I172" s="187">
        <f>'Deelnemer 7 vtg'!E21</f>
        <v>0</v>
      </c>
      <c r="J172" s="180">
        <f>'Deelnemer 7 vtg'!V21</f>
        <v>0</v>
      </c>
      <c r="K172" s="184">
        <f>'Deelnemer 7 vtg'!Z21</f>
        <v>0</v>
      </c>
      <c r="L172" s="184">
        <f>'Deelnemer 7 vtg'!AE21</f>
        <v>0</v>
      </c>
      <c r="M172" s="188">
        <f t="shared" si="12"/>
        <v>0</v>
      </c>
      <c r="N172" s="188">
        <f t="shared" si="13"/>
        <v>0</v>
      </c>
      <c r="O172" s="184">
        <f>'Deelnemer 7 vtg'!AG21</f>
        <v>0</v>
      </c>
      <c r="P172" s="184">
        <f>'Deelnemer 7 vtg'!AJ21</f>
        <v>0</v>
      </c>
      <c r="Q172" s="184">
        <f>'Deelnemer 7 vtg'!AK21</f>
        <v>0</v>
      </c>
    </row>
    <row r="173" spans="2:18" ht="16.5" hidden="1" customHeight="1" x14ac:dyDescent="0.3">
      <c r="B173" s="639"/>
      <c r="C173" s="161">
        <v>4</v>
      </c>
      <c r="D173" s="182" t="str">
        <f>'Deelnemer 7 vtg'!A22</f>
        <v/>
      </c>
      <c r="E173" s="183" t="str">
        <f>MID(_xlfn.TEXTJOIN(" ",TRUE,'Deelnemer 7 vtg'!$D$6,$B$170),1,11)</f>
        <v>Deelnemer 7</v>
      </c>
      <c r="F173" s="183">
        <f>'Deelnemer 7 vtg'!$C$7</f>
        <v>0</v>
      </c>
      <c r="G173" s="183" t="str">
        <f>'Deelnemer 7 vtg'!B22</f>
        <v xml:space="preserve"> - </v>
      </c>
      <c r="H173" s="186" t="str">
        <f>VLOOKUP(G173,'Categorie H2 Vtg.'!$B$4:$D$20,3,0)</f>
        <v>-</v>
      </c>
      <c r="I173" s="187">
        <f>'Deelnemer 7 vtg'!E22</f>
        <v>0</v>
      </c>
      <c r="J173" s="180">
        <f>'Deelnemer 7 vtg'!V22</f>
        <v>0</v>
      </c>
      <c r="K173" s="184">
        <f>'Deelnemer 7 vtg'!Z22</f>
        <v>0</v>
      </c>
      <c r="L173" s="184">
        <f>'Deelnemer 7 vtg'!AE22</f>
        <v>0</v>
      </c>
      <c r="M173" s="188">
        <f t="shared" si="12"/>
        <v>0</v>
      </c>
      <c r="N173" s="188">
        <f t="shared" si="13"/>
        <v>0</v>
      </c>
      <c r="O173" s="184">
        <f>'Deelnemer 7 vtg'!AG22</f>
        <v>0</v>
      </c>
      <c r="P173" s="184">
        <f>'Deelnemer 7 vtg'!AJ22</f>
        <v>0</v>
      </c>
      <c r="Q173" s="184">
        <f>'Deelnemer 7 vtg'!AK22</f>
        <v>0</v>
      </c>
    </row>
    <row r="174" spans="2:18" ht="16.5" hidden="1" customHeight="1" x14ac:dyDescent="0.3">
      <c r="B174" s="639"/>
      <c r="C174" s="161">
        <v>5</v>
      </c>
      <c r="D174" s="182" t="str">
        <f>'Deelnemer 7 vtg'!A23</f>
        <v/>
      </c>
      <c r="E174" s="183" t="str">
        <f>MID(_xlfn.TEXTJOIN(" ",TRUE,'Deelnemer 7 vtg'!$D$6,$B$170),1,11)</f>
        <v>Deelnemer 7</v>
      </c>
      <c r="F174" s="183">
        <f>'Deelnemer 7 vtg'!$C$7</f>
        <v>0</v>
      </c>
      <c r="G174" s="183" t="str">
        <f>'Deelnemer 7 vtg'!B23</f>
        <v xml:space="preserve"> - </v>
      </c>
      <c r="H174" s="186" t="str">
        <f>VLOOKUP(G174,'Categorie H2 Vtg.'!$B$4:$D$20,3,0)</f>
        <v>-</v>
      </c>
      <c r="I174" s="187">
        <f>'Deelnemer 7 vtg'!E23</f>
        <v>0</v>
      </c>
      <c r="J174" s="180">
        <f>'Deelnemer 7 vtg'!V23</f>
        <v>0</v>
      </c>
      <c r="K174" s="184">
        <f>'Deelnemer 7 vtg'!Z23</f>
        <v>0</v>
      </c>
      <c r="L174" s="184">
        <f>'Deelnemer 7 vtg'!AE23</f>
        <v>0</v>
      </c>
      <c r="M174" s="188">
        <f t="shared" si="12"/>
        <v>0</v>
      </c>
      <c r="N174" s="188">
        <f t="shared" si="13"/>
        <v>0</v>
      </c>
      <c r="O174" s="184">
        <f>'Deelnemer 7 vtg'!AG23</f>
        <v>0</v>
      </c>
      <c r="P174" s="184">
        <f>'Deelnemer 7 vtg'!AJ23</f>
        <v>0</v>
      </c>
      <c r="Q174" s="184">
        <f>'Deelnemer 7 vtg'!AK23</f>
        <v>0</v>
      </c>
    </row>
    <row r="175" spans="2:18" ht="16.5" hidden="1" customHeight="1" x14ac:dyDescent="0.3">
      <c r="B175" s="639"/>
      <c r="C175" s="161">
        <v>6</v>
      </c>
      <c r="D175" s="182" t="str">
        <f>'Deelnemer 7 vtg'!A24</f>
        <v/>
      </c>
      <c r="E175" s="183" t="str">
        <f>MID(_xlfn.TEXTJOIN(" ",TRUE,'Deelnemer 7 vtg'!$D$6,$B$170),1,11)</f>
        <v>Deelnemer 7</v>
      </c>
      <c r="F175" s="183">
        <f>'Deelnemer 7 vtg'!$C$7</f>
        <v>0</v>
      </c>
      <c r="G175" s="183" t="str">
        <f>'Deelnemer 7 vtg'!B24</f>
        <v xml:space="preserve"> - </v>
      </c>
      <c r="H175" s="186" t="str">
        <f>VLOOKUP(G175,'Categorie H2 Vtg.'!$B$4:$D$20,3,0)</f>
        <v>-</v>
      </c>
      <c r="I175" s="187">
        <f>'Deelnemer 7 vtg'!E24</f>
        <v>0</v>
      </c>
      <c r="J175" s="180">
        <f>'Deelnemer 7 vtg'!V24</f>
        <v>0</v>
      </c>
      <c r="K175" s="184">
        <f>'Deelnemer 7 vtg'!Z24</f>
        <v>0</v>
      </c>
      <c r="L175" s="184">
        <f>'Deelnemer 7 vtg'!AE24</f>
        <v>0</v>
      </c>
      <c r="M175" s="188">
        <f t="shared" si="12"/>
        <v>0</v>
      </c>
      <c r="N175" s="188">
        <f t="shared" si="13"/>
        <v>0</v>
      </c>
      <c r="O175" s="184">
        <f>'Deelnemer 7 vtg'!AG24</f>
        <v>0</v>
      </c>
      <c r="P175" s="184">
        <f>'Deelnemer 7 vtg'!AJ24</f>
        <v>0</v>
      </c>
      <c r="Q175" s="184">
        <f>'Deelnemer 7 vtg'!AK24</f>
        <v>0</v>
      </c>
    </row>
    <row r="176" spans="2:18" ht="16.5" hidden="1" customHeight="1" x14ac:dyDescent="0.3">
      <c r="B176" s="639"/>
      <c r="C176" s="161">
        <v>7</v>
      </c>
      <c r="D176" s="182" t="str">
        <f>'Deelnemer 7 vtg'!A25</f>
        <v/>
      </c>
      <c r="E176" s="183" t="str">
        <f>MID(_xlfn.TEXTJOIN(" ",TRUE,'Deelnemer 7 vtg'!$D$6,$B$170),1,11)</f>
        <v>Deelnemer 7</v>
      </c>
      <c r="F176" s="183">
        <f>'Deelnemer 7 vtg'!$C$7</f>
        <v>0</v>
      </c>
      <c r="G176" s="183" t="str">
        <f>'Deelnemer 7 vtg'!B25</f>
        <v xml:space="preserve"> - </v>
      </c>
      <c r="H176" s="186" t="str">
        <f>VLOOKUP(G176,'Categorie H2 Vtg.'!$B$4:$D$20,3,0)</f>
        <v>-</v>
      </c>
      <c r="I176" s="187">
        <f>'Deelnemer 7 vtg'!E25</f>
        <v>0</v>
      </c>
      <c r="J176" s="180">
        <f>'Deelnemer 7 vtg'!V25</f>
        <v>0</v>
      </c>
      <c r="K176" s="184">
        <f>'Deelnemer 7 vtg'!Z25</f>
        <v>0</v>
      </c>
      <c r="L176" s="184">
        <f>'Deelnemer 7 vtg'!AE25</f>
        <v>0</v>
      </c>
      <c r="M176" s="188">
        <f t="shared" si="12"/>
        <v>0</v>
      </c>
      <c r="N176" s="188">
        <f t="shared" si="13"/>
        <v>0</v>
      </c>
      <c r="O176" s="184">
        <f>'Deelnemer 7 vtg'!AG25</f>
        <v>0</v>
      </c>
      <c r="P176" s="184">
        <f>'Deelnemer 7 vtg'!AJ25</f>
        <v>0</v>
      </c>
      <c r="Q176" s="184">
        <f>'Deelnemer 7 vtg'!AK25</f>
        <v>0</v>
      </c>
    </row>
    <row r="177" spans="2:17" ht="16.5" hidden="1" customHeight="1" x14ac:dyDescent="0.3">
      <c r="B177" s="639"/>
      <c r="C177" s="161">
        <v>8</v>
      </c>
      <c r="D177" s="182" t="str">
        <f>'Deelnemer 7 vtg'!A26</f>
        <v/>
      </c>
      <c r="E177" s="183" t="str">
        <f>MID(_xlfn.TEXTJOIN(" ",TRUE,'Deelnemer 7 vtg'!$D$6,$B$170),1,11)</f>
        <v>Deelnemer 7</v>
      </c>
      <c r="F177" s="183">
        <f>'Deelnemer 7 vtg'!$C$7</f>
        <v>0</v>
      </c>
      <c r="G177" s="183" t="str">
        <f>'Deelnemer 7 vtg'!B26</f>
        <v xml:space="preserve"> - </v>
      </c>
      <c r="H177" s="186" t="str">
        <f>VLOOKUP(G177,'Categorie H2 Vtg.'!$B$4:$D$20,3,0)</f>
        <v>-</v>
      </c>
      <c r="I177" s="187">
        <f>'Deelnemer 7 vtg'!E26</f>
        <v>0</v>
      </c>
      <c r="J177" s="180">
        <f>'Deelnemer 7 vtg'!V26</f>
        <v>0</v>
      </c>
      <c r="K177" s="184">
        <f>'Deelnemer 7 vtg'!Z26</f>
        <v>0</v>
      </c>
      <c r="L177" s="184">
        <f>'Deelnemer 7 vtg'!AE26</f>
        <v>0</v>
      </c>
      <c r="M177" s="188">
        <f t="shared" si="12"/>
        <v>0</v>
      </c>
      <c r="N177" s="188">
        <f t="shared" si="13"/>
        <v>0</v>
      </c>
      <c r="O177" s="184">
        <f>'Deelnemer 7 vtg'!AG26</f>
        <v>0</v>
      </c>
      <c r="P177" s="184">
        <f>'Deelnemer 7 vtg'!AJ26</f>
        <v>0</v>
      </c>
      <c r="Q177" s="184">
        <f>'Deelnemer 7 vtg'!AK26</f>
        <v>0</v>
      </c>
    </row>
    <row r="178" spans="2:17" ht="16.5" hidden="1" customHeight="1" x14ac:dyDescent="0.3">
      <c r="B178" s="639"/>
      <c r="C178" s="161">
        <v>9</v>
      </c>
      <c r="D178" s="182" t="str">
        <f>'Deelnemer 7 vtg'!A27</f>
        <v/>
      </c>
      <c r="E178" s="183" t="str">
        <f>MID(_xlfn.TEXTJOIN(" ",TRUE,'Deelnemer 7 vtg'!$D$6,$B$170),1,11)</f>
        <v>Deelnemer 7</v>
      </c>
      <c r="F178" s="183">
        <f>'Deelnemer 7 vtg'!$C$7</f>
        <v>0</v>
      </c>
      <c r="G178" s="183" t="str">
        <f>'Deelnemer 7 vtg'!B27</f>
        <v xml:space="preserve"> - </v>
      </c>
      <c r="H178" s="186" t="str">
        <f>VLOOKUP(G178,'Categorie H2 Vtg.'!$B$4:$D$20,3,0)</f>
        <v>-</v>
      </c>
      <c r="I178" s="187">
        <f>'Deelnemer 7 vtg'!E27</f>
        <v>0</v>
      </c>
      <c r="J178" s="180">
        <f>'Deelnemer 7 vtg'!V27</f>
        <v>0</v>
      </c>
      <c r="K178" s="184">
        <f>'Deelnemer 7 vtg'!Z27</f>
        <v>0</v>
      </c>
      <c r="L178" s="184">
        <f>'Deelnemer 7 vtg'!AE27</f>
        <v>0</v>
      </c>
      <c r="M178" s="188">
        <f t="shared" si="12"/>
        <v>0</v>
      </c>
      <c r="N178" s="188">
        <f t="shared" si="13"/>
        <v>0</v>
      </c>
      <c r="O178" s="184">
        <f>'Deelnemer 7 vtg'!AG27</f>
        <v>0</v>
      </c>
      <c r="P178" s="184">
        <f>'Deelnemer 7 vtg'!AJ27</f>
        <v>0</v>
      </c>
      <c r="Q178" s="184">
        <f>'Deelnemer 7 vtg'!AK27</f>
        <v>0</v>
      </c>
    </row>
    <row r="179" spans="2:17" ht="16.5" hidden="1" customHeight="1" x14ac:dyDescent="0.3">
      <c r="B179" s="639"/>
      <c r="C179" s="161">
        <v>10</v>
      </c>
      <c r="D179" s="182" t="str">
        <f>'Deelnemer 7 vtg'!A28</f>
        <v/>
      </c>
      <c r="E179" s="183" t="str">
        <f>MID(_xlfn.TEXTJOIN(" ",TRUE,'Deelnemer 7 vtg'!$D$6,$B$170),1,11)</f>
        <v>Deelnemer 7</v>
      </c>
      <c r="F179" s="183">
        <f>'Deelnemer 7 vtg'!$C$7</f>
        <v>0</v>
      </c>
      <c r="G179" s="183" t="str">
        <f>'Deelnemer 7 vtg'!B28</f>
        <v xml:space="preserve"> - </v>
      </c>
      <c r="H179" s="186" t="str">
        <f>VLOOKUP(G179,'Categorie H2 Vtg.'!$B$4:$D$20,3,0)</f>
        <v>-</v>
      </c>
      <c r="I179" s="187">
        <f>'Deelnemer 7 vtg'!E28</f>
        <v>0</v>
      </c>
      <c r="J179" s="180">
        <f>'Deelnemer 7 vtg'!V28</f>
        <v>0</v>
      </c>
      <c r="K179" s="184">
        <f>'Deelnemer 7 vtg'!Z28</f>
        <v>0</v>
      </c>
      <c r="L179" s="184">
        <f>'Deelnemer 7 vtg'!AE28</f>
        <v>0</v>
      </c>
      <c r="M179" s="188">
        <f t="shared" si="12"/>
        <v>0</v>
      </c>
      <c r="N179" s="188">
        <f t="shared" si="13"/>
        <v>0</v>
      </c>
      <c r="O179" s="184">
        <f>'Deelnemer 7 vtg'!AG28</f>
        <v>0</v>
      </c>
      <c r="P179" s="184">
        <f>'Deelnemer 7 vtg'!AJ28</f>
        <v>0</v>
      </c>
      <c r="Q179" s="184">
        <f>'Deelnemer 7 vtg'!AK28</f>
        <v>0</v>
      </c>
    </row>
    <row r="180" spans="2:17" ht="16.5" hidden="1" customHeight="1" x14ac:dyDescent="0.3">
      <c r="B180" s="639"/>
      <c r="C180" s="161">
        <v>11</v>
      </c>
      <c r="D180" s="182" t="str">
        <f>'Deelnemer 7 vtg'!A29</f>
        <v/>
      </c>
      <c r="E180" s="183" t="str">
        <f>MID(_xlfn.TEXTJOIN(" ",TRUE,'Deelnemer 7 vtg'!$D$6,$B$170),1,11)</f>
        <v>Deelnemer 7</v>
      </c>
      <c r="F180" s="183">
        <f>'Deelnemer 7 vtg'!$C$7</f>
        <v>0</v>
      </c>
      <c r="G180" s="183" t="str">
        <f>'Deelnemer 7 vtg'!B29</f>
        <v xml:space="preserve"> - </v>
      </c>
      <c r="H180" s="186" t="str">
        <f>VLOOKUP(G180,'Categorie H2 Vtg.'!$B$4:$D$20,3,0)</f>
        <v>-</v>
      </c>
      <c r="I180" s="187">
        <f>'Deelnemer 7 vtg'!E29</f>
        <v>0</v>
      </c>
      <c r="J180" s="180">
        <f>'Deelnemer 7 vtg'!V29</f>
        <v>0</v>
      </c>
      <c r="K180" s="184">
        <f>'Deelnemer 7 vtg'!Z29</f>
        <v>0</v>
      </c>
      <c r="L180" s="184">
        <f>'Deelnemer 7 vtg'!AE29</f>
        <v>0</v>
      </c>
      <c r="M180" s="188">
        <f t="shared" si="12"/>
        <v>0</v>
      </c>
      <c r="N180" s="188">
        <f t="shared" si="13"/>
        <v>0</v>
      </c>
      <c r="O180" s="184">
        <f>'Deelnemer 7 vtg'!AG29</f>
        <v>0</v>
      </c>
      <c r="P180" s="184">
        <f>'Deelnemer 7 vtg'!AJ29</f>
        <v>0</v>
      </c>
      <c r="Q180" s="184">
        <f>'Deelnemer 7 vtg'!AK29</f>
        <v>0</v>
      </c>
    </row>
    <row r="181" spans="2:17" ht="16.5" hidden="1" customHeight="1" x14ac:dyDescent="0.3">
      <c r="B181" s="639"/>
      <c r="C181" s="161">
        <v>12</v>
      </c>
      <c r="D181" s="182" t="str">
        <f>'Deelnemer 7 vtg'!A30</f>
        <v/>
      </c>
      <c r="E181" s="183" t="str">
        <f>MID(_xlfn.TEXTJOIN(" ",TRUE,'Deelnemer 7 vtg'!$D$6,$B$170),1,11)</f>
        <v>Deelnemer 7</v>
      </c>
      <c r="F181" s="183">
        <f>'Deelnemer 7 vtg'!$C$7</f>
        <v>0</v>
      </c>
      <c r="G181" s="183" t="str">
        <f>'Deelnemer 7 vtg'!B30</f>
        <v xml:space="preserve"> - </v>
      </c>
      <c r="H181" s="186" t="str">
        <f>VLOOKUP(G181,'Categorie H2 Vtg.'!$B$4:$D$20,3,0)</f>
        <v>-</v>
      </c>
      <c r="I181" s="187">
        <f>'Deelnemer 7 vtg'!E30</f>
        <v>0</v>
      </c>
      <c r="J181" s="180">
        <f>'Deelnemer 7 vtg'!V30</f>
        <v>0</v>
      </c>
      <c r="K181" s="184">
        <f>'Deelnemer 7 vtg'!Z30</f>
        <v>0</v>
      </c>
      <c r="L181" s="184">
        <f>'Deelnemer 7 vtg'!AE30</f>
        <v>0</v>
      </c>
      <c r="M181" s="188">
        <f t="shared" si="12"/>
        <v>0</v>
      </c>
      <c r="N181" s="188">
        <f t="shared" si="13"/>
        <v>0</v>
      </c>
      <c r="O181" s="184">
        <f>'Deelnemer 7 vtg'!AG30</f>
        <v>0</v>
      </c>
      <c r="P181" s="184">
        <f>'Deelnemer 7 vtg'!AJ30</f>
        <v>0</v>
      </c>
      <c r="Q181" s="184">
        <f>'Deelnemer 7 vtg'!AK30</f>
        <v>0</v>
      </c>
    </row>
    <row r="182" spans="2:17" ht="16.5" hidden="1" customHeight="1" x14ac:dyDescent="0.3">
      <c r="B182" s="639"/>
      <c r="C182" s="161">
        <v>13</v>
      </c>
      <c r="D182" s="182" t="str">
        <f>'Deelnemer 7 vtg'!A31</f>
        <v/>
      </c>
      <c r="E182" s="183" t="str">
        <f>MID(_xlfn.TEXTJOIN(" ",TRUE,'Deelnemer 7 vtg'!$D$6,$B$170),1,11)</f>
        <v>Deelnemer 7</v>
      </c>
      <c r="F182" s="183">
        <f>'Deelnemer 7 vtg'!$C$7</f>
        <v>0</v>
      </c>
      <c r="G182" s="183" t="str">
        <f>'Deelnemer 7 vtg'!B31</f>
        <v xml:space="preserve"> - </v>
      </c>
      <c r="H182" s="186" t="str">
        <f>VLOOKUP(G182,'Categorie H2 Vtg.'!$B$4:$D$20,3,0)</f>
        <v>-</v>
      </c>
      <c r="I182" s="187">
        <f>'Deelnemer 7 vtg'!E31</f>
        <v>0</v>
      </c>
      <c r="J182" s="180">
        <f>'Deelnemer 7 vtg'!V31</f>
        <v>0</v>
      </c>
      <c r="K182" s="184">
        <f>'Deelnemer 7 vtg'!Z31</f>
        <v>0</v>
      </c>
      <c r="L182" s="184">
        <f>'Deelnemer 7 vtg'!AE31</f>
        <v>0</v>
      </c>
      <c r="M182" s="188">
        <f t="shared" si="12"/>
        <v>0</v>
      </c>
      <c r="N182" s="188">
        <f t="shared" si="13"/>
        <v>0</v>
      </c>
      <c r="O182" s="184">
        <f>'Deelnemer 7 vtg'!AG31</f>
        <v>0</v>
      </c>
      <c r="P182" s="184">
        <f>'Deelnemer 7 vtg'!AJ31</f>
        <v>0</v>
      </c>
      <c r="Q182" s="184">
        <f>'Deelnemer 7 vtg'!AK31</f>
        <v>0</v>
      </c>
    </row>
    <row r="183" spans="2:17" ht="16.5" hidden="1" customHeight="1" x14ac:dyDescent="0.3">
      <c r="B183" s="639"/>
      <c r="C183" s="161">
        <v>14</v>
      </c>
      <c r="D183" s="182" t="str">
        <f>'Deelnemer 7 vtg'!A32</f>
        <v/>
      </c>
      <c r="E183" s="183" t="str">
        <f>MID(_xlfn.TEXTJOIN(" ",TRUE,'Deelnemer 7 vtg'!$D$6,$B$170),1,11)</f>
        <v>Deelnemer 7</v>
      </c>
      <c r="F183" s="183">
        <f>'Deelnemer 7 vtg'!$C$7</f>
        <v>0</v>
      </c>
      <c r="G183" s="183" t="str">
        <f>'Deelnemer 7 vtg'!B32</f>
        <v xml:space="preserve"> - </v>
      </c>
      <c r="H183" s="186" t="str">
        <f>VLOOKUP(G183,'Categorie H2 Vtg.'!$B$4:$D$20,3,0)</f>
        <v>-</v>
      </c>
      <c r="I183" s="187">
        <f>'Deelnemer 7 vtg'!E32</f>
        <v>0</v>
      </c>
      <c r="J183" s="180">
        <f>'Deelnemer 7 vtg'!V32</f>
        <v>0</v>
      </c>
      <c r="K183" s="184">
        <f>'Deelnemer 7 vtg'!Z32</f>
        <v>0</v>
      </c>
      <c r="L183" s="184">
        <f>'Deelnemer 7 vtg'!AE32</f>
        <v>0</v>
      </c>
      <c r="M183" s="188">
        <f t="shared" si="12"/>
        <v>0</v>
      </c>
      <c r="N183" s="188">
        <f t="shared" si="13"/>
        <v>0</v>
      </c>
      <c r="O183" s="184">
        <f>'Deelnemer 7 vtg'!AG32</f>
        <v>0</v>
      </c>
      <c r="P183" s="184">
        <f>'Deelnemer 7 vtg'!AJ32</f>
        <v>0</v>
      </c>
      <c r="Q183" s="184">
        <f>'Deelnemer 7 vtg'!AK32</f>
        <v>0</v>
      </c>
    </row>
    <row r="184" spans="2:17" ht="16.5" hidden="1" customHeight="1" x14ac:dyDescent="0.3">
      <c r="B184" s="639"/>
      <c r="C184" s="161">
        <v>15</v>
      </c>
      <c r="D184" s="182" t="str">
        <f>'Deelnemer 7 vtg'!A33</f>
        <v/>
      </c>
      <c r="E184" s="183" t="str">
        <f>MID(_xlfn.TEXTJOIN(" ",TRUE,'Deelnemer 7 vtg'!$D$6,$B$170),1,11)</f>
        <v>Deelnemer 7</v>
      </c>
      <c r="F184" s="183">
        <f>'Deelnemer 7 vtg'!$C$7</f>
        <v>0</v>
      </c>
      <c r="G184" s="183" t="str">
        <f>'Deelnemer 7 vtg'!B33</f>
        <v xml:space="preserve"> - </v>
      </c>
      <c r="H184" s="186" t="str">
        <f>VLOOKUP(G184,'Categorie H2 Vtg.'!$B$4:$D$20,3,0)</f>
        <v>-</v>
      </c>
      <c r="I184" s="187">
        <f>'Deelnemer 7 vtg'!E33</f>
        <v>0</v>
      </c>
      <c r="J184" s="180">
        <f>'Deelnemer 7 vtg'!V33</f>
        <v>0</v>
      </c>
      <c r="K184" s="184">
        <f>'Deelnemer 7 vtg'!Z33</f>
        <v>0</v>
      </c>
      <c r="L184" s="184">
        <f>'Deelnemer 7 vtg'!AE33</f>
        <v>0</v>
      </c>
      <c r="M184" s="188">
        <f t="shared" si="12"/>
        <v>0</v>
      </c>
      <c r="N184" s="188">
        <f t="shared" si="13"/>
        <v>0</v>
      </c>
      <c r="O184" s="184">
        <f>'Deelnemer 7 vtg'!AG33</f>
        <v>0</v>
      </c>
      <c r="P184" s="184">
        <f>'Deelnemer 7 vtg'!AJ33</f>
        <v>0</v>
      </c>
      <c r="Q184" s="184">
        <f>'Deelnemer 7 vtg'!AK33</f>
        <v>0</v>
      </c>
    </row>
    <row r="185" spans="2:17" ht="16.5" hidden="1" customHeight="1" x14ac:dyDescent="0.3">
      <c r="B185" s="639">
        <f t="shared" ref="B185:B245" si="14">B170+1</f>
        <v>8</v>
      </c>
      <c r="C185" s="189">
        <v>1</v>
      </c>
      <c r="D185" s="182" t="str">
        <f>'Deelnemer 8 vtg'!A19</f>
        <v/>
      </c>
      <c r="E185" s="183" t="str">
        <f>MID(_xlfn.TEXTJOIN(" ",TRUE,'Deelnemer 8 vtg'!$D$6,$B$185),1,11)</f>
        <v>Deelnemer 8</v>
      </c>
      <c r="F185" s="183">
        <f>'Deelnemer 8 vtg'!$C$7</f>
        <v>0</v>
      </c>
      <c r="G185" s="183" t="str">
        <f>'Deelnemer 8 vtg'!B19</f>
        <v xml:space="preserve"> - </v>
      </c>
      <c r="H185" s="183" t="str">
        <f>VLOOKUP(G185,'Categorie H2 Vtg.'!$B$4:$D$20,3,0)</f>
        <v>-</v>
      </c>
      <c r="I185" s="187">
        <f>'Deelnemer 8 vtg'!E19</f>
        <v>0</v>
      </c>
      <c r="J185" s="180">
        <f>'Deelnemer 8 vtg'!V19</f>
        <v>0</v>
      </c>
      <c r="K185" s="184">
        <f>'Deelnemer 8 vtg'!Z19</f>
        <v>0</v>
      </c>
      <c r="L185" s="184">
        <f>'Deelnemer 8 vtg'!AE19</f>
        <v>0</v>
      </c>
      <c r="M185" s="184">
        <f>K185*J185</f>
        <v>0</v>
      </c>
      <c r="N185" s="184">
        <f>L185*J185</f>
        <v>0</v>
      </c>
      <c r="O185" s="184">
        <f>'Deelnemer 8 vtg'!AG19</f>
        <v>0</v>
      </c>
      <c r="P185" s="184">
        <f>'Deelnemer 8 vtg'!AJ19</f>
        <v>0</v>
      </c>
      <c r="Q185" s="184">
        <f>'Deelnemer 8 vtg'!AK19</f>
        <v>0</v>
      </c>
    </row>
    <row r="186" spans="2:17" ht="16.5" hidden="1" customHeight="1" x14ac:dyDescent="0.3">
      <c r="B186" s="639"/>
      <c r="C186" s="161">
        <v>2</v>
      </c>
      <c r="D186" s="182" t="str">
        <f>'Deelnemer 8 vtg'!A20</f>
        <v/>
      </c>
      <c r="E186" s="183" t="str">
        <f>MID(_xlfn.TEXTJOIN(" ",TRUE,'Deelnemer 8 vtg'!$D$6,$B$185),1,11)</f>
        <v>Deelnemer 8</v>
      </c>
      <c r="F186" s="183">
        <f>'Deelnemer 8 vtg'!$C$7</f>
        <v>0</v>
      </c>
      <c r="G186" s="183" t="str">
        <f>'Deelnemer 8 vtg'!B20</f>
        <v xml:space="preserve"> - </v>
      </c>
      <c r="H186" s="186" t="str">
        <f>VLOOKUP(G186,'Categorie H2 Vtg.'!$B$4:$D$20,3,0)</f>
        <v>-</v>
      </c>
      <c r="I186" s="187">
        <f>'Deelnemer 8 vtg'!E20</f>
        <v>0</v>
      </c>
      <c r="J186" s="180">
        <f>'Deelnemer 8 vtg'!V20</f>
        <v>0</v>
      </c>
      <c r="K186" s="184">
        <f>'Deelnemer 8 vtg'!Z20</f>
        <v>0</v>
      </c>
      <c r="L186" s="184">
        <f>'Deelnemer 8 vtg'!AE20</f>
        <v>0</v>
      </c>
      <c r="M186" s="188">
        <f t="shared" ref="M186:M199" si="15">K186*J186</f>
        <v>0</v>
      </c>
      <c r="N186" s="188">
        <f t="shared" ref="N186:N199" si="16">L186*J186</f>
        <v>0</v>
      </c>
      <c r="O186" s="184">
        <f>'Deelnemer 8 vtg'!AG20</f>
        <v>0</v>
      </c>
      <c r="P186" s="184">
        <f>'Deelnemer 8 vtg'!AJ20</f>
        <v>0</v>
      </c>
      <c r="Q186" s="184">
        <f>'Deelnemer 8 vtg'!AK20</f>
        <v>0</v>
      </c>
    </row>
    <row r="187" spans="2:17" ht="16.5" hidden="1" customHeight="1" x14ac:dyDescent="0.3">
      <c r="B187" s="639"/>
      <c r="C187" s="161">
        <v>3</v>
      </c>
      <c r="D187" s="182" t="str">
        <f>'Deelnemer 8 vtg'!A21</f>
        <v/>
      </c>
      <c r="E187" s="183" t="str">
        <f>MID(_xlfn.TEXTJOIN(" ",TRUE,'Deelnemer 8 vtg'!$D$6,$B$185),1,11)</f>
        <v>Deelnemer 8</v>
      </c>
      <c r="F187" s="183">
        <f>'Deelnemer 8 vtg'!$C$7</f>
        <v>0</v>
      </c>
      <c r="G187" s="183" t="str">
        <f>'Deelnemer 8 vtg'!B21</f>
        <v xml:space="preserve"> - </v>
      </c>
      <c r="H187" s="186" t="str">
        <f>VLOOKUP(G187,'Categorie H2 Vtg.'!$B$4:$D$20,3,0)</f>
        <v>-</v>
      </c>
      <c r="I187" s="187">
        <f>'Deelnemer 8 vtg'!E21</f>
        <v>0</v>
      </c>
      <c r="J187" s="180">
        <f>'Deelnemer 8 vtg'!V21</f>
        <v>0</v>
      </c>
      <c r="K187" s="184">
        <f>'Deelnemer 8 vtg'!Z21</f>
        <v>0</v>
      </c>
      <c r="L187" s="184">
        <f>'Deelnemer 8 vtg'!AE21</f>
        <v>0</v>
      </c>
      <c r="M187" s="188">
        <f t="shared" si="15"/>
        <v>0</v>
      </c>
      <c r="N187" s="188">
        <f t="shared" si="16"/>
        <v>0</v>
      </c>
      <c r="O187" s="184">
        <f>'Deelnemer 8 vtg'!AG21</f>
        <v>0</v>
      </c>
      <c r="P187" s="184">
        <f>'Deelnemer 8 vtg'!AJ21</f>
        <v>0</v>
      </c>
      <c r="Q187" s="184">
        <f>'Deelnemer 8 vtg'!AK21</f>
        <v>0</v>
      </c>
    </row>
    <row r="188" spans="2:17" ht="16.5" hidden="1" customHeight="1" x14ac:dyDescent="0.3">
      <c r="B188" s="639"/>
      <c r="C188" s="161">
        <v>4</v>
      </c>
      <c r="D188" s="182" t="str">
        <f>'Deelnemer 8 vtg'!A22</f>
        <v/>
      </c>
      <c r="E188" s="183" t="str">
        <f>MID(_xlfn.TEXTJOIN(" ",TRUE,'Deelnemer 8 vtg'!$D$6,$B$185),1,11)</f>
        <v>Deelnemer 8</v>
      </c>
      <c r="F188" s="183">
        <f>'Deelnemer 8 vtg'!$C$7</f>
        <v>0</v>
      </c>
      <c r="G188" s="183" t="str">
        <f>'Deelnemer 8 vtg'!B22</f>
        <v xml:space="preserve"> - </v>
      </c>
      <c r="H188" s="186" t="str">
        <f>VLOOKUP(G188,'Categorie H2 Vtg.'!$B$4:$D$20,3,0)</f>
        <v>-</v>
      </c>
      <c r="I188" s="187">
        <f>'Deelnemer 8 vtg'!E22</f>
        <v>0</v>
      </c>
      <c r="J188" s="180">
        <f>'Deelnemer 8 vtg'!V22</f>
        <v>0</v>
      </c>
      <c r="K188" s="184">
        <f>'Deelnemer 8 vtg'!Z22</f>
        <v>0</v>
      </c>
      <c r="L188" s="184">
        <f>'Deelnemer 8 vtg'!AE22</f>
        <v>0</v>
      </c>
      <c r="M188" s="188">
        <f t="shared" si="15"/>
        <v>0</v>
      </c>
      <c r="N188" s="188">
        <f t="shared" si="16"/>
        <v>0</v>
      </c>
      <c r="O188" s="184">
        <f>'Deelnemer 8 vtg'!AG22</f>
        <v>0</v>
      </c>
      <c r="P188" s="184">
        <f>'Deelnemer 8 vtg'!AJ22</f>
        <v>0</v>
      </c>
      <c r="Q188" s="184">
        <f>'Deelnemer 8 vtg'!AK22</f>
        <v>0</v>
      </c>
    </row>
    <row r="189" spans="2:17" ht="16.5" hidden="1" customHeight="1" x14ac:dyDescent="0.3">
      <c r="B189" s="639"/>
      <c r="C189" s="161">
        <v>5</v>
      </c>
      <c r="D189" s="182" t="str">
        <f>'Deelnemer 8 vtg'!A23</f>
        <v/>
      </c>
      <c r="E189" s="183" t="str">
        <f>MID(_xlfn.TEXTJOIN(" ",TRUE,'Deelnemer 8 vtg'!$D$6,$B$185),1,11)</f>
        <v>Deelnemer 8</v>
      </c>
      <c r="F189" s="183">
        <f>'Deelnemer 8 vtg'!$C$7</f>
        <v>0</v>
      </c>
      <c r="G189" s="183" t="str">
        <f>'Deelnemer 8 vtg'!B23</f>
        <v xml:space="preserve"> - </v>
      </c>
      <c r="H189" s="186" t="str">
        <f>VLOOKUP(G189,'Categorie H2 Vtg.'!$B$4:$D$20,3,0)</f>
        <v>-</v>
      </c>
      <c r="I189" s="187">
        <f>'Deelnemer 8 vtg'!E23</f>
        <v>0</v>
      </c>
      <c r="J189" s="180">
        <f>'Deelnemer 8 vtg'!V23</f>
        <v>0</v>
      </c>
      <c r="K189" s="184">
        <f>'Deelnemer 8 vtg'!Z23</f>
        <v>0</v>
      </c>
      <c r="L189" s="184">
        <f>'Deelnemer 8 vtg'!AE23</f>
        <v>0</v>
      </c>
      <c r="M189" s="188">
        <f t="shared" si="15"/>
        <v>0</v>
      </c>
      <c r="N189" s="188">
        <f t="shared" si="16"/>
        <v>0</v>
      </c>
      <c r="O189" s="184">
        <f>'Deelnemer 8 vtg'!AG23</f>
        <v>0</v>
      </c>
      <c r="P189" s="184">
        <f>'Deelnemer 8 vtg'!AJ23</f>
        <v>0</v>
      </c>
      <c r="Q189" s="184">
        <f>'Deelnemer 8 vtg'!AK23</f>
        <v>0</v>
      </c>
    </row>
    <row r="190" spans="2:17" ht="16.5" hidden="1" customHeight="1" x14ac:dyDescent="0.3">
      <c r="B190" s="639"/>
      <c r="C190" s="161">
        <v>6</v>
      </c>
      <c r="D190" s="182" t="str">
        <f>'Deelnemer 8 vtg'!A24</f>
        <v/>
      </c>
      <c r="E190" s="183" t="str">
        <f>MID(_xlfn.TEXTJOIN(" ",TRUE,'Deelnemer 8 vtg'!$D$6,$B$185),1,11)</f>
        <v>Deelnemer 8</v>
      </c>
      <c r="F190" s="183">
        <f>'Deelnemer 8 vtg'!$C$7</f>
        <v>0</v>
      </c>
      <c r="G190" s="183" t="str">
        <f>'Deelnemer 8 vtg'!B24</f>
        <v xml:space="preserve"> - </v>
      </c>
      <c r="H190" s="186" t="str">
        <f>VLOOKUP(G190,'Categorie H2 Vtg.'!$B$4:$D$20,3,0)</f>
        <v>-</v>
      </c>
      <c r="I190" s="187">
        <f>'Deelnemer 8 vtg'!E24</f>
        <v>0</v>
      </c>
      <c r="J190" s="180">
        <f>'Deelnemer 8 vtg'!V24</f>
        <v>0</v>
      </c>
      <c r="K190" s="184">
        <f>'Deelnemer 8 vtg'!Z24</f>
        <v>0</v>
      </c>
      <c r="L190" s="184">
        <f>'Deelnemer 8 vtg'!AE24</f>
        <v>0</v>
      </c>
      <c r="M190" s="188">
        <f t="shared" si="15"/>
        <v>0</v>
      </c>
      <c r="N190" s="188">
        <f t="shared" si="16"/>
        <v>0</v>
      </c>
      <c r="O190" s="184">
        <f>'Deelnemer 8 vtg'!AG24</f>
        <v>0</v>
      </c>
      <c r="P190" s="184">
        <f>'Deelnemer 8 vtg'!AJ24</f>
        <v>0</v>
      </c>
      <c r="Q190" s="184">
        <f>'Deelnemer 8 vtg'!AK24</f>
        <v>0</v>
      </c>
    </row>
    <row r="191" spans="2:17" ht="16.5" hidden="1" customHeight="1" x14ac:dyDescent="0.3">
      <c r="B191" s="639"/>
      <c r="C191" s="161">
        <v>7</v>
      </c>
      <c r="D191" s="182" t="str">
        <f>'Deelnemer 8 vtg'!A25</f>
        <v/>
      </c>
      <c r="E191" s="183" t="str">
        <f>MID(_xlfn.TEXTJOIN(" ",TRUE,'Deelnemer 8 vtg'!$D$6,$B$185),1,11)</f>
        <v>Deelnemer 8</v>
      </c>
      <c r="F191" s="183">
        <f>'Deelnemer 8 vtg'!$C$7</f>
        <v>0</v>
      </c>
      <c r="G191" s="183" t="str">
        <f>'Deelnemer 8 vtg'!B25</f>
        <v xml:space="preserve"> - </v>
      </c>
      <c r="H191" s="186" t="str">
        <f>VLOOKUP(G191,'Categorie H2 Vtg.'!$B$4:$D$20,3,0)</f>
        <v>-</v>
      </c>
      <c r="I191" s="187">
        <f>'Deelnemer 8 vtg'!E25</f>
        <v>0</v>
      </c>
      <c r="J191" s="180">
        <f>'Deelnemer 8 vtg'!V25</f>
        <v>0</v>
      </c>
      <c r="K191" s="184">
        <f>'Deelnemer 8 vtg'!Z25</f>
        <v>0</v>
      </c>
      <c r="L191" s="184">
        <f>'Deelnemer 8 vtg'!AE25</f>
        <v>0</v>
      </c>
      <c r="M191" s="188">
        <f t="shared" si="15"/>
        <v>0</v>
      </c>
      <c r="N191" s="188">
        <f t="shared" si="16"/>
        <v>0</v>
      </c>
      <c r="O191" s="184">
        <f>'Deelnemer 8 vtg'!AG25</f>
        <v>0</v>
      </c>
      <c r="P191" s="184">
        <f>'Deelnemer 8 vtg'!AJ25</f>
        <v>0</v>
      </c>
      <c r="Q191" s="184">
        <f>'Deelnemer 8 vtg'!AK25</f>
        <v>0</v>
      </c>
    </row>
    <row r="192" spans="2:17" ht="16.5" hidden="1" customHeight="1" x14ac:dyDescent="0.3">
      <c r="B192" s="639"/>
      <c r="C192" s="161">
        <v>8</v>
      </c>
      <c r="D192" s="182" t="str">
        <f>'Deelnemer 8 vtg'!A26</f>
        <v/>
      </c>
      <c r="E192" s="183" t="str">
        <f>MID(_xlfn.TEXTJOIN(" ",TRUE,'Deelnemer 8 vtg'!$D$6,$B$185),1,11)</f>
        <v>Deelnemer 8</v>
      </c>
      <c r="F192" s="183">
        <f>'Deelnemer 8 vtg'!$C$7</f>
        <v>0</v>
      </c>
      <c r="G192" s="183" t="str">
        <f>'Deelnemer 8 vtg'!B26</f>
        <v xml:space="preserve"> - </v>
      </c>
      <c r="H192" s="186" t="str">
        <f>VLOOKUP(G192,'Categorie H2 Vtg.'!$B$4:$D$20,3,0)</f>
        <v>-</v>
      </c>
      <c r="I192" s="187">
        <f>'Deelnemer 8 vtg'!E26</f>
        <v>0</v>
      </c>
      <c r="J192" s="180">
        <f>'Deelnemer 8 vtg'!V26</f>
        <v>0</v>
      </c>
      <c r="K192" s="184">
        <f>'Deelnemer 8 vtg'!Z26</f>
        <v>0</v>
      </c>
      <c r="L192" s="184">
        <f>'Deelnemer 8 vtg'!AE26</f>
        <v>0</v>
      </c>
      <c r="M192" s="188">
        <f t="shared" si="15"/>
        <v>0</v>
      </c>
      <c r="N192" s="188">
        <f t="shared" si="16"/>
        <v>0</v>
      </c>
      <c r="O192" s="184">
        <f>'Deelnemer 8 vtg'!AG26</f>
        <v>0</v>
      </c>
      <c r="P192" s="184">
        <f>'Deelnemer 8 vtg'!AJ26</f>
        <v>0</v>
      </c>
      <c r="Q192" s="184">
        <f>'Deelnemer 8 vtg'!AK26</f>
        <v>0</v>
      </c>
    </row>
    <row r="193" spans="2:18" ht="16.5" hidden="1" customHeight="1" x14ac:dyDescent="0.3">
      <c r="B193" s="639"/>
      <c r="C193" s="161">
        <v>9</v>
      </c>
      <c r="D193" s="182" t="str">
        <f>'Deelnemer 8 vtg'!A27</f>
        <v/>
      </c>
      <c r="E193" s="183" t="str">
        <f>MID(_xlfn.TEXTJOIN(" ",TRUE,'Deelnemer 8 vtg'!$D$6,$B$185),1,11)</f>
        <v>Deelnemer 8</v>
      </c>
      <c r="F193" s="183">
        <f>'Deelnemer 8 vtg'!$C$7</f>
        <v>0</v>
      </c>
      <c r="G193" s="183" t="str">
        <f>'Deelnemer 8 vtg'!B27</f>
        <v xml:space="preserve"> - </v>
      </c>
      <c r="H193" s="186" t="str">
        <f>VLOOKUP(G193,'Categorie H2 Vtg.'!$B$4:$D$20,3,0)</f>
        <v>-</v>
      </c>
      <c r="I193" s="187">
        <f>'Deelnemer 8 vtg'!E27</f>
        <v>0</v>
      </c>
      <c r="J193" s="180">
        <f>'Deelnemer 8 vtg'!V27</f>
        <v>0</v>
      </c>
      <c r="K193" s="184">
        <f>'Deelnemer 8 vtg'!Z27</f>
        <v>0</v>
      </c>
      <c r="L193" s="184">
        <f>'Deelnemer 8 vtg'!AE27</f>
        <v>0</v>
      </c>
      <c r="M193" s="188">
        <f t="shared" si="15"/>
        <v>0</v>
      </c>
      <c r="N193" s="188">
        <f t="shared" si="16"/>
        <v>0</v>
      </c>
      <c r="O193" s="184">
        <f>'Deelnemer 8 vtg'!AG27</f>
        <v>0</v>
      </c>
      <c r="P193" s="184">
        <f>'Deelnemer 8 vtg'!AJ27</f>
        <v>0</v>
      </c>
      <c r="Q193" s="184">
        <f>'Deelnemer 8 vtg'!AK27</f>
        <v>0</v>
      </c>
    </row>
    <row r="194" spans="2:18" ht="16.5" hidden="1" customHeight="1" x14ac:dyDescent="0.3">
      <c r="B194" s="639"/>
      <c r="C194" s="161">
        <v>10</v>
      </c>
      <c r="D194" s="182" t="str">
        <f>'Deelnemer 8 vtg'!A28</f>
        <v/>
      </c>
      <c r="E194" s="183" t="str">
        <f>MID(_xlfn.TEXTJOIN(" ",TRUE,'Deelnemer 8 vtg'!$D$6,$B$185),1,11)</f>
        <v>Deelnemer 8</v>
      </c>
      <c r="F194" s="183">
        <f>'Deelnemer 8 vtg'!$C$7</f>
        <v>0</v>
      </c>
      <c r="G194" s="183" t="str">
        <f>'Deelnemer 8 vtg'!B28</f>
        <v xml:space="preserve"> - </v>
      </c>
      <c r="H194" s="186" t="str">
        <f>VLOOKUP(G194,'Categorie H2 Vtg.'!$B$4:$D$20,3,0)</f>
        <v>-</v>
      </c>
      <c r="I194" s="187">
        <f>'Deelnemer 8 vtg'!E28</f>
        <v>0</v>
      </c>
      <c r="J194" s="180">
        <f>'Deelnemer 8 vtg'!V28</f>
        <v>0</v>
      </c>
      <c r="K194" s="184">
        <f>'Deelnemer 8 vtg'!Z28</f>
        <v>0</v>
      </c>
      <c r="L194" s="184">
        <f>'Deelnemer 8 vtg'!AE28</f>
        <v>0</v>
      </c>
      <c r="M194" s="188">
        <f t="shared" si="15"/>
        <v>0</v>
      </c>
      <c r="N194" s="188">
        <f t="shared" si="16"/>
        <v>0</v>
      </c>
      <c r="O194" s="184">
        <f>'Deelnemer 8 vtg'!AG28</f>
        <v>0</v>
      </c>
      <c r="P194" s="184">
        <f>'Deelnemer 8 vtg'!AJ28</f>
        <v>0</v>
      </c>
      <c r="Q194" s="184">
        <f>'Deelnemer 8 vtg'!AK28</f>
        <v>0</v>
      </c>
    </row>
    <row r="195" spans="2:18" ht="16.5" hidden="1" customHeight="1" x14ac:dyDescent="0.3">
      <c r="B195" s="639"/>
      <c r="C195" s="161">
        <v>11</v>
      </c>
      <c r="D195" s="182" t="str">
        <f>'Deelnemer 8 vtg'!A29</f>
        <v/>
      </c>
      <c r="E195" s="183" t="str">
        <f>MID(_xlfn.TEXTJOIN(" ",TRUE,'Deelnemer 8 vtg'!$D$6,$B$185),1,11)</f>
        <v>Deelnemer 8</v>
      </c>
      <c r="F195" s="183">
        <f>'Deelnemer 8 vtg'!$C$7</f>
        <v>0</v>
      </c>
      <c r="G195" s="183" t="str">
        <f>'Deelnemer 8 vtg'!B29</f>
        <v xml:space="preserve"> - </v>
      </c>
      <c r="H195" s="186" t="str">
        <f>VLOOKUP(G195,'Categorie H2 Vtg.'!$B$4:$D$20,3,0)</f>
        <v>-</v>
      </c>
      <c r="I195" s="187">
        <f>'Deelnemer 8 vtg'!E29</f>
        <v>0</v>
      </c>
      <c r="J195" s="180">
        <f>'Deelnemer 8 vtg'!V29</f>
        <v>0</v>
      </c>
      <c r="K195" s="184">
        <f>'Deelnemer 8 vtg'!Z29</f>
        <v>0</v>
      </c>
      <c r="L195" s="184">
        <f>'Deelnemer 8 vtg'!AE29</f>
        <v>0</v>
      </c>
      <c r="M195" s="188">
        <f t="shared" si="15"/>
        <v>0</v>
      </c>
      <c r="N195" s="188">
        <f t="shared" si="16"/>
        <v>0</v>
      </c>
      <c r="O195" s="184">
        <f>'Deelnemer 8 vtg'!AG29</f>
        <v>0</v>
      </c>
      <c r="P195" s="184">
        <f>'Deelnemer 8 vtg'!AJ29</f>
        <v>0</v>
      </c>
      <c r="Q195" s="184">
        <f>'Deelnemer 8 vtg'!AK29</f>
        <v>0</v>
      </c>
    </row>
    <row r="196" spans="2:18" ht="16.5" hidden="1" customHeight="1" x14ac:dyDescent="0.3">
      <c r="B196" s="639"/>
      <c r="C196" s="161">
        <v>12</v>
      </c>
      <c r="D196" s="182" t="str">
        <f>'Deelnemer 8 vtg'!A30</f>
        <v/>
      </c>
      <c r="E196" s="183" t="str">
        <f>MID(_xlfn.TEXTJOIN(" ",TRUE,'Deelnemer 8 vtg'!$D$6,$B$185),1,11)</f>
        <v>Deelnemer 8</v>
      </c>
      <c r="F196" s="183">
        <f>'Deelnemer 8 vtg'!$C$7</f>
        <v>0</v>
      </c>
      <c r="G196" s="183" t="str">
        <f>'Deelnemer 8 vtg'!B30</f>
        <v xml:space="preserve"> - </v>
      </c>
      <c r="H196" s="186" t="str">
        <f>VLOOKUP(G196,'Categorie H2 Vtg.'!$B$4:$D$20,3,0)</f>
        <v>-</v>
      </c>
      <c r="I196" s="187">
        <f>'Deelnemer 8 vtg'!E30</f>
        <v>0</v>
      </c>
      <c r="J196" s="180">
        <f>'Deelnemer 8 vtg'!V30</f>
        <v>0</v>
      </c>
      <c r="K196" s="184">
        <f>'Deelnemer 8 vtg'!Z30</f>
        <v>0</v>
      </c>
      <c r="L196" s="184">
        <f>'Deelnemer 8 vtg'!AE30</f>
        <v>0</v>
      </c>
      <c r="M196" s="188">
        <f t="shared" si="15"/>
        <v>0</v>
      </c>
      <c r="N196" s="188">
        <f t="shared" si="16"/>
        <v>0</v>
      </c>
      <c r="O196" s="184">
        <f>'Deelnemer 8 vtg'!AG30</f>
        <v>0</v>
      </c>
      <c r="P196" s="184">
        <f>'Deelnemer 8 vtg'!AJ30</f>
        <v>0</v>
      </c>
      <c r="Q196" s="184">
        <f>'Deelnemer 8 vtg'!AK30</f>
        <v>0</v>
      </c>
    </row>
    <row r="197" spans="2:18" ht="16.5" hidden="1" customHeight="1" x14ac:dyDescent="0.3">
      <c r="B197" s="639"/>
      <c r="C197" s="161">
        <v>13</v>
      </c>
      <c r="D197" s="182" t="str">
        <f>'Deelnemer 8 vtg'!A31</f>
        <v/>
      </c>
      <c r="E197" s="183" t="str">
        <f>MID(_xlfn.TEXTJOIN(" ",TRUE,'Deelnemer 8 vtg'!$D$6,$B$185),1,11)</f>
        <v>Deelnemer 8</v>
      </c>
      <c r="F197" s="183">
        <f>'Deelnemer 8 vtg'!$C$7</f>
        <v>0</v>
      </c>
      <c r="G197" s="183" t="str">
        <f>'Deelnemer 8 vtg'!B31</f>
        <v xml:space="preserve"> - </v>
      </c>
      <c r="H197" s="186" t="str">
        <f>VLOOKUP(G197,'Categorie H2 Vtg.'!$B$4:$D$20,3,0)</f>
        <v>-</v>
      </c>
      <c r="I197" s="187">
        <f>'Deelnemer 8 vtg'!E31</f>
        <v>0</v>
      </c>
      <c r="J197" s="180">
        <f>'Deelnemer 8 vtg'!V31</f>
        <v>0</v>
      </c>
      <c r="K197" s="184">
        <f>'Deelnemer 8 vtg'!Z31</f>
        <v>0</v>
      </c>
      <c r="L197" s="184">
        <f>'Deelnemer 8 vtg'!AE31</f>
        <v>0</v>
      </c>
      <c r="M197" s="188">
        <f t="shared" si="15"/>
        <v>0</v>
      </c>
      <c r="N197" s="188">
        <f t="shared" si="16"/>
        <v>0</v>
      </c>
      <c r="O197" s="184">
        <f>'Deelnemer 8 vtg'!AG31</f>
        <v>0</v>
      </c>
      <c r="P197" s="184">
        <f>'Deelnemer 8 vtg'!AJ31</f>
        <v>0</v>
      </c>
      <c r="Q197" s="184">
        <f>'Deelnemer 8 vtg'!AK31</f>
        <v>0</v>
      </c>
    </row>
    <row r="198" spans="2:18" ht="16.5" hidden="1" customHeight="1" x14ac:dyDescent="0.3">
      <c r="B198" s="639"/>
      <c r="C198" s="161">
        <v>14</v>
      </c>
      <c r="D198" s="182" t="str">
        <f>'Deelnemer 8 vtg'!A32</f>
        <v/>
      </c>
      <c r="E198" s="183" t="str">
        <f>MID(_xlfn.TEXTJOIN(" ",TRUE,'Deelnemer 8 vtg'!$D$6,$B$185),1,11)</f>
        <v>Deelnemer 8</v>
      </c>
      <c r="F198" s="183">
        <f>'Deelnemer 8 vtg'!$C$7</f>
        <v>0</v>
      </c>
      <c r="G198" s="183" t="str">
        <f>'Deelnemer 8 vtg'!B32</f>
        <v xml:space="preserve"> - </v>
      </c>
      <c r="H198" s="186" t="str">
        <f>VLOOKUP(G198,'Categorie H2 Vtg.'!$B$4:$D$20,3,0)</f>
        <v>-</v>
      </c>
      <c r="I198" s="187">
        <f>'Deelnemer 8 vtg'!E32</f>
        <v>0</v>
      </c>
      <c r="J198" s="180">
        <f>'Deelnemer 8 vtg'!V32</f>
        <v>0</v>
      </c>
      <c r="K198" s="184">
        <f>'Deelnemer 8 vtg'!Z32</f>
        <v>0</v>
      </c>
      <c r="L198" s="184">
        <f>'Deelnemer 8 vtg'!AE32</f>
        <v>0</v>
      </c>
      <c r="M198" s="188">
        <f t="shared" si="15"/>
        <v>0</v>
      </c>
      <c r="N198" s="188">
        <f t="shared" si="16"/>
        <v>0</v>
      </c>
      <c r="O198" s="184">
        <f>'Deelnemer 8 vtg'!AG32</f>
        <v>0</v>
      </c>
      <c r="P198" s="184">
        <f>'Deelnemer 8 vtg'!AJ32</f>
        <v>0</v>
      </c>
      <c r="Q198" s="184">
        <f>'Deelnemer 8 vtg'!AK32</f>
        <v>0</v>
      </c>
    </row>
    <row r="199" spans="2:18" ht="16.5" hidden="1" customHeight="1" x14ac:dyDescent="0.3">
      <c r="B199" s="639"/>
      <c r="C199" s="161">
        <v>15</v>
      </c>
      <c r="D199" s="182" t="str">
        <f>'Deelnemer 8 vtg'!A33</f>
        <v/>
      </c>
      <c r="E199" s="183" t="str">
        <f>MID(_xlfn.TEXTJOIN(" ",TRUE,'Deelnemer 8 vtg'!$D$6,$B$185),1,11)</f>
        <v>Deelnemer 8</v>
      </c>
      <c r="F199" s="183">
        <f>'Deelnemer 8 vtg'!$C$7</f>
        <v>0</v>
      </c>
      <c r="G199" s="183" t="str">
        <f>'Deelnemer 8 vtg'!B33</f>
        <v xml:space="preserve"> - </v>
      </c>
      <c r="H199" s="186" t="str">
        <f>VLOOKUP(G199,'Categorie H2 Vtg.'!$B$4:$D$20,3,0)</f>
        <v>-</v>
      </c>
      <c r="I199" s="187">
        <f>'Deelnemer 8 vtg'!E33</f>
        <v>0</v>
      </c>
      <c r="J199" s="180">
        <f>'Deelnemer 8 vtg'!V33</f>
        <v>0</v>
      </c>
      <c r="K199" s="184">
        <f>'Deelnemer 8 vtg'!Z33</f>
        <v>0</v>
      </c>
      <c r="L199" s="184">
        <f>'Deelnemer 8 vtg'!AE33</f>
        <v>0</v>
      </c>
      <c r="M199" s="188">
        <f t="shared" si="15"/>
        <v>0</v>
      </c>
      <c r="N199" s="188">
        <f t="shared" si="16"/>
        <v>0</v>
      </c>
      <c r="O199" s="184">
        <f>'Deelnemer 8 vtg'!AG33</f>
        <v>0</v>
      </c>
      <c r="P199" s="184">
        <f>'Deelnemer 8 vtg'!AJ33</f>
        <v>0</v>
      </c>
      <c r="Q199" s="184">
        <f>'Deelnemer 8 vtg'!AK33</f>
        <v>0</v>
      </c>
    </row>
    <row r="200" spans="2:18" s="181" customFormat="1" ht="16.5" hidden="1" customHeight="1" x14ac:dyDescent="0.3">
      <c r="B200" s="639">
        <f t="shared" si="14"/>
        <v>9</v>
      </c>
      <c r="C200" s="189">
        <v>1</v>
      </c>
      <c r="D200" s="182" t="str">
        <f>'Deelnemer 9 vtg'!A19</f>
        <v/>
      </c>
      <c r="E200" s="183" t="str">
        <f>MID(_xlfn.TEXTJOIN(" ",TRUE,'Deelnemer 9 vtg'!$D$6,$B$200),1,11)</f>
        <v>Deelnemer 9</v>
      </c>
      <c r="F200" s="183">
        <f>'Deelnemer 9 vtg'!$C$7</f>
        <v>0</v>
      </c>
      <c r="G200" s="183" t="str">
        <f>'Deelnemer 9 vtg'!B19</f>
        <v xml:space="preserve"> - </v>
      </c>
      <c r="H200" s="183" t="str">
        <f>VLOOKUP(G200,'Categorie H2 Vtg.'!$B$4:$D$20,3,0)</f>
        <v>-</v>
      </c>
      <c r="I200" s="187">
        <f>'Deelnemer 9 vtg'!E19</f>
        <v>0</v>
      </c>
      <c r="J200" s="180">
        <f>'Deelnemer 9 vtg'!V19</f>
        <v>0</v>
      </c>
      <c r="K200" s="184">
        <f>'Deelnemer 9 vtg'!Z19</f>
        <v>0</v>
      </c>
      <c r="L200" s="184">
        <f>'Deelnemer 9 vtg'!AE19</f>
        <v>0</v>
      </c>
      <c r="M200" s="184">
        <f>K200*J200</f>
        <v>0</v>
      </c>
      <c r="N200" s="184">
        <f>L200*J200</f>
        <v>0</v>
      </c>
      <c r="O200" s="184">
        <f>'Deelnemer 9 vtg'!AG19</f>
        <v>0</v>
      </c>
      <c r="P200" s="184">
        <f>'Deelnemer 9 vtg'!AJ19</f>
        <v>0</v>
      </c>
      <c r="Q200" s="184">
        <f>'Deelnemer 9 vtg'!AK19</f>
        <v>0</v>
      </c>
      <c r="R200" s="161"/>
    </row>
    <row r="201" spans="2:18" ht="16.5" hidden="1" customHeight="1" x14ac:dyDescent="0.3">
      <c r="B201" s="639"/>
      <c r="C201" s="161">
        <v>2</v>
      </c>
      <c r="D201" s="182" t="str">
        <f>'Deelnemer 9 vtg'!A20</f>
        <v/>
      </c>
      <c r="E201" s="183" t="str">
        <f>MID(_xlfn.TEXTJOIN(" ",TRUE,'Deelnemer 9 vtg'!$D$6,$B$200),1,11)</f>
        <v>Deelnemer 9</v>
      </c>
      <c r="F201" s="183">
        <f>'Deelnemer 9 vtg'!$C$7</f>
        <v>0</v>
      </c>
      <c r="G201" s="183" t="str">
        <f>'Deelnemer 9 vtg'!B20</f>
        <v xml:space="preserve"> - </v>
      </c>
      <c r="H201" s="186" t="str">
        <f>VLOOKUP(G201,'Categorie H2 Vtg.'!$B$4:$D$20,3,0)</f>
        <v>-</v>
      </c>
      <c r="I201" s="187">
        <f>'Deelnemer 9 vtg'!E20</f>
        <v>0</v>
      </c>
      <c r="J201" s="180">
        <f>'Deelnemer 9 vtg'!V20</f>
        <v>0</v>
      </c>
      <c r="K201" s="184">
        <f>'Deelnemer 9 vtg'!Z20</f>
        <v>0</v>
      </c>
      <c r="L201" s="184">
        <f>'Deelnemer 9 vtg'!AE20</f>
        <v>0</v>
      </c>
      <c r="M201" s="188">
        <f t="shared" ref="M201:M214" si="17">K201*J201</f>
        <v>0</v>
      </c>
      <c r="N201" s="188">
        <f t="shared" ref="N201:N214" si="18">L201*J201</f>
        <v>0</v>
      </c>
      <c r="O201" s="184">
        <f>'Deelnemer 9 vtg'!AG20</f>
        <v>0</v>
      </c>
      <c r="P201" s="184">
        <f>'Deelnemer 9 vtg'!AJ20</f>
        <v>0</v>
      </c>
      <c r="Q201" s="184">
        <f>'Deelnemer 9 vtg'!AK20</f>
        <v>0</v>
      </c>
    </row>
    <row r="202" spans="2:18" ht="16.5" hidden="1" customHeight="1" x14ac:dyDescent="0.3">
      <c r="B202" s="639"/>
      <c r="C202" s="161">
        <v>3</v>
      </c>
      <c r="D202" s="182" t="str">
        <f>'Deelnemer 9 vtg'!A21</f>
        <v/>
      </c>
      <c r="E202" s="183" t="str">
        <f>MID(_xlfn.TEXTJOIN(" ",TRUE,'Deelnemer 9 vtg'!$D$6,$B$200),1,11)</f>
        <v>Deelnemer 9</v>
      </c>
      <c r="F202" s="183">
        <f>'Deelnemer 9 vtg'!$C$7</f>
        <v>0</v>
      </c>
      <c r="G202" s="183" t="str">
        <f>'Deelnemer 9 vtg'!B21</f>
        <v xml:space="preserve"> - </v>
      </c>
      <c r="H202" s="186" t="str">
        <f>VLOOKUP(G202,'Categorie H2 Vtg.'!$B$4:$D$20,3,0)</f>
        <v>-</v>
      </c>
      <c r="I202" s="187">
        <f>'Deelnemer 9 vtg'!E21</f>
        <v>0</v>
      </c>
      <c r="J202" s="180">
        <f>'Deelnemer 9 vtg'!V21</f>
        <v>0</v>
      </c>
      <c r="K202" s="184">
        <f>'Deelnemer 9 vtg'!Z21</f>
        <v>0</v>
      </c>
      <c r="L202" s="184">
        <f>'Deelnemer 9 vtg'!AE21</f>
        <v>0</v>
      </c>
      <c r="M202" s="188">
        <f t="shared" si="17"/>
        <v>0</v>
      </c>
      <c r="N202" s="188">
        <f t="shared" si="18"/>
        <v>0</v>
      </c>
      <c r="O202" s="184">
        <f>'Deelnemer 9 vtg'!AG21</f>
        <v>0</v>
      </c>
      <c r="P202" s="184">
        <f>'Deelnemer 9 vtg'!AJ21</f>
        <v>0</v>
      </c>
      <c r="Q202" s="184">
        <f>'Deelnemer 9 vtg'!AK21</f>
        <v>0</v>
      </c>
    </row>
    <row r="203" spans="2:18" ht="16.5" hidden="1" customHeight="1" x14ac:dyDescent="0.3">
      <c r="B203" s="639"/>
      <c r="C203" s="161">
        <v>4</v>
      </c>
      <c r="D203" s="182" t="str">
        <f>'Deelnemer 9 vtg'!A22</f>
        <v/>
      </c>
      <c r="E203" s="183" t="str">
        <f>MID(_xlfn.TEXTJOIN(" ",TRUE,'Deelnemer 9 vtg'!$D$6,$B$200),1,11)</f>
        <v>Deelnemer 9</v>
      </c>
      <c r="F203" s="183">
        <f>'Deelnemer 9 vtg'!$C$7</f>
        <v>0</v>
      </c>
      <c r="G203" s="183" t="str">
        <f>'Deelnemer 9 vtg'!B22</f>
        <v xml:space="preserve"> - </v>
      </c>
      <c r="H203" s="186" t="str">
        <f>VLOOKUP(G203,'Categorie H2 Vtg.'!$B$4:$D$20,3,0)</f>
        <v>-</v>
      </c>
      <c r="I203" s="187">
        <f>'Deelnemer 9 vtg'!E22</f>
        <v>0</v>
      </c>
      <c r="J203" s="180">
        <f>'Deelnemer 9 vtg'!V22</f>
        <v>0</v>
      </c>
      <c r="K203" s="184">
        <f>'Deelnemer 9 vtg'!Z22</f>
        <v>0</v>
      </c>
      <c r="L203" s="184">
        <f>'Deelnemer 9 vtg'!AE22</f>
        <v>0</v>
      </c>
      <c r="M203" s="188">
        <f t="shared" si="17"/>
        <v>0</v>
      </c>
      <c r="N203" s="188">
        <f t="shared" si="18"/>
        <v>0</v>
      </c>
      <c r="O203" s="184">
        <f>'Deelnemer 9 vtg'!AG22</f>
        <v>0</v>
      </c>
      <c r="P203" s="184">
        <f>'Deelnemer 9 vtg'!AJ22</f>
        <v>0</v>
      </c>
      <c r="Q203" s="184">
        <f>'Deelnemer 9 vtg'!AK22</f>
        <v>0</v>
      </c>
    </row>
    <row r="204" spans="2:18" ht="16.5" hidden="1" customHeight="1" x14ac:dyDescent="0.3">
      <c r="B204" s="639"/>
      <c r="C204" s="161">
        <v>5</v>
      </c>
      <c r="D204" s="182" t="str">
        <f>'Deelnemer 9 vtg'!A23</f>
        <v/>
      </c>
      <c r="E204" s="183" t="str">
        <f>MID(_xlfn.TEXTJOIN(" ",TRUE,'Deelnemer 9 vtg'!$D$6,$B$200),1,11)</f>
        <v>Deelnemer 9</v>
      </c>
      <c r="F204" s="183">
        <f>'Deelnemer 9 vtg'!$C$7</f>
        <v>0</v>
      </c>
      <c r="G204" s="183" t="str">
        <f>'Deelnemer 9 vtg'!B23</f>
        <v xml:space="preserve"> - </v>
      </c>
      <c r="H204" s="186" t="str">
        <f>VLOOKUP(G204,'Categorie H2 Vtg.'!$B$4:$D$20,3,0)</f>
        <v>-</v>
      </c>
      <c r="I204" s="187">
        <f>'Deelnemer 9 vtg'!E23</f>
        <v>0</v>
      </c>
      <c r="J204" s="180">
        <f>'Deelnemer 9 vtg'!V23</f>
        <v>0</v>
      </c>
      <c r="K204" s="184">
        <f>'Deelnemer 9 vtg'!Z23</f>
        <v>0</v>
      </c>
      <c r="L204" s="184">
        <f>'Deelnemer 9 vtg'!AE23</f>
        <v>0</v>
      </c>
      <c r="M204" s="188">
        <f t="shared" si="17"/>
        <v>0</v>
      </c>
      <c r="N204" s="188">
        <f t="shared" si="18"/>
        <v>0</v>
      </c>
      <c r="O204" s="184">
        <f>'Deelnemer 9 vtg'!AG23</f>
        <v>0</v>
      </c>
      <c r="P204" s="184">
        <f>'Deelnemer 9 vtg'!AJ23</f>
        <v>0</v>
      </c>
      <c r="Q204" s="184">
        <f>'Deelnemer 9 vtg'!AK23</f>
        <v>0</v>
      </c>
    </row>
    <row r="205" spans="2:18" ht="16.5" hidden="1" customHeight="1" x14ac:dyDescent="0.3">
      <c r="B205" s="639"/>
      <c r="C205" s="161">
        <v>6</v>
      </c>
      <c r="D205" s="182" t="str">
        <f>'Deelnemer 9 vtg'!A24</f>
        <v/>
      </c>
      <c r="E205" s="183" t="str">
        <f>MID(_xlfn.TEXTJOIN(" ",TRUE,'Deelnemer 9 vtg'!$D$6,$B$200),1,11)</f>
        <v>Deelnemer 9</v>
      </c>
      <c r="F205" s="183">
        <f>'Deelnemer 9 vtg'!$C$7</f>
        <v>0</v>
      </c>
      <c r="G205" s="183" t="str">
        <f>'Deelnemer 9 vtg'!B24</f>
        <v xml:space="preserve"> - </v>
      </c>
      <c r="H205" s="186" t="str">
        <f>VLOOKUP(G205,'Categorie H2 Vtg.'!$B$4:$D$20,3,0)</f>
        <v>-</v>
      </c>
      <c r="I205" s="187">
        <f>'Deelnemer 9 vtg'!E24</f>
        <v>0</v>
      </c>
      <c r="J205" s="180">
        <f>'Deelnemer 9 vtg'!V24</f>
        <v>0</v>
      </c>
      <c r="K205" s="184">
        <f>'Deelnemer 9 vtg'!Z24</f>
        <v>0</v>
      </c>
      <c r="L205" s="184">
        <f>'Deelnemer 9 vtg'!AE24</f>
        <v>0</v>
      </c>
      <c r="M205" s="188">
        <f t="shared" si="17"/>
        <v>0</v>
      </c>
      <c r="N205" s="188">
        <f t="shared" si="18"/>
        <v>0</v>
      </c>
      <c r="O205" s="184">
        <f>'Deelnemer 9 vtg'!AG24</f>
        <v>0</v>
      </c>
      <c r="P205" s="184">
        <f>'Deelnemer 9 vtg'!AJ24</f>
        <v>0</v>
      </c>
      <c r="Q205" s="184">
        <f>'Deelnemer 9 vtg'!AK24</f>
        <v>0</v>
      </c>
    </row>
    <row r="206" spans="2:18" ht="16.5" hidden="1" customHeight="1" x14ac:dyDescent="0.3">
      <c r="B206" s="639"/>
      <c r="C206" s="161">
        <v>7</v>
      </c>
      <c r="D206" s="182" t="str">
        <f>'Deelnemer 9 vtg'!A25</f>
        <v/>
      </c>
      <c r="E206" s="183" t="str">
        <f>MID(_xlfn.TEXTJOIN(" ",TRUE,'Deelnemer 9 vtg'!$D$6,$B$200),1,11)</f>
        <v>Deelnemer 9</v>
      </c>
      <c r="F206" s="183">
        <f>'Deelnemer 9 vtg'!$C$7</f>
        <v>0</v>
      </c>
      <c r="G206" s="183" t="str">
        <f>'Deelnemer 9 vtg'!B25</f>
        <v xml:space="preserve"> - </v>
      </c>
      <c r="H206" s="186" t="str">
        <f>VLOOKUP(G206,'Categorie H2 Vtg.'!$B$4:$D$20,3,0)</f>
        <v>-</v>
      </c>
      <c r="I206" s="187">
        <f>'Deelnemer 9 vtg'!E25</f>
        <v>0</v>
      </c>
      <c r="J206" s="180">
        <f>'Deelnemer 9 vtg'!V25</f>
        <v>0</v>
      </c>
      <c r="K206" s="184">
        <f>'Deelnemer 9 vtg'!Z25</f>
        <v>0</v>
      </c>
      <c r="L206" s="184">
        <f>'Deelnemer 9 vtg'!AE25</f>
        <v>0</v>
      </c>
      <c r="M206" s="188">
        <f t="shared" si="17"/>
        <v>0</v>
      </c>
      <c r="N206" s="188">
        <f t="shared" si="18"/>
        <v>0</v>
      </c>
      <c r="O206" s="184">
        <f>'Deelnemer 9 vtg'!AG25</f>
        <v>0</v>
      </c>
      <c r="P206" s="184">
        <f>'Deelnemer 9 vtg'!AJ25</f>
        <v>0</v>
      </c>
      <c r="Q206" s="184">
        <f>'Deelnemer 9 vtg'!AK25</f>
        <v>0</v>
      </c>
    </row>
    <row r="207" spans="2:18" ht="16.5" hidden="1" customHeight="1" x14ac:dyDescent="0.3">
      <c r="B207" s="639"/>
      <c r="C207" s="161">
        <v>8</v>
      </c>
      <c r="D207" s="182" t="str">
        <f>'Deelnemer 9 vtg'!A26</f>
        <v/>
      </c>
      <c r="E207" s="183" t="str">
        <f>MID(_xlfn.TEXTJOIN(" ",TRUE,'Deelnemer 9 vtg'!$D$6,$B$200),1,11)</f>
        <v>Deelnemer 9</v>
      </c>
      <c r="F207" s="183">
        <f>'Deelnemer 9 vtg'!$C$7</f>
        <v>0</v>
      </c>
      <c r="G207" s="183" t="str">
        <f>'Deelnemer 9 vtg'!B26</f>
        <v xml:space="preserve"> - </v>
      </c>
      <c r="H207" s="186" t="str">
        <f>VLOOKUP(G207,'Categorie H2 Vtg.'!$B$4:$D$20,3,0)</f>
        <v>-</v>
      </c>
      <c r="I207" s="187">
        <f>'Deelnemer 9 vtg'!E26</f>
        <v>0</v>
      </c>
      <c r="J207" s="180">
        <f>'Deelnemer 9 vtg'!V26</f>
        <v>0</v>
      </c>
      <c r="K207" s="184">
        <f>'Deelnemer 9 vtg'!Z26</f>
        <v>0</v>
      </c>
      <c r="L207" s="184">
        <f>'Deelnemer 9 vtg'!AE26</f>
        <v>0</v>
      </c>
      <c r="M207" s="188">
        <f t="shared" si="17"/>
        <v>0</v>
      </c>
      <c r="N207" s="188">
        <f t="shared" si="18"/>
        <v>0</v>
      </c>
      <c r="O207" s="184">
        <f>'Deelnemer 9 vtg'!AG26</f>
        <v>0</v>
      </c>
      <c r="P207" s="184">
        <f>'Deelnemer 9 vtg'!AJ26</f>
        <v>0</v>
      </c>
      <c r="Q207" s="184">
        <f>'Deelnemer 9 vtg'!AK26</f>
        <v>0</v>
      </c>
    </row>
    <row r="208" spans="2:18" ht="16.5" hidden="1" customHeight="1" x14ac:dyDescent="0.3">
      <c r="B208" s="639"/>
      <c r="C208" s="161">
        <v>9</v>
      </c>
      <c r="D208" s="182" t="str">
        <f>'Deelnemer 9 vtg'!A27</f>
        <v/>
      </c>
      <c r="E208" s="183" t="str">
        <f>MID(_xlfn.TEXTJOIN(" ",TRUE,'Deelnemer 9 vtg'!$D$6,$B$200),1,11)</f>
        <v>Deelnemer 9</v>
      </c>
      <c r="F208" s="183">
        <f>'Deelnemer 9 vtg'!$C$7</f>
        <v>0</v>
      </c>
      <c r="G208" s="183" t="str">
        <f>'Deelnemer 9 vtg'!B27</f>
        <v xml:space="preserve"> - </v>
      </c>
      <c r="H208" s="186" t="str">
        <f>VLOOKUP(G208,'Categorie H2 Vtg.'!$B$4:$D$20,3,0)</f>
        <v>-</v>
      </c>
      <c r="I208" s="187">
        <f>'Deelnemer 9 vtg'!E27</f>
        <v>0</v>
      </c>
      <c r="J208" s="180">
        <f>'Deelnemer 9 vtg'!V27</f>
        <v>0</v>
      </c>
      <c r="K208" s="184">
        <f>'Deelnemer 9 vtg'!Z27</f>
        <v>0</v>
      </c>
      <c r="L208" s="184">
        <f>'Deelnemer 9 vtg'!AE27</f>
        <v>0</v>
      </c>
      <c r="M208" s="188">
        <f t="shared" si="17"/>
        <v>0</v>
      </c>
      <c r="N208" s="188">
        <f t="shared" si="18"/>
        <v>0</v>
      </c>
      <c r="O208" s="184">
        <f>'Deelnemer 9 vtg'!AG27</f>
        <v>0</v>
      </c>
      <c r="P208" s="184">
        <f>'Deelnemer 9 vtg'!AJ27</f>
        <v>0</v>
      </c>
      <c r="Q208" s="184">
        <f>'Deelnemer 9 vtg'!AK27</f>
        <v>0</v>
      </c>
    </row>
    <row r="209" spans="2:18" ht="16.5" hidden="1" customHeight="1" x14ac:dyDescent="0.3">
      <c r="B209" s="639"/>
      <c r="C209" s="161">
        <v>10</v>
      </c>
      <c r="D209" s="182" t="str">
        <f>'Deelnemer 9 vtg'!A28</f>
        <v/>
      </c>
      <c r="E209" s="183" t="str">
        <f>MID(_xlfn.TEXTJOIN(" ",TRUE,'Deelnemer 9 vtg'!$D$6,$B$200),1,11)</f>
        <v>Deelnemer 9</v>
      </c>
      <c r="F209" s="183">
        <f>'Deelnemer 9 vtg'!$C$7</f>
        <v>0</v>
      </c>
      <c r="G209" s="183" t="str">
        <f>'Deelnemer 9 vtg'!B28</f>
        <v xml:space="preserve"> - </v>
      </c>
      <c r="H209" s="186" t="str">
        <f>VLOOKUP(G209,'Categorie H2 Vtg.'!$B$4:$D$20,3,0)</f>
        <v>-</v>
      </c>
      <c r="I209" s="187">
        <f>'Deelnemer 9 vtg'!E28</f>
        <v>0</v>
      </c>
      <c r="J209" s="180">
        <f>'Deelnemer 9 vtg'!V28</f>
        <v>0</v>
      </c>
      <c r="K209" s="184">
        <f>'Deelnemer 9 vtg'!Z28</f>
        <v>0</v>
      </c>
      <c r="L209" s="184">
        <f>'Deelnemer 9 vtg'!AE28</f>
        <v>0</v>
      </c>
      <c r="M209" s="188">
        <f t="shared" si="17"/>
        <v>0</v>
      </c>
      <c r="N209" s="188">
        <f t="shared" si="18"/>
        <v>0</v>
      </c>
      <c r="O209" s="184">
        <f>'Deelnemer 9 vtg'!AG28</f>
        <v>0</v>
      </c>
      <c r="P209" s="184">
        <f>'Deelnemer 9 vtg'!AJ28</f>
        <v>0</v>
      </c>
      <c r="Q209" s="184">
        <f>'Deelnemer 9 vtg'!AK28</f>
        <v>0</v>
      </c>
    </row>
    <row r="210" spans="2:18" ht="16.5" hidden="1" customHeight="1" x14ac:dyDescent="0.3">
      <c r="B210" s="639"/>
      <c r="C210" s="161">
        <v>11</v>
      </c>
      <c r="D210" s="182" t="str">
        <f>'Deelnemer 9 vtg'!A29</f>
        <v/>
      </c>
      <c r="E210" s="183" t="str">
        <f>MID(_xlfn.TEXTJOIN(" ",TRUE,'Deelnemer 9 vtg'!$D$6,$B$200),1,11)</f>
        <v>Deelnemer 9</v>
      </c>
      <c r="F210" s="183">
        <f>'Deelnemer 9 vtg'!$C$7</f>
        <v>0</v>
      </c>
      <c r="G210" s="183" t="str">
        <f>'Deelnemer 9 vtg'!B29</f>
        <v xml:space="preserve"> - </v>
      </c>
      <c r="H210" s="186" t="str">
        <f>VLOOKUP(G210,'Categorie H2 Vtg.'!$B$4:$D$20,3,0)</f>
        <v>-</v>
      </c>
      <c r="I210" s="187">
        <f>'Deelnemer 9 vtg'!E29</f>
        <v>0</v>
      </c>
      <c r="J210" s="180">
        <f>'Deelnemer 9 vtg'!V29</f>
        <v>0</v>
      </c>
      <c r="K210" s="184">
        <f>'Deelnemer 9 vtg'!Z29</f>
        <v>0</v>
      </c>
      <c r="L210" s="184">
        <f>'Deelnemer 9 vtg'!AE29</f>
        <v>0</v>
      </c>
      <c r="M210" s="188">
        <f t="shared" si="17"/>
        <v>0</v>
      </c>
      <c r="N210" s="188">
        <f t="shared" si="18"/>
        <v>0</v>
      </c>
      <c r="O210" s="184">
        <f>'Deelnemer 9 vtg'!AG29</f>
        <v>0</v>
      </c>
      <c r="P210" s="184">
        <f>'Deelnemer 9 vtg'!AJ29</f>
        <v>0</v>
      </c>
      <c r="Q210" s="184">
        <f>'Deelnemer 9 vtg'!AK29</f>
        <v>0</v>
      </c>
    </row>
    <row r="211" spans="2:18" ht="16.5" hidden="1" customHeight="1" x14ac:dyDescent="0.3">
      <c r="B211" s="639"/>
      <c r="C211" s="161">
        <v>12</v>
      </c>
      <c r="D211" s="182" t="str">
        <f>'Deelnemer 9 vtg'!A30</f>
        <v/>
      </c>
      <c r="E211" s="183" t="str">
        <f>MID(_xlfn.TEXTJOIN(" ",TRUE,'Deelnemer 9 vtg'!$D$6,$B$200),1,11)</f>
        <v>Deelnemer 9</v>
      </c>
      <c r="F211" s="183">
        <f>'Deelnemer 9 vtg'!$C$7</f>
        <v>0</v>
      </c>
      <c r="G211" s="183" t="str">
        <f>'Deelnemer 9 vtg'!B30</f>
        <v xml:space="preserve"> - </v>
      </c>
      <c r="H211" s="186" t="str">
        <f>VLOOKUP(G211,'Categorie H2 Vtg.'!$B$4:$D$20,3,0)</f>
        <v>-</v>
      </c>
      <c r="I211" s="187">
        <f>'Deelnemer 9 vtg'!E30</f>
        <v>0</v>
      </c>
      <c r="J211" s="180">
        <f>'Deelnemer 9 vtg'!V30</f>
        <v>0</v>
      </c>
      <c r="K211" s="184">
        <f>'Deelnemer 9 vtg'!Z30</f>
        <v>0</v>
      </c>
      <c r="L211" s="184">
        <f>'Deelnemer 9 vtg'!AE30</f>
        <v>0</v>
      </c>
      <c r="M211" s="188">
        <f t="shared" si="17"/>
        <v>0</v>
      </c>
      <c r="N211" s="188">
        <f t="shared" si="18"/>
        <v>0</v>
      </c>
      <c r="O211" s="184">
        <f>'Deelnemer 9 vtg'!AG30</f>
        <v>0</v>
      </c>
      <c r="P211" s="184">
        <f>'Deelnemer 9 vtg'!AJ30</f>
        <v>0</v>
      </c>
      <c r="Q211" s="184">
        <f>'Deelnemer 9 vtg'!AK30</f>
        <v>0</v>
      </c>
    </row>
    <row r="212" spans="2:18" ht="16.5" hidden="1" customHeight="1" x14ac:dyDescent="0.3">
      <c r="B212" s="639"/>
      <c r="C212" s="161">
        <v>13</v>
      </c>
      <c r="D212" s="182" t="str">
        <f>'Deelnemer 9 vtg'!A31</f>
        <v/>
      </c>
      <c r="E212" s="183" t="str">
        <f>MID(_xlfn.TEXTJOIN(" ",TRUE,'Deelnemer 9 vtg'!$D$6,$B$200),1,11)</f>
        <v>Deelnemer 9</v>
      </c>
      <c r="F212" s="183">
        <f>'Deelnemer 9 vtg'!$C$7</f>
        <v>0</v>
      </c>
      <c r="G212" s="183" t="str">
        <f>'Deelnemer 9 vtg'!B31</f>
        <v xml:space="preserve"> - </v>
      </c>
      <c r="H212" s="186" t="str">
        <f>VLOOKUP(G212,'Categorie H2 Vtg.'!$B$4:$D$20,3,0)</f>
        <v>-</v>
      </c>
      <c r="I212" s="187">
        <f>'Deelnemer 9 vtg'!E31</f>
        <v>0</v>
      </c>
      <c r="J212" s="180">
        <f>'Deelnemer 9 vtg'!V31</f>
        <v>0</v>
      </c>
      <c r="K212" s="184">
        <f>'Deelnemer 9 vtg'!Z31</f>
        <v>0</v>
      </c>
      <c r="L212" s="184">
        <f>'Deelnemer 9 vtg'!AE31</f>
        <v>0</v>
      </c>
      <c r="M212" s="188">
        <f t="shared" si="17"/>
        <v>0</v>
      </c>
      <c r="N212" s="188">
        <f t="shared" si="18"/>
        <v>0</v>
      </c>
      <c r="O212" s="184">
        <f>'Deelnemer 9 vtg'!AG31</f>
        <v>0</v>
      </c>
      <c r="P212" s="184">
        <f>'Deelnemer 9 vtg'!AJ31</f>
        <v>0</v>
      </c>
      <c r="Q212" s="184">
        <f>'Deelnemer 9 vtg'!AK31</f>
        <v>0</v>
      </c>
    </row>
    <row r="213" spans="2:18" ht="16.5" hidden="1" customHeight="1" x14ac:dyDescent="0.3">
      <c r="B213" s="639"/>
      <c r="C213" s="161">
        <v>14</v>
      </c>
      <c r="D213" s="182" t="str">
        <f>'Deelnemer 9 vtg'!A32</f>
        <v/>
      </c>
      <c r="E213" s="183" t="str">
        <f>MID(_xlfn.TEXTJOIN(" ",TRUE,'Deelnemer 9 vtg'!$D$6,$B$200),1,11)</f>
        <v>Deelnemer 9</v>
      </c>
      <c r="F213" s="183">
        <f>'Deelnemer 9 vtg'!$C$7</f>
        <v>0</v>
      </c>
      <c r="G213" s="183" t="str">
        <f>'Deelnemer 9 vtg'!B32</f>
        <v xml:space="preserve"> - </v>
      </c>
      <c r="H213" s="186" t="str">
        <f>VLOOKUP(G213,'Categorie H2 Vtg.'!$B$4:$D$20,3,0)</f>
        <v>-</v>
      </c>
      <c r="I213" s="187">
        <f>'Deelnemer 9 vtg'!E32</f>
        <v>0</v>
      </c>
      <c r="J213" s="180">
        <f>'Deelnemer 9 vtg'!V32</f>
        <v>0</v>
      </c>
      <c r="K213" s="184">
        <f>'Deelnemer 9 vtg'!Z32</f>
        <v>0</v>
      </c>
      <c r="L213" s="184">
        <f>'Deelnemer 9 vtg'!AE32</f>
        <v>0</v>
      </c>
      <c r="M213" s="188">
        <f t="shared" si="17"/>
        <v>0</v>
      </c>
      <c r="N213" s="188">
        <f t="shared" si="18"/>
        <v>0</v>
      </c>
      <c r="O213" s="184">
        <f>'Deelnemer 9 vtg'!AG32</f>
        <v>0</v>
      </c>
      <c r="P213" s="184">
        <f>'Deelnemer 9 vtg'!AJ32</f>
        <v>0</v>
      </c>
      <c r="Q213" s="184">
        <f>'Deelnemer 9 vtg'!AK32</f>
        <v>0</v>
      </c>
    </row>
    <row r="214" spans="2:18" ht="16.5" hidden="1" customHeight="1" x14ac:dyDescent="0.3">
      <c r="B214" s="639"/>
      <c r="C214" s="161">
        <v>15</v>
      </c>
      <c r="D214" s="182" t="str">
        <f>'Deelnemer 9 vtg'!A33</f>
        <v/>
      </c>
      <c r="E214" s="183" t="str">
        <f>MID(_xlfn.TEXTJOIN(" ",TRUE,'Deelnemer 9 vtg'!$D$6,$B$200),1,11)</f>
        <v>Deelnemer 9</v>
      </c>
      <c r="F214" s="183">
        <f>'Deelnemer 9 vtg'!$C$7</f>
        <v>0</v>
      </c>
      <c r="G214" s="183" t="str">
        <f>'Deelnemer 9 vtg'!B33</f>
        <v xml:space="preserve"> - </v>
      </c>
      <c r="H214" s="186" t="str">
        <f>VLOOKUP(G214,'Categorie H2 Vtg.'!$B$4:$D$20,3,0)</f>
        <v>-</v>
      </c>
      <c r="I214" s="187">
        <f>'Deelnemer 9 vtg'!E33</f>
        <v>0</v>
      </c>
      <c r="J214" s="180">
        <f>'Deelnemer 9 vtg'!V33</f>
        <v>0</v>
      </c>
      <c r="K214" s="184">
        <f>'Deelnemer 9 vtg'!Z33</f>
        <v>0</v>
      </c>
      <c r="L214" s="184">
        <f>'Deelnemer 9 vtg'!AE33</f>
        <v>0</v>
      </c>
      <c r="M214" s="188">
        <f t="shared" si="17"/>
        <v>0</v>
      </c>
      <c r="N214" s="188">
        <f t="shared" si="18"/>
        <v>0</v>
      </c>
      <c r="O214" s="184">
        <f>'Deelnemer 9 vtg'!AG33</f>
        <v>0</v>
      </c>
      <c r="P214" s="184">
        <f>'Deelnemer 9 vtg'!AJ33</f>
        <v>0</v>
      </c>
      <c r="Q214" s="184">
        <f>'Deelnemer 9 vtg'!AK33</f>
        <v>0</v>
      </c>
    </row>
    <row r="215" spans="2:18" s="181" customFormat="1" ht="16.5" hidden="1" customHeight="1" x14ac:dyDescent="0.3">
      <c r="B215" s="639">
        <f t="shared" si="14"/>
        <v>10</v>
      </c>
      <c r="C215" s="189">
        <v>1</v>
      </c>
      <c r="D215" s="190" t="str">
        <f>'Deelnemer 10 vtg'!A19</f>
        <v/>
      </c>
      <c r="E215" s="183" t="str">
        <f>MID(_xlfn.TEXTJOIN(" ",TRUE,'Deelnemer 10 vtg'!$D$6,$B$215),1,12)</f>
        <v>Deelnemer 10</v>
      </c>
      <c r="F215" s="183">
        <f>'Deelnemer 10 vtg'!$C$7</f>
        <v>0</v>
      </c>
      <c r="G215" s="183" t="str">
        <f>'Deelnemer 10 vtg'!B19</f>
        <v xml:space="preserve"> - </v>
      </c>
      <c r="H215" s="183" t="str">
        <f>VLOOKUP(G215,'Categorie H2 Vtg.'!$B$4:$D$20,3,0)</f>
        <v>-</v>
      </c>
      <c r="I215" s="187">
        <f>'Deelnemer 10 vtg'!E19</f>
        <v>0</v>
      </c>
      <c r="J215" s="180">
        <f>'Deelnemer 10 vtg'!V19</f>
        <v>0</v>
      </c>
      <c r="K215" s="184">
        <f>'Deelnemer 10 vtg'!Z19</f>
        <v>0</v>
      </c>
      <c r="L215" s="184">
        <f>'Deelnemer 10 vtg'!AE19</f>
        <v>0</v>
      </c>
      <c r="M215" s="184">
        <f>K215*J215</f>
        <v>0</v>
      </c>
      <c r="N215" s="184">
        <f>L215*J215</f>
        <v>0</v>
      </c>
      <c r="O215" s="184">
        <f>'Deelnemer 10 vtg'!AG19</f>
        <v>0</v>
      </c>
      <c r="P215" s="184">
        <f>'Deelnemer 10 vtg'!AJ19</f>
        <v>0</v>
      </c>
      <c r="Q215" s="184">
        <f>'Deelnemer 10 vtg'!AK19</f>
        <v>0</v>
      </c>
      <c r="R215" s="161"/>
    </row>
    <row r="216" spans="2:18" ht="16.5" hidden="1" customHeight="1" x14ac:dyDescent="0.3">
      <c r="B216" s="639"/>
      <c r="C216" s="161">
        <v>2</v>
      </c>
      <c r="D216" s="190" t="str">
        <f>'Deelnemer 10 vtg'!A20</f>
        <v/>
      </c>
      <c r="E216" s="183" t="str">
        <f>MID(_xlfn.TEXTJOIN(" ",TRUE,'Deelnemer 10 vtg'!$D$6,$B$215),1,12)</f>
        <v>Deelnemer 10</v>
      </c>
      <c r="F216" s="183">
        <f>'Deelnemer 10 vtg'!$C$7</f>
        <v>0</v>
      </c>
      <c r="G216" s="183" t="str">
        <f>'Deelnemer 10 vtg'!B20</f>
        <v xml:space="preserve"> - </v>
      </c>
      <c r="H216" s="186" t="str">
        <f>VLOOKUP(G216,'Categorie H2 Vtg.'!$B$4:$D$20,3,0)</f>
        <v>-</v>
      </c>
      <c r="I216" s="187">
        <f>'Deelnemer 10 vtg'!E20</f>
        <v>0</v>
      </c>
      <c r="J216" s="180">
        <f>'Deelnemer 10 vtg'!V20</f>
        <v>0</v>
      </c>
      <c r="K216" s="184">
        <f>'Deelnemer 10 vtg'!Z20</f>
        <v>0</v>
      </c>
      <c r="L216" s="184">
        <f>'Deelnemer 10 vtg'!AE20</f>
        <v>0</v>
      </c>
      <c r="M216" s="188">
        <f t="shared" ref="M216:M229" si="19">K216*J216</f>
        <v>0</v>
      </c>
      <c r="N216" s="188">
        <f t="shared" ref="N216:N229" si="20">L216*J216</f>
        <v>0</v>
      </c>
      <c r="O216" s="184">
        <f>'Deelnemer 10 vtg'!AG20</f>
        <v>0</v>
      </c>
      <c r="P216" s="184">
        <f>'Deelnemer 10 vtg'!AJ20</f>
        <v>0</v>
      </c>
      <c r="Q216" s="184">
        <f>'Deelnemer 10 vtg'!AK20</f>
        <v>0</v>
      </c>
    </row>
    <row r="217" spans="2:18" ht="16.5" hidden="1" customHeight="1" x14ac:dyDescent="0.3">
      <c r="B217" s="639"/>
      <c r="C217" s="161">
        <v>3</v>
      </c>
      <c r="D217" s="190" t="str">
        <f>'Deelnemer 10 vtg'!A21</f>
        <v/>
      </c>
      <c r="E217" s="183" t="str">
        <f>MID(_xlfn.TEXTJOIN(" ",TRUE,'Deelnemer 10 vtg'!$D$6,$B$215),1,12)</f>
        <v>Deelnemer 10</v>
      </c>
      <c r="F217" s="183">
        <f>'Deelnemer 10 vtg'!$C$7</f>
        <v>0</v>
      </c>
      <c r="G217" s="183" t="str">
        <f>'Deelnemer 10 vtg'!B21</f>
        <v xml:space="preserve"> - </v>
      </c>
      <c r="H217" s="186" t="str">
        <f>VLOOKUP(G217,'Categorie H2 Vtg.'!$B$4:$D$20,3,0)</f>
        <v>-</v>
      </c>
      <c r="I217" s="187">
        <f>'Deelnemer 10 vtg'!E21</f>
        <v>0</v>
      </c>
      <c r="J217" s="180">
        <f>'Deelnemer 10 vtg'!V21</f>
        <v>0</v>
      </c>
      <c r="K217" s="184">
        <f>'Deelnemer 10 vtg'!Z21</f>
        <v>0</v>
      </c>
      <c r="L217" s="184">
        <f>'Deelnemer 10 vtg'!AE21</f>
        <v>0</v>
      </c>
      <c r="M217" s="188">
        <f t="shared" si="19"/>
        <v>0</v>
      </c>
      <c r="N217" s="188">
        <f t="shared" si="20"/>
        <v>0</v>
      </c>
      <c r="O217" s="184">
        <f>'Deelnemer 10 vtg'!AG21</f>
        <v>0</v>
      </c>
      <c r="P217" s="184">
        <f>'Deelnemer 10 vtg'!AJ21</f>
        <v>0</v>
      </c>
      <c r="Q217" s="184">
        <f>'Deelnemer 10 vtg'!AK21</f>
        <v>0</v>
      </c>
    </row>
    <row r="218" spans="2:18" ht="16.5" hidden="1" customHeight="1" x14ac:dyDescent="0.3">
      <c r="B218" s="639"/>
      <c r="C218" s="161">
        <v>4</v>
      </c>
      <c r="D218" s="190" t="str">
        <f>'Deelnemer 10 vtg'!A22</f>
        <v/>
      </c>
      <c r="E218" s="183" t="str">
        <f>MID(_xlfn.TEXTJOIN(" ",TRUE,'Deelnemer 10 vtg'!$D$6,$B$215),1,12)</f>
        <v>Deelnemer 10</v>
      </c>
      <c r="F218" s="183">
        <f>'Deelnemer 10 vtg'!$C$7</f>
        <v>0</v>
      </c>
      <c r="G218" s="183" t="str">
        <f>'Deelnemer 10 vtg'!B22</f>
        <v xml:space="preserve"> - </v>
      </c>
      <c r="H218" s="186" t="str">
        <f>VLOOKUP(G218,'Categorie H2 Vtg.'!$B$4:$D$20,3,0)</f>
        <v>-</v>
      </c>
      <c r="I218" s="187">
        <f>'Deelnemer 10 vtg'!E22</f>
        <v>0</v>
      </c>
      <c r="J218" s="180">
        <f>'Deelnemer 10 vtg'!V22</f>
        <v>0</v>
      </c>
      <c r="K218" s="184">
        <f>'Deelnemer 10 vtg'!Z22</f>
        <v>0</v>
      </c>
      <c r="L218" s="184">
        <f>'Deelnemer 10 vtg'!AE22</f>
        <v>0</v>
      </c>
      <c r="M218" s="188">
        <f t="shared" si="19"/>
        <v>0</v>
      </c>
      <c r="N218" s="188">
        <f t="shared" si="20"/>
        <v>0</v>
      </c>
      <c r="O218" s="184">
        <f>'Deelnemer 10 vtg'!AG22</f>
        <v>0</v>
      </c>
      <c r="P218" s="184">
        <f>'Deelnemer 10 vtg'!AJ22</f>
        <v>0</v>
      </c>
      <c r="Q218" s="184">
        <f>'Deelnemer 10 vtg'!AK22</f>
        <v>0</v>
      </c>
    </row>
    <row r="219" spans="2:18" ht="16.5" hidden="1" customHeight="1" x14ac:dyDescent="0.3">
      <c r="B219" s="639"/>
      <c r="C219" s="161">
        <v>5</v>
      </c>
      <c r="D219" s="190" t="str">
        <f>'Deelnemer 10 vtg'!A23</f>
        <v/>
      </c>
      <c r="E219" s="183" t="str">
        <f>MID(_xlfn.TEXTJOIN(" ",TRUE,'Deelnemer 10 vtg'!$D$6,$B$215),1,12)</f>
        <v>Deelnemer 10</v>
      </c>
      <c r="F219" s="183">
        <f>'Deelnemer 10 vtg'!$C$7</f>
        <v>0</v>
      </c>
      <c r="G219" s="183" t="str">
        <f>'Deelnemer 10 vtg'!B23</f>
        <v xml:space="preserve"> - </v>
      </c>
      <c r="H219" s="186" t="str">
        <f>VLOOKUP(G219,'Categorie H2 Vtg.'!$B$4:$D$20,3,0)</f>
        <v>-</v>
      </c>
      <c r="I219" s="187">
        <f>'Deelnemer 10 vtg'!E23</f>
        <v>0</v>
      </c>
      <c r="J219" s="180">
        <f>'Deelnemer 10 vtg'!V23</f>
        <v>0</v>
      </c>
      <c r="K219" s="184">
        <f>'Deelnemer 10 vtg'!Z23</f>
        <v>0</v>
      </c>
      <c r="L219" s="184">
        <f>'Deelnemer 10 vtg'!AE23</f>
        <v>0</v>
      </c>
      <c r="M219" s="188">
        <f t="shared" si="19"/>
        <v>0</v>
      </c>
      <c r="N219" s="188">
        <f t="shared" si="20"/>
        <v>0</v>
      </c>
      <c r="O219" s="184">
        <f>'Deelnemer 10 vtg'!AG23</f>
        <v>0</v>
      </c>
      <c r="P219" s="184">
        <f>'Deelnemer 10 vtg'!AJ23</f>
        <v>0</v>
      </c>
      <c r="Q219" s="184">
        <f>'Deelnemer 10 vtg'!AK23</f>
        <v>0</v>
      </c>
    </row>
    <row r="220" spans="2:18" ht="16.5" hidden="1" customHeight="1" x14ac:dyDescent="0.3">
      <c r="B220" s="639"/>
      <c r="C220" s="161">
        <v>6</v>
      </c>
      <c r="D220" s="190" t="str">
        <f>'Deelnemer 10 vtg'!A24</f>
        <v/>
      </c>
      <c r="E220" s="183" t="str">
        <f>MID(_xlfn.TEXTJOIN(" ",TRUE,'Deelnemer 10 vtg'!$D$6,$B$215),1,12)</f>
        <v>Deelnemer 10</v>
      </c>
      <c r="F220" s="183">
        <f>'Deelnemer 10 vtg'!$C$7</f>
        <v>0</v>
      </c>
      <c r="G220" s="183" t="str">
        <f>'Deelnemer 10 vtg'!B24</f>
        <v xml:space="preserve"> - </v>
      </c>
      <c r="H220" s="186" t="str">
        <f>VLOOKUP(G220,'Categorie H2 Vtg.'!$B$4:$D$20,3,0)</f>
        <v>-</v>
      </c>
      <c r="I220" s="187">
        <f>'Deelnemer 10 vtg'!E24</f>
        <v>0</v>
      </c>
      <c r="J220" s="180">
        <f>'Deelnemer 10 vtg'!V24</f>
        <v>0</v>
      </c>
      <c r="K220" s="184">
        <f>'Deelnemer 10 vtg'!Z24</f>
        <v>0</v>
      </c>
      <c r="L220" s="184">
        <f>'Deelnemer 10 vtg'!AE24</f>
        <v>0</v>
      </c>
      <c r="M220" s="188">
        <f t="shared" si="19"/>
        <v>0</v>
      </c>
      <c r="N220" s="188">
        <f t="shared" si="20"/>
        <v>0</v>
      </c>
      <c r="O220" s="184">
        <f>'Deelnemer 10 vtg'!AG24</f>
        <v>0</v>
      </c>
      <c r="P220" s="184">
        <f>'Deelnemer 10 vtg'!AJ24</f>
        <v>0</v>
      </c>
      <c r="Q220" s="184">
        <f>'Deelnemer 10 vtg'!AK24</f>
        <v>0</v>
      </c>
    </row>
    <row r="221" spans="2:18" ht="16.5" hidden="1" customHeight="1" x14ac:dyDescent="0.3">
      <c r="B221" s="639"/>
      <c r="C221" s="161">
        <v>7</v>
      </c>
      <c r="D221" s="190" t="str">
        <f>'Deelnemer 10 vtg'!A25</f>
        <v/>
      </c>
      <c r="E221" s="183" t="str">
        <f>MID(_xlfn.TEXTJOIN(" ",TRUE,'Deelnemer 10 vtg'!$D$6,$B$215),1,12)</f>
        <v>Deelnemer 10</v>
      </c>
      <c r="F221" s="183">
        <f>'Deelnemer 10 vtg'!$C$7</f>
        <v>0</v>
      </c>
      <c r="G221" s="183" t="str">
        <f>'Deelnemer 10 vtg'!B25</f>
        <v xml:space="preserve"> - </v>
      </c>
      <c r="H221" s="186" t="str">
        <f>VLOOKUP(G221,'Categorie H2 Vtg.'!$B$4:$D$20,3,0)</f>
        <v>-</v>
      </c>
      <c r="I221" s="187">
        <f>'Deelnemer 10 vtg'!E25</f>
        <v>0</v>
      </c>
      <c r="J221" s="180">
        <f>'Deelnemer 10 vtg'!V25</f>
        <v>0</v>
      </c>
      <c r="K221" s="184">
        <f>'Deelnemer 10 vtg'!Z25</f>
        <v>0</v>
      </c>
      <c r="L221" s="184">
        <f>'Deelnemer 10 vtg'!AE25</f>
        <v>0</v>
      </c>
      <c r="M221" s="188">
        <f t="shared" si="19"/>
        <v>0</v>
      </c>
      <c r="N221" s="188">
        <f t="shared" si="20"/>
        <v>0</v>
      </c>
      <c r="O221" s="184">
        <f>'Deelnemer 10 vtg'!AG25</f>
        <v>0</v>
      </c>
      <c r="P221" s="184">
        <f>'Deelnemer 10 vtg'!AJ25</f>
        <v>0</v>
      </c>
      <c r="Q221" s="184">
        <f>'Deelnemer 10 vtg'!AK25</f>
        <v>0</v>
      </c>
    </row>
    <row r="222" spans="2:18" ht="16.5" hidden="1" customHeight="1" x14ac:dyDescent="0.3">
      <c r="B222" s="639"/>
      <c r="C222" s="161">
        <v>8</v>
      </c>
      <c r="D222" s="190" t="str">
        <f>'Deelnemer 10 vtg'!A26</f>
        <v/>
      </c>
      <c r="E222" s="183" t="str">
        <f>MID(_xlfn.TEXTJOIN(" ",TRUE,'Deelnemer 10 vtg'!$D$6,$B$215),1,12)</f>
        <v>Deelnemer 10</v>
      </c>
      <c r="F222" s="183">
        <f>'Deelnemer 10 vtg'!$C$7</f>
        <v>0</v>
      </c>
      <c r="G222" s="183" t="str">
        <f>'Deelnemer 10 vtg'!B26</f>
        <v xml:space="preserve"> - </v>
      </c>
      <c r="H222" s="186" t="str">
        <f>VLOOKUP(G222,'Categorie H2 Vtg.'!$B$4:$D$20,3,0)</f>
        <v>-</v>
      </c>
      <c r="I222" s="187">
        <f>'Deelnemer 10 vtg'!E26</f>
        <v>0</v>
      </c>
      <c r="J222" s="180">
        <f>'Deelnemer 10 vtg'!V26</f>
        <v>0</v>
      </c>
      <c r="K222" s="184">
        <f>'Deelnemer 10 vtg'!Z26</f>
        <v>0</v>
      </c>
      <c r="L222" s="184">
        <f>'Deelnemer 10 vtg'!AE26</f>
        <v>0</v>
      </c>
      <c r="M222" s="188">
        <f t="shared" si="19"/>
        <v>0</v>
      </c>
      <c r="N222" s="188">
        <f t="shared" si="20"/>
        <v>0</v>
      </c>
      <c r="O222" s="184">
        <f>'Deelnemer 10 vtg'!AG26</f>
        <v>0</v>
      </c>
      <c r="P222" s="184">
        <f>'Deelnemer 10 vtg'!AJ26</f>
        <v>0</v>
      </c>
      <c r="Q222" s="184">
        <f>'Deelnemer 10 vtg'!AK26</f>
        <v>0</v>
      </c>
    </row>
    <row r="223" spans="2:18" ht="16.5" hidden="1" customHeight="1" x14ac:dyDescent="0.3">
      <c r="B223" s="639"/>
      <c r="C223" s="161">
        <v>9</v>
      </c>
      <c r="D223" s="190" t="str">
        <f>'Deelnemer 10 vtg'!A27</f>
        <v/>
      </c>
      <c r="E223" s="183" t="str">
        <f>MID(_xlfn.TEXTJOIN(" ",TRUE,'Deelnemer 10 vtg'!$D$6,$B$215),1,12)</f>
        <v>Deelnemer 10</v>
      </c>
      <c r="F223" s="183">
        <f>'Deelnemer 10 vtg'!$C$7</f>
        <v>0</v>
      </c>
      <c r="G223" s="183" t="str">
        <f>'Deelnemer 10 vtg'!B27</f>
        <v xml:space="preserve"> - </v>
      </c>
      <c r="H223" s="186" t="str">
        <f>VLOOKUP(G223,'Categorie H2 Vtg.'!$B$4:$D$20,3,0)</f>
        <v>-</v>
      </c>
      <c r="I223" s="187">
        <f>'Deelnemer 10 vtg'!E27</f>
        <v>0</v>
      </c>
      <c r="J223" s="180">
        <f>'Deelnemer 10 vtg'!V27</f>
        <v>0</v>
      </c>
      <c r="K223" s="184">
        <f>'Deelnemer 10 vtg'!Z27</f>
        <v>0</v>
      </c>
      <c r="L223" s="184">
        <f>'Deelnemer 10 vtg'!AE27</f>
        <v>0</v>
      </c>
      <c r="M223" s="188">
        <f t="shared" si="19"/>
        <v>0</v>
      </c>
      <c r="N223" s="188">
        <f t="shared" si="20"/>
        <v>0</v>
      </c>
      <c r="O223" s="184">
        <f>'Deelnemer 10 vtg'!AG27</f>
        <v>0</v>
      </c>
      <c r="P223" s="184">
        <f>'Deelnemer 10 vtg'!AJ27</f>
        <v>0</v>
      </c>
      <c r="Q223" s="184">
        <f>'Deelnemer 10 vtg'!AK27</f>
        <v>0</v>
      </c>
    </row>
    <row r="224" spans="2:18" ht="16.5" hidden="1" customHeight="1" x14ac:dyDescent="0.3">
      <c r="B224" s="639"/>
      <c r="C224" s="161">
        <v>10</v>
      </c>
      <c r="D224" s="190" t="str">
        <f>'Deelnemer 10 vtg'!A28</f>
        <v/>
      </c>
      <c r="E224" s="183" t="str">
        <f>MID(_xlfn.TEXTJOIN(" ",TRUE,'Deelnemer 10 vtg'!$D$6,$B$215),1,12)</f>
        <v>Deelnemer 10</v>
      </c>
      <c r="F224" s="183">
        <f>'Deelnemer 10 vtg'!$C$7</f>
        <v>0</v>
      </c>
      <c r="G224" s="183" t="str">
        <f>'Deelnemer 10 vtg'!B28</f>
        <v xml:space="preserve"> - </v>
      </c>
      <c r="H224" s="186" t="str">
        <f>VLOOKUP(G224,'Categorie H2 Vtg.'!$B$4:$D$20,3,0)</f>
        <v>-</v>
      </c>
      <c r="I224" s="187">
        <f>'Deelnemer 10 vtg'!E28</f>
        <v>0</v>
      </c>
      <c r="J224" s="180">
        <f>'Deelnemer 10 vtg'!V28</f>
        <v>0</v>
      </c>
      <c r="K224" s="184">
        <f>'Deelnemer 10 vtg'!Z28</f>
        <v>0</v>
      </c>
      <c r="L224" s="184">
        <f>'Deelnemer 10 vtg'!AE28</f>
        <v>0</v>
      </c>
      <c r="M224" s="188">
        <f t="shared" si="19"/>
        <v>0</v>
      </c>
      <c r="N224" s="188">
        <f t="shared" si="20"/>
        <v>0</v>
      </c>
      <c r="O224" s="184">
        <f>'Deelnemer 10 vtg'!AG28</f>
        <v>0</v>
      </c>
      <c r="P224" s="184">
        <f>'Deelnemer 10 vtg'!AJ28</f>
        <v>0</v>
      </c>
      <c r="Q224" s="184">
        <f>'Deelnemer 10 vtg'!AK28</f>
        <v>0</v>
      </c>
    </row>
    <row r="225" spans="2:18" ht="16.5" hidden="1" customHeight="1" x14ac:dyDescent="0.3">
      <c r="B225" s="639"/>
      <c r="C225" s="161">
        <v>11</v>
      </c>
      <c r="D225" s="190" t="str">
        <f>'Deelnemer 10 vtg'!A29</f>
        <v/>
      </c>
      <c r="E225" s="183" t="str">
        <f>MID(_xlfn.TEXTJOIN(" ",TRUE,'Deelnemer 10 vtg'!$D$6,$B$215),1,12)</f>
        <v>Deelnemer 10</v>
      </c>
      <c r="F225" s="183">
        <f>'Deelnemer 10 vtg'!$C$7</f>
        <v>0</v>
      </c>
      <c r="G225" s="183" t="str">
        <f>'Deelnemer 10 vtg'!B29</f>
        <v xml:space="preserve"> - </v>
      </c>
      <c r="H225" s="186" t="str">
        <f>VLOOKUP(G225,'Categorie H2 Vtg.'!$B$4:$D$20,3,0)</f>
        <v>-</v>
      </c>
      <c r="I225" s="187">
        <f>'Deelnemer 10 vtg'!E29</f>
        <v>0</v>
      </c>
      <c r="J225" s="180">
        <f>'Deelnemer 10 vtg'!V29</f>
        <v>0</v>
      </c>
      <c r="K225" s="184">
        <f>'Deelnemer 10 vtg'!Z29</f>
        <v>0</v>
      </c>
      <c r="L225" s="184">
        <f>'Deelnemer 10 vtg'!AE29</f>
        <v>0</v>
      </c>
      <c r="M225" s="188">
        <f t="shared" si="19"/>
        <v>0</v>
      </c>
      <c r="N225" s="188">
        <f t="shared" si="20"/>
        <v>0</v>
      </c>
      <c r="O225" s="184">
        <f>'Deelnemer 10 vtg'!AG29</f>
        <v>0</v>
      </c>
      <c r="P225" s="184">
        <f>'Deelnemer 10 vtg'!AJ29</f>
        <v>0</v>
      </c>
      <c r="Q225" s="184">
        <f>'Deelnemer 10 vtg'!AK29</f>
        <v>0</v>
      </c>
    </row>
    <row r="226" spans="2:18" ht="16.5" hidden="1" customHeight="1" x14ac:dyDescent="0.3">
      <c r="B226" s="639"/>
      <c r="C226" s="161">
        <v>12</v>
      </c>
      <c r="D226" s="190" t="str">
        <f>'Deelnemer 10 vtg'!A30</f>
        <v/>
      </c>
      <c r="E226" s="183" t="str">
        <f>MID(_xlfn.TEXTJOIN(" ",TRUE,'Deelnemer 10 vtg'!$D$6,$B$215),1,12)</f>
        <v>Deelnemer 10</v>
      </c>
      <c r="F226" s="183">
        <f>'Deelnemer 10 vtg'!$C$7</f>
        <v>0</v>
      </c>
      <c r="G226" s="183" t="str">
        <f>'Deelnemer 10 vtg'!B30</f>
        <v xml:space="preserve"> - </v>
      </c>
      <c r="H226" s="186" t="str">
        <f>VLOOKUP(G226,'Categorie H2 Vtg.'!$B$4:$D$20,3,0)</f>
        <v>-</v>
      </c>
      <c r="I226" s="187">
        <f>'Deelnemer 10 vtg'!E30</f>
        <v>0</v>
      </c>
      <c r="J226" s="180">
        <f>'Deelnemer 10 vtg'!V30</f>
        <v>0</v>
      </c>
      <c r="K226" s="184">
        <f>'Deelnemer 10 vtg'!Z30</f>
        <v>0</v>
      </c>
      <c r="L226" s="184">
        <f>'Deelnemer 10 vtg'!AE30</f>
        <v>0</v>
      </c>
      <c r="M226" s="188">
        <f t="shared" si="19"/>
        <v>0</v>
      </c>
      <c r="N226" s="188">
        <f t="shared" si="20"/>
        <v>0</v>
      </c>
      <c r="O226" s="184">
        <f>'Deelnemer 10 vtg'!AG30</f>
        <v>0</v>
      </c>
      <c r="P226" s="184">
        <f>'Deelnemer 10 vtg'!AJ30</f>
        <v>0</v>
      </c>
      <c r="Q226" s="184">
        <f>'Deelnemer 10 vtg'!AK30</f>
        <v>0</v>
      </c>
    </row>
    <row r="227" spans="2:18" ht="16.5" hidden="1" customHeight="1" x14ac:dyDescent="0.3">
      <c r="B227" s="639"/>
      <c r="C227" s="161">
        <v>13</v>
      </c>
      <c r="D227" s="190" t="str">
        <f>'Deelnemer 10 vtg'!A31</f>
        <v/>
      </c>
      <c r="E227" s="183" t="str">
        <f>MID(_xlfn.TEXTJOIN(" ",TRUE,'Deelnemer 10 vtg'!$D$6,$B$215),1,12)</f>
        <v>Deelnemer 10</v>
      </c>
      <c r="F227" s="183">
        <f>'Deelnemer 10 vtg'!$C$7</f>
        <v>0</v>
      </c>
      <c r="G227" s="183" t="str">
        <f>'Deelnemer 10 vtg'!B31</f>
        <v xml:space="preserve"> - </v>
      </c>
      <c r="H227" s="186" t="str">
        <f>VLOOKUP(G227,'Categorie H2 Vtg.'!$B$4:$D$20,3,0)</f>
        <v>-</v>
      </c>
      <c r="I227" s="187">
        <f>'Deelnemer 10 vtg'!E31</f>
        <v>0</v>
      </c>
      <c r="J227" s="180">
        <f>'Deelnemer 10 vtg'!V31</f>
        <v>0</v>
      </c>
      <c r="K227" s="184">
        <f>'Deelnemer 10 vtg'!Z31</f>
        <v>0</v>
      </c>
      <c r="L227" s="184">
        <f>'Deelnemer 10 vtg'!AE31</f>
        <v>0</v>
      </c>
      <c r="M227" s="188">
        <f t="shared" si="19"/>
        <v>0</v>
      </c>
      <c r="N227" s="188">
        <f t="shared" si="20"/>
        <v>0</v>
      </c>
      <c r="O227" s="184">
        <f>'Deelnemer 10 vtg'!AG31</f>
        <v>0</v>
      </c>
      <c r="P227" s="184">
        <f>'Deelnemer 10 vtg'!AJ31</f>
        <v>0</v>
      </c>
      <c r="Q227" s="184">
        <f>'Deelnemer 10 vtg'!AK31</f>
        <v>0</v>
      </c>
    </row>
    <row r="228" spans="2:18" ht="16.5" hidden="1" customHeight="1" x14ac:dyDescent="0.3">
      <c r="B228" s="639"/>
      <c r="C228" s="161">
        <v>14</v>
      </c>
      <c r="D228" s="190" t="str">
        <f>'Deelnemer 10 vtg'!A32</f>
        <v/>
      </c>
      <c r="E228" s="183" t="str">
        <f>MID(_xlfn.TEXTJOIN(" ",TRUE,'Deelnemer 10 vtg'!$D$6,$B$215),1,12)</f>
        <v>Deelnemer 10</v>
      </c>
      <c r="F228" s="183">
        <f>'Deelnemer 10 vtg'!$C$7</f>
        <v>0</v>
      </c>
      <c r="G228" s="183" t="str">
        <f>'Deelnemer 10 vtg'!B32</f>
        <v xml:space="preserve"> - </v>
      </c>
      <c r="H228" s="186" t="str">
        <f>VLOOKUP(G228,'Categorie H2 Vtg.'!$B$4:$D$20,3,0)</f>
        <v>-</v>
      </c>
      <c r="I228" s="187">
        <f>'Deelnemer 10 vtg'!E32</f>
        <v>0</v>
      </c>
      <c r="J228" s="180">
        <f>'Deelnemer 10 vtg'!V32</f>
        <v>0</v>
      </c>
      <c r="K228" s="184">
        <f>'Deelnemer 10 vtg'!Z32</f>
        <v>0</v>
      </c>
      <c r="L228" s="184">
        <f>'Deelnemer 10 vtg'!AE32</f>
        <v>0</v>
      </c>
      <c r="M228" s="188">
        <f t="shared" si="19"/>
        <v>0</v>
      </c>
      <c r="N228" s="188">
        <f t="shared" si="20"/>
        <v>0</v>
      </c>
      <c r="O228" s="184">
        <f>'Deelnemer 10 vtg'!AG32</f>
        <v>0</v>
      </c>
      <c r="P228" s="184">
        <f>'Deelnemer 10 vtg'!AJ32</f>
        <v>0</v>
      </c>
      <c r="Q228" s="184">
        <f>'Deelnemer 10 vtg'!AK32</f>
        <v>0</v>
      </c>
    </row>
    <row r="229" spans="2:18" ht="16.5" hidden="1" customHeight="1" x14ac:dyDescent="0.3">
      <c r="B229" s="639"/>
      <c r="C229" s="161">
        <v>15</v>
      </c>
      <c r="D229" s="190" t="str">
        <f>'Deelnemer 10 vtg'!A33</f>
        <v/>
      </c>
      <c r="E229" s="183" t="str">
        <f>MID(_xlfn.TEXTJOIN(" ",TRUE,'Deelnemer 10 vtg'!$D$6,$B$215),1,12)</f>
        <v>Deelnemer 10</v>
      </c>
      <c r="F229" s="183">
        <f>'Deelnemer 10 vtg'!$C$7</f>
        <v>0</v>
      </c>
      <c r="G229" s="183" t="str">
        <f>'Deelnemer 10 vtg'!B33</f>
        <v xml:space="preserve"> - </v>
      </c>
      <c r="H229" s="186" t="str">
        <f>VLOOKUP(G229,'Categorie H2 Vtg.'!$B$4:$D$20,3,0)</f>
        <v>-</v>
      </c>
      <c r="I229" s="187">
        <f>'Deelnemer 10 vtg'!E33</f>
        <v>0</v>
      </c>
      <c r="J229" s="180">
        <f>'Deelnemer 10 vtg'!V33</f>
        <v>0</v>
      </c>
      <c r="K229" s="184">
        <f>'Deelnemer 10 vtg'!Z33</f>
        <v>0</v>
      </c>
      <c r="L229" s="184">
        <f>'Deelnemer 10 vtg'!AE33</f>
        <v>0</v>
      </c>
      <c r="M229" s="188">
        <f t="shared" si="19"/>
        <v>0</v>
      </c>
      <c r="N229" s="188">
        <f t="shared" si="20"/>
        <v>0</v>
      </c>
      <c r="O229" s="184">
        <f>'Deelnemer 10 vtg'!AG33</f>
        <v>0</v>
      </c>
      <c r="P229" s="184">
        <f>'Deelnemer 10 vtg'!AJ33</f>
        <v>0</v>
      </c>
      <c r="Q229" s="184">
        <f>'Deelnemer 10 vtg'!AK33</f>
        <v>0</v>
      </c>
    </row>
    <row r="230" spans="2:18" s="181" customFormat="1" ht="16.5" hidden="1" customHeight="1" x14ac:dyDescent="0.3">
      <c r="B230" s="639">
        <f t="shared" si="14"/>
        <v>11</v>
      </c>
      <c r="C230" s="189">
        <v>1</v>
      </c>
      <c r="D230" s="182" t="str">
        <f>'Deelnemer 11 vtg'!A19</f>
        <v/>
      </c>
      <c r="E230" s="183" t="str">
        <f>MID(_xlfn.TEXTJOIN(" ",TRUE,'Deelnemer 11 vtg'!$D$6,$B$230),1,12)</f>
        <v>Deelnemer 11</v>
      </c>
      <c r="F230" s="276">
        <f>'Deelnemer 11 vtg'!$C$7</f>
        <v>0</v>
      </c>
      <c r="G230" s="183" t="str">
        <f>'Deelnemer 11 vtg'!B19</f>
        <v xml:space="preserve"> - </v>
      </c>
      <c r="H230" s="183" t="str">
        <f>VLOOKUP(G230,'Categorie H2 Vtg.'!$B$4:$D$20,3,0)</f>
        <v>-</v>
      </c>
      <c r="I230" s="187">
        <f>'Deelnemer 11 vtg'!E19</f>
        <v>0</v>
      </c>
      <c r="J230" s="180">
        <f>'Deelnemer 11 vtg'!V19</f>
        <v>0</v>
      </c>
      <c r="K230" s="184">
        <f>'Deelnemer 11 vtg'!Z19</f>
        <v>0</v>
      </c>
      <c r="L230" s="184">
        <f>'Deelnemer 11 vtg'!AE19</f>
        <v>0</v>
      </c>
      <c r="M230" s="184">
        <f>K230*J230</f>
        <v>0</v>
      </c>
      <c r="N230" s="184">
        <f>L230*J230</f>
        <v>0</v>
      </c>
      <c r="O230" s="184">
        <f>'Deelnemer 11 vtg'!AG19</f>
        <v>0</v>
      </c>
      <c r="P230" s="184">
        <f>'Deelnemer 11 vtg'!AJ19</f>
        <v>0</v>
      </c>
      <c r="Q230" s="184">
        <f>'Deelnemer 11 vtg'!AK19</f>
        <v>0</v>
      </c>
      <c r="R230" s="161"/>
    </row>
    <row r="231" spans="2:18" ht="16.5" hidden="1" customHeight="1" x14ac:dyDescent="0.3">
      <c r="B231" s="639"/>
      <c r="C231" s="161">
        <v>2</v>
      </c>
      <c r="D231" s="182" t="str">
        <f>'Deelnemer 11 vtg'!A20</f>
        <v/>
      </c>
      <c r="E231" s="183" t="str">
        <f>MID(_xlfn.TEXTJOIN(" ",TRUE,'Deelnemer 11 vtg'!$D$6,$B$230),1,12)</f>
        <v>Deelnemer 11</v>
      </c>
      <c r="F231" s="276">
        <f>'Deelnemer 11 vtg'!$C$7</f>
        <v>0</v>
      </c>
      <c r="G231" s="183" t="str">
        <f>'Deelnemer 11 vtg'!B20</f>
        <v xml:space="preserve"> - </v>
      </c>
      <c r="H231" s="186" t="str">
        <f>VLOOKUP(G231,'Categorie H2 Vtg.'!$B$4:$D$20,3,0)</f>
        <v>-</v>
      </c>
      <c r="I231" s="187">
        <f>'Deelnemer 11 vtg'!E20</f>
        <v>0</v>
      </c>
      <c r="J231" s="180">
        <f>'Deelnemer 11 vtg'!V20</f>
        <v>0</v>
      </c>
      <c r="K231" s="184">
        <f>'Deelnemer 11 vtg'!Z20</f>
        <v>0</v>
      </c>
      <c r="L231" s="184">
        <f>'Deelnemer 11 vtg'!AE20</f>
        <v>0</v>
      </c>
      <c r="M231" s="188">
        <f t="shared" ref="M231:M244" si="21">K231*J231</f>
        <v>0</v>
      </c>
      <c r="N231" s="188">
        <f t="shared" ref="N231:N244" si="22">L231*J231</f>
        <v>0</v>
      </c>
      <c r="O231" s="184">
        <f>'Deelnemer 11 vtg'!AG20</f>
        <v>0</v>
      </c>
      <c r="P231" s="184">
        <f>'Deelnemer 11 vtg'!AJ20</f>
        <v>0</v>
      </c>
      <c r="Q231" s="184">
        <f>'Deelnemer 11 vtg'!AK20</f>
        <v>0</v>
      </c>
    </row>
    <row r="232" spans="2:18" ht="16.5" hidden="1" customHeight="1" x14ac:dyDescent="0.3">
      <c r="B232" s="639"/>
      <c r="C232" s="161">
        <v>3</v>
      </c>
      <c r="D232" s="182" t="str">
        <f>'Deelnemer 11 vtg'!A21</f>
        <v/>
      </c>
      <c r="E232" s="183" t="str">
        <f>MID(_xlfn.TEXTJOIN(" ",TRUE,'Deelnemer 11 vtg'!$D$6,$B$230),1,12)</f>
        <v>Deelnemer 11</v>
      </c>
      <c r="F232" s="276">
        <f>'Deelnemer 11 vtg'!$C$7</f>
        <v>0</v>
      </c>
      <c r="G232" s="183" t="str">
        <f>'Deelnemer 11 vtg'!B21</f>
        <v xml:space="preserve"> - </v>
      </c>
      <c r="H232" s="186" t="str">
        <f>VLOOKUP(G232,'Categorie H2 Vtg.'!$B$4:$D$20,3,0)</f>
        <v>-</v>
      </c>
      <c r="I232" s="187">
        <f>'Deelnemer 11 vtg'!E21</f>
        <v>0</v>
      </c>
      <c r="J232" s="180">
        <f>'Deelnemer 11 vtg'!V21</f>
        <v>0</v>
      </c>
      <c r="K232" s="184">
        <f>'Deelnemer 11 vtg'!Z21</f>
        <v>0</v>
      </c>
      <c r="L232" s="184">
        <f>'Deelnemer 11 vtg'!AE21</f>
        <v>0</v>
      </c>
      <c r="M232" s="188">
        <f t="shared" si="21"/>
        <v>0</v>
      </c>
      <c r="N232" s="188">
        <f t="shared" si="22"/>
        <v>0</v>
      </c>
      <c r="O232" s="184">
        <f>'Deelnemer 11 vtg'!AG21</f>
        <v>0</v>
      </c>
      <c r="P232" s="184">
        <f>'Deelnemer 11 vtg'!AJ21</f>
        <v>0</v>
      </c>
      <c r="Q232" s="184">
        <f>'Deelnemer 11 vtg'!AK21</f>
        <v>0</v>
      </c>
    </row>
    <row r="233" spans="2:18" ht="16.5" hidden="1" customHeight="1" x14ac:dyDescent="0.3">
      <c r="B233" s="639"/>
      <c r="C233" s="161">
        <v>4</v>
      </c>
      <c r="D233" s="182" t="str">
        <f>'Deelnemer 11 vtg'!A22</f>
        <v/>
      </c>
      <c r="E233" s="183" t="str">
        <f>MID(_xlfn.TEXTJOIN(" ",TRUE,'Deelnemer 11 vtg'!$D$6,$B$230),1,12)</f>
        <v>Deelnemer 11</v>
      </c>
      <c r="F233" s="276">
        <f>'Deelnemer 11 vtg'!$C$7</f>
        <v>0</v>
      </c>
      <c r="G233" s="183" t="str">
        <f>'Deelnemer 11 vtg'!B22</f>
        <v xml:space="preserve"> - </v>
      </c>
      <c r="H233" s="186" t="str">
        <f>VLOOKUP(G233,'Categorie H2 Vtg.'!$B$4:$D$20,3,0)</f>
        <v>-</v>
      </c>
      <c r="I233" s="187">
        <f>'Deelnemer 11 vtg'!E22</f>
        <v>0</v>
      </c>
      <c r="J233" s="180">
        <f>'Deelnemer 11 vtg'!V22</f>
        <v>0</v>
      </c>
      <c r="K233" s="184">
        <f>'Deelnemer 11 vtg'!Z22</f>
        <v>0</v>
      </c>
      <c r="L233" s="184">
        <f>'Deelnemer 11 vtg'!AE22</f>
        <v>0</v>
      </c>
      <c r="M233" s="188">
        <f t="shared" si="21"/>
        <v>0</v>
      </c>
      <c r="N233" s="188">
        <f t="shared" si="22"/>
        <v>0</v>
      </c>
      <c r="O233" s="184">
        <f>'Deelnemer 11 vtg'!AG22</f>
        <v>0</v>
      </c>
      <c r="P233" s="184">
        <f>'Deelnemer 11 vtg'!AJ22</f>
        <v>0</v>
      </c>
      <c r="Q233" s="184">
        <f>'Deelnemer 11 vtg'!AK22</f>
        <v>0</v>
      </c>
    </row>
    <row r="234" spans="2:18" ht="16.5" hidden="1" customHeight="1" x14ac:dyDescent="0.3">
      <c r="B234" s="639"/>
      <c r="C234" s="161">
        <v>5</v>
      </c>
      <c r="D234" s="182" t="str">
        <f>'Deelnemer 11 vtg'!A23</f>
        <v/>
      </c>
      <c r="E234" s="183" t="str">
        <f>MID(_xlfn.TEXTJOIN(" ",TRUE,'Deelnemer 11 vtg'!$D$6,$B$230),1,12)</f>
        <v>Deelnemer 11</v>
      </c>
      <c r="F234" s="276">
        <f>'Deelnemer 11 vtg'!$C$7</f>
        <v>0</v>
      </c>
      <c r="G234" s="183" t="str">
        <f>'Deelnemer 11 vtg'!B23</f>
        <v xml:space="preserve"> - </v>
      </c>
      <c r="H234" s="186" t="str">
        <f>VLOOKUP(G234,'Categorie H2 Vtg.'!$B$4:$D$20,3,0)</f>
        <v>-</v>
      </c>
      <c r="I234" s="187">
        <f>'Deelnemer 11 vtg'!E23</f>
        <v>0</v>
      </c>
      <c r="J234" s="180">
        <f>'Deelnemer 11 vtg'!V23</f>
        <v>0</v>
      </c>
      <c r="K234" s="184">
        <f>'Deelnemer 11 vtg'!Z23</f>
        <v>0</v>
      </c>
      <c r="L234" s="184">
        <f>'Deelnemer 11 vtg'!AE23</f>
        <v>0</v>
      </c>
      <c r="M234" s="188">
        <f t="shared" si="21"/>
        <v>0</v>
      </c>
      <c r="N234" s="188">
        <f t="shared" si="22"/>
        <v>0</v>
      </c>
      <c r="O234" s="184">
        <f>'Deelnemer 11 vtg'!AG23</f>
        <v>0</v>
      </c>
      <c r="P234" s="184">
        <f>'Deelnemer 11 vtg'!AJ23</f>
        <v>0</v>
      </c>
      <c r="Q234" s="184">
        <f>'Deelnemer 11 vtg'!AK23</f>
        <v>0</v>
      </c>
    </row>
    <row r="235" spans="2:18" ht="16.5" hidden="1" customHeight="1" x14ac:dyDescent="0.3">
      <c r="B235" s="639"/>
      <c r="C235" s="161">
        <v>6</v>
      </c>
      <c r="D235" s="182" t="str">
        <f>'Deelnemer 11 vtg'!A24</f>
        <v/>
      </c>
      <c r="E235" s="183" t="str">
        <f>MID(_xlfn.TEXTJOIN(" ",TRUE,'Deelnemer 11 vtg'!$D$6,$B$230),1,12)</f>
        <v>Deelnemer 11</v>
      </c>
      <c r="F235" s="276">
        <f>'Deelnemer 11 vtg'!$C$7</f>
        <v>0</v>
      </c>
      <c r="G235" s="183" t="str">
        <f>'Deelnemer 11 vtg'!B24</f>
        <v xml:space="preserve"> - </v>
      </c>
      <c r="H235" s="186" t="str">
        <f>VLOOKUP(G235,'Categorie H2 Vtg.'!$B$4:$D$20,3,0)</f>
        <v>-</v>
      </c>
      <c r="I235" s="187">
        <f>'Deelnemer 11 vtg'!E24</f>
        <v>0</v>
      </c>
      <c r="J235" s="180">
        <f>'Deelnemer 11 vtg'!V24</f>
        <v>0</v>
      </c>
      <c r="K235" s="184">
        <f>'Deelnemer 11 vtg'!Z24</f>
        <v>0</v>
      </c>
      <c r="L235" s="184">
        <f>'Deelnemer 11 vtg'!AE24</f>
        <v>0</v>
      </c>
      <c r="M235" s="188">
        <f t="shared" si="21"/>
        <v>0</v>
      </c>
      <c r="N235" s="188">
        <f t="shared" si="22"/>
        <v>0</v>
      </c>
      <c r="O235" s="184">
        <f>'Deelnemer 11 vtg'!AG24</f>
        <v>0</v>
      </c>
      <c r="P235" s="184">
        <f>'Deelnemer 11 vtg'!AJ24</f>
        <v>0</v>
      </c>
      <c r="Q235" s="184">
        <f>'Deelnemer 11 vtg'!AK24</f>
        <v>0</v>
      </c>
    </row>
    <row r="236" spans="2:18" ht="16.5" hidden="1" customHeight="1" x14ac:dyDescent="0.3">
      <c r="B236" s="639"/>
      <c r="C236" s="161">
        <v>7</v>
      </c>
      <c r="D236" s="182" t="str">
        <f>'Deelnemer 11 vtg'!A25</f>
        <v/>
      </c>
      <c r="E236" s="183" t="str">
        <f>MID(_xlfn.TEXTJOIN(" ",TRUE,'Deelnemer 11 vtg'!$D$6,$B$230),1,12)</f>
        <v>Deelnemer 11</v>
      </c>
      <c r="F236" s="276">
        <f>'Deelnemer 11 vtg'!$C$7</f>
        <v>0</v>
      </c>
      <c r="G236" s="183" t="str">
        <f>'Deelnemer 11 vtg'!B25</f>
        <v xml:space="preserve"> - </v>
      </c>
      <c r="H236" s="186" t="str">
        <f>VLOOKUP(G236,'Categorie H2 Vtg.'!$B$4:$D$20,3,0)</f>
        <v>-</v>
      </c>
      <c r="I236" s="187">
        <f>'Deelnemer 11 vtg'!E25</f>
        <v>0</v>
      </c>
      <c r="J236" s="180">
        <f>'Deelnemer 11 vtg'!V25</f>
        <v>0</v>
      </c>
      <c r="K236" s="184">
        <f>'Deelnemer 11 vtg'!Z25</f>
        <v>0</v>
      </c>
      <c r="L236" s="184">
        <f>'Deelnemer 11 vtg'!AE25</f>
        <v>0</v>
      </c>
      <c r="M236" s="188">
        <f t="shared" si="21"/>
        <v>0</v>
      </c>
      <c r="N236" s="188">
        <f t="shared" si="22"/>
        <v>0</v>
      </c>
      <c r="O236" s="184">
        <f>'Deelnemer 11 vtg'!AG25</f>
        <v>0</v>
      </c>
      <c r="P236" s="184">
        <f>'Deelnemer 11 vtg'!AJ25</f>
        <v>0</v>
      </c>
      <c r="Q236" s="184">
        <f>'Deelnemer 11 vtg'!AK25</f>
        <v>0</v>
      </c>
    </row>
    <row r="237" spans="2:18" ht="16.5" hidden="1" customHeight="1" x14ac:dyDescent="0.3">
      <c r="B237" s="639"/>
      <c r="C237" s="161">
        <v>8</v>
      </c>
      <c r="D237" s="182" t="str">
        <f>'Deelnemer 11 vtg'!A26</f>
        <v/>
      </c>
      <c r="E237" s="183" t="str">
        <f>MID(_xlfn.TEXTJOIN(" ",TRUE,'Deelnemer 11 vtg'!$D$6,$B$230),1,12)</f>
        <v>Deelnemer 11</v>
      </c>
      <c r="F237" s="276">
        <f>'Deelnemer 11 vtg'!$C$7</f>
        <v>0</v>
      </c>
      <c r="G237" s="183" t="str">
        <f>'Deelnemer 11 vtg'!B26</f>
        <v xml:space="preserve"> - </v>
      </c>
      <c r="H237" s="186" t="str">
        <f>VLOOKUP(G237,'Categorie H2 Vtg.'!$B$4:$D$20,3,0)</f>
        <v>-</v>
      </c>
      <c r="I237" s="187">
        <f>'Deelnemer 11 vtg'!E26</f>
        <v>0</v>
      </c>
      <c r="J237" s="180">
        <f>'Deelnemer 11 vtg'!V26</f>
        <v>0</v>
      </c>
      <c r="K237" s="184">
        <f>'Deelnemer 11 vtg'!Z26</f>
        <v>0</v>
      </c>
      <c r="L237" s="184">
        <f>'Deelnemer 11 vtg'!AE26</f>
        <v>0</v>
      </c>
      <c r="M237" s="188">
        <f t="shared" si="21"/>
        <v>0</v>
      </c>
      <c r="N237" s="188">
        <f t="shared" si="22"/>
        <v>0</v>
      </c>
      <c r="O237" s="184">
        <f>'Deelnemer 11 vtg'!AG26</f>
        <v>0</v>
      </c>
      <c r="P237" s="184">
        <f>'Deelnemer 11 vtg'!AJ26</f>
        <v>0</v>
      </c>
      <c r="Q237" s="184">
        <f>'Deelnemer 11 vtg'!AK26</f>
        <v>0</v>
      </c>
    </row>
    <row r="238" spans="2:18" ht="16.5" hidden="1" customHeight="1" x14ac:dyDescent="0.3">
      <c r="B238" s="639"/>
      <c r="C238" s="161">
        <v>9</v>
      </c>
      <c r="D238" s="182" t="str">
        <f>'Deelnemer 11 vtg'!A27</f>
        <v/>
      </c>
      <c r="E238" s="183" t="str">
        <f>MID(_xlfn.TEXTJOIN(" ",TRUE,'Deelnemer 11 vtg'!$D$6,$B$230),1,12)</f>
        <v>Deelnemer 11</v>
      </c>
      <c r="F238" s="276">
        <f>'Deelnemer 11 vtg'!$C$7</f>
        <v>0</v>
      </c>
      <c r="G238" s="183" t="str">
        <f>'Deelnemer 11 vtg'!B27</f>
        <v xml:space="preserve"> - </v>
      </c>
      <c r="H238" s="186" t="str">
        <f>VLOOKUP(G238,'Categorie H2 Vtg.'!$B$4:$D$20,3,0)</f>
        <v>-</v>
      </c>
      <c r="I238" s="187">
        <f>'Deelnemer 11 vtg'!E27</f>
        <v>0</v>
      </c>
      <c r="J238" s="180">
        <f>'Deelnemer 11 vtg'!V27</f>
        <v>0</v>
      </c>
      <c r="K238" s="184">
        <f>'Deelnemer 11 vtg'!Z27</f>
        <v>0</v>
      </c>
      <c r="L238" s="184">
        <f>'Deelnemer 11 vtg'!AE27</f>
        <v>0</v>
      </c>
      <c r="M238" s="188">
        <f t="shared" si="21"/>
        <v>0</v>
      </c>
      <c r="N238" s="188">
        <f t="shared" si="22"/>
        <v>0</v>
      </c>
      <c r="O238" s="184">
        <f>'Deelnemer 11 vtg'!AG27</f>
        <v>0</v>
      </c>
      <c r="P238" s="184">
        <f>'Deelnemer 11 vtg'!AJ27</f>
        <v>0</v>
      </c>
      <c r="Q238" s="184">
        <f>'Deelnemer 11 vtg'!AK27</f>
        <v>0</v>
      </c>
    </row>
    <row r="239" spans="2:18" ht="16.5" hidden="1" customHeight="1" x14ac:dyDescent="0.3">
      <c r="B239" s="639"/>
      <c r="C239" s="161">
        <v>10</v>
      </c>
      <c r="D239" s="182" t="str">
        <f>'Deelnemer 11 vtg'!A28</f>
        <v/>
      </c>
      <c r="E239" s="183" t="str">
        <f>MID(_xlfn.TEXTJOIN(" ",TRUE,'Deelnemer 11 vtg'!$D$6,$B$230),1,12)</f>
        <v>Deelnemer 11</v>
      </c>
      <c r="F239" s="276">
        <f>'Deelnemer 11 vtg'!$C$7</f>
        <v>0</v>
      </c>
      <c r="G239" s="183" t="str">
        <f>'Deelnemer 11 vtg'!B28</f>
        <v xml:space="preserve"> - </v>
      </c>
      <c r="H239" s="186" t="str">
        <f>VLOOKUP(G239,'Categorie H2 Vtg.'!$B$4:$D$20,3,0)</f>
        <v>-</v>
      </c>
      <c r="I239" s="187">
        <f>'Deelnemer 11 vtg'!E28</f>
        <v>0</v>
      </c>
      <c r="J239" s="180">
        <f>'Deelnemer 11 vtg'!V28</f>
        <v>0</v>
      </c>
      <c r="K239" s="184">
        <f>'Deelnemer 11 vtg'!Z28</f>
        <v>0</v>
      </c>
      <c r="L239" s="184">
        <f>'Deelnemer 11 vtg'!AE28</f>
        <v>0</v>
      </c>
      <c r="M239" s="188">
        <f t="shared" si="21"/>
        <v>0</v>
      </c>
      <c r="N239" s="188">
        <f t="shared" si="22"/>
        <v>0</v>
      </c>
      <c r="O239" s="184">
        <f>'Deelnemer 11 vtg'!AG28</f>
        <v>0</v>
      </c>
      <c r="P239" s="184">
        <f>'Deelnemer 11 vtg'!AJ28</f>
        <v>0</v>
      </c>
      <c r="Q239" s="184">
        <f>'Deelnemer 11 vtg'!AK28</f>
        <v>0</v>
      </c>
    </row>
    <row r="240" spans="2:18" ht="16.5" hidden="1" customHeight="1" x14ac:dyDescent="0.3">
      <c r="B240" s="639"/>
      <c r="C240" s="161">
        <v>11</v>
      </c>
      <c r="D240" s="182" t="str">
        <f>'Deelnemer 11 vtg'!A29</f>
        <v/>
      </c>
      <c r="E240" s="183" t="str">
        <f>MID(_xlfn.TEXTJOIN(" ",TRUE,'Deelnemer 11 vtg'!$D$6,$B$230),1,12)</f>
        <v>Deelnemer 11</v>
      </c>
      <c r="F240" s="276">
        <f>'Deelnemer 11 vtg'!$C$7</f>
        <v>0</v>
      </c>
      <c r="G240" s="183" t="str">
        <f>'Deelnemer 11 vtg'!B29</f>
        <v xml:space="preserve"> - </v>
      </c>
      <c r="H240" s="186" t="str">
        <f>VLOOKUP(G240,'Categorie H2 Vtg.'!$B$4:$D$20,3,0)</f>
        <v>-</v>
      </c>
      <c r="I240" s="187">
        <f>'Deelnemer 11 vtg'!E29</f>
        <v>0</v>
      </c>
      <c r="J240" s="180">
        <f>'Deelnemer 11 vtg'!V29</f>
        <v>0</v>
      </c>
      <c r="K240" s="184">
        <f>'Deelnemer 11 vtg'!Z29</f>
        <v>0</v>
      </c>
      <c r="L240" s="184">
        <f>'Deelnemer 11 vtg'!AE29</f>
        <v>0</v>
      </c>
      <c r="M240" s="188">
        <f t="shared" si="21"/>
        <v>0</v>
      </c>
      <c r="N240" s="188">
        <f t="shared" si="22"/>
        <v>0</v>
      </c>
      <c r="O240" s="184">
        <f>'Deelnemer 11 vtg'!AG29</f>
        <v>0</v>
      </c>
      <c r="P240" s="184">
        <f>'Deelnemer 11 vtg'!AJ29</f>
        <v>0</v>
      </c>
      <c r="Q240" s="184">
        <f>'Deelnemer 11 vtg'!AK29</f>
        <v>0</v>
      </c>
    </row>
    <row r="241" spans="2:18" ht="16.5" hidden="1" customHeight="1" x14ac:dyDescent="0.3">
      <c r="B241" s="639"/>
      <c r="C241" s="161">
        <v>12</v>
      </c>
      <c r="D241" s="182" t="str">
        <f>'Deelnemer 11 vtg'!A30</f>
        <v/>
      </c>
      <c r="E241" s="183" t="str">
        <f>MID(_xlfn.TEXTJOIN(" ",TRUE,'Deelnemer 11 vtg'!$D$6,$B$230),1,12)</f>
        <v>Deelnemer 11</v>
      </c>
      <c r="F241" s="276">
        <f>'Deelnemer 11 vtg'!$C$7</f>
        <v>0</v>
      </c>
      <c r="G241" s="183" t="str">
        <f>'Deelnemer 11 vtg'!B30</f>
        <v xml:space="preserve"> - </v>
      </c>
      <c r="H241" s="186" t="str">
        <f>VLOOKUP(G241,'Categorie H2 Vtg.'!$B$4:$D$20,3,0)</f>
        <v>-</v>
      </c>
      <c r="I241" s="187">
        <f>'Deelnemer 11 vtg'!E30</f>
        <v>0</v>
      </c>
      <c r="J241" s="180">
        <f>'Deelnemer 11 vtg'!V30</f>
        <v>0</v>
      </c>
      <c r="K241" s="184">
        <f>'Deelnemer 11 vtg'!Z30</f>
        <v>0</v>
      </c>
      <c r="L241" s="184">
        <f>'Deelnemer 11 vtg'!AE30</f>
        <v>0</v>
      </c>
      <c r="M241" s="188">
        <f t="shared" si="21"/>
        <v>0</v>
      </c>
      <c r="N241" s="188">
        <f t="shared" si="22"/>
        <v>0</v>
      </c>
      <c r="O241" s="184">
        <f>'Deelnemer 11 vtg'!AG30</f>
        <v>0</v>
      </c>
      <c r="P241" s="184">
        <f>'Deelnemer 11 vtg'!AJ30</f>
        <v>0</v>
      </c>
      <c r="Q241" s="184">
        <f>'Deelnemer 11 vtg'!AK30</f>
        <v>0</v>
      </c>
    </row>
    <row r="242" spans="2:18" ht="16.5" hidden="1" customHeight="1" x14ac:dyDescent="0.3">
      <c r="B242" s="639"/>
      <c r="C242" s="161">
        <v>13</v>
      </c>
      <c r="D242" s="182" t="str">
        <f>'Deelnemer 11 vtg'!A31</f>
        <v/>
      </c>
      <c r="E242" s="183" t="str">
        <f>MID(_xlfn.TEXTJOIN(" ",TRUE,'Deelnemer 11 vtg'!$D$6,$B$230),1,12)</f>
        <v>Deelnemer 11</v>
      </c>
      <c r="F242" s="276">
        <f>'Deelnemer 11 vtg'!$C$7</f>
        <v>0</v>
      </c>
      <c r="G242" s="183" t="str">
        <f>'Deelnemer 11 vtg'!B31</f>
        <v xml:space="preserve"> - </v>
      </c>
      <c r="H242" s="186" t="str">
        <f>VLOOKUP(G242,'Categorie H2 Vtg.'!$B$4:$D$20,3,0)</f>
        <v>-</v>
      </c>
      <c r="I242" s="187">
        <f>'Deelnemer 11 vtg'!E31</f>
        <v>0</v>
      </c>
      <c r="J242" s="180">
        <f>'Deelnemer 11 vtg'!V31</f>
        <v>0</v>
      </c>
      <c r="K242" s="184">
        <f>'Deelnemer 11 vtg'!Z31</f>
        <v>0</v>
      </c>
      <c r="L242" s="184">
        <f>'Deelnemer 11 vtg'!AE31</f>
        <v>0</v>
      </c>
      <c r="M242" s="188">
        <f t="shared" si="21"/>
        <v>0</v>
      </c>
      <c r="N242" s="188">
        <f t="shared" si="22"/>
        <v>0</v>
      </c>
      <c r="O242" s="184">
        <f>'Deelnemer 11 vtg'!AG31</f>
        <v>0</v>
      </c>
      <c r="P242" s="184">
        <f>'Deelnemer 11 vtg'!AJ31</f>
        <v>0</v>
      </c>
      <c r="Q242" s="184">
        <f>'Deelnemer 11 vtg'!AK31</f>
        <v>0</v>
      </c>
    </row>
    <row r="243" spans="2:18" ht="16.5" hidden="1" customHeight="1" x14ac:dyDescent="0.3">
      <c r="B243" s="639"/>
      <c r="C243" s="161">
        <v>14</v>
      </c>
      <c r="D243" s="182" t="str">
        <f>'Deelnemer 11 vtg'!A32</f>
        <v/>
      </c>
      <c r="E243" s="183" t="str">
        <f>MID(_xlfn.TEXTJOIN(" ",TRUE,'Deelnemer 11 vtg'!$D$6,$B$230),1,12)</f>
        <v>Deelnemer 11</v>
      </c>
      <c r="F243" s="276">
        <f>'Deelnemer 11 vtg'!$C$7</f>
        <v>0</v>
      </c>
      <c r="G243" s="183" t="str">
        <f>'Deelnemer 11 vtg'!B32</f>
        <v xml:space="preserve"> - </v>
      </c>
      <c r="H243" s="186" t="str">
        <f>VLOOKUP(G243,'Categorie H2 Vtg.'!$B$4:$D$20,3,0)</f>
        <v>-</v>
      </c>
      <c r="I243" s="187">
        <f>'Deelnemer 11 vtg'!E32</f>
        <v>0</v>
      </c>
      <c r="J243" s="180">
        <f>'Deelnemer 11 vtg'!V32</f>
        <v>0</v>
      </c>
      <c r="K243" s="184">
        <f>'Deelnemer 11 vtg'!Z32</f>
        <v>0</v>
      </c>
      <c r="L243" s="184">
        <f>'Deelnemer 11 vtg'!AE32</f>
        <v>0</v>
      </c>
      <c r="M243" s="188">
        <f t="shared" si="21"/>
        <v>0</v>
      </c>
      <c r="N243" s="188">
        <f t="shared" si="22"/>
        <v>0</v>
      </c>
      <c r="O243" s="184">
        <f>'Deelnemer 11 vtg'!AG32</f>
        <v>0</v>
      </c>
      <c r="P243" s="184">
        <f>'Deelnemer 11 vtg'!AJ32</f>
        <v>0</v>
      </c>
      <c r="Q243" s="184">
        <f>'Deelnemer 11 vtg'!AK32</f>
        <v>0</v>
      </c>
    </row>
    <row r="244" spans="2:18" ht="16.5" hidden="1" customHeight="1" x14ac:dyDescent="0.3">
      <c r="B244" s="639"/>
      <c r="C244" s="161">
        <v>15</v>
      </c>
      <c r="D244" s="182" t="str">
        <f>'Deelnemer 11 vtg'!A33</f>
        <v/>
      </c>
      <c r="E244" s="183" t="str">
        <f>MID(_xlfn.TEXTJOIN(" ",TRUE,'Deelnemer 11 vtg'!$D$6,$B$230),1,12)</f>
        <v>Deelnemer 11</v>
      </c>
      <c r="F244" s="276">
        <f>'Deelnemer 11 vtg'!$C$7</f>
        <v>0</v>
      </c>
      <c r="G244" s="183" t="str">
        <f>'Deelnemer 11 vtg'!B33</f>
        <v xml:space="preserve"> - </v>
      </c>
      <c r="H244" s="186" t="str">
        <f>VLOOKUP(G244,'Categorie H2 Vtg.'!$B$4:$D$20,3,0)</f>
        <v>-</v>
      </c>
      <c r="I244" s="187">
        <f>'Deelnemer 11 vtg'!E33</f>
        <v>0</v>
      </c>
      <c r="J244" s="180">
        <f>'Deelnemer 11 vtg'!V33</f>
        <v>0</v>
      </c>
      <c r="K244" s="184">
        <f>'Deelnemer 11 vtg'!Z33</f>
        <v>0</v>
      </c>
      <c r="L244" s="184">
        <f>'Deelnemer 11 vtg'!AE33</f>
        <v>0</v>
      </c>
      <c r="M244" s="188">
        <f t="shared" si="21"/>
        <v>0</v>
      </c>
      <c r="N244" s="188">
        <f t="shared" si="22"/>
        <v>0</v>
      </c>
      <c r="O244" s="184">
        <f>'Deelnemer 11 vtg'!AG33</f>
        <v>0</v>
      </c>
      <c r="P244" s="184">
        <f>'Deelnemer 11 vtg'!AJ33</f>
        <v>0</v>
      </c>
      <c r="Q244" s="184">
        <f>'Deelnemer 11 vtg'!AK33</f>
        <v>0</v>
      </c>
    </row>
    <row r="245" spans="2:18" s="181" customFormat="1" ht="16.5" hidden="1" customHeight="1" x14ac:dyDescent="0.3">
      <c r="B245" s="639">
        <f t="shared" si="14"/>
        <v>12</v>
      </c>
      <c r="C245" s="189">
        <v>1</v>
      </c>
      <c r="D245" s="182" t="str">
        <f>'Deelnemer 12 vtg'!A19</f>
        <v/>
      </c>
      <c r="E245" s="183" t="str">
        <f>MID(_xlfn.TEXTJOIN(" ",TRUE,'Deelnemer 12 vtg'!$D$6,$B$245),1,12)</f>
        <v>Deelnemer 12</v>
      </c>
      <c r="F245" s="276">
        <f>'Deelnemer 12 vtg'!$C$7</f>
        <v>0</v>
      </c>
      <c r="G245" s="183" t="str">
        <f>'Deelnemer 12 vtg'!B19</f>
        <v xml:space="preserve"> - </v>
      </c>
      <c r="H245" s="183" t="str">
        <f>VLOOKUP(G245,'Categorie H2 Vtg.'!$B$4:$D$20,3,0)</f>
        <v>-</v>
      </c>
      <c r="I245" s="187">
        <f>'Deelnemer 12 vtg'!E19</f>
        <v>0</v>
      </c>
      <c r="J245" s="180">
        <f>'Deelnemer 12 vtg'!V19</f>
        <v>0</v>
      </c>
      <c r="K245" s="184">
        <f>'Deelnemer 12 vtg'!Z19</f>
        <v>0</v>
      </c>
      <c r="L245" s="184">
        <f>'Deelnemer 12 vtg'!AE19</f>
        <v>0</v>
      </c>
      <c r="M245" s="184">
        <f>K245*J245</f>
        <v>0</v>
      </c>
      <c r="N245" s="184">
        <f>L245*J245</f>
        <v>0</v>
      </c>
      <c r="O245" s="184">
        <f>'Deelnemer 12 vtg'!AG19</f>
        <v>0</v>
      </c>
      <c r="P245" s="184">
        <f>'Deelnemer 12 vtg'!AJ19</f>
        <v>0</v>
      </c>
      <c r="Q245" s="184">
        <f>'Deelnemer 12 vtg'!AK19</f>
        <v>0</v>
      </c>
      <c r="R245" s="161"/>
    </row>
    <row r="246" spans="2:18" ht="16.5" hidden="1" customHeight="1" x14ac:dyDescent="0.3">
      <c r="B246" s="639"/>
      <c r="C246" s="161">
        <v>2</v>
      </c>
      <c r="D246" s="182" t="str">
        <f>'Deelnemer 12 vtg'!A20</f>
        <v/>
      </c>
      <c r="E246" s="183" t="str">
        <f>MID(_xlfn.TEXTJOIN(" ",TRUE,'Deelnemer 12 vtg'!$D$6,$B$245),1,12)</f>
        <v>Deelnemer 12</v>
      </c>
      <c r="F246" s="276">
        <f>'Deelnemer 12 vtg'!$C$7</f>
        <v>0</v>
      </c>
      <c r="G246" s="183" t="str">
        <f>'Deelnemer 12 vtg'!B20</f>
        <v xml:space="preserve"> - </v>
      </c>
      <c r="H246" s="186" t="str">
        <f>VLOOKUP(G246,'Categorie H2 Vtg.'!$B$4:$D$20,3,0)</f>
        <v>-</v>
      </c>
      <c r="I246" s="187">
        <f>'Deelnemer 12 vtg'!E20</f>
        <v>0</v>
      </c>
      <c r="J246" s="180">
        <f>'Deelnemer 12 vtg'!V20</f>
        <v>0</v>
      </c>
      <c r="K246" s="184">
        <f>'Deelnemer 12 vtg'!Z20</f>
        <v>0</v>
      </c>
      <c r="L246" s="184">
        <f>'Deelnemer 12 vtg'!AE20</f>
        <v>0</v>
      </c>
      <c r="M246" s="188">
        <f t="shared" ref="M246:M259" si="23">K246*J246</f>
        <v>0</v>
      </c>
      <c r="N246" s="188">
        <f t="shared" ref="N246:N259" si="24">L246*J246</f>
        <v>0</v>
      </c>
      <c r="O246" s="184">
        <f>'Deelnemer 12 vtg'!AG20</f>
        <v>0</v>
      </c>
      <c r="P246" s="184">
        <f>'Deelnemer 12 vtg'!AJ20</f>
        <v>0</v>
      </c>
      <c r="Q246" s="184">
        <f>'Deelnemer 12 vtg'!AK20</f>
        <v>0</v>
      </c>
    </row>
    <row r="247" spans="2:18" ht="16.5" hidden="1" customHeight="1" x14ac:dyDescent="0.3">
      <c r="B247" s="639"/>
      <c r="C247" s="161">
        <v>3</v>
      </c>
      <c r="D247" s="182" t="str">
        <f>'Deelnemer 12 vtg'!A21</f>
        <v/>
      </c>
      <c r="E247" s="183" t="str">
        <f>MID(_xlfn.TEXTJOIN(" ",TRUE,'Deelnemer 12 vtg'!$D$6,$B$245),1,12)</f>
        <v>Deelnemer 12</v>
      </c>
      <c r="F247" s="276">
        <f>'Deelnemer 12 vtg'!$C$7</f>
        <v>0</v>
      </c>
      <c r="G247" s="183" t="str">
        <f>'Deelnemer 12 vtg'!B21</f>
        <v xml:space="preserve"> - </v>
      </c>
      <c r="H247" s="186" t="str">
        <f>VLOOKUP(G247,'Categorie H2 Vtg.'!$B$4:$D$20,3,0)</f>
        <v>-</v>
      </c>
      <c r="I247" s="187">
        <f>'Deelnemer 12 vtg'!E21</f>
        <v>0</v>
      </c>
      <c r="J247" s="180">
        <f>'Deelnemer 12 vtg'!V21</f>
        <v>0</v>
      </c>
      <c r="K247" s="184">
        <f>'Deelnemer 12 vtg'!Z21</f>
        <v>0</v>
      </c>
      <c r="L247" s="184">
        <f>'Deelnemer 12 vtg'!AE21</f>
        <v>0</v>
      </c>
      <c r="M247" s="188">
        <f t="shared" si="23"/>
        <v>0</v>
      </c>
      <c r="N247" s="188">
        <f t="shared" si="24"/>
        <v>0</v>
      </c>
      <c r="O247" s="184">
        <f>'Deelnemer 12 vtg'!AG21</f>
        <v>0</v>
      </c>
      <c r="P247" s="184">
        <f>'Deelnemer 12 vtg'!AJ21</f>
        <v>0</v>
      </c>
      <c r="Q247" s="184">
        <f>'Deelnemer 12 vtg'!AK21</f>
        <v>0</v>
      </c>
    </row>
    <row r="248" spans="2:18" ht="16.5" hidden="1" customHeight="1" x14ac:dyDescent="0.3">
      <c r="B248" s="639"/>
      <c r="C248" s="161">
        <v>4</v>
      </c>
      <c r="D248" s="182" t="str">
        <f>'Deelnemer 12 vtg'!A22</f>
        <v/>
      </c>
      <c r="E248" s="183" t="str">
        <f>MID(_xlfn.TEXTJOIN(" ",TRUE,'Deelnemer 12 vtg'!$D$6,$B$245),1,12)</f>
        <v>Deelnemer 12</v>
      </c>
      <c r="F248" s="276">
        <f>'Deelnemer 12 vtg'!$C$7</f>
        <v>0</v>
      </c>
      <c r="G248" s="183" t="str">
        <f>'Deelnemer 12 vtg'!B22</f>
        <v xml:space="preserve"> - </v>
      </c>
      <c r="H248" s="186" t="str">
        <f>VLOOKUP(G248,'Categorie H2 Vtg.'!$B$4:$D$20,3,0)</f>
        <v>-</v>
      </c>
      <c r="I248" s="187">
        <f>'Deelnemer 12 vtg'!E22</f>
        <v>0</v>
      </c>
      <c r="J248" s="180">
        <f>'Deelnemer 12 vtg'!V22</f>
        <v>0</v>
      </c>
      <c r="K248" s="184">
        <f>'Deelnemer 12 vtg'!Z22</f>
        <v>0</v>
      </c>
      <c r="L248" s="184">
        <f>'Deelnemer 12 vtg'!AE22</f>
        <v>0</v>
      </c>
      <c r="M248" s="188">
        <f t="shared" si="23"/>
        <v>0</v>
      </c>
      <c r="N248" s="188">
        <f t="shared" si="24"/>
        <v>0</v>
      </c>
      <c r="O248" s="184">
        <f>'Deelnemer 12 vtg'!AG22</f>
        <v>0</v>
      </c>
      <c r="P248" s="184">
        <f>'Deelnemer 12 vtg'!AJ22</f>
        <v>0</v>
      </c>
      <c r="Q248" s="184">
        <f>'Deelnemer 12 vtg'!AK22</f>
        <v>0</v>
      </c>
    </row>
    <row r="249" spans="2:18" ht="16.5" hidden="1" customHeight="1" x14ac:dyDescent="0.3">
      <c r="B249" s="639"/>
      <c r="C249" s="161">
        <v>5</v>
      </c>
      <c r="D249" s="182" t="str">
        <f>'Deelnemer 12 vtg'!A23</f>
        <v/>
      </c>
      <c r="E249" s="183" t="str">
        <f>MID(_xlfn.TEXTJOIN(" ",TRUE,'Deelnemer 12 vtg'!$D$6,$B$245),1,12)</f>
        <v>Deelnemer 12</v>
      </c>
      <c r="F249" s="276">
        <f>'Deelnemer 12 vtg'!$C$7</f>
        <v>0</v>
      </c>
      <c r="G249" s="183" t="str">
        <f>'Deelnemer 12 vtg'!B23</f>
        <v xml:space="preserve"> - </v>
      </c>
      <c r="H249" s="186" t="str">
        <f>VLOOKUP(G249,'Categorie H2 Vtg.'!$B$4:$D$20,3,0)</f>
        <v>-</v>
      </c>
      <c r="I249" s="187">
        <f>'Deelnemer 12 vtg'!E23</f>
        <v>0</v>
      </c>
      <c r="J249" s="180">
        <f>'Deelnemer 12 vtg'!V23</f>
        <v>0</v>
      </c>
      <c r="K249" s="184">
        <f>'Deelnemer 12 vtg'!Z23</f>
        <v>0</v>
      </c>
      <c r="L249" s="184">
        <f>'Deelnemer 12 vtg'!AE23</f>
        <v>0</v>
      </c>
      <c r="M249" s="188">
        <f t="shared" si="23"/>
        <v>0</v>
      </c>
      <c r="N249" s="188">
        <f t="shared" si="24"/>
        <v>0</v>
      </c>
      <c r="O249" s="184">
        <f>'Deelnemer 12 vtg'!AG23</f>
        <v>0</v>
      </c>
      <c r="P249" s="184">
        <f>'Deelnemer 12 vtg'!AJ23</f>
        <v>0</v>
      </c>
      <c r="Q249" s="184">
        <f>'Deelnemer 12 vtg'!AK23</f>
        <v>0</v>
      </c>
    </row>
    <row r="250" spans="2:18" ht="16.5" hidden="1" customHeight="1" x14ac:dyDescent="0.3">
      <c r="B250" s="639"/>
      <c r="C250" s="161">
        <v>6</v>
      </c>
      <c r="D250" s="182" t="str">
        <f>'Deelnemer 12 vtg'!A24</f>
        <v/>
      </c>
      <c r="E250" s="183" t="str">
        <f>MID(_xlfn.TEXTJOIN(" ",TRUE,'Deelnemer 12 vtg'!$D$6,$B$245),1,12)</f>
        <v>Deelnemer 12</v>
      </c>
      <c r="F250" s="276">
        <f>'Deelnemer 12 vtg'!$C$7</f>
        <v>0</v>
      </c>
      <c r="G250" s="183" t="str">
        <f>'Deelnemer 12 vtg'!B24</f>
        <v xml:space="preserve"> - </v>
      </c>
      <c r="H250" s="186" t="str">
        <f>VLOOKUP(G250,'Categorie H2 Vtg.'!$B$4:$D$20,3,0)</f>
        <v>-</v>
      </c>
      <c r="I250" s="187">
        <f>'Deelnemer 12 vtg'!E24</f>
        <v>0</v>
      </c>
      <c r="J250" s="180">
        <f>'Deelnemer 12 vtg'!V24</f>
        <v>0</v>
      </c>
      <c r="K250" s="184">
        <f>'Deelnemer 12 vtg'!Z24</f>
        <v>0</v>
      </c>
      <c r="L250" s="184">
        <f>'Deelnemer 12 vtg'!AE24</f>
        <v>0</v>
      </c>
      <c r="M250" s="188">
        <f t="shared" si="23"/>
        <v>0</v>
      </c>
      <c r="N250" s="188">
        <f t="shared" si="24"/>
        <v>0</v>
      </c>
      <c r="O250" s="184">
        <f>'Deelnemer 12 vtg'!AG24</f>
        <v>0</v>
      </c>
      <c r="P250" s="184">
        <f>'Deelnemer 12 vtg'!AJ24</f>
        <v>0</v>
      </c>
      <c r="Q250" s="184">
        <f>'Deelnemer 12 vtg'!AK24</f>
        <v>0</v>
      </c>
    </row>
    <row r="251" spans="2:18" ht="16.5" hidden="1" customHeight="1" x14ac:dyDescent="0.3">
      <c r="B251" s="639"/>
      <c r="C251" s="161">
        <v>7</v>
      </c>
      <c r="D251" s="182" t="str">
        <f>'Deelnemer 12 vtg'!A25</f>
        <v/>
      </c>
      <c r="E251" s="183" t="str">
        <f>MID(_xlfn.TEXTJOIN(" ",TRUE,'Deelnemer 12 vtg'!$D$6,$B$245),1,12)</f>
        <v>Deelnemer 12</v>
      </c>
      <c r="F251" s="276">
        <f>'Deelnemer 12 vtg'!$C$7</f>
        <v>0</v>
      </c>
      <c r="G251" s="183" t="str">
        <f>'Deelnemer 12 vtg'!B25</f>
        <v xml:space="preserve"> - </v>
      </c>
      <c r="H251" s="186" t="str">
        <f>VLOOKUP(G251,'Categorie H2 Vtg.'!$B$4:$D$20,3,0)</f>
        <v>-</v>
      </c>
      <c r="I251" s="187">
        <f>'Deelnemer 12 vtg'!E25</f>
        <v>0</v>
      </c>
      <c r="J251" s="180">
        <f>'Deelnemer 12 vtg'!V25</f>
        <v>0</v>
      </c>
      <c r="K251" s="184">
        <f>'Deelnemer 12 vtg'!Z25</f>
        <v>0</v>
      </c>
      <c r="L251" s="184">
        <f>'Deelnemer 12 vtg'!AE25</f>
        <v>0</v>
      </c>
      <c r="M251" s="188">
        <f t="shared" si="23"/>
        <v>0</v>
      </c>
      <c r="N251" s="188">
        <f t="shared" si="24"/>
        <v>0</v>
      </c>
      <c r="O251" s="184">
        <f>'Deelnemer 12 vtg'!AG25</f>
        <v>0</v>
      </c>
      <c r="P251" s="184">
        <f>'Deelnemer 12 vtg'!AJ25</f>
        <v>0</v>
      </c>
      <c r="Q251" s="184">
        <f>'Deelnemer 12 vtg'!AK25</f>
        <v>0</v>
      </c>
    </row>
    <row r="252" spans="2:18" ht="16.5" hidden="1" customHeight="1" x14ac:dyDescent="0.3">
      <c r="B252" s="639"/>
      <c r="C252" s="161">
        <v>8</v>
      </c>
      <c r="D252" s="182" t="str">
        <f>'Deelnemer 12 vtg'!A26</f>
        <v/>
      </c>
      <c r="E252" s="183" t="str">
        <f>MID(_xlfn.TEXTJOIN(" ",TRUE,'Deelnemer 12 vtg'!$D$6,$B$245),1,12)</f>
        <v>Deelnemer 12</v>
      </c>
      <c r="F252" s="276">
        <f>'Deelnemer 12 vtg'!$C$7</f>
        <v>0</v>
      </c>
      <c r="G252" s="183" t="str">
        <f>'Deelnemer 12 vtg'!B26</f>
        <v xml:space="preserve"> - </v>
      </c>
      <c r="H252" s="186" t="str">
        <f>VLOOKUP(G252,'Categorie H2 Vtg.'!$B$4:$D$20,3,0)</f>
        <v>-</v>
      </c>
      <c r="I252" s="187">
        <f>'Deelnemer 12 vtg'!E26</f>
        <v>0</v>
      </c>
      <c r="J252" s="180">
        <f>'Deelnemer 12 vtg'!V26</f>
        <v>0</v>
      </c>
      <c r="K252" s="184">
        <f>'Deelnemer 12 vtg'!Z26</f>
        <v>0</v>
      </c>
      <c r="L252" s="184">
        <f>'Deelnemer 12 vtg'!AE26</f>
        <v>0</v>
      </c>
      <c r="M252" s="188">
        <f t="shared" si="23"/>
        <v>0</v>
      </c>
      <c r="N252" s="188">
        <f t="shared" si="24"/>
        <v>0</v>
      </c>
      <c r="O252" s="184">
        <f>'Deelnemer 12 vtg'!AG26</f>
        <v>0</v>
      </c>
      <c r="P252" s="184">
        <f>'Deelnemer 12 vtg'!AJ26</f>
        <v>0</v>
      </c>
      <c r="Q252" s="184">
        <f>'Deelnemer 12 vtg'!AK26</f>
        <v>0</v>
      </c>
    </row>
    <row r="253" spans="2:18" ht="16.5" hidden="1" customHeight="1" x14ac:dyDescent="0.3">
      <c r="B253" s="639"/>
      <c r="C253" s="161">
        <v>9</v>
      </c>
      <c r="D253" s="182" t="str">
        <f>'Deelnemer 12 vtg'!A27</f>
        <v/>
      </c>
      <c r="E253" s="183" t="str">
        <f>MID(_xlfn.TEXTJOIN(" ",TRUE,'Deelnemer 12 vtg'!$D$6,$B$245),1,12)</f>
        <v>Deelnemer 12</v>
      </c>
      <c r="F253" s="276">
        <f>'Deelnemer 12 vtg'!$C$7</f>
        <v>0</v>
      </c>
      <c r="G253" s="183" t="str">
        <f>'Deelnemer 12 vtg'!B27</f>
        <v xml:space="preserve"> - </v>
      </c>
      <c r="H253" s="186" t="str">
        <f>VLOOKUP(G253,'Categorie H2 Vtg.'!$B$4:$D$20,3,0)</f>
        <v>-</v>
      </c>
      <c r="I253" s="187">
        <f>'Deelnemer 12 vtg'!E27</f>
        <v>0</v>
      </c>
      <c r="J253" s="180">
        <f>'Deelnemer 12 vtg'!V27</f>
        <v>0</v>
      </c>
      <c r="K253" s="184">
        <f>'Deelnemer 12 vtg'!Z27</f>
        <v>0</v>
      </c>
      <c r="L253" s="184">
        <f>'Deelnemer 12 vtg'!AE27</f>
        <v>0</v>
      </c>
      <c r="M253" s="188">
        <f t="shared" si="23"/>
        <v>0</v>
      </c>
      <c r="N253" s="188">
        <f t="shared" si="24"/>
        <v>0</v>
      </c>
      <c r="O253" s="184">
        <f>'Deelnemer 12 vtg'!AG27</f>
        <v>0</v>
      </c>
      <c r="P253" s="184">
        <f>'Deelnemer 12 vtg'!AJ27</f>
        <v>0</v>
      </c>
      <c r="Q253" s="184">
        <f>'Deelnemer 12 vtg'!AK27</f>
        <v>0</v>
      </c>
    </row>
    <row r="254" spans="2:18" ht="16.5" hidden="1" customHeight="1" x14ac:dyDescent="0.3">
      <c r="B254" s="639"/>
      <c r="C254" s="161">
        <v>10</v>
      </c>
      <c r="D254" s="182" t="str">
        <f>'Deelnemer 12 vtg'!A28</f>
        <v/>
      </c>
      <c r="E254" s="183" t="str">
        <f>MID(_xlfn.TEXTJOIN(" ",TRUE,'Deelnemer 12 vtg'!$D$6,$B$245),1,12)</f>
        <v>Deelnemer 12</v>
      </c>
      <c r="F254" s="276">
        <f>'Deelnemer 12 vtg'!$C$7</f>
        <v>0</v>
      </c>
      <c r="G254" s="183" t="str">
        <f>'Deelnemer 12 vtg'!B28</f>
        <v xml:space="preserve"> - </v>
      </c>
      <c r="H254" s="186" t="str">
        <f>VLOOKUP(G254,'Categorie H2 Vtg.'!$B$4:$D$20,3,0)</f>
        <v>-</v>
      </c>
      <c r="I254" s="187">
        <f>'Deelnemer 12 vtg'!E28</f>
        <v>0</v>
      </c>
      <c r="J254" s="180">
        <f>'Deelnemer 12 vtg'!V28</f>
        <v>0</v>
      </c>
      <c r="K254" s="184">
        <f>'Deelnemer 12 vtg'!Z28</f>
        <v>0</v>
      </c>
      <c r="L254" s="184">
        <f>'Deelnemer 12 vtg'!AE28</f>
        <v>0</v>
      </c>
      <c r="M254" s="188">
        <f t="shared" si="23"/>
        <v>0</v>
      </c>
      <c r="N254" s="188">
        <f t="shared" si="24"/>
        <v>0</v>
      </c>
      <c r="O254" s="184">
        <f>'Deelnemer 12 vtg'!AG28</f>
        <v>0</v>
      </c>
      <c r="P254" s="184">
        <f>'Deelnemer 12 vtg'!AJ28</f>
        <v>0</v>
      </c>
      <c r="Q254" s="184">
        <f>'Deelnemer 12 vtg'!AK28</f>
        <v>0</v>
      </c>
    </row>
    <row r="255" spans="2:18" ht="16.5" hidden="1" customHeight="1" x14ac:dyDescent="0.3">
      <c r="B255" s="639"/>
      <c r="C255" s="161">
        <v>11</v>
      </c>
      <c r="D255" s="182" t="str">
        <f>'Deelnemer 12 vtg'!A29</f>
        <v/>
      </c>
      <c r="E255" s="183" t="str">
        <f>MID(_xlfn.TEXTJOIN(" ",TRUE,'Deelnemer 12 vtg'!$D$6,$B$245),1,12)</f>
        <v>Deelnemer 12</v>
      </c>
      <c r="F255" s="276">
        <f>'Deelnemer 12 vtg'!$C$7</f>
        <v>0</v>
      </c>
      <c r="G255" s="183" t="str">
        <f>'Deelnemer 12 vtg'!B29</f>
        <v xml:space="preserve"> - </v>
      </c>
      <c r="H255" s="186" t="str">
        <f>VLOOKUP(G255,'Categorie H2 Vtg.'!$B$4:$D$20,3,0)</f>
        <v>-</v>
      </c>
      <c r="I255" s="187">
        <f>'Deelnemer 12 vtg'!E29</f>
        <v>0</v>
      </c>
      <c r="J255" s="180">
        <f>'Deelnemer 12 vtg'!V29</f>
        <v>0</v>
      </c>
      <c r="K255" s="184">
        <f>'Deelnemer 12 vtg'!Z29</f>
        <v>0</v>
      </c>
      <c r="L255" s="184">
        <f>'Deelnemer 12 vtg'!AE29</f>
        <v>0</v>
      </c>
      <c r="M255" s="188">
        <f t="shared" si="23"/>
        <v>0</v>
      </c>
      <c r="N255" s="188">
        <f t="shared" si="24"/>
        <v>0</v>
      </c>
      <c r="O255" s="184">
        <f>'Deelnemer 12 vtg'!AG29</f>
        <v>0</v>
      </c>
      <c r="P255" s="184">
        <f>'Deelnemer 12 vtg'!AJ29</f>
        <v>0</v>
      </c>
      <c r="Q255" s="184">
        <f>'Deelnemer 12 vtg'!AK29</f>
        <v>0</v>
      </c>
    </row>
    <row r="256" spans="2:18" ht="16.5" hidden="1" customHeight="1" x14ac:dyDescent="0.3">
      <c r="B256" s="639"/>
      <c r="C256" s="161">
        <v>12</v>
      </c>
      <c r="D256" s="182" t="str">
        <f>'Deelnemer 12 vtg'!A30</f>
        <v/>
      </c>
      <c r="E256" s="183" t="str">
        <f>MID(_xlfn.TEXTJOIN(" ",TRUE,'Deelnemer 12 vtg'!$D$6,$B$245),1,12)</f>
        <v>Deelnemer 12</v>
      </c>
      <c r="F256" s="276">
        <f>'Deelnemer 12 vtg'!$C$7</f>
        <v>0</v>
      </c>
      <c r="G256" s="183" t="str">
        <f>'Deelnemer 12 vtg'!B30</f>
        <v xml:space="preserve"> - </v>
      </c>
      <c r="H256" s="186" t="str">
        <f>VLOOKUP(G256,'Categorie H2 Vtg.'!$B$4:$D$20,3,0)</f>
        <v>-</v>
      </c>
      <c r="I256" s="187">
        <f>'Deelnemer 12 vtg'!E30</f>
        <v>0</v>
      </c>
      <c r="J256" s="180">
        <f>'Deelnemer 12 vtg'!V30</f>
        <v>0</v>
      </c>
      <c r="K256" s="184">
        <f>'Deelnemer 12 vtg'!Z30</f>
        <v>0</v>
      </c>
      <c r="L256" s="184">
        <f>'Deelnemer 12 vtg'!AE30</f>
        <v>0</v>
      </c>
      <c r="M256" s="188">
        <f t="shared" si="23"/>
        <v>0</v>
      </c>
      <c r="N256" s="188">
        <f t="shared" si="24"/>
        <v>0</v>
      </c>
      <c r="O256" s="184">
        <f>'Deelnemer 12 vtg'!AG30</f>
        <v>0</v>
      </c>
      <c r="P256" s="184">
        <f>'Deelnemer 12 vtg'!AJ30</f>
        <v>0</v>
      </c>
      <c r="Q256" s="184">
        <f>'Deelnemer 12 vtg'!AK30</f>
        <v>0</v>
      </c>
    </row>
    <row r="257" spans="2:18" ht="16.5" hidden="1" customHeight="1" x14ac:dyDescent="0.3">
      <c r="B257" s="639"/>
      <c r="C257" s="161">
        <v>13</v>
      </c>
      <c r="D257" s="182" t="str">
        <f>'Deelnemer 12 vtg'!A31</f>
        <v/>
      </c>
      <c r="E257" s="183" t="str">
        <f>MID(_xlfn.TEXTJOIN(" ",TRUE,'Deelnemer 12 vtg'!$D$6,$B$245),1,12)</f>
        <v>Deelnemer 12</v>
      </c>
      <c r="F257" s="276">
        <f>'Deelnemer 12 vtg'!$C$7</f>
        <v>0</v>
      </c>
      <c r="G257" s="183" t="str">
        <f>'Deelnemer 12 vtg'!B31</f>
        <v xml:space="preserve"> - </v>
      </c>
      <c r="H257" s="186" t="str">
        <f>VLOOKUP(G257,'Categorie H2 Vtg.'!$B$4:$D$20,3,0)</f>
        <v>-</v>
      </c>
      <c r="I257" s="187">
        <f>'Deelnemer 12 vtg'!E31</f>
        <v>0</v>
      </c>
      <c r="J257" s="180">
        <f>'Deelnemer 12 vtg'!V31</f>
        <v>0</v>
      </c>
      <c r="K257" s="184">
        <f>'Deelnemer 12 vtg'!Z31</f>
        <v>0</v>
      </c>
      <c r="L257" s="184">
        <f>'Deelnemer 12 vtg'!AE31</f>
        <v>0</v>
      </c>
      <c r="M257" s="188">
        <f t="shared" si="23"/>
        <v>0</v>
      </c>
      <c r="N257" s="188">
        <f t="shared" si="24"/>
        <v>0</v>
      </c>
      <c r="O257" s="184">
        <f>'Deelnemer 12 vtg'!AG31</f>
        <v>0</v>
      </c>
      <c r="P257" s="184">
        <f>'Deelnemer 12 vtg'!AJ31</f>
        <v>0</v>
      </c>
      <c r="Q257" s="184">
        <f>'Deelnemer 12 vtg'!AK31</f>
        <v>0</v>
      </c>
    </row>
    <row r="258" spans="2:18" ht="16.5" hidden="1" customHeight="1" x14ac:dyDescent="0.3">
      <c r="B258" s="639"/>
      <c r="C258" s="161">
        <v>14</v>
      </c>
      <c r="D258" s="182" t="str">
        <f>'Deelnemer 12 vtg'!A32</f>
        <v/>
      </c>
      <c r="E258" s="183" t="str">
        <f>MID(_xlfn.TEXTJOIN(" ",TRUE,'Deelnemer 12 vtg'!$D$6,$B$245),1,12)</f>
        <v>Deelnemer 12</v>
      </c>
      <c r="F258" s="276">
        <f>'Deelnemer 12 vtg'!$C$7</f>
        <v>0</v>
      </c>
      <c r="G258" s="183" t="str">
        <f>'Deelnemer 12 vtg'!B32</f>
        <v xml:space="preserve"> - </v>
      </c>
      <c r="H258" s="186" t="str">
        <f>VLOOKUP(G258,'Categorie H2 Vtg.'!$B$4:$D$20,3,0)</f>
        <v>-</v>
      </c>
      <c r="I258" s="187">
        <f>'Deelnemer 12 vtg'!E32</f>
        <v>0</v>
      </c>
      <c r="J258" s="180">
        <f>'Deelnemer 12 vtg'!V32</f>
        <v>0</v>
      </c>
      <c r="K258" s="184">
        <f>'Deelnemer 12 vtg'!Z32</f>
        <v>0</v>
      </c>
      <c r="L258" s="184">
        <f>'Deelnemer 12 vtg'!AE32</f>
        <v>0</v>
      </c>
      <c r="M258" s="188">
        <f t="shared" si="23"/>
        <v>0</v>
      </c>
      <c r="N258" s="188">
        <f t="shared" si="24"/>
        <v>0</v>
      </c>
      <c r="O258" s="184">
        <f>'Deelnemer 12 vtg'!AG32</f>
        <v>0</v>
      </c>
      <c r="P258" s="184">
        <f>'Deelnemer 12 vtg'!AJ32</f>
        <v>0</v>
      </c>
      <c r="Q258" s="184">
        <f>'Deelnemer 12 vtg'!AK32</f>
        <v>0</v>
      </c>
    </row>
    <row r="259" spans="2:18" ht="16.5" hidden="1" customHeight="1" x14ac:dyDescent="0.3">
      <c r="B259" s="639"/>
      <c r="C259" s="161">
        <v>15</v>
      </c>
      <c r="D259" s="182" t="str">
        <f>'Deelnemer 12 vtg'!A33</f>
        <v/>
      </c>
      <c r="E259" s="183" t="str">
        <f>MID(_xlfn.TEXTJOIN(" ",TRUE,'Deelnemer 12 vtg'!$D$6,$B$245),1,12)</f>
        <v>Deelnemer 12</v>
      </c>
      <c r="F259" s="276">
        <f>'Deelnemer 12 vtg'!$C$7</f>
        <v>0</v>
      </c>
      <c r="G259" s="183" t="str">
        <f>'Deelnemer 12 vtg'!B33</f>
        <v xml:space="preserve"> - </v>
      </c>
      <c r="H259" s="186" t="str">
        <f>VLOOKUP(G259,'Categorie H2 Vtg.'!$B$4:$D$20,3,0)</f>
        <v>-</v>
      </c>
      <c r="I259" s="187">
        <f>'Deelnemer 12 vtg'!E33</f>
        <v>0</v>
      </c>
      <c r="J259" s="180">
        <f>'Deelnemer 12 vtg'!V33</f>
        <v>0</v>
      </c>
      <c r="K259" s="184">
        <f>'Deelnemer 12 vtg'!Z33</f>
        <v>0</v>
      </c>
      <c r="L259" s="184">
        <f>'Deelnemer 12 vtg'!AE33</f>
        <v>0</v>
      </c>
      <c r="M259" s="188">
        <f t="shared" si="23"/>
        <v>0</v>
      </c>
      <c r="N259" s="188">
        <f t="shared" si="24"/>
        <v>0</v>
      </c>
      <c r="O259" s="184">
        <f>'Deelnemer 12 vtg'!AG33</f>
        <v>0</v>
      </c>
      <c r="P259" s="184">
        <f>'Deelnemer 12 vtg'!AJ33</f>
        <v>0</v>
      </c>
      <c r="Q259" s="184">
        <f>'Deelnemer 12 vtg'!AK33</f>
        <v>0</v>
      </c>
    </row>
    <row r="260" spans="2:18" s="181" customFormat="1" ht="16.5" hidden="1" customHeight="1" x14ac:dyDescent="0.3">
      <c r="B260" s="639">
        <f t="shared" ref="B260:B320" si="25">B245+1</f>
        <v>13</v>
      </c>
      <c r="C260" s="189">
        <v>1</v>
      </c>
      <c r="D260" s="180" t="str">
        <f>'Deelnemer 13 vtg'!A19</f>
        <v/>
      </c>
      <c r="E260" s="183" t="str">
        <f>MID(_xlfn.TEXTJOIN(" ",TRUE,'Deelnemer 13 vtg'!$D$6,$B$260),1,12)</f>
        <v>Deelnemer 13</v>
      </c>
      <c r="F260" s="276">
        <f>'Deelnemer 13 vtg'!$C$7</f>
        <v>0</v>
      </c>
      <c r="G260" s="183" t="str">
        <f>'Deelnemer 13 vtg'!B19</f>
        <v xml:space="preserve"> - </v>
      </c>
      <c r="H260" s="183" t="str">
        <f>VLOOKUP(G260,'Categorie H2 Vtg.'!$B$4:$D$20,3,0)</f>
        <v>-</v>
      </c>
      <c r="I260" s="187">
        <f>'Deelnemer 13 vtg'!E19</f>
        <v>0</v>
      </c>
      <c r="J260" s="180">
        <f>'Deelnemer 13 vtg'!V19</f>
        <v>0</v>
      </c>
      <c r="K260" s="184">
        <f>'Deelnemer 13 vtg'!Z19</f>
        <v>0</v>
      </c>
      <c r="L260" s="184">
        <f>'Deelnemer 13 vtg'!AE19</f>
        <v>0</v>
      </c>
      <c r="M260" s="184">
        <f>K260*J260</f>
        <v>0</v>
      </c>
      <c r="N260" s="184">
        <f>L260*J260</f>
        <v>0</v>
      </c>
      <c r="O260" s="184">
        <f>'Deelnemer 13 vtg'!AG19</f>
        <v>0</v>
      </c>
      <c r="P260" s="184">
        <f>'Deelnemer 13 vtg'!AJ19</f>
        <v>0</v>
      </c>
      <c r="Q260" s="184">
        <f>'Deelnemer 13 vtg'!AK19</f>
        <v>0</v>
      </c>
      <c r="R260" s="161"/>
    </row>
    <row r="261" spans="2:18" ht="16.5" hidden="1" customHeight="1" x14ac:dyDescent="0.3">
      <c r="B261" s="639"/>
      <c r="C261" s="161">
        <v>2</v>
      </c>
      <c r="D261" s="180" t="str">
        <f>'Deelnemer 13 vtg'!A20</f>
        <v/>
      </c>
      <c r="E261" s="183" t="str">
        <f>MID(_xlfn.TEXTJOIN(" ",TRUE,'Deelnemer 13 vtg'!$D$6,$B$260),1,12)</f>
        <v>Deelnemer 13</v>
      </c>
      <c r="F261" s="276">
        <f>'Deelnemer 13 vtg'!$C$7</f>
        <v>0</v>
      </c>
      <c r="G261" s="183" t="str">
        <f>'Deelnemer 13 vtg'!B20</f>
        <v xml:space="preserve"> - </v>
      </c>
      <c r="H261" s="186" t="str">
        <f>VLOOKUP(G261,'Categorie H2 Vtg.'!$B$4:$D$20,3,0)</f>
        <v>-</v>
      </c>
      <c r="I261" s="187">
        <f>'Deelnemer 13 vtg'!E20</f>
        <v>0</v>
      </c>
      <c r="J261" s="180">
        <f>'Deelnemer 13 vtg'!V20</f>
        <v>0</v>
      </c>
      <c r="K261" s="184">
        <f>'Deelnemer 13 vtg'!Z20</f>
        <v>0</v>
      </c>
      <c r="L261" s="184">
        <f>'Deelnemer 13 vtg'!AE20</f>
        <v>0</v>
      </c>
      <c r="M261" s="188">
        <f t="shared" ref="M261:M274" si="26">K261*J261</f>
        <v>0</v>
      </c>
      <c r="N261" s="188">
        <f t="shared" ref="N261:N274" si="27">L261*J261</f>
        <v>0</v>
      </c>
      <c r="O261" s="184">
        <f>'Deelnemer 13 vtg'!AG20</f>
        <v>0</v>
      </c>
      <c r="P261" s="184">
        <f>'Deelnemer 13 vtg'!AJ20</f>
        <v>0</v>
      </c>
      <c r="Q261" s="184">
        <f>'Deelnemer 13 vtg'!AK20</f>
        <v>0</v>
      </c>
    </row>
    <row r="262" spans="2:18" ht="16.5" hidden="1" customHeight="1" x14ac:dyDescent="0.3">
      <c r="B262" s="639"/>
      <c r="C262" s="161">
        <v>3</v>
      </c>
      <c r="D262" s="180" t="str">
        <f>'Deelnemer 13 vtg'!A21</f>
        <v/>
      </c>
      <c r="E262" s="183" t="str">
        <f>MID(_xlfn.TEXTJOIN(" ",TRUE,'Deelnemer 13 vtg'!$D$6,$B$260),1,12)</f>
        <v>Deelnemer 13</v>
      </c>
      <c r="F262" s="276">
        <f>'Deelnemer 13 vtg'!$C$7</f>
        <v>0</v>
      </c>
      <c r="G262" s="183" t="str">
        <f>'Deelnemer 13 vtg'!B21</f>
        <v xml:space="preserve"> - </v>
      </c>
      <c r="H262" s="186" t="str">
        <f>VLOOKUP(G262,'Categorie H2 Vtg.'!$B$4:$D$20,3,0)</f>
        <v>-</v>
      </c>
      <c r="I262" s="187">
        <f>'Deelnemer 13 vtg'!E21</f>
        <v>0</v>
      </c>
      <c r="J262" s="180">
        <f>'Deelnemer 13 vtg'!V21</f>
        <v>0</v>
      </c>
      <c r="K262" s="184">
        <f>'Deelnemer 13 vtg'!Z21</f>
        <v>0</v>
      </c>
      <c r="L262" s="184">
        <f>'Deelnemer 13 vtg'!AE21</f>
        <v>0</v>
      </c>
      <c r="M262" s="188">
        <f t="shared" si="26"/>
        <v>0</v>
      </c>
      <c r="N262" s="188">
        <f t="shared" si="27"/>
        <v>0</v>
      </c>
      <c r="O262" s="184">
        <f>'Deelnemer 13 vtg'!AG21</f>
        <v>0</v>
      </c>
      <c r="P262" s="184">
        <f>'Deelnemer 13 vtg'!AJ21</f>
        <v>0</v>
      </c>
      <c r="Q262" s="184">
        <f>'Deelnemer 13 vtg'!AK21</f>
        <v>0</v>
      </c>
    </row>
    <row r="263" spans="2:18" ht="16.5" hidden="1" customHeight="1" x14ac:dyDescent="0.3">
      <c r="B263" s="639"/>
      <c r="C263" s="161">
        <v>4</v>
      </c>
      <c r="D263" s="180" t="str">
        <f>'Deelnemer 13 vtg'!A22</f>
        <v/>
      </c>
      <c r="E263" s="183" t="str">
        <f>MID(_xlfn.TEXTJOIN(" ",TRUE,'Deelnemer 13 vtg'!$D$6,$B$260),1,12)</f>
        <v>Deelnemer 13</v>
      </c>
      <c r="F263" s="276">
        <f>'Deelnemer 13 vtg'!$C$7</f>
        <v>0</v>
      </c>
      <c r="G263" s="183" t="str">
        <f>'Deelnemer 13 vtg'!B22</f>
        <v xml:space="preserve"> - </v>
      </c>
      <c r="H263" s="186" t="str">
        <f>VLOOKUP(G263,'Categorie H2 Vtg.'!$B$4:$D$20,3,0)</f>
        <v>-</v>
      </c>
      <c r="I263" s="187">
        <f>'Deelnemer 13 vtg'!E22</f>
        <v>0</v>
      </c>
      <c r="J263" s="180">
        <f>'Deelnemer 13 vtg'!V22</f>
        <v>0</v>
      </c>
      <c r="K263" s="184">
        <f>'Deelnemer 13 vtg'!Z22</f>
        <v>0</v>
      </c>
      <c r="L263" s="184">
        <f>'Deelnemer 13 vtg'!AE22</f>
        <v>0</v>
      </c>
      <c r="M263" s="188">
        <f t="shared" si="26"/>
        <v>0</v>
      </c>
      <c r="N263" s="188">
        <f t="shared" si="27"/>
        <v>0</v>
      </c>
      <c r="O263" s="184">
        <f>'Deelnemer 13 vtg'!AG22</f>
        <v>0</v>
      </c>
      <c r="P263" s="184">
        <f>'Deelnemer 13 vtg'!AJ22</f>
        <v>0</v>
      </c>
      <c r="Q263" s="184">
        <f>'Deelnemer 13 vtg'!AK22</f>
        <v>0</v>
      </c>
    </row>
    <row r="264" spans="2:18" ht="16.5" hidden="1" customHeight="1" x14ac:dyDescent="0.3">
      <c r="B264" s="639"/>
      <c r="C264" s="161">
        <v>5</v>
      </c>
      <c r="D264" s="180" t="str">
        <f>'Deelnemer 13 vtg'!A23</f>
        <v/>
      </c>
      <c r="E264" s="183" t="str">
        <f>MID(_xlfn.TEXTJOIN(" ",TRUE,'Deelnemer 13 vtg'!$D$6,$B$260),1,12)</f>
        <v>Deelnemer 13</v>
      </c>
      <c r="F264" s="276">
        <f>'Deelnemer 13 vtg'!$C$7</f>
        <v>0</v>
      </c>
      <c r="G264" s="183" t="str">
        <f>'Deelnemer 13 vtg'!B23</f>
        <v xml:space="preserve"> - </v>
      </c>
      <c r="H264" s="186" t="str">
        <f>VLOOKUP(G264,'Categorie H2 Vtg.'!$B$4:$D$20,3,0)</f>
        <v>-</v>
      </c>
      <c r="I264" s="187">
        <f>'Deelnemer 13 vtg'!E23</f>
        <v>0</v>
      </c>
      <c r="J264" s="180">
        <f>'Deelnemer 13 vtg'!V23</f>
        <v>0</v>
      </c>
      <c r="K264" s="184">
        <f>'Deelnemer 13 vtg'!Z23</f>
        <v>0</v>
      </c>
      <c r="L264" s="184">
        <f>'Deelnemer 13 vtg'!AE23</f>
        <v>0</v>
      </c>
      <c r="M264" s="188">
        <f t="shared" si="26"/>
        <v>0</v>
      </c>
      <c r="N264" s="188">
        <f t="shared" si="27"/>
        <v>0</v>
      </c>
      <c r="O264" s="184">
        <f>'Deelnemer 13 vtg'!AG23</f>
        <v>0</v>
      </c>
      <c r="P264" s="184">
        <f>'Deelnemer 13 vtg'!AJ23</f>
        <v>0</v>
      </c>
      <c r="Q264" s="184">
        <f>'Deelnemer 13 vtg'!AK23</f>
        <v>0</v>
      </c>
    </row>
    <row r="265" spans="2:18" ht="16.5" hidden="1" customHeight="1" x14ac:dyDescent="0.3">
      <c r="B265" s="639"/>
      <c r="C265" s="161">
        <v>6</v>
      </c>
      <c r="D265" s="180" t="str">
        <f>'Deelnemer 13 vtg'!A24</f>
        <v/>
      </c>
      <c r="E265" s="183" t="str">
        <f>MID(_xlfn.TEXTJOIN(" ",TRUE,'Deelnemer 13 vtg'!$D$6,$B$260),1,12)</f>
        <v>Deelnemer 13</v>
      </c>
      <c r="F265" s="276">
        <f>'Deelnemer 13 vtg'!$C$7</f>
        <v>0</v>
      </c>
      <c r="G265" s="183" t="str">
        <f>'Deelnemer 13 vtg'!B24</f>
        <v xml:space="preserve"> - </v>
      </c>
      <c r="H265" s="186" t="str">
        <f>VLOOKUP(G265,'Categorie H2 Vtg.'!$B$4:$D$20,3,0)</f>
        <v>-</v>
      </c>
      <c r="I265" s="187">
        <f>'Deelnemer 13 vtg'!E24</f>
        <v>0</v>
      </c>
      <c r="J265" s="180">
        <f>'Deelnemer 13 vtg'!V24</f>
        <v>0</v>
      </c>
      <c r="K265" s="184">
        <f>'Deelnemer 13 vtg'!Z24</f>
        <v>0</v>
      </c>
      <c r="L265" s="184">
        <f>'Deelnemer 13 vtg'!AE24</f>
        <v>0</v>
      </c>
      <c r="M265" s="188">
        <f t="shared" si="26"/>
        <v>0</v>
      </c>
      <c r="N265" s="188">
        <f t="shared" si="27"/>
        <v>0</v>
      </c>
      <c r="O265" s="184">
        <f>'Deelnemer 13 vtg'!AG24</f>
        <v>0</v>
      </c>
      <c r="P265" s="184">
        <f>'Deelnemer 13 vtg'!AJ24</f>
        <v>0</v>
      </c>
      <c r="Q265" s="184">
        <f>'Deelnemer 13 vtg'!AK24</f>
        <v>0</v>
      </c>
    </row>
    <row r="266" spans="2:18" ht="16.5" hidden="1" customHeight="1" x14ac:dyDescent="0.3">
      <c r="B266" s="639"/>
      <c r="C266" s="161">
        <v>7</v>
      </c>
      <c r="D266" s="180" t="str">
        <f>'Deelnemer 13 vtg'!A25</f>
        <v/>
      </c>
      <c r="E266" s="183" t="str">
        <f>MID(_xlfn.TEXTJOIN(" ",TRUE,'Deelnemer 13 vtg'!$D$6,$B$260),1,12)</f>
        <v>Deelnemer 13</v>
      </c>
      <c r="F266" s="276">
        <f>'Deelnemer 13 vtg'!$C$7</f>
        <v>0</v>
      </c>
      <c r="G266" s="183" t="str">
        <f>'Deelnemer 13 vtg'!B25</f>
        <v xml:space="preserve"> - </v>
      </c>
      <c r="H266" s="186" t="str">
        <f>VLOOKUP(G266,'Categorie H2 Vtg.'!$B$4:$D$20,3,0)</f>
        <v>-</v>
      </c>
      <c r="I266" s="187">
        <f>'Deelnemer 13 vtg'!E25</f>
        <v>0</v>
      </c>
      <c r="J266" s="180">
        <f>'Deelnemer 13 vtg'!V25</f>
        <v>0</v>
      </c>
      <c r="K266" s="184">
        <f>'Deelnemer 13 vtg'!Z25</f>
        <v>0</v>
      </c>
      <c r="L266" s="184">
        <f>'Deelnemer 13 vtg'!AE25</f>
        <v>0</v>
      </c>
      <c r="M266" s="188">
        <f t="shared" si="26"/>
        <v>0</v>
      </c>
      <c r="N266" s="188">
        <f t="shared" si="27"/>
        <v>0</v>
      </c>
      <c r="O266" s="184">
        <f>'Deelnemer 13 vtg'!AG25</f>
        <v>0</v>
      </c>
      <c r="P266" s="184">
        <f>'Deelnemer 13 vtg'!AJ25</f>
        <v>0</v>
      </c>
      <c r="Q266" s="184">
        <f>'Deelnemer 13 vtg'!AK25</f>
        <v>0</v>
      </c>
    </row>
    <row r="267" spans="2:18" ht="16.5" hidden="1" customHeight="1" x14ac:dyDescent="0.3">
      <c r="B267" s="639"/>
      <c r="C267" s="161">
        <v>8</v>
      </c>
      <c r="D267" s="180" t="str">
        <f>'Deelnemer 13 vtg'!A26</f>
        <v/>
      </c>
      <c r="E267" s="183" t="str">
        <f>MID(_xlfn.TEXTJOIN(" ",TRUE,'Deelnemer 13 vtg'!$D$6,$B$260),1,12)</f>
        <v>Deelnemer 13</v>
      </c>
      <c r="F267" s="276">
        <f>'Deelnemer 13 vtg'!$C$7</f>
        <v>0</v>
      </c>
      <c r="G267" s="183" t="str">
        <f>'Deelnemer 13 vtg'!B26</f>
        <v xml:space="preserve"> - </v>
      </c>
      <c r="H267" s="186" t="str">
        <f>VLOOKUP(G267,'Categorie H2 Vtg.'!$B$4:$D$20,3,0)</f>
        <v>-</v>
      </c>
      <c r="I267" s="187">
        <f>'Deelnemer 13 vtg'!E26</f>
        <v>0</v>
      </c>
      <c r="J267" s="180">
        <f>'Deelnemer 13 vtg'!V26</f>
        <v>0</v>
      </c>
      <c r="K267" s="184">
        <f>'Deelnemer 13 vtg'!Z26</f>
        <v>0</v>
      </c>
      <c r="L267" s="184">
        <f>'Deelnemer 13 vtg'!AE26</f>
        <v>0</v>
      </c>
      <c r="M267" s="188">
        <f t="shared" si="26"/>
        <v>0</v>
      </c>
      <c r="N267" s="188">
        <f t="shared" si="27"/>
        <v>0</v>
      </c>
      <c r="O267" s="184">
        <f>'Deelnemer 13 vtg'!AG26</f>
        <v>0</v>
      </c>
      <c r="P267" s="184">
        <f>'Deelnemer 13 vtg'!AJ26</f>
        <v>0</v>
      </c>
      <c r="Q267" s="184">
        <f>'Deelnemer 13 vtg'!AK26</f>
        <v>0</v>
      </c>
    </row>
    <row r="268" spans="2:18" ht="16.5" hidden="1" customHeight="1" x14ac:dyDescent="0.3">
      <c r="B268" s="639"/>
      <c r="C268" s="161">
        <v>9</v>
      </c>
      <c r="D268" s="180" t="str">
        <f>'Deelnemer 13 vtg'!A27</f>
        <v/>
      </c>
      <c r="E268" s="183" t="str">
        <f>MID(_xlfn.TEXTJOIN(" ",TRUE,'Deelnemer 13 vtg'!$D$6,$B$260),1,12)</f>
        <v>Deelnemer 13</v>
      </c>
      <c r="F268" s="276">
        <f>'Deelnemer 13 vtg'!$C$7</f>
        <v>0</v>
      </c>
      <c r="G268" s="183" t="str">
        <f>'Deelnemer 13 vtg'!B27</f>
        <v xml:space="preserve"> - </v>
      </c>
      <c r="H268" s="186" t="str">
        <f>VLOOKUP(G268,'Categorie H2 Vtg.'!$B$4:$D$20,3,0)</f>
        <v>-</v>
      </c>
      <c r="I268" s="187">
        <f>'Deelnemer 13 vtg'!E27</f>
        <v>0</v>
      </c>
      <c r="J268" s="180">
        <f>'Deelnemer 13 vtg'!V27</f>
        <v>0</v>
      </c>
      <c r="K268" s="184">
        <f>'Deelnemer 13 vtg'!Z27</f>
        <v>0</v>
      </c>
      <c r="L268" s="184">
        <f>'Deelnemer 13 vtg'!AE27</f>
        <v>0</v>
      </c>
      <c r="M268" s="188">
        <f t="shared" si="26"/>
        <v>0</v>
      </c>
      <c r="N268" s="188">
        <f t="shared" si="27"/>
        <v>0</v>
      </c>
      <c r="O268" s="184">
        <f>'Deelnemer 13 vtg'!AG27</f>
        <v>0</v>
      </c>
      <c r="P268" s="184">
        <f>'Deelnemer 13 vtg'!AJ27</f>
        <v>0</v>
      </c>
      <c r="Q268" s="184">
        <f>'Deelnemer 13 vtg'!AK27</f>
        <v>0</v>
      </c>
    </row>
    <row r="269" spans="2:18" ht="16.5" hidden="1" customHeight="1" x14ac:dyDescent="0.3">
      <c r="B269" s="639"/>
      <c r="C269" s="161">
        <v>10</v>
      </c>
      <c r="D269" s="180" t="str">
        <f>'Deelnemer 13 vtg'!A28</f>
        <v/>
      </c>
      <c r="E269" s="183" t="str">
        <f>MID(_xlfn.TEXTJOIN(" ",TRUE,'Deelnemer 13 vtg'!$D$6,$B$260),1,12)</f>
        <v>Deelnemer 13</v>
      </c>
      <c r="F269" s="276">
        <f>'Deelnemer 13 vtg'!$C$7</f>
        <v>0</v>
      </c>
      <c r="G269" s="183" t="str">
        <f>'Deelnemer 13 vtg'!B28</f>
        <v xml:space="preserve"> - </v>
      </c>
      <c r="H269" s="186" t="str">
        <f>VLOOKUP(G269,'Categorie H2 Vtg.'!$B$4:$D$20,3,0)</f>
        <v>-</v>
      </c>
      <c r="I269" s="187">
        <f>'Deelnemer 13 vtg'!E28</f>
        <v>0</v>
      </c>
      <c r="J269" s="180">
        <f>'Deelnemer 13 vtg'!V28</f>
        <v>0</v>
      </c>
      <c r="K269" s="184">
        <f>'Deelnemer 13 vtg'!Z28</f>
        <v>0</v>
      </c>
      <c r="L269" s="184">
        <f>'Deelnemer 13 vtg'!AE28</f>
        <v>0</v>
      </c>
      <c r="M269" s="188">
        <f t="shared" si="26"/>
        <v>0</v>
      </c>
      <c r="N269" s="188">
        <f t="shared" si="27"/>
        <v>0</v>
      </c>
      <c r="O269" s="184">
        <f>'Deelnemer 13 vtg'!AG28</f>
        <v>0</v>
      </c>
      <c r="P269" s="184">
        <f>'Deelnemer 13 vtg'!AJ28</f>
        <v>0</v>
      </c>
      <c r="Q269" s="184">
        <f>'Deelnemer 13 vtg'!AK28</f>
        <v>0</v>
      </c>
    </row>
    <row r="270" spans="2:18" ht="16.5" hidden="1" customHeight="1" x14ac:dyDescent="0.3">
      <c r="B270" s="639"/>
      <c r="C270" s="161">
        <v>11</v>
      </c>
      <c r="D270" s="180" t="str">
        <f>'Deelnemer 13 vtg'!A29</f>
        <v/>
      </c>
      <c r="E270" s="183" t="str">
        <f>MID(_xlfn.TEXTJOIN(" ",TRUE,'Deelnemer 13 vtg'!$D$6,$B$260),1,12)</f>
        <v>Deelnemer 13</v>
      </c>
      <c r="F270" s="276">
        <f>'Deelnemer 13 vtg'!$C$7</f>
        <v>0</v>
      </c>
      <c r="G270" s="183" t="str">
        <f>'Deelnemer 13 vtg'!B29</f>
        <v xml:space="preserve"> - </v>
      </c>
      <c r="H270" s="186" t="str">
        <f>VLOOKUP(G270,'Categorie H2 Vtg.'!$B$4:$D$20,3,0)</f>
        <v>-</v>
      </c>
      <c r="I270" s="187">
        <f>'Deelnemer 13 vtg'!E29</f>
        <v>0</v>
      </c>
      <c r="J270" s="180">
        <f>'Deelnemer 13 vtg'!V29</f>
        <v>0</v>
      </c>
      <c r="K270" s="184">
        <f>'Deelnemer 13 vtg'!Z29</f>
        <v>0</v>
      </c>
      <c r="L270" s="184">
        <f>'Deelnemer 13 vtg'!AE29</f>
        <v>0</v>
      </c>
      <c r="M270" s="188">
        <f t="shared" si="26"/>
        <v>0</v>
      </c>
      <c r="N270" s="188">
        <f t="shared" si="27"/>
        <v>0</v>
      </c>
      <c r="O270" s="184">
        <f>'Deelnemer 13 vtg'!AG29</f>
        <v>0</v>
      </c>
      <c r="P270" s="184">
        <f>'Deelnemer 13 vtg'!AJ29</f>
        <v>0</v>
      </c>
      <c r="Q270" s="184">
        <f>'Deelnemer 13 vtg'!AK29</f>
        <v>0</v>
      </c>
    </row>
    <row r="271" spans="2:18" ht="16.5" hidden="1" customHeight="1" x14ac:dyDescent="0.3">
      <c r="B271" s="639"/>
      <c r="C271" s="161">
        <v>12</v>
      </c>
      <c r="D271" s="180" t="str">
        <f>'Deelnemer 13 vtg'!A30</f>
        <v/>
      </c>
      <c r="E271" s="183" t="str">
        <f>MID(_xlfn.TEXTJOIN(" ",TRUE,'Deelnemer 13 vtg'!$D$6,$B$260),1,12)</f>
        <v>Deelnemer 13</v>
      </c>
      <c r="F271" s="276">
        <f>'Deelnemer 13 vtg'!$C$7</f>
        <v>0</v>
      </c>
      <c r="G271" s="183" t="str">
        <f>'Deelnemer 13 vtg'!B30</f>
        <v xml:space="preserve"> - </v>
      </c>
      <c r="H271" s="186" t="str">
        <f>VLOOKUP(G271,'Categorie H2 Vtg.'!$B$4:$D$20,3,0)</f>
        <v>-</v>
      </c>
      <c r="I271" s="187">
        <f>'Deelnemer 13 vtg'!E30</f>
        <v>0</v>
      </c>
      <c r="J271" s="180">
        <f>'Deelnemer 13 vtg'!V30</f>
        <v>0</v>
      </c>
      <c r="K271" s="184">
        <f>'Deelnemer 13 vtg'!Z30</f>
        <v>0</v>
      </c>
      <c r="L271" s="184">
        <f>'Deelnemer 13 vtg'!AE30</f>
        <v>0</v>
      </c>
      <c r="M271" s="188">
        <f t="shared" si="26"/>
        <v>0</v>
      </c>
      <c r="N271" s="188">
        <f t="shared" si="27"/>
        <v>0</v>
      </c>
      <c r="O271" s="184">
        <f>'Deelnemer 13 vtg'!AG30</f>
        <v>0</v>
      </c>
      <c r="P271" s="184">
        <f>'Deelnemer 13 vtg'!AJ30</f>
        <v>0</v>
      </c>
      <c r="Q271" s="184">
        <f>'Deelnemer 13 vtg'!AK30</f>
        <v>0</v>
      </c>
    </row>
    <row r="272" spans="2:18" ht="16.5" hidden="1" customHeight="1" x14ac:dyDescent="0.3">
      <c r="B272" s="639"/>
      <c r="C272" s="161">
        <v>13</v>
      </c>
      <c r="D272" s="180" t="str">
        <f>'Deelnemer 13 vtg'!A31</f>
        <v/>
      </c>
      <c r="E272" s="183" t="str">
        <f>MID(_xlfn.TEXTJOIN(" ",TRUE,'Deelnemer 13 vtg'!$D$6,$B$260),1,12)</f>
        <v>Deelnemer 13</v>
      </c>
      <c r="F272" s="276">
        <f>'Deelnemer 13 vtg'!$C$7</f>
        <v>0</v>
      </c>
      <c r="G272" s="183" t="str">
        <f>'Deelnemer 13 vtg'!B31</f>
        <v xml:space="preserve"> - </v>
      </c>
      <c r="H272" s="186" t="str">
        <f>VLOOKUP(G272,'Categorie H2 Vtg.'!$B$4:$D$20,3,0)</f>
        <v>-</v>
      </c>
      <c r="I272" s="187">
        <f>'Deelnemer 13 vtg'!E31</f>
        <v>0</v>
      </c>
      <c r="J272" s="180">
        <f>'Deelnemer 13 vtg'!V31</f>
        <v>0</v>
      </c>
      <c r="K272" s="184">
        <f>'Deelnemer 13 vtg'!Z31</f>
        <v>0</v>
      </c>
      <c r="L272" s="184">
        <f>'Deelnemer 13 vtg'!AE31</f>
        <v>0</v>
      </c>
      <c r="M272" s="188">
        <f t="shared" si="26"/>
        <v>0</v>
      </c>
      <c r="N272" s="188">
        <f t="shared" si="27"/>
        <v>0</v>
      </c>
      <c r="O272" s="184">
        <f>'Deelnemer 13 vtg'!AG31</f>
        <v>0</v>
      </c>
      <c r="P272" s="184">
        <f>'Deelnemer 13 vtg'!AJ31</f>
        <v>0</v>
      </c>
      <c r="Q272" s="184">
        <f>'Deelnemer 13 vtg'!AK31</f>
        <v>0</v>
      </c>
    </row>
    <row r="273" spans="2:18" ht="16.5" hidden="1" customHeight="1" x14ac:dyDescent="0.3">
      <c r="B273" s="639"/>
      <c r="C273" s="161">
        <v>14</v>
      </c>
      <c r="D273" s="180" t="str">
        <f>'Deelnemer 13 vtg'!A32</f>
        <v/>
      </c>
      <c r="E273" s="183" t="str">
        <f>MID(_xlfn.TEXTJOIN(" ",TRUE,'Deelnemer 13 vtg'!$D$6,$B$260),1,12)</f>
        <v>Deelnemer 13</v>
      </c>
      <c r="F273" s="276">
        <f>'Deelnemer 13 vtg'!$C$7</f>
        <v>0</v>
      </c>
      <c r="G273" s="183" t="str">
        <f>'Deelnemer 13 vtg'!B32</f>
        <v xml:space="preserve"> - </v>
      </c>
      <c r="H273" s="186" t="str">
        <f>VLOOKUP(G273,'Categorie H2 Vtg.'!$B$4:$D$20,3,0)</f>
        <v>-</v>
      </c>
      <c r="I273" s="187">
        <f>'Deelnemer 13 vtg'!E32</f>
        <v>0</v>
      </c>
      <c r="J273" s="180">
        <f>'Deelnemer 13 vtg'!V32</f>
        <v>0</v>
      </c>
      <c r="K273" s="184">
        <f>'Deelnemer 13 vtg'!Z32</f>
        <v>0</v>
      </c>
      <c r="L273" s="184">
        <f>'Deelnemer 13 vtg'!AE32</f>
        <v>0</v>
      </c>
      <c r="M273" s="188">
        <f t="shared" si="26"/>
        <v>0</v>
      </c>
      <c r="N273" s="188">
        <f t="shared" si="27"/>
        <v>0</v>
      </c>
      <c r="O273" s="184">
        <f>'Deelnemer 13 vtg'!AG32</f>
        <v>0</v>
      </c>
      <c r="P273" s="184">
        <f>'Deelnemer 13 vtg'!AJ32</f>
        <v>0</v>
      </c>
      <c r="Q273" s="184">
        <f>'Deelnemer 13 vtg'!AK32</f>
        <v>0</v>
      </c>
    </row>
    <row r="274" spans="2:18" ht="16.5" hidden="1" customHeight="1" x14ac:dyDescent="0.3">
      <c r="B274" s="639"/>
      <c r="C274" s="161">
        <v>15</v>
      </c>
      <c r="D274" s="180" t="str">
        <f>'Deelnemer 13 vtg'!A33</f>
        <v/>
      </c>
      <c r="E274" s="183" t="str">
        <f>MID(_xlfn.TEXTJOIN(" ",TRUE,'Deelnemer 13 vtg'!$D$6,$B$260),1,12)</f>
        <v>Deelnemer 13</v>
      </c>
      <c r="F274" s="276">
        <f>'Deelnemer 13 vtg'!$C$7</f>
        <v>0</v>
      </c>
      <c r="G274" s="183" t="str">
        <f>'Deelnemer 13 vtg'!B33</f>
        <v xml:space="preserve"> - </v>
      </c>
      <c r="H274" s="186" t="str">
        <f>VLOOKUP(G274,'Categorie H2 Vtg.'!$B$4:$D$20,3,0)</f>
        <v>-</v>
      </c>
      <c r="I274" s="187">
        <f>'Deelnemer 13 vtg'!E33</f>
        <v>0</v>
      </c>
      <c r="J274" s="180">
        <f>'Deelnemer 13 vtg'!V33</f>
        <v>0</v>
      </c>
      <c r="K274" s="184">
        <f>'Deelnemer 13 vtg'!Z33</f>
        <v>0</v>
      </c>
      <c r="L274" s="184">
        <f>'Deelnemer 13 vtg'!AE33</f>
        <v>0</v>
      </c>
      <c r="M274" s="188">
        <f t="shared" si="26"/>
        <v>0</v>
      </c>
      <c r="N274" s="188">
        <f t="shared" si="27"/>
        <v>0</v>
      </c>
      <c r="O274" s="184">
        <f>'Deelnemer 13 vtg'!AG33</f>
        <v>0</v>
      </c>
      <c r="P274" s="184">
        <f>'Deelnemer 13 vtg'!AJ33</f>
        <v>0</v>
      </c>
      <c r="Q274" s="184">
        <f>'Deelnemer 13 vtg'!AK33</f>
        <v>0</v>
      </c>
    </row>
    <row r="275" spans="2:18" s="181" customFormat="1" ht="16.5" hidden="1" customHeight="1" x14ac:dyDescent="0.3">
      <c r="B275" s="639">
        <f t="shared" si="25"/>
        <v>14</v>
      </c>
      <c r="C275" s="189">
        <v>1</v>
      </c>
      <c r="D275" s="180" t="str">
        <f>'Deelnemer 14 vtg'!A19</f>
        <v/>
      </c>
      <c r="E275" s="183" t="str">
        <f>MID(_xlfn.TEXTJOIN(" ",TRUE,'Deelnemer 14 vtg'!$D$6,$B$275),1,12)</f>
        <v>Deelnemer 14</v>
      </c>
      <c r="F275" s="276">
        <f>'Deelnemer 14 vtg'!$C$7</f>
        <v>0</v>
      </c>
      <c r="G275" s="183" t="str">
        <f>'Deelnemer 14 vtg'!B19</f>
        <v xml:space="preserve"> - </v>
      </c>
      <c r="H275" s="183" t="str">
        <f>VLOOKUP(G275,'Categorie H2 Vtg.'!$B$4:$D$20,3,0)</f>
        <v>-</v>
      </c>
      <c r="I275" s="187">
        <f>'Deelnemer 14 vtg'!E19</f>
        <v>0</v>
      </c>
      <c r="J275" s="180">
        <f>'Deelnemer 14 vtg'!V19</f>
        <v>0</v>
      </c>
      <c r="K275" s="184">
        <f>'Deelnemer 14 vtg'!Z19</f>
        <v>0</v>
      </c>
      <c r="L275" s="184">
        <f>'Deelnemer 14 vtg'!AE19</f>
        <v>0</v>
      </c>
      <c r="M275" s="184">
        <f>K275*J275</f>
        <v>0</v>
      </c>
      <c r="N275" s="184">
        <f>L275*J275</f>
        <v>0</v>
      </c>
      <c r="O275" s="184">
        <f>'Deelnemer 14 vtg'!AG19</f>
        <v>0</v>
      </c>
      <c r="P275" s="184">
        <f>'Deelnemer 14 vtg'!AJ19</f>
        <v>0</v>
      </c>
      <c r="Q275" s="184">
        <f>'Deelnemer 14 vtg'!AK19</f>
        <v>0</v>
      </c>
      <c r="R275" s="161"/>
    </row>
    <row r="276" spans="2:18" ht="16.5" hidden="1" customHeight="1" x14ac:dyDescent="0.3">
      <c r="B276" s="639"/>
      <c r="C276" s="161">
        <v>2</v>
      </c>
      <c r="D276" s="180" t="str">
        <f>'Deelnemer 14 vtg'!A20</f>
        <v/>
      </c>
      <c r="E276" s="183" t="str">
        <f>MID(_xlfn.TEXTJOIN(" ",TRUE,'Deelnemer 14 vtg'!$D$6,$B$275),1,12)</f>
        <v>Deelnemer 14</v>
      </c>
      <c r="F276" s="276">
        <f>'Deelnemer 14 vtg'!$C$7</f>
        <v>0</v>
      </c>
      <c r="G276" s="183" t="str">
        <f>'Deelnemer 14 vtg'!B20</f>
        <v xml:space="preserve"> - </v>
      </c>
      <c r="H276" s="186" t="str">
        <f>VLOOKUP(G276,'Categorie H2 Vtg.'!$B$4:$D$20,3,0)</f>
        <v>-</v>
      </c>
      <c r="I276" s="187">
        <f>'Deelnemer 14 vtg'!E20</f>
        <v>0</v>
      </c>
      <c r="J276" s="180">
        <f>'Deelnemer 14 vtg'!V20</f>
        <v>0</v>
      </c>
      <c r="K276" s="184">
        <f>'Deelnemer 14 vtg'!Z20</f>
        <v>0</v>
      </c>
      <c r="L276" s="184">
        <f>'Deelnemer 14 vtg'!AE20</f>
        <v>0</v>
      </c>
      <c r="M276" s="188">
        <f t="shared" ref="M276:M289" si="28">K276*J276</f>
        <v>0</v>
      </c>
      <c r="N276" s="188">
        <f t="shared" ref="N276:N289" si="29">L276*J276</f>
        <v>0</v>
      </c>
      <c r="O276" s="184">
        <f>'Deelnemer 14 vtg'!AG20</f>
        <v>0</v>
      </c>
      <c r="P276" s="184">
        <f>'Deelnemer 14 vtg'!AJ20</f>
        <v>0</v>
      </c>
      <c r="Q276" s="184">
        <f>'Deelnemer 14 vtg'!AK20</f>
        <v>0</v>
      </c>
    </row>
    <row r="277" spans="2:18" ht="16.5" hidden="1" customHeight="1" x14ac:dyDescent="0.3">
      <c r="B277" s="639"/>
      <c r="C277" s="161">
        <v>3</v>
      </c>
      <c r="D277" s="180" t="str">
        <f>'Deelnemer 14 vtg'!A21</f>
        <v/>
      </c>
      <c r="E277" s="183" t="str">
        <f>MID(_xlfn.TEXTJOIN(" ",TRUE,'Deelnemer 14 vtg'!$D$6,$B$275),1,12)</f>
        <v>Deelnemer 14</v>
      </c>
      <c r="F277" s="276">
        <f>'Deelnemer 14 vtg'!$C$7</f>
        <v>0</v>
      </c>
      <c r="G277" s="183" t="str">
        <f>'Deelnemer 14 vtg'!B21</f>
        <v xml:space="preserve"> - </v>
      </c>
      <c r="H277" s="186" t="str">
        <f>VLOOKUP(G277,'Categorie H2 Vtg.'!$B$4:$D$20,3,0)</f>
        <v>-</v>
      </c>
      <c r="I277" s="187">
        <f>'Deelnemer 14 vtg'!E21</f>
        <v>0</v>
      </c>
      <c r="J277" s="180">
        <f>'Deelnemer 14 vtg'!V21</f>
        <v>0</v>
      </c>
      <c r="K277" s="184">
        <f>'Deelnemer 14 vtg'!Z21</f>
        <v>0</v>
      </c>
      <c r="L277" s="184">
        <f>'Deelnemer 14 vtg'!AE21</f>
        <v>0</v>
      </c>
      <c r="M277" s="188">
        <f t="shared" si="28"/>
        <v>0</v>
      </c>
      <c r="N277" s="188">
        <f t="shared" si="29"/>
        <v>0</v>
      </c>
      <c r="O277" s="184">
        <f>'Deelnemer 14 vtg'!AG21</f>
        <v>0</v>
      </c>
      <c r="P277" s="184">
        <f>'Deelnemer 14 vtg'!AJ21</f>
        <v>0</v>
      </c>
      <c r="Q277" s="184">
        <f>'Deelnemer 14 vtg'!AK21</f>
        <v>0</v>
      </c>
    </row>
    <row r="278" spans="2:18" ht="16.5" hidden="1" customHeight="1" x14ac:dyDescent="0.3">
      <c r="B278" s="639"/>
      <c r="C278" s="161">
        <v>4</v>
      </c>
      <c r="D278" s="180" t="str">
        <f>'Deelnemer 14 vtg'!A22</f>
        <v/>
      </c>
      <c r="E278" s="183" t="str">
        <f>MID(_xlfn.TEXTJOIN(" ",TRUE,'Deelnemer 14 vtg'!$D$6,$B$275),1,12)</f>
        <v>Deelnemer 14</v>
      </c>
      <c r="F278" s="276">
        <f>'Deelnemer 14 vtg'!$C$7</f>
        <v>0</v>
      </c>
      <c r="G278" s="183" t="str">
        <f>'Deelnemer 14 vtg'!B22</f>
        <v xml:space="preserve"> - </v>
      </c>
      <c r="H278" s="186" t="str">
        <f>VLOOKUP(G278,'Categorie H2 Vtg.'!$B$4:$D$20,3,0)</f>
        <v>-</v>
      </c>
      <c r="I278" s="187">
        <f>'Deelnemer 14 vtg'!E22</f>
        <v>0</v>
      </c>
      <c r="J278" s="180">
        <f>'Deelnemer 14 vtg'!V22</f>
        <v>0</v>
      </c>
      <c r="K278" s="184">
        <f>'Deelnemer 14 vtg'!Z22</f>
        <v>0</v>
      </c>
      <c r="L278" s="184">
        <f>'Deelnemer 14 vtg'!AE22</f>
        <v>0</v>
      </c>
      <c r="M278" s="188">
        <f t="shared" si="28"/>
        <v>0</v>
      </c>
      <c r="N278" s="188">
        <f t="shared" si="29"/>
        <v>0</v>
      </c>
      <c r="O278" s="184">
        <f>'Deelnemer 14 vtg'!AG22</f>
        <v>0</v>
      </c>
      <c r="P278" s="184">
        <f>'Deelnemer 14 vtg'!AJ22</f>
        <v>0</v>
      </c>
      <c r="Q278" s="184">
        <f>'Deelnemer 14 vtg'!AK22</f>
        <v>0</v>
      </c>
    </row>
    <row r="279" spans="2:18" ht="16.5" hidden="1" customHeight="1" x14ac:dyDescent="0.3">
      <c r="B279" s="639"/>
      <c r="C279" s="161">
        <v>5</v>
      </c>
      <c r="D279" s="180" t="str">
        <f>'Deelnemer 14 vtg'!A23</f>
        <v/>
      </c>
      <c r="E279" s="183" t="str">
        <f>MID(_xlfn.TEXTJOIN(" ",TRUE,'Deelnemer 14 vtg'!$D$6,$B$275),1,12)</f>
        <v>Deelnemer 14</v>
      </c>
      <c r="F279" s="276">
        <f>'Deelnemer 14 vtg'!$C$7</f>
        <v>0</v>
      </c>
      <c r="G279" s="183" t="str">
        <f>'Deelnemer 14 vtg'!B23</f>
        <v xml:space="preserve"> - </v>
      </c>
      <c r="H279" s="186" t="str">
        <f>VLOOKUP(G279,'Categorie H2 Vtg.'!$B$4:$D$20,3,0)</f>
        <v>-</v>
      </c>
      <c r="I279" s="187">
        <f>'Deelnemer 14 vtg'!E23</f>
        <v>0</v>
      </c>
      <c r="J279" s="180">
        <f>'Deelnemer 14 vtg'!V23</f>
        <v>0</v>
      </c>
      <c r="K279" s="184">
        <f>'Deelnemer 14 vtg'!Z23</f>
        <v>0</v>
      </c>
      <c r="L279" s="184">
        <f>'Deelnemer 14 vtg'!AE23</f>
        <v>0</v>
      </c>
      <c r="M279" s="188">
        <f t="shared" si="28"/>
        <v>0</v>
      </c>
      <c r="N279" s="188">
        <f t="shared" si="29"/>
        <v>0</v>
      </c>
      <c r="O279" s="184">
        <f>'Deelnemer 14 vtg'!AG23</f>
        <v>0</v>
      </c>
      <c r="P279" s="184">
        <f>'Deelnemer 14 vtg'!AJ23</f>
        <v>0</v>
      </c>
      <c r="Q279" s="184">
        <f>'Deelnemer 14 vtg'!AK23</f>
        <v>0</v>
      </c>
    </row>
    <row r="280" spans="2:18" ht="16.5" hidden="1" customHeight="1" x14ac:dyDescent="0.3">
      <c r="B280" s="639"/>
      <c r="C280" s="161">
        <v>6</v>
      </c>
      <c r="D280" s="180" t="str">
        <f>'Deelnemer 14 vtg'!A24</f>
        <v/>
      </c>
      <c r="E280" s="183" t="str">
        <f>MID(_xlfn.TEXTJOIN(" ",TRUE,'Deelnemer 14 vtg'!$D$6,$B$275),1,12)</f>
        <v>Deelnemer 14</v>
      </c>
      <c r="F280" s="276">
        <f>'Deelnemer 14 vtg'!$C$7</f>
        <v>0</v>
      </c>
      <c r="G280" s="183" t="str">
        <f>'Deelnemer 14 vtg'!B24</f>
        <v xml:space="preserve"> - </v>
      </c>
      <c r="H280" s="186" t="str">
        <f>VLOOKUP(G280,'Categorie H2 Vtg.'!$B$4:$D$20,3,0)</f>
        <v>-</v>
      </c>
      <c r="I280" s="187">
        <f>'Deelnemer 14 vtg'!E24</f>
        <v>0</v>
      </c>
      <c r="J280" s="180">
        <f>'Deelnemer 14 vtg'!V24</f>
        <v>0</v>
      </c>
      <c r="K280" s="184">
        <f>'Deelnemer 14 vtg'!Z24</f>
        <v>0</v>
      </c>
      <c r="L280" s="184">
        <f>'Deelnemer 14 vtg'!AE24</f>
        <v>0</v>
      </c>
      <c r="M280" s="188">
        <f t="shared" si="28"/>
        <v>0</v>
      </c>
      <c r="N280" s="188">
        <f t="shared" si="29"/>
        <v>0</v>
      </c>
      <c r="O280" s="184">
        <f>'Deelnemer 14 vtg'!AG24</f>
        <v>0</v>
      </c>
      <c r="P280" s="184">
        <f>'Deelnemer 14 vtg'!AJ24</f>
        <v>0</v>
      </c>
      <c r="Q280" s="184">
        <f>'Deelnemer 14 vtg'!AK24</f>
        <v>0</v>
      </c>
    </row>
    <row r="281" spans="2:18" ht="16.5" hidden="1" customHeight="1" x14ac:dyDescent="0.3">
      <c r="B281" s="639"/>
      <c r="C281" s="161">
        <v>7</v>
      </c>
      <c r="D281" s="180" t="str">
        <f>'Deelnemer 14 vtg'!A25</f>
        <v/>
      </c>
      <c r="E281" s="183" t="str">
        <f>MID(_xlfn.TEXTJOIN(" ",TRUE,'Deelnemer 14 vtg'!$D$6,$B$275),1,12)</f>
        <v>Deelnemer 14</v>
      </c>
      <c r="F281" s="276">
        <f>'Deelnemer 14 vtg'!$C$7</f>
        <v>0</v>
      </c>
      <c r="G281" s="183" t="str">
        <f>'Deelnemer 14 vtg'!B25</f>
        <v xml:space="preserve"> - </v>
      </c>
      <c r="H281" s="186" t="str">
        <f>VLOOKUP(G281,'Categorie H2 Vtg.'!$B$4:$D$20,3,0)</f>
        <v>-</v>
      </c>
      <c r="I281" s="187">
        <f>'Deelnemer 14 vtg'!E25</f>
        <v>0</v>
      </c>
      <c r="J281" s="180">
        <f>'Deelnemer 14 vtg'!V25</f>
        <v>0</v>
      </c>
      <c r="K281" s="184">
        <f>'Deelnemer 14 vtg'!Z25</f>
        <v>0</v>
      </c>
      <c r="L281" s="184">
        <f>'Deelnemer 14 vtg'!AE25</f>
        <v>0</v>
      </c>
      <c r="M281" s="188">
        <f t="shared" si="28"/>
        <v>0</v>
      </c>
      <c r="N281" s="188">
        <f t="shared" si="29"/>
        <v>0</v>
      </c>
      <c r="O281" s="184">
        <f>'Deelnemer 14 vtg'!AG25</f>
        <v>0</v>
      </c>
      <c r="P281" s="184">
        <f>'Deelnemer 14 vtg'!AJ25</f>
        <v>0</v>
      </c>
      <c r="Q281" s="184">
        <f>'Deelnemer 14 vtg'!AK25</f>
        <v>0</v>
      </c>
    </row>
    <row r="282" spans="2:18" ht="16.5" hidden="1" customHeight="1" x14ac:dyDescent="0.3">
      <c r="B282" s="639"/>
      <c r="C282" s="161">
        <v>8</v>
      </c>
      <c r="D282" s="180" t="str">
        <f>'Deelnemer 14 vtg'!A26</f>
        <v/>
      </c>
      <c r="E282" s="183" t="str">
        <f>MID(_xlfn.TEXTJOIN(" ",TRUE,'Deelnemer 14 vtg'!$D$6,$B$275),1,12)</f>
        <v>Deelnemer 14</v>
      </c>
      <c r="F282" s="276">
        <f>'Deelnemer 14 vtg'!$C$7</f>
        <v>0</v>
      </c>
      <c r="G282" s="183" t="str">
        <f>'Deelnemer 14 vtg'!B26</f>
        <v xml:space="preserve"> - </v>
      </c>
      <c r="H282" s="186" t="str">
        <f>VLOOKUP(G282,'Categorie H2 Vtg.'!$B$4:$D$20,3,0)</f>
        <v>-</v>
      </c>
      <c r="I282" s="187">
        <f>'Deelnemer 14 vtg'!E26</f>
        <v>0</v>
      </c>
      <c r="J282" s="180">
        <f>'Deelnemer 14 vtg'!V26</f>
        <v>0</v>
      </c>
      <c r="K282" s="184">
        <f>'Deelnemer 14 vtg'!Z26</f>
        <v>0</v>
      </c>
      <c r="L282" s="184">
        <f>'Deelnemer 14 vtg'!AE26</f>
        <v>0</v>
      </c>
      <c r="M282" s="188">
        <f t="shared" si="28"/>
        <v>0</v>
      </c>
      <c r="N282" s="188">
        <f t="shared" si="29"/>
        <v>0</v>
      </c>
      <c r="O282" s="184">
        <f>'Deelnemer 14 vtg'!AG26</f>
        <v>0</v>
      </c>
      <c r="P282" s="184">
        <f>'Deelnemer 14 vtg'!AJ26</f>
        <v>0</v>
      </c>
      <c r="Q282" s="184">
        <f>'Deelnemer 14 vtg'!AK26</f>
        <v>0</v>
      </c>
    </row>
    <row r="283" spans="2:18" ht="16.5" hidden="1" customHeight="1" x14ac:dyDescent="0.3">
      <c r="B283" s="639"/>
      <c r="C283" s="161">
        <v>9</v>
      </c>
      <c r="D283" s="180" t="str">
        <f>'Deelnemer 14 vtg'!A27</f>
        <v/>
      </c>
      <c r="E283" s="183" t="str">
        <f>MID(_xlfn.TEXTJOIN(" ",TRUE,'Deelnemer 14 vtg'!$D$6,$B$275),1,12)</f>
        <v>Deelnemer 14</v>
      </c>
      <c r="F283" s="276">
        <f>'Deelnemer 14 vtg'!$C$7</f>
        <v>0</v>
      </c>
      <c r="G283" s="183" t="str">
        <f>'Deelnemer 14 vtg'!B27</f>
        <v xml:space="preserve"> - </v>
      </c>
      <c r="H283" s="186" t="str">
        <f>VLOOKUP(G283,'Categorie H2 Vtg.'!$B$4:$D$20,3,0)</f>
        <v>-</v>
      </c>
      <c r="I283" s="187">
        <f>'Deelnemer 14 vtg'!E27</f>
        <v>0</v>
      </c>
      <c r="J283" s="180">
        <f>'Deelnemer 14 vtg'!V27</f>
        <v>0</v>
      </c>
      <c r="K283" s="184">
        <f>'Deelnemer 14 vtg'!Z27</f>
        <v>0</v>
      </c>
      <c r="L283" s="184">
        <f>'Deelnemer 14 vtg'!AE27</f>
        <v>0</v>
      </c>
      <c r="M283" s="188">
        <f t="shared" si="28"/>
        <v>0</v>
      </c>
      <c r="N283" s="188">
        <f t="shared" si="29"/>
        <v>0</v>
      </c>
      <c r="O283" s="184">
        <f>'Deelnemer 14 vtg'!AG27</f>
        <v>0</v>
      </c>
      <c r="P283" s="184">
        <f>'Deelnemer 14 vtg'!AJ27</f>
        <v>0</v>
      </c>
      <c r="Q283" s="184">
        <f>'Deelnemer 14 vtg'!AK27</f>
        <v>0</v>
      </c>
    </row>
    <row r="284" spans="2:18" ht="16.5" hidden="1" customHeight="1" x14ac:dyDescent="0.3">
      <c r="B284" s="639"/>
      <c r="C284" s="161">
        <v>10</v>
      </c>
      <c r="D284" s="180" t="str">
        <f>'Deelnemer 14 vtg'!A28</f>
        <v/>
      </c>
      <c r="E284" s="183" t="str">
        <f>MID(_xlfn.TEXTJOIN(" ",TRUE,'Deelnemer 14 vtg'!$D$6,$B$275),1,12)</f>
        <v>Deelnemer 14</v>
      </c>
      <c r="F284" s="276">
        <f>'Deelnemer 14 vtg'!$C$7</f>
        <v>0</v>
      </c>
      <c r="G284" s="183" t="str">
        <f>'Deelnemer 14 vtg'!B28</f>
        <v xml:space="preserve"> - </v>
      </c>
      <c r="H284" s="186" t="str">
        <f>VLOOKUP(G284,'Categorie H2 Vtg.'!$B$4:$D$20,3,0)</f>
        <v>-</v>
      </c>
      <c r="I284" s="187">
        <f>'Deelnemer 14 vtg'!E28</f>
        <v>0</v>
      </c>
      <c r="J284" s="180">
        <f>'Deelnemer 14 vtg'!V28</f>
        <v>0</v>
      </c>
      <c r="K284" s="184">
        <f>'Deelnemer 14 vtg'!Z28</f>
        <v>0</v>
      </c>
      <c r="L284" s="184">
        <f>'Deelnemer 14 vtg'!AE28</f>
        <v>0</v>
      </c>
      <c r="M284" s="188">
        <f t="shared" si="28"/>
        <v>0</v>
      </c>
      <c r="N284" s="188">
        <f t="shared" si="29"/>
        <v>0</v>
      </c>
      <c r="O284" s="184">
        <f>'Deelnemer 14 vtg'!AG28</f>
        <v>0</v>
      </c>
      <c r="P284" s="184">
        <f>'Deelnemer 14 vtg'!AJ28</f>
        <v>0</v>
      </c>
      <c r="Q284" s="184">
        <f>'Deelnemer 14 vtg'!AK28</f>
        <v>0</v>
      </c>
    </row>
    <row r="285" spans="2:18" ht="16.5" hidden="1" customHeight="1" x14ac:dyDescent="0.3">
      <c r="B285" s="639"/>
      <c r="C285" s="161">
        <v>11</v>
      </c>
      <c r="D285" s="180" t="str">
        <f>'Deelnemer 14 vtg'!A29</f>
        <v/>
      </c>
      <c r="E285" s="183" t="str">
        <f>MID(_xlfn.TEXTJOIN(" ",TRUE,'Deelnemer 14 vtg'!$D$6,$B$275),1,12)</f>
        <v>Deelnemer 14</v>
      </c>
      <c r="F285" s="276">
        <f>'Deelnemer 14 vtg'!$C$7</f>
        <v>0</v>
      </c>
      <c r="G285" s="183" t="str">
        <f>'Deelnemer 14 vtg'!B29</f>
        <v xml:space="preserve"> - </v>
      </c>
      <c r="H285" s="186" t="str">
        <f>VLOOKUP(G285,'Categorie H2 Vtg.'!$B$4:$D$20,3,0)</f>
        <v>-</v>
      </c>
      <c r="I285" s="187">
        <f>'Deelnemer 14 vtg'!E29</f>
        <v>0</v>
      </c>
      <c r="J285" s="180">
        <f>'Deelnemer 14 vtg'!V29</f>
        <v>0</v>
      </c>
      <c r="K285" s="184">
        <f>'Deelnemer 14 vtg'!Z29</f>
        <v>0</v>
      </c>
      <c r="L285" s="184">
        <f>'Deelnemer 14 vtg'!AE29</f>
        <v>0</v>
      </c>
      <c r="M285" s="188">
        <f t="shared" si="28"/>
        <v>0</v>
      </c>
      <c r="N285" s="188">
        <f t="shared" si="29"/>
        <v>0</v>
      </c>
      <c r="O285" s="184">
        <f>'Deelnemer 14 vtg'!AG29</f>
        <v>0</v>
      </c>
      <c r="P285" s="184">
        <f>'Deelnemer 14 vtg'!AJ29</f>
        <v>0</v>
      </c>
      <c r="Q285" s="184">
        <f>'Deelnemer 14 vtg'!AK29</f>
        <v>0</v>
      </c>
    </row>
    <row r="286" spans="2:18" ht="16.5" hidden="1" customHeight="1" x14ac:dyDescent="0.3">
      <c r="B286" s="639"/>
      <c r="C286" s="161">
        <v>12</v>
      </c>
      <c r="D286" s="180" t="str">
        <f>'Deelnemer 14 vtg'!A30</f>
        <v/>
      </c>
      <c r="E286" s="183" t="str">
        <f>MID(_xlfn.TEXTJOIN(" ",TRUE,'Deelnemer 14 vtg'!$D$6,$B$275),1,12)</f>
        <v>Deelnemer 14</v>
      </c>
      <c r="F286" s="276">
        <f>'Deelnemer 14 vtg'!$C$7</f>
        <v>0</v>
      </c>
      <c r="G286" s="183" t="str">
        <f>'Deelnemer 14 vtg'!B30</f>
        <v xml:space="preserve"> - </v>
      </c>
      <c r="H286" s="186" t="str">
        <f>VLOOKUP(G286,'Categorie H2 Vtg.'!$B$4:$D$20,3,0)</f>
        <v>-</v>
      </c>
      <c r="I286" s="187">
        <f>'Deelnemer 14 vtg'!E30</f>
        <v>0</v>
      </c>
      <c r="J286" s="180">
        <f>'Deelnemer 14 vtg'!V30</f>
        <v>0</v>
      </c>
      <c r="K286" s="184">
        <f>'Deelnemer 14 vtg'!Z30</f>
        <v>0</v>
      </c>
      <c r="L286" s="184">
        <f>'Deelnemer 14 vtg'!AE30</f>
        <v>0</v>
      </c>
      <c r="M286" s="188">
        <f t="shared" si="28"/>
        <v>0</v>
      </c>
      <c r="N286" s="188">
        <f t="shared" si="29"/>
        <v>0</v>
      </c>
      <c r="O286" s="184">
        <f>'Deelnemer 14 vtg'!AG30</f>
        <v>0</v>
      </c>
      <c r="P286" s="184">
        <f>'Deelnemer 14 vtg'!AJ30</f>
        <v>0</v>
      </c>
      <c r="Q286" s="184">
        <f>'Deelnemer 14 vtg'!AK30</f>
        <v>0</v>
      </c>
    </row>
    <row r="287" spans="2:18" ht="16.5" hidden="1" customHeight="1" x14ac:dyDescent="0.3">
      <c r="B287" s="639"/>
      <c r="C287" s="161">
        <v>13</v>
      </c>
      <c r="D287" s="180" t="str">
        <f>'Deelnemer 14 vtg'!A31</f>
        <v/>
      </c>
      <c r="E287" s="183" t="str">
        <f>MID(_xlfn.TEXTJOIN(" ",TRUE,'Deelnemer 14 vtg'!$D$6,$B$275),1,12)</f>
        <v>Deelnemer 14</v>
      </c>
      <c r="F287" s="276">
        <f>'Deelnemer 14 vtg'!$C$7</f>
        <v>0</v>
      </c>
      <c r="G287" s="183" t="str">
        <f>'Deelnemer 14 vtg'!B31</f>
        <v xml:space="preserve"> - </v>
      </c>
      <c r="H287" s="186" t="str">
        <f>VLOOKUP(G287,'Categorie H2 Vtg.'!$B$4:$D$20,3,0)</f>
        <v>-</v>
      </c>
      <c r="I287" s="187">
        <f>'Deelnemer 14 vtg'!E31</f>
        <v>0</v>
      </c>
      <c r="J287" s="180">
        <f>'Deelnemer 14 vtg'!V31</f>
        <v>0</v>
      </c>
      <c r="K287" s="184">
        <f>'Deelnemer 14 vtg'!Z31</f>
        <v>0</v>
      </c>
      <c r="L287" s="184">
        <f>'Deelnemer 14 vtg'!AE31</f>
        <v>0</v>
      </c>
      <c r="M287" s="188">
        <f t="shared" si="28"/>
        <v>0</v>
      </c>
      <c r="N287" s="188">
        <f t="shared" si="29"/>
        <v>0</v>
      </c>
      <c r="O287" s="184">
        <f>'Deelnemer 14 vtg'!AG31</f>
        <v>0</v>
      </c>
      <c r="P287" s="184">
        <f>'Deelnemer 14 vtg'!AJ31</f>
        <v>0</v>
      </c>
      <c r="Q287" s="184">
        <f>'Deelnemer 14 vtg'!AK31</f>
        <v>0</v>
      </c>
    </row>
    <row r="288" spans="2:18" ht="16.5" hidden="1" customHeight="1" x14ac:dyDescent="0.3">
      <c r="B288" s="639"/>
      <c r="C288" s="161">
        <v>14</v>
      </c>
      <c r="D288" s="180" t="str">
        <f>'Deelnemer 14 vtg'!A32</f>
        <v/>
      </c>
      <c r="E288" s="183" t="str">
        <f>MID(_xlfn.TEXTJOIN(" ",TRUE,'Deelnemer 14 vtg'!$D$6,$B$275),1,12)</f>
        <v>Deelnemer 14</v>
      </c>
      <c r="F288" s="276">
        <f>'Deelnemer 14 vtg'!$C$7</f>
        <v>0</v>
      </c>
      <c r="G288" s="183" t="str">
        <f>'Deelnemer 14 vtg'!B32</f>
        <v xml:space="preserve"> - </v>
      </c>
      <c r="H288" s="186" t="str">
        <f>VLOOKUP(G288,'Categorie H2 Vtg.'!$B$4:$D$20,3,0)</f>
        <v>-</v>
      </c>
      <c r="I288" s="187">
        <f>'Deelnemer 14 vtg'!E32</f>
        <v>0</v>
      </c>
      <c r="J288" s="180">
        <f>'Deelnemer 14 vtg'!V32</f>
        <v>0</v>
      </c>
      <c r="K288" s="184">
        <f>'Deelnemer 14 vtg'!Z32</f>
        <v>0</v>
      </c>
      <c r="L288" s="184">
        <f>'Deelnemer 14 vtg'!AE32</f>
        <v>0</v>
      </c>
      <c r="M288" s="188">
        <f t="shared" si="28"/>
        <v>0</v>
      </c>
      <c r="N288" s="188">
        <f t="shared" si="29"/>
        <v>0</v>
      </c>
      <c r="O288" s="184">
        <f>'Deelnemer 14 vtg'!AG32</f>
        <v>0</v>
      </c>
      <c r="P288" s="184">
        <f>'Deelnemer 14 vtg'!AJ32</f>
        <v>0</v>
      </c>
      <c r="Q288" s="184">
        <f>'Deelnemer 14 vtg'!AK32</f>
        <v>0</v>
      </c>
    </row>
    <row r="289" spans="2:18" ht="16.5" hidden="1" customHeight="1" x14ac:dyDescent="0.3">
      <c r="B289" s="639"/>
      <c r="C289" s="161">
        <v>15</v>
      </c>
      <c r="D289" s="180" t="str">
        <f>'Deelnemer 14 vtg'!A33</f>
        <v/>
      </c>
      <c r="E289" s="183" t="str">
        <f>MID(_xlfn.TEXTJOIN(" ",TRUE,'Deelnemer 14 vtg'!$D$6,$B$275),1,12)</f>
        <v>Deelnemer 14</v>
      </c>
      <c r="F289" s="276">
        <f>'Deelnemer 14 vtg'!$C$7</f>
        <v>0</v>
      </c>
      <c r="G289" s="183" t="str">
        <f>'Deelnemer 14 vtg'!B33</f>
        <v xml:space="preserve"> - </v>
      </c>
      <c r="H289" s="186" t="str">
        <f>VLOOKUP(G289,'Categorie H2 Vtg.'!$B$4:$D$20,3,0)</f>
        <v>-</v>
      </c>
      <c r="I289" s="187">
        <f>'Deelnemer 14 vtg'!E33</f>
        <v>0</v>
      </c>
      <c r="J289" s="180">
        <f>'Deelnemer 14 vtg'!V33</f>
        <v>0</v>
      </c>
      <c r="K289" s="184">
        <f>'Deelnemer 14 vtg'!Z33</f>
        <v>0</v>
      </c>
      <c r="L289" s="184">
        <f>'Deelnemer 14 vtg'!AE33</f>
        <v>0</v>
      </c>
      <c r="M289" s="188">
        <f t="shared" si="28"/>
        <v>0</v>
      </c>
      <c r="N289" s="188">
        <f t="shared" si="29"/>
        <v>0</v>
      </c>
      <c r="O289" s="184">
        <f>'Deelnemer 14 vtg'!AG33</f>
        <v>0</v>
      </c>
      <c r="P289" s="184">
        <f>'Deelnemer 14 vtg'!AJ33</f>
        <v>0</v>
      </c>
      <c r="Q289" s="184">
        <f>'Deelnemer 14 vtg'!AK33</f>
        <v>0</v>
      </c>
    </row>
    <row r="290" spans="2:18" s="181" customFormat="1" ht="16.5" hidden="1" customHeight="1" x14ac:dyDescent="0.3">
      <c r="B290" s="639">
        <f t="shared" si="25"/>
        <v>15</v>
      </c>
      <c r="C290" s="189">
        <v>1</v>
      </c>
      <c r="D290" s="182" t="str">
        <f>'Deelnemer 15 vtg'!A19</f>
        <v/>
      </c>
      <c r="E290" s="183" t="str">
        <f>MID(_xlfn.TEXTJOIN(" ",TRUE,'Deelnemer 15 vtg'!$D$6,$B$290),1,12)</f>
        <v>Deelnemer 15</v>
      </c>
      <c r="F290" s="276">
        <f>'Deelnemer 15 vtg'!$C$7</f>
        <v>0</v>
      </c>
      <c r="G290" s="183" t="str">
        <f>'Deelnemer 15 vtg'!B19</f>
        <v xml:space="preserve"> - </v>
      </c>
      <c r="H290" s="183" t="str">
        <f>VLOOKUP(G290,'Categorie H2 Vtg.'!$B$4:$D$20,3,0)</f>
        <v>-</v>
      </c>
      <c r="I290" s="187">
        <f>'Deelnemer 15 vtg'!E19</f>
        <v>0</v>
      </c>
      <c r="J290" s="180">
        <f>'Deelnemer 15 vtg'!V19</f>
        <v>0</v>
      </c>
      <c r="K290" s="184">
        <f>'Deelnemer 15 vtg'!Z19</f>
        <v>0</v>
      </c>
      <c r="L290" s="184">
        <f>'Deelnemer 15 vtg'!AE19</f>
        <v>0</v>
      </c>
      <c r="M290" s="184">
        <f>K290*J290</f>
        <v>0</v>
      </c>
      <c r="N290" s="184">
        <f>L290*J290</f>
        <v>0</v>
      </c>
      <c r="O290" s="184">
        <f>'Deelnemer 15 vtg'!AG19</f>
        <v>0</v>
      </c>
      <c r="P290" s="184">
        <f>'Deelnemer 15 vtg'!AJ19</f>
        <v>0</v>
      </c>
      <c r="Q290" s="184">
        <f>'Deelnemer 15 vtg'!AK19</f>
        <v>0</v>
      </c>
      <c r="R290" s="161"/>
    </row>
    <row r="291" spans="2:18" ht="16.5" hidden="1" customHeight="1" x14ac:dyDescent="0.3">
      <c r="B291" s="639"/>
      <c r="C291" s="161">
        <v>2</v>
      </c>
      <c r="D291" s="182" t="str">
        <f>'Deelnemer 15 vtg'!A20</f>
        <v/>
      </c>
      <c r="E291" s="183" t="str">
        <f>MID(_xlfn.TEXTJOIN(" ",TRUE,'Deelnemer 15 vtg'!$D$6,$B$290),1,12)</f>
        <v>Deelnemer 15</v>
      </c>
      <c r="F291" s="276">
        <f>'Deelnemer 15 vtg'!$C$7</f>
        <v>0</v>
      </c>
      <c r="G291" s="183" t="str">
        <f>'Deelnemer 15 vtg'!B20</f>
        <v xml:space="preserve"> - </v>
      </c>
      <c r="H291" s="186" t="str">
        <f>VLOOKUP(G291,'Categorie H2 Vtg.'!$B$4:$D$20,3,0)</f>
        <v>-</v>
      </c>
      <c r="I291" s="187">
        <f>'Deelnemer 15 vtg'!E20</f>
        <v>0</v>
      </c>
      <c r="J291" s="180">
        <f>'Deelnemer 15 vtg'!V20</f>
        <v>0</v>
      </c>
      <c r="K291" s="184">
        <f>'Deelnemer 15 vtg'!Z20</f>
        <v>0</v>
      </c>
      <c r="L291" s="184">
        <f>'Deelnemer 15 vtg'!AE20</f>
        <v>0</v>
      </c>
      <c r="M291" s="188">
        <f t="shared" ref="M291:M304" si="30">K291*J291</f>
        <v>0</v>
      </c>
      <c r="N291" s="188">
        <f t="shared" ref="N291:N304" si="31">L291*J291</f>
        <v>0</v>
      </c>
      <c r="O291" s="184">
        <f>'Deelnemer 15 vtg'!AG20</f>
        <v>0</v>
      </c>
      <c r="P291" s="184">
        <f>'Deelnemer 15 vtg'!AJ20</f>
        <v>0</v>
      </c>
      <c r="Q291" s="184">
        <f>'Deelnemer 15 vtg'!AK20</f>
        <v>0</v>
      </c>
    </row>
    <row r="292" spans="2:18" ht="16.5" hidden="1" customHeight="1" x14ac:dyDescent="0.3">
      <c r="B292" s="639"/>
      <c r="C292" s="161">
        <v>3</v>
      </c>
      <c r="D292" s="182" t="str">
        <f>'Deelnemer 15 vtg'!A21</f>
        <v/>
      </c>
      <c r="E292" s="183" t="str">
        <f>MID(_xlfn.TEXTJOIN(" ",TRUE,'Deelnemer 15 vtg'!$D$6,$B$290),1,12)</f>
        <v>Deelnemer 15</v>
      </c>
      <c r="F292" s="276">
        <f>'Deelnemer 15 vtg'!$C$7</f>
        <v>0</v>
      </c>
      <c r="G292" s="183" t="str">
        <f>'Deelnemer 15 vtg'!B21</f>
        <v xml:space="preserve"> - </v>
      </c>
      <c r="H292" s="186" t="str">
        <f>VLOOKUP(G292,'Categorie H2 Vtg.'!$B$4:$D$20,3,0)</f>
        <v>-</v>
      </c>
      <c r="I292" s="187">
        <f>'Deelnemer 15 vtg'!E21</f>
        <v>0</v>
      </c>
      <c r="J292" s="180">
        <f>'Deelnemer 15 vtg'!V21</f>
        <v>0</v>
      </c>
      <c r="K292" s="184">
        <f>'Deelnemer 15 vtg'!Z21</f>
        <v>0</v>
      </c>
      <c r="L292" s="184">
        <f>'Deelnemer 15 vtg'!AE21</f>
        <v>0</v>
      </c>
      <c r="M292" s="188">
        <f t="shared" si="30"/>
        <v>0</v>
      </c>
      <c r="N292" s="188">
        <f t="shared" si="31"/>
        <v>0</v>
      </c>
      <c r="O292" s="184">
        <f>'Deelnemer 15 vtg'!AG21</f>
        <v>0</v>
      </c>
      <c r="P292" s="184">
        <f>'Deelnemer 15 vtg'!AJ21</f>
        <v>0</v>
      </c>
      <c r="Q292" s="184">
        <f>'Deelnemer 15 vtg'!AK21</f>
        <v>0</v>
      </c>
    </row>
    <row r="293" spans="2:18" ht="16.5" hidden="1" customHeight="1" x14ac:dyDescent="0.3">
      <c r="B293" s="639"/>
      <c r="C293" s="161">
        <v>4</v>
      </c>
      <c r="D293" s="182" t="str">
        <f>'Deelnemer 15 vtg'!A22</f>
        <v/>
      </c>
      <c r="E293" s="183" t="str">
        <f>MID(_xlfn.TEXTJOIN(" ",TRUE,'Deelnemer 15 vtg'!$D$6,$B$290),1,12)</f>
        <v>Deelnemer 15</v>
      </c>
      <c r="F293" s="276">
        <f>'Deelnemer 15 vtg'!$C$7</f>
        <v>0</v>
      </c>
      <c r="G293" s="183" t="str">
        <f>'Deelnemer 15 vtg'!B22</f>
        <v xml:space="preserve"> - </v>
      </c>
      <c r="H293" s="186" t="str">
        <f>VLOOKUP(G293,'Categorie H2 Vtg.'!$B$4:$D$20,3,0)</f>
        <v>-</v>
      </c>
      <c r="I293" s="187">
        <f>'Deelnemer 15 vtg'!E22</f>
        <v>0</v>
      </c>
      <c r="J293" s="180">
        <f>'Deelnemer 15 vtg'!V22</f>
        <v>0</v>
      </c>
      <c r="K293" s="184">
        <f>'Deelnemer 15 vtg'!Z22</f>
        <v>0</v>
      </c>
      <c r="L293" s="184">
        <f>'Deelnemer 15 vtg'!AE22</f>
        <v>0</v>
      </c>
      <c r="M293" s="188">
        <f t="shared" si="30"/>
        <v>0</v>
      </c>
      <c r="N293" s="188">
        <f t="shared" si="31"/>
        <v>0</v>
      </c>
      <c r="O293" s="184">
        <f>'Deelnemer 15 vtg'!AG22</f>
        <v>0</v>
      </c>
      <c r="P293" s="184">
        <f>'Deelnemer 15 vtg'!AJ22</f>
        <v>0</v>
      </c>
      <c r="Q293" s="184">
        <f>'Deelnemer 15 vtg'!AK22</f>
        <v>0</v>
      </c>
    </row>
    <row r="294" spans="2:18" ht="16.5" hidden="1" customHeight="1" x14ac:dyDescent="0.3">
      <c r="B294" s="639"/>
      <c r="C294" s="161">
        <v>5</v>
      </c>
      <c r="D294" s="182" t="str">
        <f>'Deelnemer 15 vtg'!A23</f>
        <v/>
      </c>
      <c r="E294" s="183" t="str">
        <f>MID(_xlfn.TEXTJOIN(" ",TRUE,'Deelnemer 15 vtg'!$D$6,$B$290),1,12)</f>
        <v>Deelnemer 15</v>
      </c>
      <c r="F294" s="276">
        <f>'Deelnemer 15 vtg'!$C$7</f>
        <v>0</v>
      </c>
      <c r="G294" s="183" t="str">
        <f>'Deelnemer 15 vtg'!B23</f>
        <v xml:space="preserve"> - </v>
      </c>
      <c r="H294" s="186" t="str">
        <f>VLOOKUP(G294,'Categorie H2 Vtg.'!$B$4:$D$20,3,0)</f>
        <v>-</v>
      </c>
      <c r="I294" s="187">
        <f>'Deelnemer 15 vtg'!E23</f>
        <v>0</v>
      </c>
      <c r="J294" s="180">
        <f>'Deelnemer 15 vtg'!V23</f>
        <v>0</v>
      </c>
      <c r="K294" s="184">
        <f>'Deelnemer 15 vtg'!Z23</f>
        <v>0</v>
      </c>
      <c r="L294" s="184">
        <f>'Deelnemer 15 vtg'!AE23</f>
        <v>0</v>
      </c>
      <c r="M294" s="188">
        <f t="shared" si="30"/>
        <v>0</v>
      </c>
      <c r="N294" s="188">
        <f t="shared" si="31"/>
        <v>0</v>
      </c>
      <c r="O294" s="184">
        <f>'Deelnemer 15 vtg'!AG23</f>
        <v>0</v>
      </c>
      <c r="P294" s="184">
        <f>'Deelnemer 15 vtg'!AJ23</f>
        <v>0</v>
      </c>
      <c r="Q294" s="184">
        <f>'Deelnemer 15 vtg'!AK23</f>
        <v>0</v>
      </c>
    </row>
    <row r="295" spans="2:18" ht="16.5" hidden="1" customHeight="1" x14ac:dyDescent="0.3">
      <c r="B295" s="639"/>
      <c r="C295" s="161">
        <v>6</v>
      </c>
      <c r="D295" s="182" t="str">
        <f>'Deelnemer 15 vtg'!A24</f>
        <v/>
      </c>
      <c r="E295" s="183" t="str">
        <f>MID(_xlfn.TEXTJOIN(" ",TRUE,'Deelnemer 15 vtg'!$D$6,$B$290),1,12)</f>
        <v>Deelnemer 15</v>
      </c>
      <c r="F295" s="276">
        <f>'Deelnemer 15 vtg'!$C$7</f>
        <v>0</v>
      </c>
      <c r="G295" s="183" t="str">
        <f>'Deelnemer 15 vtg'!B24</f>
        <v xml:space="preserve"> - </v>
      </c>
      <c r="H295" s="186" t="str">
        <f>VLOOKUP(G295,'Categorie H2 Vtg.'!$B$4:$D$20,3,0)</f>
        <v>-</v>
      </c>
      <c r="I295" s="187">
        <f>'Deelnemer 15 vtg'!E24</f>
        <v>0</v>
      </c>
      <c r="J295" s="180">
        <f>'Deelnemer 15 vtg'!V24</f>
        <v>0</v>
      </c>
      <c r="K295" s="184">
        <f>'Deelnemer 15 vtg'!Z24</f>
        <v>0</v>
      </c>
      <c r="L295" s="184">
        <f>'Deelnemer 15 vtg'!AE24</f>
        <v>0</v>
      </c>
      <c r="M295" s="188">
        <f t="shared" si="30"/>
        <v>0</v>
      </c>
      <c r="N295" s="188">
        <f t="shared" si="31"/>
        <v>0</v>
      </c>
      <c r="O295" s="184">
        <f>'Deelnemer 15 vtg'!AG24</f>
        <v>0</v>
      </c>
      <c r="P295" s="184">
        <f>'Deelnemer 15 vtg'!AJ24</f>
        <v>0</v>
      </c>
      <c r="Q295" s="184">
        <f>'Deelnemer 15 vtg'!AK24</f>
        <v>0</v>
      </c>
    </row>
    <row r="296" spans="2:18" ht="16.5" hidden="1" customHeight="1" x14ac:dyDescent="0.3">
      <c r="B296" s="639"/>
      <c r="C296" s="161">
        <v>7</v>
      </c>
      <c r="D296" s="182" t="str">
        <f>'Deelnemer 15 vtg'!A25</f>
        <v/>
      </c>
      <c r="E296" s="183" t="str">
        <f>MID(_xlfn.TEXTJOIN(" ",TRUE,'Deelnemer 15 vtg'!$D$6,$B$290),1,12)</f>
        <v>Deelnemer 15</v>
      </c>
      <c r="F296" s="276">
        <f>'Deelnemer 15 vtg'!$C$7</f>
        <v>0</v>
      </c>
      <c r="G296" s="183" t="str">
        <f>'Deelnemer 15 vtg'!B25</f>
        <v xml:space="preserve"> - </v>
      </c>
      <c r="H296" s="186" t="str">
        <f>VLOOKUP(G296,'Categorie H2 Vtg.'!$B$4:$D$20,3,0)</f>
        <v>-</v>
      </c>
      <c r="I296" s="187">
        <f>'Deelnemer 15 vtg'!E25</f>
        <v>0</v>
      </c>
      <c r="J296" s="180">
        <f>'Deelnemer 15 vtg'!V25</f>
        <v>0</v>
      </c>
      <c r="K296" s="184">
        <f>'Deelnemer 15 vtg'!Z25</f>
        <v>0</v>
      </c>
      <c r="L296" s="184">
        <f>'Deelnemer 15 vtg'!AE25</f>
        <v>0</v>
      </c>
      <c r="M296" s="188">
        <f t="shared" si="30"/>
        <v>0</v>
      </c>
      <c r="N296" s="188">
        <f t="shared" si="31"/>
        <v>0</v>
      </c>
      <c r="O296" s="184">
        <f>'Deelnemer 15 vtg'!AG25</f>
        <v>0</v>
      </c>
      <c r="P296" s="184">
        <f>'Deelnemer 15 vtg'!AJ25</f>
        <v>0</v>
      </c>
      <c r="Q296" s="184">
        <f>'Deelnemer 15 vtg'!AK25</f>
        <v>0</v>
      </c>
    </row>
    <row r="297" spans="2:18" ht="16.5" hidden="1" customHeight="1" x14ac:dyDescent="0.3">
      <c r="B297" s="639"/>
      <c r="C297" s="161">
        <v>8</v>
      </c>
      <c r="D297" s="182" t="str">
        <f>'Deelnemer 15 vtg'!A26</f>
        <v/>
      </c>
      <c r="E297" s="183" t="str">
        <f>MID(_xlfn.TEXTJOIN(" ",TRUE,'Deelnemer 15 vtg'!$D$6,$B$290),1,12)</f>
        <v>Deelnemer 15</v>
      </c>
      <c r="F297" s="276">
        <f>'Deelnemer 15 vtg'!$C$7</f>
        <v>0</v>
      </c>
      <c r="G297" s="183" t="str">
        <f>'Deelnemer 15 vtg'!B26</f>
        <v xml:space="preserve"> - </v>
      </c>
      <c r="H297" s="186" t="str">
        <f>VLOOKUP(G297,'Categorie H2 Vtg.'!$B$4:$D$20,3,0)</f>
        <v>-</v>
      </c>
      <c r="I297" s="187">
        <f>'Deelnemer 15 vtg'!E26</f>
        <v>0</v>
      </c>
      <c r="J297" s="180">
        <f>'Deelnemer 15 vtg'!V26</f>
        <v>0</v>
      </c>
      <c r="K297" s="184">
        <f>'Deelnemer 15 vtg'!Z26</f>
        <v>0</v>
      </c>
      <c r="L297" s="184">
        <f>'Deelnemer 15 vtg'!AE26</f>
        <v>0</v>
      </c>
      <c r="M297" s="188">
        <f t="shared" si="30"/>
        <v>0</v>
      </c>
      <c r="N297" s="188">
        <f t="shared" si="31"/>
        <v>0</v>
      </c>
      <c r="O297" s="184">
        <f>'Deelnemer 15 vtg'!AG26</f>
        <v>0</v>
      </c>
      <c r="P297" s="184">
        <f>'Deelnemer 15 vtg'!AJ26</f>
        <v>0</v>
      </c>
      <c r="Q297" s="184">
        <f>'Deelnemer 15 vtg'!AK26</f>
        <v>0</v>
      </c>
    </row>
    <row r="298" spans="2:18" ht="16.5" hidden="1" customHeight="1" x14ac:dyDescent="0.3">
      <c r="B298" s="639"/>
      <c r="C298" s="161">
        <v>9</v>
      </c>
      <c r="D298" s="182" t="str">
        <f>'Deelnemer 15 vtg'!A27</f>
        <v/>
      </c>
      <c r="E298" s="183" t="str">
        <f>MID(_xlfn.TEXTJOIN(" ",TRUE,'Deelnemer 15 vtg'!$D$6,$B$290),1,12)</f>
        <v>Deelnemer 15</v>
      </c>
      <c r="F298" s="276">
        <f>'Deelnemer 15 vtg'!$C$7</f>
        <v>0</v>
      </c>
      <c r="G298" s="183" t="str">
        <f>'Deelnemer 15 vtg'!B27</f>
        <v xml:space="preserve"> - </v>
      </c>
      <c r="H298" s="186" t="str">
        <f>VLOOKUP(G298,'Categorie H2 Vtg.'!$B$4:$D$20,3,0)</f>
        <v>-</v>
      </c>
      <c r="I298" s="187">
        <f>'Deelnemer 15 vtg'!E27</f>
        <v>0</v>
      </c>
      <c r="J298" s="180">
        <f>'Deelnemer 15 vtg'!V27</f>
        <v>0</v>
      </c>
      <c r="K298" s="184">
        <f>'Deelnemer 15 vtg'!Z27</f>
        <v>0</v>
      </c>
      <c r="L298" s="184">
        <f>'Deelnemer 15 vtg'!AE27</f>
        <v>0</v>
      </c>
      <c r="M298" s="188">
        <f t="shared" si="30"/>
        <v>0</v>
      </c>
      <c r="N298" s="188">
        <f t="shared" si="31"/>
        <v>0</v>
      </c>
      <c r="O298" s="184">
        <f>'Deelnemer 15 vtg'!AG27</f>
        <v>0</v>
      </c>
      <c r="P298" s="184">
        <f>'Deelnemer 15 vtg'!AJ27</f>
        <v>0</v>
      </c>
      <c r="Q298" s="184">
        <f>'Deelnemer 15 vtg'!AK27</f>
        <v>0</v>
      </c>
    </row>
    <row r="299" spans="2:18" ht="16.5" hidden="1" customHeight="1" x14ac:dyDescent="0.3">
      <c r="B299" s="639"/>
      <c r="C299" s="161">
        <v>10</v>
      </c>
      <c r="D299" s="182" t="str">
        <f>'Deelnemer 15 vtg'!A28</f>
        <v/>
      </c>
      <c r="E299" s="183" t="str">
        <f>MID(_xlfn.TEXTJOIN(" ",TRUE,'Deelnemer 15 vtg'!$D$6,$B$290),1,12)</f>
        <v>Deelnemer 15</v>
      </c>
      <c r="F299" s="276">
        <f>'Deelnemer 15 vtg'!$C$7</f>
        <v>0</v>
      </c>
      <c r="G299" s="183" t="str">
        <f>'Deelnemer 15 vtg'!B28</f>
        <v xml:space="preserve"> - </v>
      </c>
      <c r="H299" s="186" t="str">
        <f>VLOOKUP(G299,'Categorie H2 Vtg.'!$B$4:$D$20,3,0)</f>
        <v>-</v>
      </c>
      <c r="I299" s="187">
        <f>'Deelnemer 15 vtg'!E28</f>
        <v>0</v>
      </c>
      <c r="J299" s="180">
        <f>'Deelnemer 15 vtg'!V28</f>
        <v>0</v>
      </c>
      <c r="K299" s="184">
        <f>'Deelnemer 15 vtg'!Z28</f>
        <v>0</v>
      </c>
      <c r="L299" s="184">
        <f>'Deelnemer 15 vtg'!AE28</f>
        <v>0</v>
      </c>
      <c r="M299" s="188">
        <f t="shared" si="30"/>
        <v>0</v>
      </c>
      <c r="N299" s="188">
        <f t="shared" si="31"/>
        <v>0</v>
      </c>
      <c r="O299" s="184">
        <f>'Deelnemer 15 vtg'!AG28</f>
        <v>0</v>
      </c>
      <c r="P299" s="184">
        <f>'Deelnemer 15 vtg'!AJ28</f>
        <v>0</v>
      </c>
      <c r="Q299" s="184">
        <f>'Deelnemer 15 vtg'!AK28</f>
        <v>0</v>
      </c>
    </row>
    <row r="300" spans="2:18" ht="16.5" hidden="1" customHeight="1" x14ac:dyDescent="0.3">
      <c r="B300" s="639"/>
      <c r="C300" s="161">
        <v>11</v>
      </c>
      <c r="D300" s="182" t="str">
        <f>'Deelnemer 15 vtg'!A29</f>
        <v/>
      </c>
      <c r="E300" s="183" t="str">
        <f>MID(_xlfn.TEXTJOIN(" ",TRUE,'Deelnemer 15 vtg'!$D$6,$B$290),1,12)</f>
        <v>Deelnemer 15</v>
      </c>
      <c r="F300" s="276">
        <f>'Deelnemer 15 vtg'!$C$7</f>
        <v>0</v>
      </c>
      <c r="G300" s="183" t="str">
        <f>'Deelnemer 15 vtg'!B29</f>
        <v xml:space="preserve"> - </v>
      </c>
      <c r="H300" s="186" t="str">
        <f>VLOOKUP(G300,'Categorie H2 Vtg.'!$B$4:$D$20,3,0)</f>
        <v>-</v>
      </c>
      <c r="I300" s="187">
        <f>'Deelnemer 15 vtg'!E29</f>
        <v>0</v>
      </c>
      <c r="J300" s="180">
        <f>'Deelnemer 15 vtg'!V29</f>
        <v>0</v>
      </c>
      <c r="K300" s="184">
        <f>'Deelnemer 15 vtg'!Z29</f>
        <v>0</v>
      </c>
      <c r="L300" s="184">
        <f>'Deelnemer 15 vtg'!AE29</f>
        <v>0</v>
      </c>
      <c r="M300" s="188">
        <f t="shared" si="30"/>
        <v>0</v>
      </c>
      <c r="N300" s="188">
        <f t="shared" si="31"/>
        <v>0</v>
      </c>
      <c r="O300" s="184">
        <f>'Deelnemer 15 vtg'!AG29</f>
        <v>0</v>
      </c>
      <c r="P300" s="184">
        <f>'Deelnemer 15 vtg'!AJ29</f>
        <v>0</v>
      </c>
      <c r="Q300" s="184">
        <f>'Deelnemer 15 vtg'!AK29</f>
        <v>0</v>
      </c>
    </row>
    <row r="301" spans="2:18" ht="16.5" hidden="1" customHeight="1" x14ac:dyDescent="0.3">
      <c r="B301" s="639"/>
      <c r="C301" s="161">
        <v>12</v>
      </c>
      <c r="D301" s="182" t="str">
        <f>'Deelnemer 15 vtg'!A30</f>
        <v/>
      </c>
      <c r="E301" s="183" t="str">
        <f>MID(_xlfn.TEXTJOIN(" ",TRUE,'Deelnemer 15 vtg'!$D$6,$B$290),1,12)</f>
        <v>Deelnemer 15</v>
      </c>
      <c r="F301" s="276">
        <f>'Deelnemer 15 vtg'!$C$7</f>
        <v>0</v>
      </c>
      <c r="G301" s="183" t="str">
        <f>'Deelnemer 15 vtg'!B30</f>
        <v xml:space="preserve"> - </v>
      </c>
      <c r="H301" s="186" t="str">
        <f>VLOOKUP(G301,'Categorie H2 Vtg.'!$B$4:$D$20,3,0)</f>
        <v>-</v>
      </c>
      <c r="I301" s="187">
        <f>'Deelnemer 15 vtg'!E30</f>
        <v>0</v>
      </c>
      <c r="J301" s="180">
        <f>'Deelnemer 15 vtg'!V30</f>
        <v>0</v>
      </c>
      <c r="K301" s="184">
        <f>'Deelnemer 15 vtg'!Z30</f>
        <v>0</v>
      </c>
      <c r="L301" s="184">
        <f>'Deelnemer 15 vtg'!AE30</f>
        <v>0</v>
      </c>
      <c r="M301" s="188">
        <f t="shared" si="30"/>
        <v>0</v>
      </c>
      <c r="N301" s="188">
        <f t="shared" si="31"/>
        <v>0</v>
      </c>
      <c r="O301" s="184">
        <f>'Deelnemer 15 vtg'!AG30</f>
        <v>0</v>
      </c>
      <c r="P301" s="184">
        <f>'Deelnemer 15 vtg'!AJ30</f>
        <v>0</v>
      </c>
      <c r="Q301" s="184">
        <f>'Deelnemer 15 vtg'!AK30</f>
        <v>0</v>
      </c>
    </row>
    <row r="302" spans="2:18" ht="16.5" hidden="1" customHeight="1" x14ac:dyDescent="0.3">
      <c r="B302" s="639"/>
      <c r="C302" s="161">
        <v>13</v>
      </c>
      <c r="D302" s="182" t="str">
        <f>'Deelnemer 15 vtg'!A31</f>
        <v/>
      </c>
      <c r="E302" s="183" t="str">
        <f>MID(_xlfn.TEXTJOIN(" ",TRUE,'Deelnemer 15 vtg'!$D$6,$B$290),1,12)</f>
        <v>Deelnemer 15</v>
      </c>
      <c r="F302" s="276">
        <f>'Deelnemer 15 vtg'!$C$7</f>
        <v>0</v>
      </c>
      <c r="G302" s="183" t="str">
        <f>'Deelnemer 15 vtg'!B31</f>
        <v xml:space="preserve"> - </v>
      </c>
      <c r="H302" s="186" t="str">
        <f>VLOOKUP(G302,'Categorie H2 Vtg.'!$B$4:$D$20,3,0)</f>
        <v>-</v>
      </c>
      <c r="I302" s="187">
        <f>'Deelnemer 15 vtg'!E31</f>
        <v>0</v>
      </c>
      <c r="J302" s="180">
        <f>'Deelnemer 15 vtg'!V31</f>
        <v>0</v>
      </c>
      <c r="K302" s="184">
        <f>'Deelnemer 15 vtg'!Z31</f>
        <v>0</v>
      </c>
      <c r="L302" s="184">
        <f>'Deelnemer 15 vtg'!AE31</f>
        <v>0</v>
      </c>
      <c r="M302" s="188">
        <f t="shared" si="30"/>
        <v>0</v>
      </c>
      <c r="N302" s="188">
        <f t="shared" si="31"/>
        <v>0</v>
      </c>
      <c r="O302" s="184">
        <f>'Deelnemer 15 vtg'!AG31</f>
        <v>0</v>
      </c>
      <c r="P302" s="184">
        <f>'Deelnemer 15 vtg'!AJ31</f>
        <v>0</v>
      </c>
      <c r="Q302" s="184">
        <f>'Deelnemer 15 vtg'!AK31</f>
        <v>0</v>
      </c>
    </row>
    <row r="303" spans="2:18" ht="16.5" hidden="1" customHeight="1" x14ac:dyDescent="0.3">
      <c r="B303" s="639"/>
      <c r="C303" s="161">
        <v>14</v>
      </c>
      <c r="D303" s="182" t="str">
        <f>'Deelnemer 15 vtg'!A32</f>
        <v/>
      </c>
      <c r="E303" s="183" t="str">
        <f>MID(_xlfn.TEXTJOIN(" ",TRUE,'Deelnemer 15 vtg'!$D$6,$B$290),1,12)</f>
        <v>Deelnemer 15</v>
      </c>
      <c r="F303" s="276">
        <f>'Deelnemer 15 vtg'!$C$7</f>
        <v>0</v>
      </c>
      <c r="G303" s="183" t="str">
        <f>'Deelnemer 15 vtg'!B32</f>
        <v xml:space="preserve"> - </v>
      </c>
      <c r="H303" s="186" t="str">
        <f>VLOOKUP(G303,'Categorie H2 Vtg.'!$B$4:$D$20,3,0)</f>
        <v>-</v>
      </c>
      <c r="I303" s="187">
        <f>'Deelnemer 15 vtg'!E32</f>
        <v>0</v>
      </c>
      <c r="J303" s="180">
        <f>'Deelnemer 15 vtg'!V32</f>
        <v>0</v>
      </c>
      <c r="K303" s="184">
        <f>'Deelnemer 15 vtg'!Z32</f>
        <v>0</v>
      </c>
      <c r="L303" s="184">
        <f>'Deelnemer 15 vtg'!AE32</f>
        <v>0</v>
      </c>
      <c r="M303" s="188">
        <f t="shared" si="30"/>
        <v>0</v>
      </c>
      <c r="N303" s="188">
        <f t="shared" si="31"/>
        <v>0</v>
      </c>
      <c r="O303" s="184">
        <f>'Deelnemer 15 vtg'!AG32</f>
        <v>0</v>
      </c>
      <c r="P303" s="184">
        <f>'Deelnemer 15 vtg'!AJ32</f>
        <v>0</v>
      </c>
      <c r="Q303" s="184">
        <f>'Deelnemer 15 vtg'!AK32</f>
        <v>0</v>
      </c>
    </row>
    <row r="304" spans="2:18" ht="16.5" hidden="1" customHeight="1" x14ac:dyDescent="0.3">
      <c r="B304" s="639"/>
      <c r="C304" s="161">
        <v>15</v>
      </c>
      <c r="D304" s="182" t="str">
        <f>'Deelnemer 15 vtg'!A33</f>
        <v/>
      </c>
      <c r="E304" s="183" t="str">
        <f>MID(_xlfn.TEXTJOIN(" ",TRUE,'Deelnemer 15 vtg'!$D$6,$B$290),1,12)</f>
        <v>Deelnemer 15</v>
      </c>
      <c r="F304" s="276">
        <f>'Deelnemer 15 vtg'!$C$7</f>
        <v>0</v>
      </c>
      <c r="G304" s="183" t="str">
        <f>'Deelnemer 15 vtg'!B33</f>
        <v xml:space="preserve"> - </v>
      </c>
      <c r="H304" s="186" t="str">
        <f>VLOOKUP(G304,'Categorie H2 Vtg.'!$B$4:$D$20,3,0)</f>
        <v>-</v>
      </c>
      <c r="I304" s="187">
        <f>'Deelnemer 15 vtg'!E33</f>
        <v>0</v>
      </c>
      <c r="J304" s="180">
        <f>'Deelnemer 15 vtg'!V33</f>
        <v>0</v>
      </c>
      <c r="K304" s="184">
        <f>'Deelnemer 15 vtg'!Z33</f>
        <v>0</v>
      </c>
      <c r="L304" s="184">
        <f>'Deelnemer 15 vtg'!AE33</f>
        <v>0</v>
      </c>
      <c r="M304" s="188">
        <f t="shared" si="30"/>
        <v>0</v>
      </c>
      <c r="N304" s="188">
        <f t="shared" si="31"/>
        <v>0</v>
      </c>
      <c r="O304" s="184">
        <f>'Deelnemer 15 vtg'!AG33</f>
        <v>0</v>
      </c>
      <c r="P304" s="184">
        <f>'Deelnemer 15 vtg'!AJ33</f>
        <v>0</v>
      </c>
      <c r="Q304" s="184">
        <f>'Deelnemer 15 vtg'!AK33</f>
        <v>0</v>
      </c>
    </row>
    <row r="305" spans="2:18" s="181" customFormat="1" ht="16.5" hidden="1" customHeight="1" x14ac:dyDescent="0.3">
      <c r="B305" s="639">
        <f t="shared" si="25"/>
        <v>16</v>
      </c>
      <c r="C305" s="189">
        <v>1</v>
      </c>
      <c r="D305" s="182" t="str">
        <f>'Deelnemer 16 vtg'!A19</f>
        <v/>
      </c>
      <c r="E305" s="183" t="str">
        <f>MID(_xlfn.TEXTJOIN(" ",TRUE,'Deelnemer 16 vtg'!$D$6,$B$305),1,12)</f>
        <v>Deelnemer 16</v>
      </c>
      <c r="F305" s="276">
        <f>'Deelnemer 16 vtg'!$C$7</f>
        <v>0</v>
      </c>
      <c r="G305" s="183" t="str">
        <f>'Deelnemer 16 vtg'!B19</f>
        <v xml:space="preserve"> - </v>
      </c>
      <c r="H305" s="183" t="str">
        <f>VLOOKUP(G305,'Categorie H2 Vtg.'!$B$4:$D$20,3,0)</f>
        <v>-</v>
      </c>
      <c r="I305" s="187">
        <f>'Deelnemer 16 vtg'!E19</f>
        <v>0</v>
      </c>
      <c r="J305" s="180">
        <f>'Deelnemer 16 vtg'!V19</f>
        <v>0</v>
      </c>
      <c r="K305" s="184">
        <f>'Deelnemer 16 vtg'!Z19</f>
        <v>0</v>
      </c>
      <c r="L305" s="184">
        <f>'Deelnemer 16 vtg'!AE19</f>
        <v>0</v>
      </c>
      <c r="M305" s="184">
        <f>K305*J305</f>
        <v>0</v>
      </c>
      <c r="N305" s="184">
        <f>L305*J305</f>
        <v>0</v>
      </c>
      <c r="O305" s="184">
        <f>'Deelnemer 16 vtg'!AG19</f>
        <v>0</v>
      </c>
      <c r="P305" s="184">
        <f>'Deelnemer 16 vtg'!AJ19</f>
        <v>0</v>
      </c>
      <c r="Q305" s="184">
        <f>'Deelnemer 16 vtg'!AK19</f>
        <v>0</v>
      </c>
      <c r="R305" s="161"/>
    </row>
    <row r="306" spans="2:18" ht="16.5" hidden="1" customHeight="1" x14ac:dyDescent="0.3">
      <c r="B306" s="639"/>
      <c r="C306" s="161">
        <v>2</v>
      </c>
      <c r="D306" s="182" t="str">
        <f>'Deelnemer 16 vtg'!A20</f>
        <v/>
      </c>
      <c r="E306" s="183" t="str">
        <f>MID(_xlfn.TEXTJOIN(" ",TRUE,'Deelnemer 16 vtg'!$D$6,$B$305),1,12)</f>
        <v>Deelnemer 16</v>
      </c>
      <c r="F306" s="276">
        <f>'Deelnemer 16 vtg'!$C$7</f>
        <v>0</v>
      </c>
      <c r="G306" s="183" t="str">
        <f>'Deelnemer 16 vtg'!B20</f>
        <v xml:space="preserve"> - </v>
      </c>
      <c r="H306" s="186" t="str">
        <f>VLOOKUP(G306,'Categorie H2 Vtg.'!$B$4:$D$20,3,0)</f>
        <v>-</v>
      </c>
      <c r="I306" s="187">
        <f>'Deelnemer 16 vtg'!E20</f>
        <v>0</v>
      </c>
      <c r="J306" s="180">
        <f>'Deelnemer 16 vtg'!V20</f>
        <v>0</v>
      </c>
      <c r="K306" s="184">
        <f>'Deelnemer 16 vtg'!Z20</f>
        <v>0</v>
      </c>
      <c r="L306" s="184">
        <f>'Deelnemer 16 vtg'!AE20</f>
        <v>0</v>
      </c>
      <c r="M306" s="188">
        <f t="shared" ref="M306:M319" si="32">K306*J306</f>
        <v>0</v>
      </c>
      <c r="N306" s="188">
        <f t="shared" ref="N306:N319" si="33">L306*J306</f>
        <v>0</v>
      </c>
      <c r="O306" s="184">
        <f>'Deelnemer 16 vtg'!AG20</f>
        <v>0</v>
      </c>
      <c r="P306" s="184">
        <f>'Deelnemer 16 vtg'!AJ20</f>
        <v>0</v>
      </c>
      <c r="Q306" s="184">
        <f>'Deelnemer 16 vtg'!AK20</f>
        <v>0</v>
      </c>
    </row>
    <row r="307" spans="2:18" ht="16.5" hidden="1" customHeight="1" x14ac:dyDescent="0.3">
      <c r="B307" s="639"/>
      <c r="C307" s="161">
        <v>3</v>
      </c>
      <c r="D307" s="182" t="str">
        <f>'Deelnemer 16 vtg'!A21</f>
        <v/>
      </c>
      <c r="E307" s="183" t="str">
        <f>MID(_xlfn.TEXTJOIN(" ",TRUE,'Deelnemer 16 vtg'!$D$6,$B$305),1,12)</f>
        <v>Deelnemer 16</v>
      </c>
      <c r="F307" s="276">
        <f>'Deelnemer 16 vtg'!$C$7</f>
        <v>0</v>
      </c>
      <c r="G307" s="183" t="str">
        <f>'Deelnemer 16 vtg'!B21</f>
        <v xml:space="preserve"> - </v>
      </c>
      <c r="H307" s="186" t="str">
        <f>VLOOKUP(G307,'Categorie H2 Vtg.'!$B$4:$D$20,3,0)</f>
        <v>-</v>
      </c>
      <c r="I307" s="187">
        <f>'Deelnemer 16 vtg'!E21</f>
        <v>0</v>
      </c>
      <c r="J307" s="180">
        <f>'Deelnemer 16 vtg'!V21</f>
        <v>0</v>
      </c>
      <c r="K307" s="184">
        <f>'Deelnemer 16 vtg'!Z21</f>
        <v>0</v>
      </c>
      <c r="L307" s="184">
        <f>'Deelnemer 16 vtg'!AE21</f>
        <v>0</v>
      </c>
      <c r="M307" s="188">
        <f t="shared" si="32"/>
        <v>0</v>
      </c>
      <c r="N307" s="188">
        <f t="shared" si="33"/>
        <v>0</v>
      </c>
      <c r="O307" s="184">
        <f>'Deelnemer 16 vtg'!AG21</f>
        <v>0</v>
      </c>
      <c r="P307" s="184">
        <f>'Deelnemer 16 vtg'!AJ21</f>
        <v>0</v>
      </c>
      <c r="Q307" s="184">
        <f>'Deelnemer 16 vtg'!AK21</f>
        <v>0</v>
      </c>
    </row>
    <row r="308" spans="2:18" ht="16.5" hidden="1" customHeight="1" x14ac:dyDescent="0.3">
      <c r="B308" s="639"/>
      <c r="C308" s="161">
        <v>4</v>
      </c>
      <c r="D308" s="182" t="str">
        <f>'Deelnemer 16 vtg'!A22</f>
        <v/>
      </c>
      <c r="E308" s="183" t="str">
        <f>MID(_xlfn.TEXTJOIN(" ",TRUE,'Deelnemer 16 vtg'!$D$6,$B$305),1,12)</f>
        <v>Deelnemer 16</v>
      </c>
      <c r="F308" s="276">
        <f>'Deelnemer 16 vtg'!$C$7</f>
        <v>0</v>
      </c>
      <c r="G308" s="183" t="str">
        <f>'Deelnemer 16 vtg'!B22</f>
        <v xml:space="preserve"> - </v>
      </c>
      <c r="H308" s="186" t="str">
        <f>VLOOKUP(G308,'Categorie H2 Vtg.'!$B$4:$D$20,3,0)</f>
        <v>-</v>
      </c>
      <c r="I308" s="187">
        <f>'Deelnemer 16 vtg'!E22</f>
        <v>0</v>
      </c>
      <c r="J308" s="180">
        <f>'Deelnemer 16 vtg'!V22</f>
        <v>0</v>
      </c>
      <c r="K308" s="184">
        <f>'Deelnemer 16 vtg'!Z22</f>
        <v>0</v>
      </c>
      <c r="L308" s="184">
        <f>'Deelnemer 16 vtg'!AE22</f>
        <v>0</v>
      </c>
      <c r="M308" s="188">
        <f t="shared" si="32"/>
        <v>0</v>
      </c>
      <c r="N308" s="188">
        <f t="shared" si="33"/>
        <v>0</v>
      </c>
      <c r="O308" s="184">
        <f>'Deelnemer 16 vtg'!AG22</f>
        <v>0</v>
      </c>
      <c r="P308" s="184">
        <f>'Deelnemer 16 vtg'!AJ22</f>
        <v>0</v>
      </c>
      <c r="Q308" s="184">
        <f>'Deelnemer 16 vtg'!AK22</f>
        <v>0</v>
      </c>
    </row>
    <row r="309" spans="2:18" ht="16.5" hidden="1" customHeight="1" x14ac:dyDescent="0.3">
      <c r="B309" s="639"/>
      <c r="C309" s="161">
        <v>5</v>
      </c>
      <c r="D309" s="182" t="str">
        <f>'Deelnemer 16 vtg'!A23</f>
        <v/>
      </c>
      <c r="E309" s="183" t="str">
        <f>MID(_xlfn.TEXTJOIN(" ",TRUE,'Deelnemer 16 vtg'!$D$6,$B$305),1,12)</f>
        <v>Deelnemer 16</v>
      </c>
      <c r="F309" s="276">
        <f>'Deelnemer 16 vtg'!$C$7</f>
        <v>0</v>
      </c>
      <c r="G309" s="183" t="str">
        <f>'Deelnemer 16 vtg'!B23</f>
        <v xml:space="preserve"> - </v>
      </c>
      <c r="H309" s="186" t="str">
        <f>VLOOKUP(G309,'Categorie H2 Vtg.'!$B$4:$D$20,3,0)</f>
        <v>-</v>
      </c>
      <c r="I309" s="187">
        <f>'Deelnemer 16 vtg'!E23</f>
        <v>0</v>
      </c>
      <c r="J309" s="180">
        <f>'Deelnemer 16 vtg'!V23</f>
        <v>0</v>
      </c>
      <c r="K309" s="184">
        <f>'Deelnemer 16 vtg'!Z23</f>
        <v>0</v>
      </c>
      <c r="L309" s="184">
        <f>'Deelnemer 16 vtg'!AE23</f>
        <v>0</v>
      </c>
      <c r="M309" s="188">
        <f t="shared" si="32"/>
        <v>0</v>
      </c>
      <c r="N309" s="188">
        <f t="shared" si="33"/>
        <v>0</v>
      </c>
      <c r="O309" s="184">
        <f>'Deelnemer 16 vtg'!AG23</f>
        <v>0</v>
      </c>
      <c r="P309" s="184">
        <f>'Deelnemer 16 vtg'!AJ23</f>
        <v>0</v>
      </c>
      <c r="Q309" s="184">
        <f>'Deelnemer 16 vtg'!AK23</f>
        <v>0</v>
      </c>
    </row>
    <row r="310" spans="2:18" ht="16.5" hidden="1" customHeight="1" x14ac:dyDescent="0.3">
      <c r="B310" s="639"/>
      <c r="C310" s="161">
        <v>6</v>
      </c>
      <c r="D310" s="182" t="str">
        <f>'Deelnemer 16 vtg'!A24</f>
        <v/>
      </c>
      <c r="E310" s="183" t="str">
        <f>MID(_xlfn.TEXTJOIN(" ",TRUE,'Deelnemer 16 vtg'!$D$6,$B$305),1,12)</f>
        <v>Deelnemer 16</v>
      </c>
      <c r="F310" s="276">
        <f>'Deelnemer 16 vtg'!$C$7</f>
        <v>0</v>
      </c>
      <c r="G310" s="183" t="str">
        <f>'Deelnemer 16 vtg'!B24</f>
        <v xml:space="preserve"> - </v>
      </c>
      <c r="H310" s="186" t="str">
        <f>VLOOKUP(G310,'Categorie H2 Vtg.'!$B$4:$D$20,3,0)</f>
        <v>-</v>
      </c>
      <c r="I310" s="187">
        <f>'Deelnemer 16 vtg'!E24</f>
        <v>0</v>
      </c>
      <c r="J310" s="180">
        <f>'Deelnemer 16 vtg'!V24</f>
        <v>0</v>
      </c>
      <c r="K310" s="184">
        <f>'Deelnemer 16 vtg'!Z24</f>
        <v>0</v>
      </c>
      <c r="L310" s="184">
        <f>'Deelnemer 16 vtg'!AE24</f>
        <v>0</v>
      </c>
      <c r="M310" s="188">
        <f t="shared" si="32"/>
        <v>0</v>
      </c>
      <c r="N310" s="188">
        <f t="shared" si="33"/>
        <v>0</v>
      </c>
      <c r="O310" s="184">
        <f>'Deelnemer 16 vtg'!AG24</f>
        <v>0</v>
      </c>
      <c r="P310" s="184">
        <f>'Deelnemer 16 vtg'!AJ24</f>
        <v>0</v>
      </c>
      <c r="Q310" s="184">
        <f>'Deelnemer 16 vtg'!AK24</f>
        <v>0</v>
      </c>
    </row>
    <row r="311" spans="2:18" ht="16.5" hidden="1" customHeight="1" x14ac:dyDescent="0.3">
      <c r="B311" s="639"/>
      <c r="C311" s="161">
        <v>7</v>
      </c>
      <c r="D311" s="182" t="str">
        <f>'Deelnemer 16 vtg'!A25</f>
        <v/>
      </c>
      <c r="E311" s="183" t="str">
        <f>MID(_xlfn.TEXTJOIN(" ",TRUE,'Deelnemer 16 vtg'!$D$6,$B$305),1,12)</f>
        <v>Deelnemer 16</v>
      </c>
      <c r="F311" s="276">
        <f>'Deelnemer 16 vtg'!$C$7</f>
        <v>0</v>
      </c>
      <c r="G311" s="183" t="str">
        <f>'Deelnemer 16 vtg'!B25</f>
        <v xml:space="preserve"> - </v>
      </c>
      <c r="H311" s="186" t="str">
        <f>VLOOKUP(G311,'Categorie H2 Vtg.'!$B$4:$D$20,3,0)</f>
        <v>-</v>
      </c>
      <c r="I311" s="187">
        <f>'Deelnemer 16 vtg'!E25</f>
        <v>0</v>
      </c>
      <c r="J311" s="180">
        <f>'Deelnemer 16 vtg'!V25</f>
        <v>0</v>
      </c>
      <c r="K311" s="184">
        <f>'Deelnemer 16 vtg'!Z25</f>
        <v>0</v>
      </c>
      <c r="L311" s="184">
        <f>'Deelnemer 16 vtg'!AE25</f>
        <v>0</v>
      </c>
      <c r="M311" s="188">
        <f t="shared" si="32"/>
        <v>0</v>
      </c>
      <c r="N311" s="188">
        <f t="shared" si="33"/>
        <v>0</v>
      </c>
      <c r="O311" s="184">
        <f>'Deelnemer 16 vtg'!AG25</f>
        <v>0</v>
      </c>
      <c r="P311" s="184">
        <f>'Deelnemer 16 vtg'!AJ25</f>
        <v>0</v>
      </c>
      <c r="Q311" s="184">
        <f>'Deelnemer 16 vtg'!AK25</f>
        <v>0</v>
      </c>
    </row>
    <row r="312" spans="2:18" ht="16.5" hidden="1" customHeight="1" x14ac:dyDescent="0.3">
      <c r="B312" s="639"/>
      <c r="C312" s="161">
        <v>8</v>
      </c>
      <c r="D312" s="182" t="str">
        <f>'Deelnemer 16 vtg'!A26</f>
        <v/>
      </c>
      <c r="E312" s="183" t="str">
        <f>MID(_xlfn.TEXTJOIN(" ",TRUE,'Deelnemer 16 vtg'!$D$6,$B$305),1,12)</f>
        <v>Deelnemer 16</v>
      </c>
      <c r="F312" s="276">
        <f>'Deelnemer 16 vtg'!$C$7</f>
        <v>0</v>
      </c>
      <c r="G312" s="183" t="str">
        <f>'Deelnemer 16 vtg'!B26</f>
        <v xml:space="preserve"> - </v>
      </c>
      <c r="H312" s="186" t="str">
        <f>VLOOKUP(G312,'Categorie H2 Vtg.'!$B$4:$D$20,3,0)</f>
        <v>-</v>
      </c>
      <c r="I312" s="187">
        <f>'Deelnemer 16 vtg'!E26</f>
        <v>0</v>
      </c>
      <c r="J312" s="180">
        <f>'Deelnemer 16 vtg'!V26</f>
        <v>0</v>
      </c>
      <c r="K312" s="184">
        <f>'Deelnemer 16 vtg'!Z26</f>
        <v>0</v>
      </c>
      <c r="L312" s="184">
        <f>'Deelnemer 16 vtg'!AE26</f>
        <v>0</v>
      </c>
      <c r="M312" s="188">
        <f t="shared" si="32"/>
        <v>0</v>
      </c>
      <c r="N312" s="188">
        <f t="shared" si="33"/>
        <v>0</v>
      </c>
      <c r="O312" s="184">
        <f>'Deelnemer 16 vtg'!AG26</f>
        <v>0</v>
      </c>
      <c r="P312" s="184">
        <f>'Deelnemer 16 vtg'!AJ26</f>
        <v>0</v>
      </c>
      <c r="Q312" s="184">
        <f>'Deelnemer 16 vtg'!AK26</f>
        <v>0</v>
      </c>
    </row>
    <row r="313" spans="2:18" ht="16.5" hidden="1" customHeight="1" x14ac:dyDescent="0.3">
      <c r="B313" s="639"/>
      <c r="C313" s="161">
        <v>9</v>
      </c>
      <c r="D313" s="182" t="str">
        <f>'Deelnemer 16 vtg'!A27</f>
        <v/>
      </c>
      <c r="E313" s="183" t="str">
        <f>MID(_xlfn.TEXTJOIN(" ",TRUE,'Deelnemer 16 vtg'!$D$6,$B$305),1,12)</f>
        <v>Deelnemer 16</v>
      </c>
      <c r="F313" s="276">
        <f>'Deelnemer 16 vtg'!$C$7</f>
        <v>0</v>
      </c>
      <c r="G313" s="183" t="str">
        <f>'Deelnemer 16 vtg'!B27</f>
        <v xml:space="preserve"> - </v>
      </c>
      <c r="H313" s="186" t="str">
        <f>VLOOKUP(G313,'Categorie H2 Vtg.'!$B$4:$D$20,3,0)</f>
        <v>-</v>
      </c>
      <c r="I313" s="187">
        <f>'Deelnemer 16 vtg'!E27</f>
        <v>0</v>
      </c>
      <c r="J313" s="180">
        <f>'Deelnemer 16 vtg'!V27</f>
        <v>0</v>
      </c>
      <c r="K313" s="184">
        <f>'Deelnemer 16 vtg'!Z27</f>
        <v>0</v>
      </c>
      <c r="L313" s="184">
        <f>'Deelnemer 16 vtg'!AE27</f>
        <v>0</v>
      </c>
      <c r="M313" s="188">
        <f t="shared" si="32"/>
        <v>0</v>
      </c>
      <c r="N313" s="188">
        <f t="shared" si="33"/>
        <v>0</v>
      </c>
      <c r="O313" s="184">
        <f>'Deelnemer 16 vtg'!AG27</f>
        <v>0</v>
      </c>
      <c r="P313" s="184">
        <f>'Deelnemer 16 vtg'!AJ27</f>
        <v>0</v>
      </c>
      <c r="Q313" s="184">
        <f>'Deelnemer 16 vtg'!AK27</f>
        <v>0</v>
      </c>
    </row>
    <row r="314" spans="2:18" ht="16.5" hidden="1" customHeight="1" x14ac:dyDescent="0.3">
      <c r="B314" s="639"/>
      <c r="C314" s="161">
        <v>10</v>
      </c>
      <c r="D314" s="182" t="str">
        <f>'Deelnemer 16 vtg'!A28</f>
        <v/>
      </c>
      <c r="E314" s="183" t="str">
        <f>MID(_xlfn.TEXTJOIN(" ",TRUE,'Deelnemer 16 vtg'!$D$6,$B$305),1,12)</f>
        <v>Deelnemer 16</v>
      </c>
      <c r="F314" s="276">
        <f>'Deelnemer 16 vtg'!$C$7</f>
        <v>0</v>
      </c>
      <c r="G314" s="183" t="str">
        <f>'Deelnemer 16 vtg'!B28</f>
        <v xml:space="preserve"> - </v>
      </c>
      <c r="H314" s="186" t="str">
        <f>VLOOKUP(G314,'Categorie H2 Vtg.'!$B$4:$D$20,3,0)</f>
        <v>-</v>
      </c>
      <c r="I314" s="187">
        <f>'Deelnemer 16 vtg'!E28</f>
        <v>0</v>
      </c>
      <c r="J314" s="180">
        <f>'Deelnemer 16 vtg'!V28</f>
        <v>0</v>
      </c>
      <c r="K314" s="184">
        <f>'Deelnemer 16 vtg'!Z28</f>
        <v>0</v>
      </c>
      <c r="L314" s="184">
        <f>'Deelnemer 16 vtg'!AE28</f>
        <v>0</v>
      </c>
      <c r="M314" s="188">
        <f t="shared" si="32"/>
        <v>0</v>
      </c>
      <c r="N314" s="188">
        <f t="shared" si="33"/>
        <v>0</v>
      </c>
      <c r="O314" s="184">
        <f>'Deelnemer 16 vtg'!AG28</f>
        <v>0</v>
      </c>
      <c r="P314" s="184">
        <f>'Deelnemer 16 vtg'!AJ28</f>
        <v>0</v>
      </c>
      <c r="Q314" s="184">
        <f>'Deelnemer 16 vtg'!AK28</f>
        <v>0</v>
      </c>
    </row>
    <row r="315" spans="2:18" ht="16.5" hidden="1" customHeight="1" x14ac:dyDescent="0.3">
      <c r="B315" s="639"/>
      <c r="C315" s="161">
        <v>11</v>
      </c>
      <c r="D315" s="182" t="str">
        <f>'Deelnemer 16 vtg'!A29</f>
        <v/>
      </c>
      <c r="E315" s="183" t="str">
        <f>MID(_xlfn.TEXTJOIN(" ",TRUE,'Deelnemer 16 vtg'!$D$6,$B$305),1,12)</f>
        <v>Deelnemer 16</v>
      </c>
      <c r="F315" s="276">
        <f>'Deelnemer 16 vtg'!$C$7</f>
        <v>0</v>
      </c>
      <c r="G315" s="183" t="str">
        <f>'Deelnemer 16 vtg'!B29</f>
        <v xml:space="preserve"> - </v>
      </c>
      <c r="H315" s="186" t="str">
        <f>VLOOKUP(G315,'Categorie H2 Vtg.'!$B$4:$D$20,3,0)</f>
        <v>-</v>
      </c>
      <c r="I315" s="187">
        <f>'Deelnemer 16 vtg'!E29</f>
        <v>0</v>
      </c>
      <c r="J315" s="180">
        <f>'Deelnemer 16 vtg'!V29</f>
        <v>0</v>
      </c>
      <c r="K315" s="184">
        <f>'Deelnemer 16 vtg'!Z29</f>
        <v>0</v>
      </c>
      <c r="L315" s="184">
        <f>'Deelnemer 16 vtg'!AE29</f>
        <v>0</v>
      </c>
      <c r="M315" s="188">
        <f t="shared" si="32"/>
        <v>0</v>
      </c>
      <c r="N315" s="188">
        <f t="shared" si="33"/>
        <v>0</v>
      </c>
      <c r="O315" s="184">
        <f>'Deelnemer 16 vtg'!AG29</f>
        <v>0</v>
      </c>
      <c r="P315" s="184">
        <f>'Deelnemer 16 vtg'!AJ29</f>
        <v>0</v>
      </c>
      <c r="Q315" s="184">
        <f>'Deelnemer 16 vtg'!AK29</f>
        <v>0</v>
      </c>
    </row>
    <row r="316" spans="2:18" ht="16.5" hidden="1" customHeight="1" x14ac:dyDescent="0.3">
      <c r="B316" s="639"/>
      <c r="C316" s="161">
        <v>12</v>
      </c>
      <c r="D316" s="182" t="str">
        <f>'Deelnemer 16 vtg'!A30</f>
        <v/>
      </c>
      <c r="E316" s="183" t="str">
        <f>MID(_xlfn.TEXTJOIN(" ",TRUE,'Deelnemer 16 vtg'!$D$6,$B$305),1,12)</f>
        <v>Deelnemer 16</v>
      </c>
      <c r="F316" s="276">
        <f>'Deelnemer 16 vtg'!$C$7</f>
        <v>0</v>
      </c>
      <c r="G316" s="183" t="str">
        <f>'Deelnemer 16 vtg'!B30</f>
        <v xml:space="preserve"> - </v>
      </c>
      <c r="H316" s="186" t="str">
        <f>VLOOKUP(G316,'Categorie H2 Vtg.'!$B$4:$D$20,3,0)</f>
        <v>-</v>
      </c>
      <c r="I316" s="187">
        <f>'Deelnemer 16 vtg'!E30</f>
        <v>0</v>
      </c>
      <c r="J316" s="180">
        <f>'Deelnemer 16 vtg'!V30</f>
        <v>0</v>
      </c>
      <c r="K316" s="184">
        <f>'Deelnemer 16 vtg'!Z30</f>
        <v>0</v>
      </c>
      <c r="L316" s="184">
        <f>'Deelnemer 16 vtg'!AE30</f>
        <v>0</v>
      </c>
      <c r="M316" s="188">
        <f t="shared" si="32"/>
        <v>0</v>
      </c>
      <c r="N316" s="188">
        <f t="shared" si="33"/>
        <v>0</v>
      </c>
      <c r="O316" s="184">
        <f>'Deelnemer 16 vtg'!AG30</f>
        <v>0</v>
      </c>
      <c r="P316" s="184">
        <f>'Deelnemer 16 vtg'!AJ30</f>
        <v>0</v>
      </c>
      <c r="Q316" s="184">
        <f>'Deelnemer 16 vtg'!AK30</f>
        <v>0</v>
      </c>
    </row>
    <row r="317" spans="2:18" ht="16.5" hidden="1" customHeight="1" x14ac:dyDescent="0.3">
      <c r="B317" s="639"/>
      <c r="C317" s="161">
        <v>13</v>
      </c>
      <c r="D317" s="182" t="str">
        <f>'Deelnemer 16 vtg'!A31</f>
        <v/>
      </c>
      <c r="E317" s="183" t="str">
        <f>MID(_xlfn.TEXTJOIN(" ",TRUE,'Deelnemer 16 vtg'!$D$6,$B$305),1,12)</f>
        <v>Deelnemer 16</v>
      </c>
      <c r="F317" s="276">
        <f>'Deelnemer 16 vtg'!$C$7</f>
        <v>0</v>
      </c>
      <c r="G317" s="183" t="str">
        <f>'Deelnemer 16 vtg'!B31</f>
        <v xml:space="preserve"> - </v>
      </c>
      <c r="H317" s="186" t="str">
        <f>VLOOKUP(G317,'Categorie H2 Vtg.'!$B$4:$D$20,3,0)</f>
        <v>-</v>
      </c>
      <c r="I317" s="187">
        <f>'Deelnemer 16 vtg'!E31</f>
        <v>0</v>
      </c>
      <c r="J317" s="180">
        <f>'Deelnemer 16 vtg'!V31</f>
        <v>0</v>
      </c>
      <c r="K317" s="184">
        <f>'Deelnemer 16 vtg'!Z31</f>
        <v>0</v>
      </c>
      <c r="L317" s="184">
        <f>'Deelnemer 16 vtg'!AE31</f>
        <v>0</v>
      </c>
      <c r="M317" s="188">
        <f t="shared" si="32"/>
        <v>0</v>
      </c>
      <c r="N317" s="188">
        <f t="shared" si="33"/>
        <v>0</v>
      </c>
      <c r="O317" s="184">
        <f>'Deelnemer 16 vtg'!AG31</f>
        <v>0</v>
      </c>
      <c r="P317" s="184">
        <f>'Deelnemer 16 vtg'!AJ31</f>
        <v>0</v>
      </c>
      <c r="Q317" s="184">
        <f>'Deelnemer 16 vtg'!AK31</f>
        <v>0</v>
      </c>
    </row>
    <row r="318" spans="2:18" ht="16.5" hidden="1" customHeight="1" x14ac:dyDescent="0.3">
      <c r="B318" s="639"/>
      <c r="C318" s="161">
        <v>14</v>
      </c>
      <c r="D318" s="182" t="str">
        <f>'Deelnemer 16 vtg'!A32</f>
        <v/>
      </c>
      <c r="E318" s="183" t="str">
        <f>MID(_xlfn.TEXTJOIN(" ",TRUE,'Deelnemer 16 vtg'!$D$6,$B$305),1,12)</f>
        <v>Deelnemer 16</v>
      </c>
      <c r="F318" s="276">
        <f>'Deelnemer 16 vtg'!$C$7</f>
        <v>0</v>
      </c>
      <c r="G318" s="183" t="str">
        <f>'Deelnemer 16 vtg'!B32</f>
        <v xml:space="preserve"> - </v>
      </c>
      <c r="H318" s="186" t="str">
        <f>VLOOKUP(G318,'Categorie H2 Vtg.'!$B$4:$D$20,3,0)</f>
        <v>-</v>
      </c>
      <c r="I318" s="187">
        <f>'Deelnemer 16 vtg'!E32</f>
        <v>0</v>
      </c>
      <c r="J318" s="180">
        <f>'Deelnemer 16 vtg'!V32</f>
        <v>0</v>
      </c>
      <c r="K318" s="184">
        <f>'Deelnemer 16 vtg'!Z32</f>
        <v>0</v>
      </c>
      <c r="L318" s="184">
        <f>'Deelnemer 16 vtg'!AE32</f>
        <v>0</v>
      </c>
      <c r="M318" s="188">
        <f t="shared" si="32"/>
        <v>0</v>
      </c>
      <c r="N318" s="188">
        <f t="shared" si="33"/>
        <v>0</v>
      </c>
      <c r="O318" s="184">
        <f>'Deelnemer 16 vtg'!AG32</f>
        <v>0</v>
      </c>
      <c r="P318" s="184">
        <f>'Deelnemer 16 vtg'!AJ32</f>
        <v>0</v>
      </c>
      <c r="Q318" s="184">
        <f>'Deelnemer 16 vtg'!AK32</f>
        <v>0</v>
      </c>
    </row>
    <row r="319" spans="2:18" ht="16.5" hidden="1" customHeight="1" x14ac:dyDescent="0.3">
      <c r="B319" s="639"/>
      <c r="C319" s="161">
        <v>15</v>
      </c>
      <c r="D319" s="182" t="str">
        <f>'Deelnemer 16 vtg'!A33</f>
        <v/>
      </c>
      <c r="E319" s="183" t="str">
        <f>MID(_xlfn.TEXTJOIN(" ",TRUE,'Deelnemer 16 vtg'!$D$6,$B$305),1,12)</f>
        <v>Deelnemer 16</v>
      </c>
      <c r="F319" s="276">
        <f>'Deelnemer 16 vtg'!$C$7</f>
        <v>0</v>
      </c>
      <c r="G319" s="183" t="str">
        <f>'Deelnemer 16 vtg'!B33</f>
        <v xml:space="preserve"> - </v>
      </c>
      <c r="H319" s="186" t="str">
        <f>VLOOKUP(G319,'Categorie H2 Vtg.'!$B$4:$D$20,3,0)</f>
        <v>-</v>
      </c>
      <c r="I319" s="187">
        <f>'Deelnemer 16 vtg'!E33</f>
        <v>0</v>
      </c>
      <c r="J319" s="180">
        <f>'Deelnemer 16 vtg'!V33</f>
        <v>0</v>
      </c>
      <c r="K319" s="184">
        <f>'Deelnemer 16 vtg'!Z33</f>
        <v>0</v>
      </c>
      <c r="L319" s="184">
        <f>'Deelnemer 16 vtg'!AE33</f>
        <v>0</v>
      </c>
      <c r="M319" s="188">
        <f t="shared" si="32"/>
        <v>0</v>
      </c>
      <c r="N319" s="188">
        <f t="shared" si="33"/>
        <v>0</v>
      </c>
      <c r="O319" s="184">
        <f>'Deelnemer 16 vtg'!AG33</f>
        <v>0</v>
      </c>
      <c r="P319" s="184">
        <f>'Deelnemer 16 vtg'!AJ33</f>
        <v>0</v>
      </c>
      <c r="Q319" s="184">
        <f>'Deelnemer 16 vtg'!AK33</f>
        <v>0</v>
      </c>
    </row>
    <row r="320" spans="2:18" s="181" customFormat="1" ht="16.5" hidden="1" customHeight="1" x14ac:dyDescent="0.3">
      <c r="B320" s="639">
        <f t="shared" si="25"/>
        <v>17</v>
      </c>
      <c r="C320" s="189">
        <v>1</v>
      </c>
      <c r="D320" s="182" t="str">
        <f>'Deelnemer 17 vtg'!A19</f>
        <v/>
      </c>
      <c r="E320" s="183" t="str">
        <f>MID(_xlfn.TEXTJOIN(" ",TRUE,'Deelnemer 17 vtg'!$D$6,$B$320),1,12)</f>
        <v>Deelnemer 17</v>
      </c>
      <c r="F320" s="276">
        <f>'Deelnemer 17 vtg'!$C$7</f>
        <v>0</v>
      </c>
      <c r="G320" s="183" t="str">
        <f>'Deelnemer 17 vtg'!B19</f>
        <v xml:space="preserve"> - </v>
      </c>
      <c r="H320" s="183" t="str">
        <f>VLOOKUP(G320,'Categorie H2 Vtg.'!$B$4:$D$20,3,0)</f>
        <v>-</v>
      </c>
      <c r="I320" s="187">
        <f>'Deelnemer 17 vtg'!E19</f>
        <v>0</v>
      </c>
      <c r="J320" s="180">
        <f>'Deelnemer 17 vtg'!V19</f>
        <v>0</v>
      </c>
      <c r="K320" s="184">
        <f>'Deelnemer 17 vtg'!Z19</f>
        <v>0</v>
      </c>
      <c r="L320" s="184">
        <f>'Deelnemer 17 vtg'!AE19</f>
        <v>0</v>
      </c>
      <c r="M320" s="184">
        <f>K320*J320</f>
        <v>0</v>
      </c>
      <c r="N320" s="184">
        <f>L320*J320</f>
        <v>0</v>
      </c>
      <c r="O320" s="184">
        <f>'Deelnemer 17 vtg'!AG19</f>
        <v>0</v>
      </c>
      <c r="P320" s="184">
        <f>'Deelnemer 17 vtg'!AJ19</f>
        <v>0</v>
      </c>
      <c r="Q320" s="184">
        <f>'Deelnemer 17 vtg'!AK19</f>
        <v>0</v>
      </c>
      <c r="R320" s="161"/>
    </row>
    <row r="321" spans="2:18" ht="16.5" hidden="1" customHeight="1" x14ac:dyDescent="0.3">
      <c r="B321" s="639"/>
      <c r="C321" s="161">
        <v>2</v>
      </c>
      <c r="D321" s="182" t="str">
        <f>'Deelnemer 17 vtg'!A20</f>
        <v/>
      </c>
      <c r="E321" s="183" t="str">
        <f>MID(_xlfn.TEXTJOIN(" ",TRUE,'Deelnemer 17 vtg'!$D$6,$B$320),1,12)</f>
        <v>Deelnemer 17</v>
      </c>
      <c r="F321" s="276">
        <f>'Deelnemer 17 vtg'!$C$7</f>
        <v>0</v>
      </c>
      <c r="G321" s="183" t="str">
        <f>'Deelnemer 17 vtg'!B20</f>
        <v xml:space="preserve"> - </v>
      </c>
      <c r="H321" s="186" t="str">
        <f>VLOOKUP(G321,'Categorie H2 Vtg.'!$B$4:$D$20,3,0)</f>
        <v>-</v>
      </c>
      <c r="I321" s="187">
        <f>'Deelnemer 17 vtg'!E20</f>
        <v>0</v>
      </c>
      <c r="J321" s="180">
        <f>'Deelnemer 17 vtg'!V20</f>
        <v>0</v>
      </c>
      <c r="K321" s="184">
        <f>'Deelnemer 17 vtg'!Z20</f>
        <v>0</v>
      </c>
      <c r="L321" s="184">
        <f>'Deelnemer 17 vtg'!AE20</f>
        <v>0</v>
      </c>
      <c r="M321" s="188">
        <f t="shared" ref="M321:M334" si="34">K321*J321</f>
        <v>0</v>
      </c>
      <c r="N321" s="188">
        <f t="shared" ref="N321:N334" si="35">L321*J321</f>
        <v>0</v>
      </c>
      <c r="O321" s="184">
        <f>'Deelnemer 17 vtg'!AG20</f>
        <v>0</v>
      </c>
      <c r="P321" s="184">
        <f>'Deelnemer 17 vtg'!AJ20</f>
        <v>0</v>
      </c>
      <c r="Q321" s="184">
        <f>'Deelnemer 17 vtg'!AK20</f>
        <v>0</v>
      </c>
    </row>
    <row r="322" spans="2:18" ht="16.5" hidden="1" customHeight="1" x14ac:dyDescent="0.3">
      <c r="B322" s="639"/>
      <c r="C322" s="161">
        <v>3</v>
      </c>
      <c r="D322" s="182" t="str">
        <f>'Deelnemer 17 vtg'!A21</f>
        <v/>
      </c>
      <c r="E322" s="183" t="str">
        <f>MID(_xlfn.TEXTJOIN(" ",TRUE,'Deelnemer 17 vtg'!$D$6,$B$320),1,12)</f>
        <v>Deelnemer 17</v>
      </c>
      <c r="F322" s="276">
        <f>'Deelnemer 17 vtg'!$C$7</f>
        <v>0</v>
      </c>
      <c r="G322" s="183" t="str">
        <f>'Deelnemer 17 vtg'!B21</f>
        <v xml:space="preserve"> - </v>
      </c>
      <c r="H322" s="186" t="str">
        <f>VLOOKUP(G322,'Categorie H2 Vtg.'!$B$4:$D$20,3,0)</f>
        <v>-</v>
      </c>
      <c r="I322" s="187">
        <f>'Deelnemer 17 vtg'!E21</f>
        <v>0</v>
      </c>
      <c r="J322" s="180">
        <f>'Deelnemer 17 vtg'!V21</f>
        <v>0</v>
      </c>
      <c r="K322" s="184">
        <f>'Deelnemer 17 vtg'!Z21</f>
        <v>0</v>
      </c>
      <c r="L322" s="184">
        <f>'Deelnemer 17 vtg'!AE21</f>
        <v>0</v>
      </c>
      <c r="M322" s="188">
        <f t="shared" si="34"/>
        <v>0</v>
      </c>
      <c r="N322" s="188">
        <f t="shared" si="35"/>
        <v>0</v>
      </c>
      <c r="O322" s="184">
        <f>'Deelnemer 17 vtg'!AG21</f>
        <v>0</v>
      </c>
      <c r="P322" s="184">
        <f>'Deelnemer 17 vtg'!AJ21</f>
        <v>0</v>
      </c>
      <c r="Q322" s="184">
        <f>'Deelnemer 17 vtg'!AK21</f>
        <v>0</v>
      </c>
    </row>
    <row r="323" spans="2:18" ht="16.5" hidden="1" customHeight="1" x14ac:dyDescent="0.3">
      <c r="B323" s="639"/>
      <c r="C323" s="161">
        <v>4</v>
      </c>
      <c r="D323" s="182" t="str">
        <f>'Deelnemer 17 vtg'!A22</f>
        <v/>
      </c>
      <c r="E323" s="183" t="str">
        <f>MID(_xlfn.TEXTJOIN(" ",TRUE,'Deelnemer 17 vtg'!$D$6,$B$320),1,12)</f>
        <v>Deelnemer 17</v>
      </c>
      <c r="F323" s="276">
        <f>'Deelnemer 17 vtg'!$C$7</f>
        <v>0</v>
      </c>
      <c r="G323" s="183" t="str">
        <f>'Deelnemer 17 vtg'!B22</f>
        <v xml:space="preserve"> - </v>
      </c>
      <c r="H323" s="186" t="str">
        <f>VLOOKUP(G323,'Categorie H2 Vtg.'!$B$4:$D$20,3,0)</f>
        <v>-</v>
      </c>
      <c r="I323" s="187">
        <f>'Deelnemer 17 vtg'!E22</f>
        <v>0</v>
      </c>
      <c r="J323" s="180">
        <f>'Deelnemer 17 vtg'!V22</f>
        <v>0</v>
      </c>
      <c r="K323" s="184">
        <f>'Deelnemer 17 vtg'!Z22</f>
        <v>0</v>
      </c>
      <c r="L323" s="184">
        <f>'Deelnemer 17 vtg'!AE22</f>
        <v>0</v>
      </c>
      <c r="M323" s="188">
        <f t="shared" si="34"/>
        <v>0</v>
      </c>
      <c r="N323" s="188">
        <f t="shared" si="35"/>
        <v>0</v>
      </c>
      <c r="O323" s="184">
        <f>'Deelnemer 17 vtg'!AG22</f>
        <v>0</v>
      </c>
      <c r="P323" s="184">
        <f>'Deelnemer 17 vtg'!AJ22</f>
        <v>0</v>
      </c>
      <c r="Q323" s="184">
        <f>'Deelnemer 17 vtg'!AK22</f>
        <v>0</v>
      </c>
    </row>
    <row r="324" spans="2:18" ht="16.5" hidden="1" customHeight="1" x14ac:dyDescent="0.3">
      <c r="B324" s="639"/>
      <c r="C324" s="161">
        <v>5</v>
      </c>
      <c r="D324" s="182" t="str">
        <f>'Deelnemer 17 vtg'!A23</f>
        <v/>
      </c>
      <c r="E324" s="183" t="str">
        <f>MID(_xlfn.TEXTJOIN(" ",TRUE,'Deelnemer 17 vtg'!$D$6,$B$320),1,12)</f>
        <v>Deelnemer 17</v>
      </c>
      <c r="F324" s="276">
        <f>'Deelnemer 17 vtg'!$C$7</f>
        <v>0</v>
      </c>
      <c r="G324" s="183" t="str">
        <f>'Deelnemer 17 vtg'!B23</f>
        <v xml:space="preserve"> - </v>
      </c>
      <c r="H324" s="186" t="str">
        <f>VLOOKUP(G324,'Categorie H2 Vtg.'!$B$4:$D$20,3,0)</f>
        <v>-</v>
      </c>
      <c r="I324" s="187">
        <f>'Deelnemer 17 vtg'!E23</f>
        <v>0</v>
      </c>
      <c r="J324" s="180">
        <f>'Deelnemer 17 vtg'!V23</f>
        <v>0</v>
      </c>
      <c r="K324" s="184">
        <f>'Deelnemer 17 vtg'!Z23</f>
        <v>0</v>
      </c>
      <c r="L324" s="184">
        <f>'Deelnemer 17 vtg'!AE23</f>
        <v>0</v>
      </c>
      <c r="M324" s="188">
        <f t="shared" si="34"/>
        <v>0</v>
      </c>
      <c r="N324" s="188">
        <f t="shared" si="35"/>
        <v>0</v>
      </c>
      <c r="O324" s="184">
        <f>'Deelnemer 17 vtg'!AG23</f>
        <v>0</v>
      </c>
      <c r="P324" s="184">
        <f>'Deelnemer 17 vtg'!AJ23</f>
        <v>0</v>
      </c>
      <c r="Q324" s="184">
        <f>'Deelnemer 17 vtg'!AK23</f>
        <v>0</v>
      </c>
    </row>
    <row r="325" spans="2:18" ht="16.5" hidden="1" customHeight="1" x14ac:dyDescent="0.3">
      <c r="B325" s="639"/>
      <c r="C325" s="161">
        <v>6</v>
      </c>
      <c r="D325" s="182" t="str">
        <f>'Deelnemer 17 vtg'!A24</f>
        <v/>
      </c>
      <c r="E325" s="183" t="str">
        <f>MID(_xlfn.TEXTJOIN(" ",TRUE,'Deelnemer 17 vtg'!$D$6,$B$320),1,12)</f>
        <v>Deelnemer 17</v>
      </c>
      <c r="F325" s="276">
        <f>'Deelnemer 17 vtg'!$C$7</f>
        <v>0</v>
      </c>
      <c r="G325" s="183" t="str">
        <f>'Deelnemer 17 vtg'!B24</f>
        <v xml:space="preserve"> - </v>
      </c>
      <c r="H325" s="186" t="str">
        <f>VLOOKUP(G325,'Categorie H2 Vtg.'!$B$4:$D$20,3,0)</f>
        <v>-</v>
      </c>
      <c r="I325" s="187">
        <f>'Deelnemer 17 vtg'!E24</f>
        <v>0</v>
      </c>
      <c r="J325" s="180">
        <f>'Deelnemer 17 vtg'!V24</f>
        <v>0</v>
      </c>
      <c r="K325" s="184">
        <f>'Deelnemer 17 vtg'!Z24</f>
        <v>0</v>
      </c>
      <c r="L325" s="184">
        <f>'Deelnemer 17 vtg'!AE24</f>
        <v>0</v>
      </c>
      <c r="M325" s="188">
        <f t="shared" si="34"/>
        <v>0</v>
      </c>
      <c r="N325" s="188">
        <f t="shared" si="35"/>
        <v>0</v>
      </c>
      <c r="O325" s="184">
        <f>'Deelnemer 17 vtg'!AG24</f>
        <v>0</v>
      </c>
      <c r="P325" s="184">
        <f>'Deelnemer 17 vtg'!AJ24</f>
        <v>0</v>
      </c>
      <c r="Q325" s="184">
        <f>'Deelnemer 17 vtg'!AK24</f>
        <v>0</v>
      </c>
    </row>
    <row r="326" spans="2:18" ht="16.5" hidden="1" customHeight="1" x14ac:dyDescent="0.3">
      <c r="B326" s="639"/>
      <c r="C326" s="161">
        <v>7</v>
      </c>
      <c r="D326" s="182" t="str">
        <f>'Deelnemer 17 vtg'!A25</f>
        <v/>
      </c>
      <c r="E326" s="183" t="str">
        <f>MID(_xlfn.TEXTJOIN(" ",TRUE,'Deelnemer 17 vtg'!$D$6,$B$320),1,12)</f>
        <v>Deelnemer 17</v>
      </c>
      <c r="F326" s="276">
        <f>'Deelnemer 17 vtg'!$C$7</f>
        <v>0</v>
      </c>
      <c r="G326" s="183" t="str">
        <f>'Deelnemer 17 vtg'!B25</f>
        <v xml:space="preserve"> - </v>
      </c>
      <c r="H326" s="186" t="str">
        <f>VLOOKUP(G326,'Categorie H2 Vtg.'!$B$4:$D$20,3,0)</f>
        <v>-</v>
      </c>
      <c r="I326" s="187">
        <f>'Deelnemer 17 vtg'!E25</f>
        <v>0</v>
      </c>
      <c r="J326" s="180">
        <f>'Deelnemer 17 vtg'!V25</f>
        <v>0</v>
      </c>
      <c r="K326" s="184">
        <f>'Deelnemer 17 vtg'!Z25</f>
        <v>0</v>
      </c>
      <c r="L326" s="184">
        <f>'Deelnemer 17 vtg'!AE25</f>
        <v>0</v>
      </c>
      <c r="M326" s="188">
        <f t="shared" si="34"/>
        <v>0</v>
      </c>
      <c r="N326" s="188">
        <f t="shared" si="35"/>
        <v>0</v>
      </c>
      <c r="O326" s="184">
        <f>'Deelnemer 17 vtg'!AG25</f>
        <v>0</v>
      </c>
      <c r="P326" s="184">
        <f>'Deelnemer 17 vtg'!AJ25</f>
        <v>0</v>
      </c>
      <c r="Q326" s="184">
        <f>'Deelnemer 17 vtg'!AK25</f>
        <v>0</v>
      </c>
    </row>
    <row r="327" spans="2:18" ht="16.5" hidden="1" customHeight="1" x14ac:dyDescent="0.3">
      <c r="B327" s="639"/>
      <c r="C327" s="161">
        <v>8</v>
      </c>
      <c r="D327" s="182" t="str">
        <f>'Deelnemer 17 vtg'!A26</f>
        <v/>
      </c>
      <c r="E327" s="183" t="str">
        <f>MID(_xlfn.TEXTJOIN(" ",TRUE,'Deelnemer 17 vtg'!$D$6,$B$320),1,12)</f>
        <v>Deelnemer 17</v>
      </c>
      <c r="F327" s="276">
        <f>'Deelnemer 17 vtg'!$C$7</f>
        <v>0</v>
      </c>
      <c r="G327" s="183" t="str">
        <f>'Deelnemer 17 vtg'!B26</f>
        <v xml:space="preserve"> - </v>
      </c>
      <c r="H327" s="186" t="str">
        <f>VLOOKUP(G327,'Categorie H2 Vtg.'!$B$4:$D$20,3,0)</f>
        <v>-</v>
      </c>
      <c r="I327" s="187">
        <f>'Deelnemer 17 vtg'!E26</f>
        <v>0</v>
      </c>
      <c r="J327" s="180">
        <f>'Deelnemer 17 vtg'!V26</f>
        <v>0</v>
      </c>
      <c r="K327" s="184">
        <f>'Deelnemer 17 vtg'!Z26</f>
        <v>0</v>
      </c>
      <c r="L327" s="184">
        <f>'Deelnemer 17 vtg'!AE26</f>
        <v>0</v>
      </c>
      <c r="M327" s="188">
        <f t="shared" si="34"/>
        <v>0</v>
      </c>
      <c r="N327" s="188">
        <f t="shared" si="35"/>
        <v>0</v>
      </c>
      <c r="O327" s="184">
        <f>'Deelnemer 17 vtg'!AG26</f>
        <v>0</v>
      </c>
      <c r="P327" s="184">
        <f>'Deelnemer 17 vtg'!AJ26</f>
        <v>0</v>
      </c>
      <c r="Q327" s="184">
        <f>'Deelnemer 17 vtg'!AK26</f>
        <v>0</v>
      </c>
    </row>
    <row r="328" spans="2:18" ht="16.5" hidden="1" customHeight="1" x14ac:dyDescent="0.3">
      <c r="B328" s="639"/>
      <c r="C328" s="161">
        <v>9</v>
      </c>
      <c r="D328" s="182" t="str">
        <f>'Deelnemer 17 vtg'!A27</f>
        <v/>
      </c>
      <c r="E328" s="183" t="str">
        <f>MID(_xlfn.TEXTJOIN(" ",TRUE,'Deelnemer 17 vtg'!$D$6,$B$320),1,12)</f>
        <v>Deelnemer 17</v>
      </c>
      <c r="F328" s="276">
        <f>'Deelnemer 17 vtg'!$C$7</f>
        <v>0</v>
      </c>
      <c r="G328" s="183" t="str">
        <f>'Deelnemer 17 vtg'!B27</f>
        <v xml:space="preserve"> - </v>
      </c>
      <c r="H328" s="186" t="str">
        <f>VLOOKUP(G328,'Categorie H2 Vtg.'!$B$4:$D$20,3,0)</f>
        <v>-</v>
      </c>
      <c r="I328" s="187">
        <f>'Deelnemer 17 vtg'!E27</f>
        <v>0</v>
      </c>
      <c r="J328" s="180">
        <f>'Deelnemer 17 vtg'!V27</f>
        <v>0</v>
      </c>
      <c r="K328" s="184">
        <f>'Deelnemer 17 vtg'!Z27</f>
        <v>0</v>
      </c>
      <c r="L328" s="184">
        <f>'Deelnemer 17 vtg'!AE27</f>
        <v>0</v>
      </c>
      <c r="M328" s="188">
        <f t="shared" si="34"/>
        <v>0</v>
      </c>
      <c r="N328" s="188">
        <f t="shared" si="35"/>
        <v>0</v>
      </c>
      <c r="O328" s="184">
        <f>'Deelnemer 17 vtg'!AG27</f>
        <v>0</v>
      </c>
      <c r="P328" s="184">
        <f>'Deelnemer 17 vtg'!AJ27</f>
        <v>0</v>
      </c>
      <c r="Q328" s="184">
        <f>'Deelnemer 17 vtg'!AK27</f>
        <v>0</v>
      </c>
    </row>
    <row r="329" spans="2:18" ht="16.5" hidden="1" customHeight="1" x14ac:dyDescent="0.3">
      <c r="B329" s="639"/>
      <c r="C329" s="161">
        <v>10</v>
      </c>
      <c r="D329" s="182" t="str">
        <f>'Deelnemer 17 vtg'!A28</f>
        <v/>
      </c>
      <c r="E329" s="183" t="str">
        <f>MID(_xlfn.TEXTJOIN(" ",TRUE,'Deelnemer 17 vtg'!$D$6,$B$320),1,12)</f>
        <v>Deelnemer 17</v>
      </c>
      <c r="F329" s="276">
        <f>'Deelnemer 17 vtg'!$C$7</f>
        <v>0</v>
      </c>
      <c r="G329" s="183" t="str">
        <f>'Deelnemer 17 vtg'!B28</f>
        <v xml:space="preserve"> - </v>
      </c>
      <c r="H329" s="186" t="str">
        <f>VLOOKUP(G329,'Categorie H2 Vtg.'!$B$4:$D$20,3,0)</f>
        <v>-</v>
      </c>
      <c r="I329" s="187">
        <f>'Deelnemer 17 vtg'!E28</f>
        <v>0</v>
      </c>
      <c r="J329" s="180">
        <f>'Deelnemer 17 vtg'!V28</f>
        <v>0</v>
      </c>
      <c r="K329" s="184">
        <f>'Deelnemer 17 vtg'!Z28</f>
        <v>0</v>
      </c>
      <c r="L329" s="184">
        <f>'Deelnemer 17 vtg'!AE28</f>
        <v>0</v>
      </c>
      <c r="M329" s="188">
        <f t="shared" si="34"/>
        <v>0</v>
      </c>
      <c r="N329" s="188">
        <f t="shared" si="35"/>
        <v>0</v>
      </c>
      <c r="O329" s="184">
        <f>'Deelnemer 17 vtg'!AG28</f>
        <v>0</v>
      </c>
      <c r="P329" s="184">
        <f>'Deelnemer 17 vtg'!AJ28</f>
        <v>0</v>
      </c>
      <c r="Q329" s="184">
        <f>'Deelnemer 17 vtg'!AK28</f>
        <v>0</v>
      </c>
    </row>
    <row r="330" spans="2:18" ht="16.5" hidden="1" customHeight="1" x14ac:dyDescent="0.3">
      <c r="B330" s="639"/>
      <c r="C330" s="161">
        <v>11</v>
      </c>
      <c r="D330" s="182" t="str">
        <f>'Deelnemer 17 vtg'!A29</f>
        <v/>
      </c>
      <c r="E330" s="183" t="str">
        <f>MID(_xlfn.TEXTJOIN(" ",TRUE,'Deelnemer 17 vtg'!$D$6,$B$320),1,12)</f>
        <v>Deelnemer 17</v>
      </c>
      <c r="F330" s="276">
        <f>'Deelnemer 17 vtg'!$C$7</f>
        <v>0</v>
      </c>
      <c r="G330" s="183" t="str">
        <f>'Deelnemer 17 vtg'!B29</f>
        <v xml:space="preserve"> - </v>
      </c>
      <c r="H330" s="186" t="str">
        <f>VLOOKUP(G330,'Categorie H2 Vtg.'!$B$4:$D$20,3,0)</f>
        <v>-</v>
      </c>
      <c r="I330" s="187">
        <f>'Deelnemer 17 vtg'!E29</f>
        <v>0</v>
      </c>
      <c r="J330" s="180">
        <f>'Deelnemer 17 vtg'!V29</f>
        <v>0</v>
      </c>
      <c r="K330" s="184">
        <f>'Deelnemer 17 vtg'!Z29</f>
        <v>0</v>
      </c>
      <c r="L330" s="184">
        <f>'Deelnemer 17 vtg'!AE29</f>
        <v>0</v>
      </c>
      <c r="M330" s="188">
        <f t="shared" si="34"/>
        <v>0</v>
      </c>
      <c r="N330" s="188">
        <f t="shared" si="35"/>
        <v>0</v>
      </c>
      <c r="O330" s="184">
        <f>'Deelnemer 17 vtg'!AG29</f>
        <v>0</v>
      </c>
      <c r="P330" s="184">
        <f>'Deelnemer 17 vtg'!AJ29</f>
        <v>0</v>
      </c>
      <c r="Q330" s="184">
        <f>'Deelnemer 17 vtg'!AK29</f>
        <v>0</v>
      </c>
    </row>
    <row r="331" spans="2:18" ht="16.5" hidden="1" customHeight="1" x14ac:dyDescent="0.3">
      <c r="B331" s="639"/>
      <c r="C331" s="161">
        <v>12</v>
      </c>
      <c r="D331" s="182" t="str">
        <f>'Deelnemer 17 vtg'!A30</f>
        <v/>
      </c>
      <c r="E331" s="183" t="str">
        <f>MID(_xlfn.TEXTJOIN(" ",TRUE,'Deelnemer 17 vtg'!$D$6,$B$320),1,12)</f>
        <v>Deelnemer 17</v>
      </c>
      <c r="F331" s="276">
        <f>'Deelnemer 17 vtg'!$C$7</f>
        <v>0</v>
      </c>
      <c r="G331" s="183" t="str">
        <f>'Deelnemer 17 vtg'!B30</f>
        <v xml:space="preserve"> - </v>
      </c>
      <c r="H331" s="186" t="str">
        <f>VLOOKUP(G331,'Categorie H2 Vtg.'!$B$4:$D$20,3,0)</f>
        <v>-</v>
      </c>
      <c r="I331" s="187">
        <f>'Deelnemer 17 vtg'!E30</f>
        <v>0</v>
      </c>
      <c r="J331" s="180">
        <f>'Deelnemer 17 vtg'!V30</f>
        <v>0</v>
      </c>
      <c r="K331" s="184">
        <f>'Deelnemer 17 vtg'!Z30</f>
        <v>0</v>
      </c>
      <c r="L331" s="184">
        <f>'Deelnemer 17 vtg'!AE30</f>
        <v>0</v>
      </c>
      <c r="M331" s="188">
        <f t="shared" si="34"/>
        <v>0</v>
      </c>
      <c r="N331" s="188">
        <f t="shared" si="35"/>
        <v>0</v>
      </c>
      <c r="O331" s="184">
        <f>'Deelnemer 17 vtg'!AG30</f>
        <v>0</v>
      </c>
      <c r="P331" s="184">
        <f>'Deelnemer 17 vtg'!AJ30</f>
        <v>0</v>
      </c>
      <c r="Q331" s="184">
        <f>'Deelnemer 17 vtg'!AK30</f>
        <v>0</v>
      </c>
    </row>
    <row r="332" spans="2:18" ht="16.5" hidden="1" customHeight="1" x14ac:dyDescent="0.3">
      <c r="B332" s="639"/>
      <c r="C332" s="161">
        <v>13</v>
      </c>
      <c r="D332" s="182" t="str">
        <f>'Deelnemer 17 vtg'!A31</f>
        <v/>
      </c>
      <c r="E332" s="183" t="str">
        <f>MID(_xlfn.TEXTJOIN(" ",TRUE,'Deelnemer 17 vtg'!$D$6,$B$320),1,12)</f>
        <v>Deelnemer 17</v>
      </c>
      <c r="F332" s="276">
        <f>'Deelnemer 17 vtg'!$C$7</f>
        <v>0</v>
      </c>
      <c r="G332" s="183" t="str">
        <f>'Deelnemer 17 vtg'!B31</f>
        <v xml:space="preserve"> - </v>
      </c>
      <c r="H332" s="186" t="str">
        <f>VLOOKUP(G332,'Categorie H2 Vtg.'!$B$4:$D$20,3,0)</f>
        <v>-</v>
      </c>
      <c r="I332" s="187">
        <f>'Deelnemer 17 vtg'!E31</f>
        <v>0</v>
      </c>
      <c r="J332" s="180">
        <f>'Deelnemer 17 vtg'!V31</f>
        <v>0</v>
      </c>
      <c r="K332" s="184">
        <f>'Deelnemer 17 vtg'!Z31</f>
        <v>0</v>
      </c>
      <c r="L332" s="184">
        <f>'Deelnemer 17 vtg'!AE31</f>
        <v>0</v>
      </c>
      <c r="M332" s="188">
        <f t="shared" si="34"/>
        <v>0</v>
      </c>
      <c r="N332" s="188">
        <f t="shared" si="35"/>
        <v>0</v>
      </c>
      <c r="O332" s="184">
        <f>'Deelnemer 17 vtg'!AG31</f>
        <v>0</v>
      </c>
      <c r="P332" s="184">
        <f>'Deelnemer 17 vtg'!AJ31</f>
        <v>0</v>
      </c>
      <c r="Q332" s="184">
        <f>'Deelnemer 17 vtg'!AK31</f>
        <v>0</v>
      </c>
    </row>
    <row r="333" spans="2:18" ht="16.5" hidden="1" customHeight="1" x14ac:dyDescent="0.3">
      <c r="B333" s="639"/>
      <c r="C333" s="161">
        <v>14</v>
      </c>
      <c r="D333" s="182" t="str">
        <f>'Deelnemer 17 vtg'!A32</f>
        <v/>
      </c>
      <c r="E333" s="183" t="str">
        <f>MID(_xlfn.TEXTJOIN(" ",TRUE,'Deelnemer 17 vtg'!$D$6,$B$320),1,12)</f>
        <v>Deelnemer 17</v>
      </c>
      <c r="F333" s="276">
        <f>'Deelnemer 17 vtg'!$C$7</f>
        <v>0</v>
      </c>
      <c r="G333" s="183" t="str">
        <f>'Deelnemer 17 vtg'!B32</f>
        <v xml:space="preserve"> - </v>
      </c>
      <c r="H333" s="186" t="str">
        <f>VLOOKUP(G333,'Categorie H2 Vtg.'!$B$4:$D$20,3,0)</f>
        <v>-</v>
      </c>
      <c r="I333" s="187">
        <f>'Deelnemer 17 vtg'!E32</f>
        <v>0</v>
      </c>
      <c r="J333" s="180">
        <f>'Deelnemer 17 vtg'!V32</f>
        <v>0</v>
      </c>
      <c r="K333" s="184">
        <f>'Deelnemer 17 vtg'!Z32</f>
        <v>0</v>
      </c>
      <c r="L333" s="184">
        <f>'Deelnemer 17 vtg'!AE32</f>
        <v>0</v>
      </c>
      <c r="M333" s="188">
        <f t="shared" si="34"/>
        <v>0</v>
      </c>
      <c r="N333" s="188">
        <f t="shared" si="35"/>
        <v>0</v>
      </c>
      <c r="O333" s="184">
        <f>'Deelnemer 17 vtg'!AG32</f>
        <v>0</v>
      </c>
      <c r="P333" s="184">
        <f>'Deelnemer 17 vtg'!AJ32</f>
        <v>0</v>
      </c>
      <c r="Q333" s="184">
        <f>'Deelnemer 17 vtg'!AK32</f>
        <v>0</v>
      </c>
    </row>
    <row r="334" spans="2:18" ht="16.5" hidden="1" customHeight="1" x14ac:dyDescent="0.3">
      <c r="B334" s="639"/>
      <c r="C334" s="161">
        <v>15</v>
      </c>
      <c r="D334" s="182" t="str">
        <f>'Deelnemer 17 vtg'!A33</f>
        <v/>
      </c>
      <c r="E334" s="183" t="str">
        <f>MID(_xlfn.TEXTJOIN(" ",TRUE,'Deelnemer 17 vtg'!$D$6,$B$320),1,12)</f>
        <v>Deelnemer 17</v>
      </c>
      <c r="F334" s="276">
        <f>'Deelnemer 17 vtg'!$C$7</f>
        <v>0</v>
      </c>
      <c r="G334" s="183" t="str">
        <f>'Deelnemer 17 vtg'!B33</f>
        <v xml:space="preserve"> - </v>
      </c>
      <c r="H334" s="186" t="str">
        <f>VLOOKUP(G334,'Categorie H2 Vtg.'!$B$4:$D$20,3,0)</f>
        <v>-</v>
      </c>
      <c r="I334" s="187">
        <f>'Deelnemer 17 vtg'!E33</f>
        <v>0</v>
      </c>
      <c r="J334" s="180">
        <f>'Deelnemer 17 vtg'!V33</f>
        <v>0</v>
      </c>
      <c r="K334" s="184">
        <f>'Deelnemer 17 vtg'!Z33</f>
        <v>0</v>
      </c>
      <c r="L334" s="184">
        <f>'Deelnemer 17 vtg'!AE33</f>
        <v>0</v>
      </c>
      <c r="M334" s="188">
        <f t="shared" si="34"/>
        <v>0</v>
      </c>
      <c r="N334" s="188">
        <f t="shared" si="35"/>
        <v>0</v>
      </c>
      <c r="O334" s="184">
        <f>'Deelnemer 17 vtg'!AG33</f>
        <v>0</v>
      </c>
      <c r="P334" s="184">
        <f>'Deelnemer 17 vtg'!AJ33</f>
        <v>0</v>
      </c>
      <c r="Q334" s="184">
        <f>'Deelnemer 17 vtg'!AK33</f>
        <v>0</v>
      </c>
    </row>
    <row r="335" spans="2:18" s="181" customFormat="1" ht="16.5" hidden="1" customHeight="1" x14ac:dyDescent="0.3">
      <c r="B335" s="639">
        <f t="shared" ref="B335:B395" si="36">B320+1</f>
        <v>18</v>
      </c>
      <c r="C335" s="189">
        <v>1</v>
      </c>
      <c r="D335" s="182" t="str">
        <f>'Deelnemer 18 vtg'!A19</f>
        <v/>
      </c>
      <c r="E335" s="183" t="str">
        <f>MID(_xlfn.TEXTJOIN(" ",TRUE,'Deelnemer 18 vtg'!$D$6,$B$335),1,12)</f>
        <v>Deelnemer 18</v>
      </c>
      <c r="F335" s="276">
        <f>'Deelnemer 18 vtg'!$C$7</f>
        <v>0</v>
      </c>
      <c r="G335" s="183" t="str">
        <f>'Deelnemer 18 vtg'!B19</f>
        <v xml:space="preserve"> - </v>
      </c>
      <c r="H335" s="183" t="str">
        <f>VLOOKUP(G335,'Categorie H2 Vtg.'!$B$4:$D$20,3,0)</f>
        <v>-</v>
      </c>
      <c r="I335" s="187">
        <f>'Deelnemer 18 vtg'!E19</f>
        <v>0</v>
      </c>
      <c r="J335" s="180">
        <f>'Deelnemer 18 vtg'!V19</f>
        <v>0</v>
      </c>
      <c r="K335" s="184">
        <f>'Deelnemer 18 vtg'!Z19</f>
        <v>0</v>
      </c>
      <c r="L335" s="184">
        <f>'Deelnemer 18 vtg'!AE19</f>
        <v>0</v>
      </c>
      <c r="M335" s="184">
        <f>K335*J335</f>
        <v>0</v>
      </c>
      <c r="N335" s="184">
        <f>L335*J335</f>
        <v>0</v>
      </c>
      <c r="O335" s="184">
        <f>'Deelnemer 18 vtg'!AG19</f>
        <v>0</v>
      </c>
      <c r="P335" s="184">
        <f>'Deelnemer 18 vtg'!AJ19</f>
        <v>0</v>
      </c>
      <c r="Q335" s="184">
        <f>'Deelnemer 18 vtg'!AK19</f>
        <v>0</v>
      </c>
      <c r="R335" s="161"/>
    </row>
    <row r="336" spans="2:18" ht="16.5" hidden="1" customHeight="1" x14ac:dyDescent="0.3">
      <c r="B336" s="639"/>
      <c r="C336" s="161">
        <v>2</v>
      </c>
      <c r="D336" s="182" t="str">
        <f>'Deelnemer 18 vtg'!A20</f>
        <v/>
      </c>
      <c r="E336" s="183" t="str">
        <f>MID(_xlfn.TEXTJOIN(" ",TRUE,'Deelnemer 18 vtg'!$D$6,$B$335),1,12)</f>
        <v>Deelnemer 18</v>
      </c>
      <c r="F336" s="276">
        <f>'Deelnemer 18 vtg'!$C$7</f>
        <v>0</v>
      </c>
      <c r="G336" s="183" t="str">
        <f>'Deelnemer 18 vtg'!B20</f>
        <v xml:space="preserve"> - </v>
      </c>
      <c r="H336" s="186" t="str">
        <f>VLOOKUP(G336,'Categorie H2 Vtg.'!$B$4:$D$20,3,0)</f>
        <v>-</v>
      </c>
      <c r="I336" s="187">
        <f>'Deelnemer 18 vtg'!E20</f>
        <v>0</v>
      </c>
      <c r="J336" s="180">
        <f>'Deelnemer 18 vtg'!V20</f>
        <v>0</v>
      </c>
      <c r="K336" s="184">
        <f>'Deelnemer 18 vtg'!Z20</f>
        <v>0</v>
      </c>
      <c r="L336" s="184">
        <f>'Deelnemer 18 vtg'!AE20</f>
        <v>0</v>
      </c>
      <c r="M336" s="188">
        <f t="shared" ref="M336:M349" si="37">K336*J336</f>
        <v>0</v>
      </c>
      <c r="N336" s="188">
        <f t="shared" ref="N336:N349" si="38">L336*J336</f>
        <v>0</v>
      </c>
      <c r="O336" s="184">
        <f>'Deelnemer 18 vtg'!AG20</f>
        <v>0</v>
      </c>
      <c r="P336" s="184">
        <f>'Deelnemer 18 vtg'!AJ20</f>
        <v>0</v>
      </c>
      <c r="Q336" s="184">
        <f>'Deelnemer 18 vtg'!AK20</f>
        <v>0</v>
      </c>
    </row>
    <row r="337" spans="2:18" ht="16.5" hidden="1" customHeight="1" x14ac:dyDescent="0.3">
      <c r="B337" s="639"/>
      <c r="C337" s="161">
        <v>3</v>
      </c>
      <c r="D337" s="182" t="str">
        <f>'Deelnemer 18 vtg'!A21</f>
        <v/>
      </c>
      <c r="E337" s="183" t="str">
        <f>MID(_xlfn.TEXTJOIN(" ",TRUE,'Deelnemer 18 vtg'!$D$6,$B$335),1,12)</f>
        <v>Deelnemer 18</v>
      </c>
      <c r="F337" s="276">
        <f>'Deelnemer 18 vtg'!$C$7</f>
        <v>0</v>
      </c>
      <c r="G337" s="183" t="str">
        <f>'Deelnemer 18 vtg'!B21</f>
        <v xml:space="preserve"> - </v>
      </c>
      <c r="H337" s="186" t="str">
        <f>VLOOKUP(G337,'Categorie H2 Vtg.'!$B$4:$D$20,3,0)</f>
        <v>-</v>
      </c>
      <c r="I337" s="187">
        <f>'Deelnemer 18 vtg'!E21</f>
        <v>0</v>
      </c>
      <c r="J337" s="180">
        <f>'Deelnemer 18 vtg'!V21</f>
        <v>0</v>
      </c>
      <c r="K337" s="184">
        <f>'Deelnemer 18 vtg'!Z21</f>
        <v>0</v>
      </c>
      <c r="L337" s="184">
        <f>'Deelnemer 18 vtg'!AE21</f>
        <v>0</v>
      </c>
      <c r="M337" s="188">
        <f t="shared" si="37"/>
        <v>0</v>
      </c>
      <c r="N337" s="188">
        <f t="shared" si="38"/>
        <v>0</v>
      </c>
      <c r="O337" s="184">
        <f>'Deelnemer 18 vtg'!AG21</f>
        <v>0</v>
      </c>
      <c r="P337" s="184">
        <f>'Deelnemer 18 vtg'!AJ21</f>
        <v>0</v>
      </c>
      <c r="Q337" s="184">
        <f>'Deelnemer 18 vtg'!AK21</f>
        <v>0</v>
      </c>
    </row>
    <row r="338" spans="2:18" ht="16.5" hidden="1" customHeight="1" x14ac:dyDescent="0.3">
      <c r="B338" s="639"/>
      <c r="C338" s="161">
        <v>4</v>
      </c>
      <c r="D338" s="182" t="str">
        <f>'Deelnemer 18 vtg'!A22</f>
        <v/>
      </c>
      <c r="E338" s="183" t="str">
        <f>MID(_xlfn.TEXTJOIN(" ",TRUE,'Deelnemer 18 vtg'!$D$6,$B$335),1,12)</f>
        <v>Deelnemer 18</v>
      </c>
      <c r="F338" s="276">
        <f>'Deelnemer 18 vtg'!$C$7</f>
        <v>0</v>
      </c>
      <c r="G338" s="183" t="str">
        <f>'Deelnemer 18 vtg'!B22</f>
        <v xml:space="preserve"> - </v>
      </c>
      <c r="H338" s="186" t="str">
        <f>VLOOKUP(G338,'Categorie H2 Vtg.'!$B$4:$D$20,3,0)</f>
        <v>-</v>
      </c>
      <c r="I338" s="187">
        <f>'Deelnemer 18 vtg'!E22</f>
        <v>0</v>
      </c>
      <c r="J338" s="180">
        <f>'Deelnemer 18 vtg'!V22</f>
        <v>0</v>
      </c>
      <c r="K338" s="184">
        <f>'Deelnemer 18 vtg'!Z22</f>
        <v>0</v>
      </c>
      <c r="L338" s="184">
        <f>'Deelnemer 18 vtg'!AE22</f>
        <v>0</v>
      </c>
      <c r="M338" s="188">
        <f t="shared" si="37"/>
        <v>0</v>
      </c>
      <c r="N338" s="188">
        <f t="shared" si="38"/>
        <v>0</v>
      </c>
      <c r="O338" s="184">
        <f>'Deelnemer 18 vtg'!AG22</f>
        <v>0</v>
      </c>
      <c r="P338" s="184">
        <f>'Deelnemer 18 vtg'!AJ22</f>
        <v>0</v>
      </c>
      <c r="Q338" s="184">
        <f>'Deelnemer 18 vtg'!AK22</f>
        <v>0</v>
      </c>
    </row>
    <row r="339" spans="2:18" ht="16.5" hidden="1" customHeight="1" x14ac:dyDescent="0.3">
      <c r="B339" s="639"/>
      <c r="C339" s="161">
        <v>5</v>
      </c>
      <c r="D339" s="182" t="str">
        <f>'Deelnemer 18 vtg'!A23</f>
        <v/>
      </c>
      <c r="E339" s="183" t="str">
        <f>MID(_xlfn.TEXTJOIN(" ",TRUE,'Deelnemer 18 vtg'!$D$6,$B$335),1,12)</f>
        <v>Deelnemer 18</v>
      </c>
      <c r="F339" s="276">
        <f>'Deelnemer 18 vtg'!$C$7</f>
        <v>0</v>
      </c>
      <c r="G339" s="183" t="str">
        <f>'Deelnemer 18 vtg'!B23</f>
        <v xml:space="preserve"> - </v>
      </c>
      <c r="H339" s="186" t="str">
        <f>VLOOKUP(G339,'Categorie H2 Vtg.'!$B$4:$D$20,3,0)</f>
        <v>-</v>
      </c>
      <c r="I339" s="187">
        <f>'Deelnemer 18 vtg'!E23</f>
        <v>0</v>
      </c>
      <c r="J339" s="180">
        <f>'Deelnemer 18 vtg'!V23</f>
        <v>0</v>
      </c>
      <c r="K339" s="184">
        <f>'Deelnemer 18 vtg'!Z23</f>
        <v>0</v>
      </c>
      <c r="L339" s="184">
        <f>'Deelnemer 18 vtg'!AE23</f>
        <v>0</v>
      </c>
      <c r="M339" s="188">
        <f t="shared" si="37"/>
        <v>0</v>
      </c>
      <c r="N339" s="188">
        <f t="shared" si="38"/>
        <v>0</v>
      </c>
      <c r="O339" s="184">
        <f>'Deelnemer 18 vtg'!AG23</f>
        <v>0</v>
      </c>
      <c r="P339" s="184">
        <f>'Deelnemer 18 vtg'!AJ23</f>
        <v>0</v>
      </c>
      <c r="Q339" s="184">
        <f>'Deelnemer 18 vtg'!AK23</f>
        <v>0</v>
      </c>
    </row>
    <row r="340" spans="2:18" ht="16.5" hidden="1" customHeight="1" x14ac:dyDescent="0.3">
      <c r="B340" s="639"/>
      <c r="C340" s="161">
        <v>6</v>
      </c>
      <c r="D340" s="182" t="str">
        <f>'Deelnemer 18 vtg'!A24</f>
        <v/>
      </c>
      <c r="E340" s="183" t="str">
        <f>MID(_xlfn.TEXTJOIN(" ",TRUE,'Deelnemer 18 vtg'!$D$6,$B$335),1,12)</f>
        <v>Deelnemer 18</v>
      </c>
      <c r="F340" s="276">
        <f>'Deelnemer 18 vtg'!$C$7</f>
        <v>0</v>
      </c>
      <c r="G340" s="183" t="str">
        <f>'Deelnemer 18 vtg'!B24</f>
        <v xml:space="preserve"> - </v>
      </c>
      <c r="H340" s="186" t="str">
        <f>VLOOKUP(G340,'Categorie H2 Vtg.'!$B$4:$D$20,3,0)</f>
        <v>-</v>
      </c>
      <c r="I340" s="187">
        <f>'Deelnemer 18 vtg'!E24</f>
        <v>0</v>
      </c>
      <c r="J340" s="180">
        <f>'Deelnemer 18 vtg'!V24</f>
        <v>0</v>
      </c>
      <c r="K340" s="184">
        <f>'Deelnemer 18 vtg'!Z24</f>
        <v>0</v>
      </c>
      <c r="L340" s="184">
        <f>'Deelnemer 18 vtg'!AE24</f>
        <v>0</v>
      </c>
      <c r="M340" s="188">
        <f t="shared" si="37"/>
        <v>0</v>
      </c>
      <c r="N340" s="188">
        <f t="shared" si="38"/>
        <v>0</v>
      </c>
      <c r="O340" s="184">
        <f>'Deelnemer 18 vtg'!AG24</f>
        <v>0</v>
      </c>
      <c r="P340" s="184">
        <f>'Deelnemer 18 vtg'!AJ24</f>
        <v>0</v>
      </c>
      <c r="Q340" s="184">
        <f>'Deelnemer 18 vtg'!AK24</f>
        <v>0</v>
      </c>
    </row>
    <row r="341" spans="2:18" ht="16.5" hidden="1" customHeight="1" x14ac:dyDescent="0.3">
      <c r="B341" s="639"/>
      <c r="C341" s="161">
        <v>7</v>
      </c>
      <c r="D341" s="182" t="str">
        <f>'Deelnemer 18 vtg'!A25</f>
        <v/>
      </c>
      <c r="E341" s="183" t="str">
        <f>MID(_xlfn.TEXTJOIN(" ",TRUE,'Deelnemer 18 vtg'!$D$6,$B$335),1,12)</f>
        <v>Deelnemer 18</v>
      </c>
      <c r="F341" s="276">
        <f>'Deelnemer 18 vtg'!$C$7</f>
        <v>0</v>
      </c>
      <c r="G341" s="183" t="str">
        <f>'Deelnemer 18 vtg'!B25</f>
        <v xml:space="preserve"> - </v>
      </c>
      <c r="H341" s="186" t="str">
        <f>VLOOKUP(G341,'Categorie H2 Vtg.'!$B$4:$D$20,3,0)</f>
        <v>-</v>
      </c>
      <c r="I341" s="187">
        <f>'Deelnemer 18 vtg'!E25</f>
        <v>0</v>
      </c>
      <c r="J341" s="180">
        <f>'Deelnemer 18 vtg'!V25</f>
        <v>0</v>
      </c>
      <c r="K341" s="184">
        <f>'Deelnemer 18 vtg'!Z25</f>
        <v>0</v>
      </c>
      <c r="L341" s="184">
        <f>'Deelnemer 18 vtg'!AE25</f>
        <v>0</v>
      </c>
      <c r="M341" s="188">
        <f t="shared" si="37"/>
        <v>0</v>
      </c>
      <c r="N341" s="188">
        <f t="shared" si="38"/>
        <v>0</v>
      </c>
      <c r="O341" s="184">
        <f>'Deelnemer 18 vtg'!AG25</f>
        <v>0</v>
      </c>
      <c r="P341" s="184">
        <f>'Deelnemer 18 vtg'!AJ25</f>
        <v>0</v>
      </c>
      <c r="Q341" s="184">
        <f>'Deelnemer 18 vtg'!AK25</f>
        <v>0</v>
      </c>
    </row>
    <row r="342" spans="2:18" ht="16.5" hidden="1" customHeight="1" x14ac:dyDescent="0.3">
      <c r="B342" s="639"/>
      <c r="C342" s="161">
        <v>8</v>
      </c>
      <c r="D342" s="182" t="str">
        <f>'Deelnemer 18 vtg'!A26</f>
        <v/>
      </c>
      <c r="E342" s="183" t="str">
        <f>MID(_xlfn.TEXTJOIN(" ",TRUE,'Deelnemer 18 vtg'!$D$6,$B$335),1,12)</f>
        <v>Deelnemer 18</v>
      </c>
      <c r="F342" s="276">
        <f>'Deelnemer 18 vtg'!$C$7</f>
        <v>0</v>
      </c>
      <c r="G342" s="183" t="str">
        <f>'Deelnemer 18 vtg'!B26</f>
        <v xml:space="preserve"> - </v>
      </c>
      <c r="H342" s="186" t="str">
        <f>VLOOKUP(G342,'Categorie H2 Vtg.'!$B$4:$D$20,3,0)</f>
        <v>-</v>
      </c>
      <c r="I342" s="187">
        <f>'Deelnemer 18 vtg'!E26</f>
        <v>0</v>
      </c>
      <c r="J342" s="180">
        <f>'Deelnemer 18 vtg'!V26</f>
        <v>0</v>
      </c>
      <c r="K342" s="184">
        <f>'Deelnemer 18 vtg'!Z26</f>
        <v>0</v>
      </c>
      <c r="L342" s="184">
        <f>'Deelnemer 18 vtg'!AE26</f>
        <v>0</v>
      </c>
      <c r="M342" s="188">
        <f t="shared" si="37"/>
        <v>0</v>
      </c>
      <c r="N342" s="188">
        <f t="shared" si="38"/>
        <v>0</v>
      </c>
      <c r="O342" s="184">
        <f>'Deelnemer 18 vtg'!AG26</f>
        <v>0</v>
      </c>
      <c r="P342" s="184">
        <f>'Deelnemer 18 vtg'!AJ26</f>
        <v>0</v>
      </c>
      <c r="Q342" s="184">
        <f>'Deelnemer 18 vtg'!AK26</f>
        <v>0</v>
      </c>
    </row>
    <row r="343" spans="2:18" ht="16.5" hidden="1" customHeight="1" x14ac:dyDescent="0.3">
      <c r="B343" s="639"/>
      <c r="C343" s="161">
        <v>9</v>
      </c>
      <c r="D343" s="182" t="str">
        <f>'Deelnemer 18 vtg'!A27</f>
        <v/>
      </c>
      <c r="E343" s="183" t="str">
        <f>MID(_xlfn.TEXTJOIN(" ",TRUE,'Deelnemer 18 vtg'!$D$6,$B$335),1,12)</f>
        <v>Deelnemer 18</v>
      </c>
      <c r="F343" s="276">
        <f>'Deelnemer 18 vtg'!$C$7</f>
        <v>0</v>
      </c>
      <c r="G343" s="183" t="str">
        <f>'Deelnemer 18 vtg'!B27</f>
        <v xml:space="preserve"> - </v>
      </c>
      <c r="H343" s="186" t="str">
        <f>VLOOKUP(G343,'Categorie H2 Vtg.'!$B$4:$D$20,3,0)</f>
        <v>-</v>
      </c>
      <c r="I343" s="187">
        <f>'Deelnemer 18 vtg'!E27</f>
        <v>0</v>
      </c>
      <c r="J343" s="180">
        <f>'Deelnemer 18 vtg'!V27</f>
        <v>0</v>
      </c>
      <c r="K343" s="184">
        <f>'Deelnemer 18 vtg'!Z27</f>
        <v>0</v>
      </c>
      <c r="L343" s="184">
        <f>'Deelnemer 18 vtg'!AE27</f>
        <v>0</v>
      </c>
      <c r="M343" s="188">
        <f t="shared" si="37"/>
        <v>0</v>
      </c>
      <c r="N343" s="188">
        <f t="shared" si="38"/>
        <v>0</v>
      </c>
      <c r="O343" s="184">
        <f>'Deelnemer 18 vtg'!AG27</f>
        <v>0</v>
      </c>
      <c r="P343" s="184">
        <f>'Deelnemer 18 vtg'!AJ27</f>
        <v>0</v>
      </c>
      <c r="Q343" s="184">
        <f>'Deelnemer 18 vtg'!AK27</f>
        <v>0</v>
      </c>
    </row>
    <row r="344" spans="2:18" ht="16.5" hidden="1" customHeight="1" x14ac:dyDescent="0.3">
      <c r="B344" s="639"/>
      <c r="C344" s="161">
        <v>10</v>
      </c>
      <c r="D344" s="182" t="str">
        <f>'Deelnemer 18 vtg'!A28</f>
        <v/>
      </c>
      <c r="E344" s="183" t="str">
        <f>MID(_xlfn.TEXTJOIN(" ",TRUE,'Deelnemer 18 vtg'!$D$6,$B$335),1,12)</f>
        <v>Deelnemer 18</v>
      </c>
      <c r="F344" s="276">
        <f>'Deelnemer 18 vtg'!$C$7</f>
        <v>0</v>
      </c>
      <c r="G344" s="183" t="str">
        <f>'Deelnemer 18 vtg'!B28</f>
        <v xml:space="preserve"> - </v>
      </c>
      <c r="H344" s="186" t="str">
        <f>VLOOKUP(G344,'Categorie H2 Vtg.'!$B$4:$D$20,3,0)</f>
        <v>-</v>
      </c>
      <c r="I344" s="187">
        <f>'Deelnemer 18 vtg'!E28</f>
        <v>0</v>
      </c>
      <c r="J344" s="180">
        <f>'Deelnemer 18 vtg'!V28</f>
        <v>0</v>
      </c>
      <c r="K344" s="184">
        <f>'Deelnemer 18 vtg'!Z28</f>
        <v>0</v>
      </c>
      <c r="L344" s="184">
        <f>'Deelnemer 18 vtg'!AE28</f>
        <v>0</v>
      </c>
      <c r="M344" s="188">
        <f t="shared" si="37"/>
        <v>0</v>
      </c>
      <c r="N344" s="188">
        <f t="shared" si="38"/>
        <v>0</v>
      </c>
      <c r="O344" s="184">
        <f>'Deelnemer 18 vtg'!AG28</f>
        <v>0</v>
      </c>
      <c r="P344" s="184">
        <f>'Deelnemer 18 vtg'!AJ28</f>
        <v>0</v>
      </c>
      <c r="Q344" s="184">
        <f>'Deelnemer 18 vtg'!AK28</f>
        <v>0</v>
      </c>
    </row>
    <row r="345" spans="2:18" ht="16.5" hidden="1" customHeight="1" x14ac:dyDescent="0.3">
      <c r="B345" s="639"/>
      <c r="C345" s="161">
        <v>11</v>
      </c>
      <c r="D345" s="182" t="str">
        <f>'Deelnemer 18 vtg'!A29</f>
        <v/>
      </c>
      <c r="E345" s="183" t="str">
        <f>MID(_xlfn.TEXTJOIN(" ",TRUE,'Deelnemer 18 vtg'!$D$6,$B$335),1,12)</f>
        <v>Deelnemer 18</v>
      </c>
      <c r="F345" s="276">
        <f>'Deelnemer 18 vtg'!$C$7</f>
        <v>0</v>
      </c>
      <c r="G345" s="183" t="str">
        <f>'Deelnemer 18 vtg'!B29</f>
        <v xml:space="preserve"> - </v>
      </c>
      <c r="H345" s="186" t="str">
        <f>VLOOKUP(G345,'Categorie H2 Vtg.'!$B$4:$D$20,3,0)</f>
        <v>-</v>
      </c>
      <c r="I345" s="187">
        <f>'Deelnemer 18 vtg'!E29</f>
        <v>0</v>
      </c>
      <c r="J345" s="180">
        <f>'Deelnemer 18 vtg'!V29</f>
        <v>0</v>
      </c>
      <c r="K345" s="184">
        <f>'Deelnemer 18 vtg'!Z29</f>
        <v>0</v>
      </c>
      <c r="L345" s="184">
        <f>'Deelnemer 18 vtg'!AE29</f>
        <v>0</v>
      </c>
      <c r="M345" s="188">
        <f t="shared" si="37"/>
        <v>0</v>
      </c>
      <c r="N345" s="188">
        <f t="shared" si="38"/>
        <v>0</v>
      </c>
      <c r="O345" s="184">
        <f>'Deelnemer 18 vtg'!AG29</f>
        <v>0</v>
      </c>
      <c r="P345" s="184">
        <f>'Deelnemer 18 vtg'!AJ29</f>
        <v>0</v>
      </c>
      <c r="Q345" s="184">
        <f>'Deelnemer 18 vtg'!AK29</f>
        <v>0</v>
      </c>
    </row>
    <row r="346" spans="2:18" ht="16.5" hidden="1" customHeight="1" x14ac:dyDescent="0.3">
      <c r="B346" s="639"/>
      <c r="C346" s="161">
        <v>12</v>
      </c>
      <c r="D346" s="182" t="str">
        <f>'Deelnemer 18 vtg'!A30</f>
        <v/>
      </c>
      <c r="E346" s="183" t="str">
        <f>MID(_xlfn.TEXTJOIN(" ",TRUE,'Deelnemer 18 vtg'!$D$6,$B$335),1,12)</f>
        <v>Deelnemer 18</v>
      </c>
      <c r="F346" s="276">
        <f>'Deelnemer 18 vtg'!$C$7</f>
        <v>0</v>
      </c>
      <c r="G346" s="183" t="str">
        <f>'Deelnemer 18 vtg'!B30</f>
        <v xml:space="preserve"> - </v>
      </c>
      <c r="H346" s="186" t="str">
        <f>VLOOKUP(G346,'Categorie H2 Vtg.'!$B$4:$D$20,3,0)</f>
        <v>-</v>
      </c>
      <c r="I346" s="187">
        <f>'Deelnemer 18 vtg'!E30</f>
        <v>0</v>
      </c>
      <c r="J346" s="180">
        <f>'Deelnemer 18 vtg'!V30</f>
        <v>0</v>
      </c>
      <c r="K346" s="184">
        <f>'Deelnemer 18 vtg'!Z30</f>
        <v>0</v>
      </c>
      <c r="L346" s="184">
        <f>'Deelnemer 18 vtg'!AE30</f>
        <v>0</v>
      </c>
      <c r="M346" s="188">
        <f t="shared" si="37"/>
        <v>0</v>
      </c>
      <c r="N346" s="188">
        <f t="shared" si="38"/>
        <v>0</v>
      </c>
      <c r="O346" s="184">
        <f>'Deelnemer 18 vtg'!AG30</f>
        <v>0</v>
      </c>
      <c r="P346" s="184">
        <f>'Deelnemer 18 vtg'!AJ30</f>
        <v>0</v>
      </c>
      <c r="Q346" s="184">
        <f>'Deelnemer 18 vtg'!AK30</f>
        <v>0</v>
      </c>
    </row>
    <row r="347" spans="2:18" ht="16.5" hidden="1" customHeight="1" x14ac:dyDescent="0.3">
      <c r="B347" s="639"/>
      <c r="C347" s="161">
        <v>13</v>
      </c>
      <c r="D347" s="182" t="str">
        <f>'Deelnemer 18 vtg'!A31</f>
        <v/>
      </c>
      <c r="E347" s="183" t="str">
        <f>MID(_xlfn.TEXTJOIN(" ",TRUE,'Deelnemer 18 vtg'!$D$6,$B$335),1,12)</f>
        <v>Deelnemer 18</v>
      </c>
      <c r="F347" s="276">
        <f>'Deelnemer 18 vtg'!$C$7</f>
        <v>0</v>
      </c>
      <c r="G347" s="183" t="str">
        <f>'Deelnemer 18 vtg'!B31</f>
        <v xml:space="preserve"> - </v>
      </c>
      <c r="H347" s="186" t="str">
        <f>VLOOKUP(G347,'Categorie H2 Vtg.'!$B$4:$D$20,3,0)</f>
        <v>-</v>
      </c>
      <c r="I347" s="187">
        <f>'Deelnemer 18 vtg'!E31</f>
        <v>0</v>
      </c>
      <c r="J347" s="180">
        <f>'Deelnemer 18 vtg'!V31</f>
        <v>0</v>
      </c>
      <c r="K347" s="184">
        <f>'Deelnemer 18 vtg'!Z31</f>
        <v>0</v>
      </c>
      <c r="L347" s="184">
        <f>'Deelnemer 18 vtg'!AE31</f>
        <v>0</v>
      </c>
      <c r="M347" s="188">
        <f t="shared" si="37"/>
        <v>0</v>
      </c>
      <c r="N347" s="188">
        <f t="shared" si="38"/>
        <v>0</v>
      </c>
      <c r="O347" s="184">
        <f>'Deelnemer 18 vtg'!AG31</f>
        <v>0</v>
      </c>
      <c r="P347" s="184">
        <f>'Deelnemer 18 vtg'!AJ31</f>
        <v>0</v>
      </c>
      <c r="Q347" s="184">
        <f>'Deelnemer 18 vtg'!AK31</f>
        <v>0</v>
      </c>
    </row>
    <row r="348" spans="2:18" ht="16.5" hidden="1" customHeight="1" x14ac:dyDescent="0.3">
      <c r="B348" s="639"/>
      <c r="C348" s="161">
        <v>14</v>
      </c>
      <c r="D348" s="182" t="str">
        <f>'Deelnemer 18 vtg'!A32</f>
        <v/>
      </c>
      <c r="E348" s="183" t="str">
        <f>MID(_xlfn.TEXTJOIN(" ",TRUE,'Deelnemer 18 vtg'!$D$6,$B$335),1,12)</f>
        <v>Deelnemer 18</v>
      </c>
      <c r="F348" s="276">
        <f>'Deelnemer 18 vtg'!$C$7</f>
        <v>0</v>
      </c>
      <c r="G348" s="183" t="str">
        <f>'Deelnemer 18 vtg'!B32</f>
        <v xml:space="preserve"> - </v>
      </c>
      <c r="H348" s="186" t="str">
        <f>VLOOKUP(G348,'Categorie H2 Vtg.'!$B$4:$D$20,3,0)</f>
        <v>-</v>
      </c>
      <c r="I348" s="187">
        <f>'Deelnemer 18 vtg'!E32</f>
        <v>0</v>
      </c>
      <c r="J348" s="180">
        <f>'Deelnemer 18 vtg'!V32</f>
        <v>0</v>
      </c>
      <c r="K348" s="184">
        <f>'Deelnemer 18 vtg'!Z32</f>
        <v>0</v>
      </c>
      <c r="L348" s="184">
        <f>'Deelnemer 18 vtg'!AE32</f>
        <v>0</v>
      </c>
      <c r="M348" s="188">
        <f t="shared" si="37"/>
        <v>0</v>
      </c>
      <c r="N348" s="188">
        <f t="shared" si="38"/>
        <v>0</v>
      </c>
      <c r="O348" s="184">
        <f>'Deelnemer 18 vtg'!AG32</f>
        <v>0</v>
      </c>
      <c r="P348" s="184">
        <f>'Deelnemer 18 vtg'!AJ32</f>
        <v>0</v>
      </c>
      <c r="Q348" s="184">
        <f>'Deelnemer 18 vtg'!AK32</f>
        <v>0</v>
      </c>
    </row>
    <row r="349" spans="2:18" ht="16.5" hidden="1" customHeight="1" x14ac:dyDescent="0.3">
      <c r="B349" s="639"/>
      <c r="C349" s="161">
        <v>15</v>
      </c>
      <c r="D349" s="182" t="str">
        <f>'Deelnemer 18 vtg'!A33</f>
        <v/>
      </c>
      <c r="E349" s="183" t="str">
        <f>MID(_xlfn.TEXTJOIN(" ",TRUE,'Deelnemer 18 vtg'!$D$6,$B$335),1,12)</f>
        <v>Deelnemer 18</v>
      </c>
      <c r="F349" s="276">
        <f>'Deelnemer 18 vtg'!$C$7</f>
        <v>0</v>
      </c>
      <c r="G349" s="183" t="str">
        <f>'Deelnemer 18 vtg'!B33</f>
        <v xml:space="preserve"> - </v>
      </c>
      <c r="H349" s="186" t="str">
        <f>VLOOKUP(G349,'Categorie H2 Vtg.'!$B$4:$D$20,3,0)</f>
        <v>-</v>
      </c>
      <c r="I349" s="187">
        <f>'Deelnemer 18 vtg'!E33</f>
        <v>0</v>
      </c>
      <c r="J349" s="180">
        <f>'Deelnemer 18 vtg'!V33</f>
        <v>0</v>
      </c>
      <c r="K349" s="184">
        <f>'Deelnemer 18 vtg'!Z33</f>
        <v>0</v>
      </c>
      <c r="L349" s="184">
        <f>'Deelnemer 18 vtg'!AE33</f>
        <v>0</v>
      </c>
      <c r="M349" s="188">
        <f t="shared" si="37"/>
        <v>0</v>
      </c>
      <c r="N349" s="188">
        <f t="shared" si="38"/>
        <v>0</v>
      </c>
      <c r="O349" s="184">
        <f>'Deelnemer 18 vtg'!AG33</f>
        <v>0</v>
      </c>
      <c r="P349" s="184">
        <f>'Deelnemer 18 vtg'!AJ33</f>
        <v>0</v>
      </c>
      <c r="Q349" s="184">
        <f>'Deelnemer 18 vtg'!AK33</f>
        <v>0</v>
      </c>
    </row>
    <row r="350" spans="2:18" s="181" customFormat="1" ht="16.5" hidden="1" customHeight="1" x14ac:dyDescent="0.3">
      <c r="B350" s="639">
        <f t="shared" si="36"/>
        <v>19</v>
      </c>
      <c r="C350" s="189">
        <v>1</v>
      </c>
      <c r="D350" s="182" t="str">
        <f>'Deelnemer 19 vtg'!A19</f>
        <v/>
      </c>
      <c r="E350" s="183" t="str">
        <f>MID(_xlfn.TEXTJOIN(" ",TRUE,'Deelnemer 19 vtg'!$D$6,$B$350),1,12)</f>
        <v>Deelnemer 19</v>
      </c>
      <c r="F350" s="276">
        <f>'Deelnemer 19 vtg'!$C$7</f>
        <v>0</v>
      </c>
      <c r="G350" s="183" t="str">
        <f>'Deelnemer 19 vtg'!B19</f>
        <v xml:space="preserve"> - </v>
      </c>
      <c r="H350" s="183" t="str">
        <f>VLOOKUP(G350,'Categorie H2 Vtg.'!$B$4:$D$20,3,0)</f>
        <v>-</v>
      </c>
      <c r="I350" s="187">
        <f>'Deelnemer 19 vtg'!E19</f>
        <v>0</v>
      </c>
      <c r="J350" s="180">
        <f>'Deelnemer 19 vtg'!V19</f>
        <v>0</v>
      </c>
      <c r="K350" s="184">
        <f>'Deelnemer 19 vtg'!Z19</f>
        <v>0</v>
      </c>
      <c r="L350" s="184">
        <f>'Deelnemer 19 vtg'!AE19</f>
        <v>0</v>
      </c>
      <c r="M350" s="184">
        <f>K350*J350</f>
        <v>0</v>
      </c>
      <c r="N350" s="184">
        <f>L350*J350</f>
        <v>0</v>
      </c>
      <c r="O350" s="184">
        <f>'Deelnemer 19 vtg'!AG19</f>
        <v>0</v>
      </c>
      <c r="P350" s="184">
        <f>'Deelnemer 19 vtg'!AJ19</f>
        <v>0</v>
      </c>
      <c r="Q350" s="184">
        <f>'Deelnemer 19 vtg'!AK19</f>
        <v>0</v>
      </c>
      <c r="R350" s="161"/>
    </row>
    <row r="351" spans="2:18" ht="16.5" hidden="1" customHeight="1" x14ac:dyDescent="0.3">
      <c r="B351" s="639"/>
      <c r="C351" s="161">
        <v>2</v>
      </c>
      <c r="D351" s="182" t="str">
        <f>'Deelnemer 19 vtg'!A20</f>
        <v/>
      </c>
      <c r="E351" s="183" t="str">
        <f>MID(_xlfn.TEXTJOIN(" ",TRUE,'Deelnemer 19 vtg'!$D$6,$B$350),1,12)</f>
        <v>Deelnemer 19</v>
      </c>
      <c r="F351" s="276">
        <f>'Deelnemer 19 vtg'!$C$7</f>
        <v>0</v>
      </c>
      <c r="G351" s="183" t="str">
        <f>'Deelnemer 19 vtg'!B20</f>
        <v xml:space="preserve"> - </v>
      </c>
      <c r="H351" s="186" t="str">
        <f>VLOOKUP(G351,'Categorie H2 Vtg.'!$B$4:$D$20,3,0)</f>
        <v>-</v>
      </c>
      <c r="I351" s="187">
        <f>'Deelnemer 19 vtg'!E20</f>
        <v>0</v>
      </c>
      <c r="J351" s="180">
        <f>'Deelnemer 19 vtg'!V20</f>
        <v>0</v>
      </c>
      <c r="K351" s="184">
        <f>'Deelnemer 19 vtg'!Z20</f>
        <v>0</v>
      </c>
      <c r="L351" s="184">
        <f>'Deelnemer 19 vtg'!AE20</f>
        <v>0</v>
      </c>
      <c r="M351" s="188">
        <f t="shared" ref="M351:M364" si="39">K351*J351</f>
        <v>0</v>
      </c>
      <c r="N351" s="188">
        <f t="shared" ref="N351:N364" si="40">L351*J351</f>
        <v>0</v>
      </c>
      <c r="O351" s="184">
        <f>'Deelnemer 19 vtg'!AG20</f>
        <v>0</v>
      </c>
      <c r="P351" s="184">
        <f>'Deelnemer 19 vtg'!AJ20</f>
        <v>0</v>
      </c>
      <c r="Q351" s="184">
        <f>'Deelnemer 19 vtg'!AK20</f>
        <v>0</v>
      </c>
    </row>
    <row r="352" spans="2:18" ht="16.5" hidden="1" customHeight="1" x14ac:dyDescent="0.3">
      <c r="B352" s="639"/>
      <c r="C352" s="161">
        <v>3</v>
      </c>
      <c r="D352" s="182" t="str">
        <f>'Deelnemer 19 vtg'!A21</f>
        <v/>
      </c>
      <c r="E352" s="183" t="str">
        <f>MID(_xlfn.TEXTJOIN(" ",TRUE,'Deelnemer 19 vtg'!$D$6,$B$350),1,12)</f>
        <v>Deelnemer 19</v>
      </c>
      <c r="F352" s="276">
        <f>'Deelnemer 19 vtg'!$C$7</f>
        <v>0</v>
      </c>
      <c r="G352" s="183" t="str">
        <f>'Deelnemer 19 vtg'!B21</f>
        <v xml:space="preserve"> - </v>
      </c>
      <c r="H352" s="186" t="str">
        <f>VLOOKUP(G352,'Categorie H2 Vtg.'!$B$4:$D$20,3,0)</f>
        <v>-</v>
      </c>
      <c r="I352" s="187">
        <f>'Deelnemer 19 vtg'!E21</f>
        <v>0</v>
      </c>
      <c r="J352" s="180">
        <f>'Deelnemer 19 vtg'!V21</f>
        <v>0</v>
      </c>
      <c r="K352" s="184">
        <f>'Deelnemer 19 vtg'!Z21</f>
        <v>0</v>
      </c>
      <c r="L352" s="184">
        <f>'Deelnemer 19 vtg'!AE21</f>
        <v>0</v>
      </c>
      <c r="M352" s="188">
        <f t="shared" si="39"/>
        <v>0</v>
      </c>
      <c r="N352" s="188">
        <f t="shared" si="40"/>
        <v>0</v>
      </c>
      <c r="O352" s="184">
        <f>'Deelnemer 19 vtg'!AG21</f>
        <v>0</v>
      </c>
      <c r="P352" s="184">
        <f>'Deelnemer 19 vtg'!AJ21</f>
        <v>0</v>
      </c>
      <c r="Q352" s="184">
        <f>'Deelnemer 19 vtg'!AK21</f>
        <v>0</v>
      </c>
    </row>
    <row r="353" spans="2:18" ht="16.5" hidden="1" customHeight="1" x14ac:dyDescent="0.3">
      <c r="B353" s="639"/>
      <c r="C353" s="161">
        <v>4</v>
      </c>
      <c r="D353" s="182" t="str">
        <f>'Deelnemer 19 vtg'!A22</f>
        <v/>
      </c>
      <c r="E353" s="183" t="str">
        <f>MID(_xlfn.TEXTJOIN(" ",TRUE,'Deelnemer 19 vtg'!$D$6,$B$350),1,12)</f>
        <v>Deelnemer 19</v>
      </c>
      <c r="F353" s="276">
        <f>'Deelnemer 19 vtg'!$C$7</f>
        <v>0</v>
      </c>
      <c r="G353" s="183" t="str">
        <f>'Deelnemer 19 vtg'!B22</f>
        <v xml:space="preserve"> - </v>
      </c>
      <c r="H353" s="186" t="str">
        <f>VLOOKUP(G353,'Categorie H2 Vtg.'!$B$4:$D$20,3,0)</f>
        <v>-</v>
      </c>
      <c r="I353" s="187">
        <f>'Deelnemer 19 vtg'!E22</f>
        <v>0</v>
      </c>
      <c r="J353" s="180">
        <f>'Deelnemer 19 vtg'!V22</f>
        <v>0</v>
      </c>
      <c r="K353" s="184">
        <f>'Deelnemer 19 vtg'!Z22</f>
        <v>0</v>
      </c>
      <c r="L353" s="184">
        <f>'Deelnemer 19 vtg'!AE22</f>
        <v>0</v>
      </c>
      <c r="M353" s="188">
        <f t="shared" si="39"/>
        <v>0</v>
      </c>
      <c r="N353" s="188">
        <f t="shared" si="40"/>
        <v>0</v>
      </c>
      <c r="O353" s="184">
        <f>'Deelnemer 19 vtg'!AG22</f>
        <v>0</v>
      </c>
      <c r="P353" s="184">
        <f>'Deelnemer 19 vtg'!AJ22</f>
        <v>0</v>
      </c>
      <c r="Q353" s="184">
        <f>'Deelnemer 19 vtg'!AK22</f>
        <v>0</v>
      </c>
    </row>
    <row r="354" spans="2:18" ht="16.5" hidden="1" customHeight="1" x14ac:dyDescent="0.3">
      <c r="B354" s="639"/>
      <c r="C354" s="161">
        <v>5</v>
      </c>
      <c r="D354" s="182" t="str">
        <f>'Deelnemer 19 vtg'!A23</f>
        <v/>
      </c>
      <c r="E354" s="183" t="str">
        <f>MID(_xlfn.TEXTJOIN(" ",TRUE,'Deelnemer 19 vtg'!$D$6,$B$350),1,12)</f>
        <v>Deelnemer 19</v>
      </c>
      <c r="F354" s="276">
        <f>'Deelnemer 19 vtg'!$C$7</f>
        <v>0</v>
      </c>
      <c r="G354" s="183" t="str">
        <f>'Deelnemer 19 vtg'!B23</f>
        <v xml:space="preserve"> - </v>
      </c>
      <c r="H354" s="186" t="str">
        <f>VLOOKUP(G354,'Categorie H2 Vtg.'!$B$4:$D$20,3,0)</f>
        <v>-</v>
      </c>
      <c r="I354" s="187">
        <f>'Deelnemer 19 vtg'!E23</f>
        <v>0</v>
      </c>
      <c r="J354" s="180">
        <f>'Deelnemer 19 vtg'!V23</f>
        <v>0</v>
      </c>
      <c r="K354" s="184">
        <f>'Deelnemer 19 vtg'!Z23</f>
        <v>0</v>
      </c>
      <c r="L354" s="184">
        <f>'Deelnemer 19 vtg'!AE23</f>
        <v>0</v>
      </c>
      <c r="M354" s="188">
        <f t="shared" si="39"/>
        <v>0</v>
      </c>
      <c r="N354" s="188">
        <f t="shared" si="40"/>
        <v>0</v>
      </c>
      <c r="O354" s="184">
        <f>'Deelnemer 19 vtg'!AG23</f>
        <v>0</v>
      </c>
      <c r="P354" s="184">
        <f>'Deelnemer 19 vtg'!AJ23</f>
        <v>0</v>
      </c>
      <c r="Q354" s="184">
        <f>'Deelnemer 19 vtg'!AK23</f>
        <v>0</v>
      </c>
    </row>
    <row r="355" spans="2:18" ht="16.5" hidden="1" customHeight="1" x14ac:dyDescent="0.3">
      <c r="B355" s="639"/>
      <c r="C355" s="161">
        <v>6</v>
      </c>
      <c r="D355" s="182" t="str">
        <f>'Deelnemer 19 vtg'!A24</f>
        <v/>
      </c>
      <c r="E355" s="183" t="str">
        <f>MID(_xlfn.TEXTJOIN(" ",TRUE,'Deelnemer 19 vtg'!$D$6,$B$350),1,12)</f>
        <v>Deelnemer 19</v>
      </c>
      <c r="F355" s="276">
        <f>'Deelnemer 19 vtg'!$C$7</f>
        <v>0</v>
      </c>
      <c r="G355" s="183" t="str">
        <f>'Deelnemer 19 vtg'!B24</f>
        <v xml:space="preserve"> - </v>
      </c>
      <c r="H355" s="186" t="str">
        <f>VLOOKUP(G355,'Categorie H2 Vtg.'!$B$4:$D$20,3,0)</f>
        <v>-</v>
      </c>
      <c r="I355" s="187">
        <f>'Deelnemer 19 vtg'!E24</f>
        <v>0</v>
      </c>
      <c r="J355" s="180">
        <f>'Deelnemer 19 vtg'!V24</f>
        <v>0</v>
      </c>
      <c r="K355" s="184">
        <f>'Deelnemer 19 vtg'!Z24</f>
        <v>0</v>
      </c>
      <c r="L355" s="184">
        <f>'Deelnemer 19 vtg'!AE24</f>
        <v>0</v>
      </c>
      <c r="M355" s="188">
        <f t="shared" si="39"/>
        <v>0</v>
      </c>
      <c r="N355" s="188">
        <f t="shared" si="40"/>
        <v>0</v>
      </c>
      <c r="O355" s="184">
        <f>'Deelnemer 19 vtg'!AG24</f>
        <v>0</v>
      </c>
      <c r="P355" s="184">
        <f>'Deelnemer 19 vtg'!AJ24</f>
        <v>0</v>
      </c>
      <c r="Q355" s="184">
        <f>'Deelnemer 19 vtg'!AK24</f>
        <v>0</v>
      </c>
    </row>
    <row r="356" spans="2:18" ht="16.5" hidden="1" customHeight="1" x14ac:dyDescent="0.3">
      <c r="B356" s="639"/>
      <c r="C356" s="161">
        <v>7</v>
      </c>
      <c r="D356" s="182" t="str">
        <f>'Deelnemer 19 vtg'!A25</f>
        <v/>
      </c>
      <c r="E356" s="183" t="str">
        <f>MID(_xlfn.TEXTJOIN(" ",TRUE,'Deelnemer 19 vtg'!$D$6,$B$350),1,12)</f>
        <v>Deelnemer 19</v>
      </c>
      <c r="F356" s="276">
        <f>'Deelnemer 19 vtg'!$C$7</f>
        <v>0</v>
      </c>
      <c r="G356" s="183" t="str">
        <f>'Deelnemer 19 vtg'!B25</f>
        <v xml:space="preserve"> - </v>
      </c>
      <c r="H356" s="186" t="str">
        <f>VLOOKUP(G356,'Categorie H2 Vtg.'!$B$4:$D$20,3,0)</f>
        <v>-</v>
      </c>
      <c r="I356" s="187">
        <f>'Deelnemer 19 vtg'!E25</f>
        <v>0</v>
      </c>
      <c r="J356" s="180">
        <f>'Deelnemer 19 vtg'!V25</f>
        <v>0</v>
      </c>
      <c r="K356" s="184">
        <f>'Deelnemer 19 vtg'!Z25</f>
        <v>0</v>
      </c>
      <c r="L356" s="184">
        <f>'Deelnemer 19 vtg'!AE25</f>
        <v>0</v>
      </c>
      <c r="M356" s="188">
        <f t="shared" si="39"/>
        <v>0</v>
      </c>
      <c r="N356" s="188">
        <f t="shared" si="40"/>
        <v>0</v>
      </c>
      <c r="O356" s="184">
        <f>'Deelnemer 19 vtg'!AG25</f>
        <v>0</v>
      </c>
      <c r="P356" s="184">
        <f>'Deelnemer 19 vtg'!AJ25</f>
        <v>0</v>
      </c>
      <c r="Q356" s="184">
        <f>'Deelnemer 19 vtg'!AK25</f>
        <v>0</v>
      </c>
    </row>
    <row r="357" spans="2:18" ht="16.5" hidden="1" customHeight="1" x14ac:dyDescent="0.3">
      <c r="B357" s="639"/>
      <c r="C357" s="161">
        <v>8</v>
      </c>
      <c r="D357" s="182" t="str">
        <f>'Deelnemer 19 vtg'!A26</f>
        <v/>
      </c>
      <c r="E357" s="183" t="str">
        <f>MID(_xlfn.TEXTJOIN(" ",TRUE,'Deelnemer 19 vtg'!$D$6,$B$350),1,12)</f>
        <v>Deelnemer 19</v>
      </c>
      <c r="F357" s="276">
        <f>'Deelnemer 19 vtg'!$C$7</f>
        <v>0</v>
      </c>
      <c r="G357" s="183" t="str">
        <f>'Deelnemer 19 vtg'!B26</f>
        <v xml:space="preserve"> - </v>
      </c>
      <c r="H357" s="186" t="str">
        <f>VLOOKUP(G357,'Categorie H2 Vtg.'!$B$4:$D$20,3,0)</f>
        <v>-</v>
      </c>
      <c r="I357" s="187">
        <f>'Deelnemer 19 vtg'!E26</f>
        <v>0</v>
      </c>
      <c r="J357" s="180">
        <f>'Deelnemer 19 vtg'!V26</f>
        <v>0</v>
      </c>
      <c r="K357" s="184">
        <f>'Deelnemer 19 vtg'!Z26</f>
        <v>0</v>
      </c>
      <c r="L357" s="184">
        <f>'Deelnemer 19 vtg'!AE26</f>
        <v>0</v>
      </c>
      <c r="M357" s="188">
        <f t="shared" si="39"/>
        <v>0</v>
      </c>
      <c r="N357" s="188">
        <f t="shared" si="40"/>
        <v>0</v>
      </c>
      <c r="O357" s="184">
        <f>'Deelnemer 19 vtg'!AG26</f>
        <v>0</v>
      </c>
      <c r="P357" s="184">
        <f>'Deelnemer 19 vtg'!AJ26</f>
        <v>0</v>
      </c>
      <c r="Q357" s="184">
        <f>'Deelnemer 19 vtg'!AK26</f>
        <v>0</v>
      </c>
    </row>
    <row r="358" spans="2:18" ht="16.5" hidden="1" customHeight="1" x14ac:dyDescent="0.3">
      <c r="B358" s="639"/>
      <c r="C358" s="161">
        <v>9</v>
      </c>
      <c r="D358" s="182" t="str">
        <f>'Deelnemer 19 vtg'!A27</f>
        <v/>
      </c>
      <c r="E358" s="183" t="str">
        <f>MID(_xlfn.TEXTJOIN(" ",TRUE,'Deelnemer 19 vtg'!$D$6,$B$350),1,12)</f>
        <v>Deelnemer 19</v>
      </c>
      <c r="F358" s="276">
        <f>'Deelnemer 19 vtg'!$C$7</f>
        <v>0</v>
      </c>
      <c r="G358" s="183" t="str">
        <f>'Deelnemer 19 vtg'!B27</f>
        <v xml:space="preserve"> - </v>
      </c>
      <c r="H358" s="186" t="str">
        <f>VLOOKUP(G358,'Categorie H2 Vtg.'!$B$4:$D$20,3,0)</f>
        <v>-</v>
      </c>
      <c r="I358" s="187">
        <f>'Deelnemer 19 vtg'!E27</f>
        <v>0</v>
      </c>
      <c r="J358" s="180">
        <f>'Deelnemer 19 vtg'!V27</f>
        <v>0</v>
      </c>
      <c r="K358" s="184">
        <f>'Deelnemer 19 vtg'!Z27</f>
        <v>0</v>
      </c>
      <c r="L358" s="184">
        <f>'Deelnemer 19 vtg'!AE27</f>
        <v>0</v>
      </c>
      <c r="M358" s="188">
        <f t="shared" si="39"/>
        <v>0</v>
      </c>
      <c r="N358" s="188">
        <f t="shared" si="40"/>
        <v>0</v>
      </c>
      <c r="O358" s="184">
        <f>'Deelnemer 19 vtg'!AG27</f>
        <v>0</v>
      </c>
      <c r="P358" s="184">
        <f>'Deelnemer 19 vtg'!AJ27</f>
        <v>0</v>
      </c>
      <c r="Q358" s="184">
        <f>'Deelnemer 19 vtg'!AK27</f>
        <v>0</v>
      </c>
    </row>
    <row r="359" spans="2:18" ht="16.5" hidden="1" customHeight="1" x14ac:dyDescent="0.3">
      <c r="B359" s="639"/>
      <c r="C359" s="161">
        <v>10</v>
      </c>
      <c r="D359" s="182" t="str">
        <f>'Deelnemer 19 vtg'!A28</f>
        <v/>
      </c>
      <c r="E359" s="183" t="str">
        <f>MID(_xlfn.TEXTJOIN(" ",TRUE,'Deelnemer 19 vtg'!$D$6,$B$350),1,12)</f>
        <v>Deelnemer 19</v>
      </c>
      <c r="F359" s="276">
        <f>'Deelnemer 19 vtg'!$C$7</f>
        <v>0</v>
      </c>
      <c r="G359" s="183" t="str">
        <f>'Deelnemer 19 vtg'!B28</f>
        <v xml:space="preserve"> - </v>
      </c>
      <c r="H359" s="186" t="str">
        <f>VLOOKUP(G359,'Categorie H2 Vtg.'!$B$4:$D$20,3,0)</f>
        <v>-</v>
      </c>
      <c r="I359" s="187">
        <f>'Deelnemer 19 vtg'!E28</f>
        <v>0</v>
      </c>
      <c r="J359" s="180">
        <f>'Deelnemer 19 vtg'!V28</f>
        <v>0</v>
      </c>
      <c r="K359" s="184">
        <f>'Deelnemer 19 vtg'!Z28</f>
        <v>0</v>
      </c>
      <c r="L359" s="184">
        <f>'Deelnemer 19 vtg'!AE28</f>
        <v>0</v>
      </c>
      <c r="M359" s="188">
        <f t="shared" si="39"/>
        <v>0</v>
      </c>
      <c r="N359" s="188">
        <f t="shared" si="40"/>
        <v>0</v>
      </c>
      <c r="O359" s="184">
        <f>'Deelnemer 19 vtg'!AG28</f>
        <v>0</v>
      </c>
      <c r="P359" s="184">
        <f>'Deelnemer 19 vtg'!AJ28</f>
        <v>0</v>
      </c>
      <c r="Q359" s="184">
        <f>'Deelnemer 19 vtg'!AK28</f>
        <v>0</v>
      </c>
    </row>
    <row r="360" spans="2:18" ht="16.5" hidden="1" customHeight="1" x14ac:dyDescent="0.3">
      <c r="B360" s="639"/>
      <c r="C360" s="161">
        <v>11</v>
      </c>
      <c r="D360" s="182" t="str">
        <f>'Deelnemer 19 vtg'!A29</f>
        <v/>
      </c>
      <c r="E360" s="183" t="str">
        <f>MID(_xlfn.TEXTJOIN(" ",TRUE,'Deelnemer 19 vtg'!$D$6,$B$350),1,12)</f>
        <v>Deelnemer 19</v>
      </c>
      <c r="F360" s="276">
        <f>'Deelnemer 19 vtg'!$C$7</f>
        <v>0</v>
      </c>
      <c r="G360" s="183" t="str">
        <f>'Deelnemer 19 vtg'!B29</f>
        <v xml:space="preserve"> - </v>
      </c>
      <c r="H360" s="186" t="str">
        <f>VLOOKUP(G360,'Categorie H2 Vtg.'!$B$4:$D$20,3,0)</f>
        <v>-</v>
      </c>
      <c r="I360" s="187">
        <f>'Deelnemer 19 vtg'!E29</f>
        <v>0</v>
      </c>
      <c r="J360" s="180">
        <f>'Deelnemer 19 vtg'!V29</f>
        <v>0</v>
      </c>
      <c r="K360" s="184">
        <f>'Deelnemer 19 vtg'!Z29</f>
        <v>0</v>
      </c>
      <c r="L360" s="184">
        <f>'Deelnemer 19 vtg'!AE29</f>
        <v>0</v>
      </c>
      <c r="M360" s="188">
        <f t="shared" si="39"/>
        <v>0</v>
      </c>
      <c r="N360" s="188">
        <f t="shared" si="40"/>
        <v>0</v>
      </c>
      <c r="O360" s="184">
        <f>'Deelnemer 19 vtg'!AG29</f>
        <v>0</v>
      </c>
      <c r="P360" s="184">
        <f>'Deelnemer 19 vtg'!AJ29</f>
        <v>0</v>
      </c>
      <c r="Q360" s="184">
        <f>'Deelnemer 19 vtg'!AK29</f>
        <v>0</v>
      </c>
    </row>
    <row r="361" spans="2:18" ht="16.5" hidden="1" customHeight="1" x14ac:dyDescent="0.3">
      <c r="B361" s="639"/>
      <c r="C361" s="161">
        <v>12</v>
      </c>
      <c r="D361" s="182" t="str">
        <f>'Deelnemer 19 vtg'!A30</f>
        <v/>
      </c>
      <c r="E361" s="183" t="str">
        <f>MID(_xlfn.TEXTJOIN(" ",TRUE,'Deelnemer 19 vtg'!$D$6,$B$350),1,12)</f>
        <v>Deelnemer 19</v>
      </c>
      <c r="F361" s="276">
        <f>'Deelnemer 19 vtg'!$C$7</f>
        <v>0</v>
      </c>
      <c r="G361" s="183" t="str">
        <f>'Deelnemer 19 vtg'!B30</f>
        <v xml:space="preserve"> - </v>
      </c>
      <c r="H361" s="186" t="str">
        <f>VLOOKUP(G361,'Categorie H2 Vtg.'!$B$4:$D$20,3,0)</f>
        <v>-</v>
      </c>
      <c r="I361" s="187">
        <f>'Deelnemer 19 vtg'!E30</f>
        <v>0</v>
      </c>
      <c r="J361" s="180">
        <f>'Deelnemer 19 vtg'!V30</f>
        <v>0</v>
      </c>
      <c r="K361" s="184">
        <f>'Deelnemer 19 vtg'!Z30</f>
        <v>0</v>
      </c>
      <c r="L361" s="184">
        <f>'Deelnemer 19 vtg'!AE30</f>
        <v>0</v>
      </c>
      <c r="M361" s="188">
        <f t="shared" si="39"/>
        <v>0</v>
      </c>
      <c r="N361" s="188">
        <f t="shared" si="40"/>
        <v>0</v>
      </c>
      <c r="O361" s="184">
        <f>'Deelnemer 19 vtg'!AG30</f>
        <v>0</v>
      </c>
      <c r="P361" s="184">
        <f>'Deelnemer 19 vtg'!AJ30</f>
        <v>0</v>
      </c>
      <c r="Q361" s="184">
        <f>'Deelnemer 19 vtg'!AK30</f>
        <v>0</v>
      </c>
    </row>
    <row r="362" spans="2:18" ht="16.5" hidden="1" customHeight="1" x14ac:dyDescent="0.3">
      <c r="B362" s="639"/>
      <c r="C362" s="161">
        <v>13</v>
      </c>
      <c r="D362" s="182" t="str">
        <f>'Deelnemer 19 vtg'!A31</f>
        <v/>
      </c>
      <c r="E362" s="183" t="str">
        <f>MID(_xlfn.TEXTJOIN(" ",TRUE,'Deelnemer 19 vtg'!$D$6,$B$350),1,12)</f>
        <v>Deelnemer 19</v>
      </c>
      <c r="F362" s="276">
        <f>'Deelnemer 19 vtg'!$C$7</f>
        <v>0</v>
      </c>
      <c r="G362" s="183" t="str">
        <f>'Deelnemer 19 vtg'!B31</f>
        <v xml:space="preserve"> - </v>
      </c>
      <c r="H362" s="186" t="str">
        <f>VLOOKUP(G362,'Categorie H2 Vtg.'!$B$4:$D$20,3,0)</f>
        <v>-</v>
      </c>
      <c r="I362" s="187">
        <f>'Deelnemer 19 vtg'!E31</f>
        <v>0</v>
      </c>
      <c r="J362" s="180">
        <f>'Deelnemer 19 vtg'!V31</f>
        <v>0</v>
      </c>
      <c r="K362" s="184">
        <f>'Deelnemer 19 vtg'!Z31</f>
        <v>0</v>
      </c>
      <c r="L362" s="184">
        <f>'Deelnemer 19 vtg'!AE31</f>
        <v>0</v>
      </c>
      <c r="M362" s="188">
        <f t="shared" si="39"/>
        <v>0</v>
      </c>
      <c r="N362" s="188">
        <f t="shared" si="40"/>
        <v>0</v>
      </c>
      <c r="O362" s="184">
        <f>'Deelnemer 19 vtg'!AG31</f>
        <v>0</v>
      </c>
      <c r="P362" s="184">
        <f>'Deelnemer 19 vtg'!AJ31</f>
        <v>0</v>
      </c>
      <c r="Q362" s="184">
        <f>'Deelnemer 19 vtg'!AK31</f>
        <v>0</v>
      </c>
    </row>
    <row r="363" spans="2:18" ht="16.5" hidden="1" customHeight="1" x14ac:dyDescent="0.3">
      <c r="B363" s="639"/>
      <c r="C363" s="161">
        <v>14</v>
      </c>
      <c r="D363" s="182" t="str">
        <f>'Deelnemer 19 vtg'!A32</f>
        <v/>
      </c>
      <c r="E363" s="183" t="str">
        <f>MID(_xlfn.TEXTJOIN(" ",TRUE,'Deelnemer 19 vtg'!$D$6,$B$350),1,12)</f>
        <v>Deelnemer 19</v>
      </c>
      <c r="F363" s="276">
        <f>'Deelnemer 19 vtg'!$C$7</f>
        <v>0</v>
      </c>
      <c r="G363" s="183" t="str">
        <f>'Deelnemer 19 vtg'!B32</f>
        <v xml:space="preserve"> - </v>
      </c>
      <c r="H363" s="186" t="str">
        <f>VLOOKUP(G363,'Categorie H2 Vtg.'!$B$4:$D$20,3,0)</f>
        <v>-</v>
      </c>
      <c r="I363" s="187">
        <f>'Deelnemer 19 vtg'!E32</f>
        <v>0</v>
      </c>
      <c r="J363" s="180">
        <f>'Deelnemer 19 vtg'!V32</f>
        <v>0</v>
      </c>
      <c r="K363" s="184">
        <f>'Deelnemer 19 vtg'!Z32</f>
        <v>0</v>
      </c>
      <c r="L363" s="184">
        <f>'Deelnemer 19 vtg'!AE32</f>
        <v>0</v>
      </c>
      <c r="M363" s="188">
        <f t="shared" si="39"/>
        <v>0</v>
      </c>
      <c r="N363" s="188">
        <f t="shared" si="40"/>
        <v>0</v>
      </c>
      <c r="O363" s="184">
        <f>'Deelnemer 19 vtg'!AG32</f>
        <v>0</v>
      </c>
      <c r="P363" s="184">
        <f>'Deelnemer 19 vtg'!AJ32</f>
        <v>0</v>
      </c>
      <c r="Q363" s="184">
        <f>'Deelnemer 19 vtg'!AK32</f>
        <v>0</v>
      </c>
    </row>
    <row r="364" spans="2:18" ht="16.5" hidden="1" customHeight="1" x14ac:dyDescent="0.3">
      <c r="B364" s="639"/>
      <c r="C364" s="161">
        <v>15</v>
      </c>
      <c r="D364" s="182" t="str">
        <f>'Deelnemer 19 vtg'!A33</f>
        <v/>
      </c>
      <c r="E364" s="183" t="str">
        <f>MID(_xlfn.TEXTJOIN(" ",TRUE,'Deelnemer 19 vtg'!$D$6,$B$350),1,12)</f>
        <v>Deelnemer 19</v>
      </c>
      <c r="F364" s="276">
        <f>'Deelnemer 19 vtg'!$C$7</f>
        <v>0</v>
      </c>
      <c r="G364" s="183" t="str">
        <f>'Deelnemer 19 vtg'!B33</f>
        <v xml:space="preserve"> - </v>
      </c>
      <c r="H364" s="186" t="str">
        <f>VLOOKUP(G364,'Categorie H2 Vtg.'!$B$4:$D$20,3,0)</f>
        <v>-</v>
      </c>
      <c r="I364" s="187">
        <f>'Deelnemer 19 vtg'!E33</f>
        <v>0</v>
      </c>
      <c r="J364" s="180">
        <f>'Deelnemer 19 vtg'!V33</f>
        <v>0</v>
      </c>
      <c r="K364" s="184">
        <f>'Deelnemer 19 vtg'!Z33</f>
        <v>0</v>
      </c>
      <c r="L364" s="184">
        <f>'Deelnemer 19 vtg'!AE33</f>
        <v>0</v>
      </c>
      <c r="M364" s="188">
        <f t="shared" si="39"/>
        <v>0</v>
      </c>
      <c r="N364" s="188">
        <f t="shared" si="40"/>
        <v>0</v>
      </c>
      <c r="O364" s="184">
        <f>'Deelnemer 19 vtg'!AG33</f>
        <v>0</v>
      </c>
      <c r="P364" s="184">
        <f>'Deelnemer 19 vtg'!AJ33</f>
        <v>0</v>
      </c>
      <c r="Q364" s="184">
        <f>'Deelnemer 19 vtg'!AK33</f>
        <v>0</v>
      </c>
    </row>
    <row r="365" spans="2:18" s="181" customFormat="1" ht="16.5" hidden="1" customHeight="1" x14ac:dyDescent="0.3">
      <c r="B365" s="639">
        <f t="shared" si="36"/>
        <v>20</v>
      </c>
      <c r="C365" s="189">
        <v>1</v>
      </c>
      <c r="D365" s="182" t="str">
        <f>'Deelnemer 20 vtg'!A19</f>
        <v/>
      </c>
      <c r="E365" s="183" t="str">
        <f>MID(_xlfn.TEXTJOIN(" ",TRUE,'Deelnemer 20 vtg'!$D$6,$B$365),1,12)</f>
        <v>Deelnemer 20</v>
      </c>
      <c r="F365" s="276">
        <f>'Deelnemer 20 vtg'!$C$7</f>
        <v>0</v>
      </c>
      <c r="G365" s="183" t="str">
        <f>'Deelnemer 20 vtg'!B19</f>
        <v xml:space="preserve"> - </v>
      </c>
      <c r="H365" s="183" t="str">
        <f>VLOOKUP(G365,'Categorie H2 Vtg.'!$B$4:$D$20,3,0)</f>
        <v>-</v>
      </c>
      <c r="I365" s="187">
        <f>'Deelnemer 20 vtg'!E19</f>
        <v>0</v>
      </c>
      <c r="J365" s="180">
        <f>'Deelnemer 20 vtg'!V19</f>
        <v>0</v>
      </c>
      <c r="K365" s="184">
        <f>'Deelnemer 20 vtg'!Z19</f>
        <v>0</v>
      </c>
      <c r="L365" s="184">
        <f>'Deelnemer 20 vtg'!AE19</f>
        <v>0</v>
      </c>
      <c r="M365" s="184">
        <f>K365*J365</f>
        <v>0</v>
      </c>
      <c r="N365" s="184">
        <f>L365*J365</f>
        <v>0</v>
      </c>
      <c r="O365" s="184">
        <f>'Deelnemer 20 vtg'!AG19</f>
        <v>0</v>
      </c>
      <c r="P365" s="184">
        <f>'Deelnemer 20 vtg'!AJ19</f>
        <v>0</v>
      </c>
      <c r="Q365" s="184">
        <f>'Deelnemer 20 vtg'!AK19</f>
        <v>0</v>
      </c>
      <c r="R365" s="161"/>
    </row>
    <row r="366" spans="2:18" ht="16.5" hidden="1" customHeight="1" x14ac:dyDescent="0.3">
      <c r="B366" s="639"/>
      <c r="C366" s="161">
        <v>2</v>
      </c>
      <c r="D366" s="182" t="str">
        <f>'Deelnemer 20 vtg'!A20</f>
        <v/>
      </c>
      <c r="E366" s="183" t="str">
        <f>MID(_xlfn.TEXTJOIN(" ",TRUE,'Deelnemer 20 vtg'!$D$6,$B$365),1,12)</f>
        <v>Deelnemer 20</v>
      </c>
      <c r="F366" s="276">
        <f>'Deelnemer 20 vtg'!$C$7</f>
        <v>0</v>
      </c>
      <c r="G366" s="183" t="str">
        <f>'Deelnemer 20 vtg'!B20</f>
        <v xml:space="preserve"> - </v>
      </c>
      <c r="H366" s="186" t="str">
        <f>VLOOKUP(G366,'Categorie H2 Vtg.'!$B$4:$D$20,3,0)</f>
        <v>-</v>
      </c>
      <c r="I366" s="187">
        <f>'Deelnemer 20 vtg'!E20</f>
        <v>0</v>
      </c>
      <c r="J366" s="180">
        <f>'Deelnemer 20 vtg'!V20</f>
        <v>0</v>
      </c>
      <c r="K366" s="184">
        <f>'Deelnemer 20 vtg'!Z20</f>
        <v>0</v>
      </c>
      <c r="L366" s="184">
        <f>'Deelnemer 20 vtg'!AE20</f>
        <v>0</v>
      </c>
      <c r="M366" s="188">
        <f t="shared" ref="M366:M379" si="41">K366*J366</f>
        <v>0</v>
      </c>
      <c r="N366" s="188">
        <f t="shared" ref="N366:N379" si="42">L366*J366</f>
        <v>0</v>
      </c>
      <c r="O366" s="184">
        <f>'Deelnemer 20 vtg'!AG20</f>
        <v>0</v>
      </c>
      <c r="P366" s="184">
        <f>'Deelnemer 20 vtg'!AJ20</f>
        <v>0</v>
      </c>
      <c r="Q366" s="184">
        <f>'Deelnemer 20 vtg'!AK20</f>
        <v>0</v>
      </c>
    </row>
    <row r="367" spans="2:18" ht="16.5" hidden="1" customHeight="1" x14ac:dyDescent="0.3">
      <c r="B367" s="639"/>
      <c r="C367" s="161">
        <v>3</v>
      </c>
      <c r="D367" s="182" t="str">
        <f>'Deelnemer 20 vtg'!A21</f>
        <v/>
      </c>
      <c r="E367" s="183" t="str">
        <f>MID(_xlfn.TEXTJOIN(" ",TRUE,'Deelnemer 20 vtg'!$D$6,$B$365),1,12)</f>
        <v>Deelnemer 20</v>
      </c>
      <c r="F367" s="276">
        <f>'Deelnemer 20 vtg'!$C$7</f>
        <v>0</v>
      </c>
      <c r="G367" s="183" t="str">
        <f>'Deelnemer 20 vtg'!B21</f>
        <v xml:space="preserve"> - </v>
      </c>
      <c r="H367" s="186" t="str">
        <f>VLOOKUP(G367,'Categorie H2 Vtg.'!$B$4:$D$20,3,0)</f>
        <v>-</v>
      </c>
      <c r="I367" s="187">
        <f>'Deelnemer 20 vtg'!E21</f>
        <v>0</v>
      </c>
      <c r="J367" s="180">
        <f>'Deelnemer 20 vtg'!V21</f>
        <v>0</v>
      </c>
      <c r="K367" s="184">
        <f>'Deelnemer 20 vtg'!Z21</f>
        <v>0</v>
      </c>
      <c r="L367" s="184">
        <f>'Deelnemer 20 vtg'!AE21</f>
        <v>0</v>
      </c>
      <c r="M367" s="188">
        <f t="shared" si="41"/>
        <v>0</v>
      </c>
      <c r="N367" s="188">
        <f t="shared" si="42"/>
        <v>0</v>
      </c>
      <c r="O367" s="184">
        <f>'Deelnemer 20 vtg'!AG21</f>
        <v>0</v>
      </c>
      <c r="P367" s="184">
        <f>'Deelnemer 20 vtg'!AJ21</f>
        <v>0</v>
      </c>
      <c r="Q367" s="184">
        <f>'Deelnemer 20 vtg'!AK21</f>
        <v>0</v>
      </c>
    </row>
    <row r="368" spans="2:18" ht="16.5" hidden="1" customHeight="1" x14ac:dyDescent="0.3">
      <c r="B368" s="639"/>
      <c r="C368" s="161">
        <v>4</v>
      </c>
      <c r="D368" s="182" t="str">
        <f>'Deelnemer 20 vtg'!A22</f>
        <v/>
      </c>
      <c r="E368" s="183" t="str">
        <f>MID(_xlfn.TEXTJOIN(" ",TRUE,'Deelnemer 20 vtg'!$D$6,$B$365),1,12)</f>
        <v>Deelnemer 20</v>
      </c>
      <c r="F368" s="276">
        <f>'Deelnemer 20 vtg'!$C$7</f>
        <v>0</v>
      </c>
      <c r="G368" s="183" t="str">
        <f>'Deelnemer 20 vtg'!B22</f>
        <v xml:space="preserve"> - </v>
      </c>
      <c r="H368" s="186" t="str">
        <f>VLOOKUP(G368,'Categorie H2 Vtg.'!$B$4:$D$20,3,0)</f>
        <v>-</v>
      </c>
      <c r="I368" s="187">
        <f>'Deelnemer 20 vtg'!E22</f>
        <v>0</v>
      </c>
      <c r="J368" s="180">
        <f>'Deelnemer 20 vtg'!V22</f>
        <v>0</v>
      </c>
      <c r="K368" s="184">
        <f>'Deelnemer 20 vtg'!Z22</f>
        <v>0</v>
      </c>
      <c r="L368" s="184">
        <f>'Deelnemer 20 vtg'!AE22</f>
        <v>0</v>
      </c>
      <c r="M368" s="188">
        <f t="shared" si="41"/>
        <v>0</v>
      </c>
      <c r="N368" s="188">
        <f t="shared" si="42"/>
        <v>0</v>
      </c>
      <c r="O368" s="184">
        <f>'Deelnemer 20 vtg'!AG22</f>
        <v>0</v>
      </c>
      <c r="P368" s="184">
        <f>'Deelnemer 20 vtg'!AJ22</f>
        <v>0</v>
      </c>
      <c r="Q368" s="184">
        <f>'Deelnemer 20 vtg'!AK22</f>
        <v>0</v>
      </c>
    </row>
    <row r="369" spans="2:18" ht="16.5" hidden="1" customHeight="1" x14ac:dyDescent="0.3">
      <c r="B369" s="639"/>
      <c r="C369" s="161">
        <v>5</v>
      </c>
      <c r="D369" s="182" t="str">
        <f>'Deelnemer 20 vtg'!A23</f>
        <v/>
      </c>
      <c r="E369" s="183" t="str">
        <f>MID(_xlfn.TEXTJOIN(" ",TRUE,'Deelnemer 20 vtg'!$D$6,$B$365),1,12)</f>
        <v>Deelnemer 20</v>
      </c>
      <c r="F369" s="276">
        <f>'Deelnemer 20 vtg'!$C$7</f>
        <v>0</v>
      </c>
      <c r="G369" s="183" t="str">
        <f>'Deelnemer 20 vtg'!B23</f>
        <v xml:space="preserve"> - </v>
      </c>
      <c r="H369" s="186" t="str">
        <f>VLOOKUP(G369,'Categorie H2 Vtg.'!$B$4:$D$20,3,0)</f>
        <v>-</v>
      </c>
      <c r="I369" s="187">
        <f>'Deelnemer 20 vtg'!E23</f>
        <v>0</v>
      </c>
      <c r="J369" s="180">
        <f>'Deelnemer 20 vtg'!V23</f>
        <v>0</v>
      </c>
      <c r="K369" s="184">
        <f>'Deelnemer 20 vtg'!Z23</f>
        <v>0</v>
      </c>
      <c r="L369" s="184">
        <f>'Deelnemer 20 vtg'!AE23</f>
        <v>0</v>
      </c>
      <c r="M369" s="188">
        <f t="shared" si="41"/>
        <v>0</v>
      </c>
      <c r="N369" s="188">
        <f t="shared" si="42"/>
        <v>0</v>
      </c>
      <c r="O369" s="184">
        <f>'Deelnemer 20 vtg'!AG23</f>
        <v>0</v>
      </c>
      <c r="P369" s="184">
        <f>'Deelnemer 20 vtg'!AJ23</f>
        <v>0</v>
      </c>
      <c r="Q369" s="184">
        <f>'Deelnemer 20 vtg'!AK23</f>
        <v>0</v>
      </c>
    </row>
    <row r="370" spans="2:18" ht="16.5" hidden="1" customHeight="1" x14ac:dyDescent="0.3">
      <c r="B370" s="639"/>
      <c r="C370" s="161">
        <v>6</v>
      </c>
      <c r="D370" s="182" t="str">
        <f>'Deelnemer 20 vtg'!A24</f>
        <v/>
      </c>
      <c r="E370" s="183" t="str">
        <f>MID(_xlfn.TEXTJOIN(" ",TRUE,'Deelnemer 20 vtg'!$D$6,$B$365),1,12)</f>
        <v>Deelnemer 20</v>
      </c>
      <c r="F370" s="276">
        <f>'Deelnemer 20 vtg'!$C$7</f>
        <v>0</v>
      </c>
      <c r="G370" s="183" t="str">
        <f>'Deelnemer 20 vtg'!B24</f>
        <v xml:space="preserve"> - </v>
      </c>
      <c r="H370" s="186" t="str">
        <f>VLOOKUP(G370,'Categorie H2 Vtg.'!$B$4:$D$20,3,0)</f>
        <v>-</v>
      </c>
      <c r="I370" s="187">
        <f>'Deelnemer 20 vtg'!E24</f>
        <v>0</v>
      </c>
      <c r="J370" s="180">
        <f>'Deelnemer 20 vtg'!V24</f>
        <v>0</v>
      </c>
      <c r="K370" s="184">
        <f>'Deelnemer 20 vtg'!Z24</f>
        <v>0</v>
      </c>
      <c r="L370" s="184">
        <f>'Deelnemer 20 vtg'!AE24</f>
        <v>0</v>
      </c>
      <c r="M370" s="188">
        <f t="shared" si="41"/>
        <v>0</v>
      </c>
      <c r="N370" s="188">
        <f t="shared" si="42"/>
        <v>0</v>
      </c>
      <c r="O370" s="184">
        <f>'Deelnemer 20 vtg'!AG24</f>
        <v>0</v>
      </c>
      <c r="P370" s="184">
        <f>'Deelnemer 20 vtg'!AJ24</f>
        <v>0</v>
      </c>
      <c r="Q370" s="184">
        <f>'Deelnemer 20 vtg'!AK24</f>
        <v>0</v>
      </c>
    </row>
    <row r="371" spans="2:18" ht="16.5" hidden="1" customHeight="1" x14ac:dyDescent="0.3">
      <c r="B371" s="639"/>
      <c r="C371" s="161">
        <v>7</v>
      </c>
      <c r="D371" s="182" t="str">
        <f>'Deelnemer 20 vtg'!A25</f>
        <v/>
      </c>
      <c r="E371" s="183" t="str">
        <f>MID(_xlfn.TEXTJOIN(" ",TRUE,'Deelnemer 20 vtg'!$D$6,$B$365),1,12)</f>
        <v>Deelnemer 20</v>
      </c>
      <c r="F371" s="276">
        <f>'Deelnemer 20 vtg'!$C$7</f>
        <v>0</v>
      </c>
      <c r="G371" s="183" t="str">
        <f>'Deelnemer 20 vtg'!B25</f>
        <v xml:space="preserve"> - </v>
      </c>
      <c r="H371" s="186" t="str">
        <f>VLOOKUP(G371,'Categorie H2 Vtg.'!$B$4:$D$20,3,0)</f>
        <v>-</v>
      </c>
      <c r="I371" s="187">
        <f>'Deelnemer 20 vtg'!E25</f>
        <v>0</v>
      </c>
      <c r="J371" s="180">
        <f>'Deelnemer 20 vtg'!V25</f>
        <v>0</v>
      </c>
      <c r="K371" s="184">
        <f>'Deelnemer 20 vtg'!Z25</f>
        <v>0</v>
      </c>
      <c r="L371" s="184">
        <f>'Deelnemer 20 vtg'!AE25</f>
        <v>0</v>
      </c>
      <c r="M371" s="188">
        <f t="shared" si="41"/>
        <v>0</v>
      </c>
      <c r="N371" s="188">
        <f t="shared" si="42"/>
        <v>0</v>
      </c>
      <c r="O371" s="184">
        <f>'Deelnemer 20 vtg'!AG25</f>
        <v>0</v>
      </c>
      <c r="P371" s="184">
        <f>'Deelnemer 20 vtg'!AJ25</f>
        <v>0</v>
      </c>
      <c r="Q371" s="184">
        <f>'Deelnemer 20 vtg'!AK25</f>
        <v>0</v>
      </c>
    </row>
    <row r="372" spans="2:18" ht="16.5" hidden="1" customHeight="1" x14ac:dyDescent="0.3">
      <c r="B372" s="639"/>
      <c r="C372" s="161">
        <v>8</v>
      </c>
      <c r="D372" s="182" t="str">
        <f>'Deelnemer 20 vtg'!A26</f>
        <v/>
      </c>
      <c r="E372" s="183" t="str">
        <f>MID(_xlfn.TEXTJOIN(" ",TRUE,'Deelnemer 20 vtg'!$D$6,$B$365),1,12)</f>
        <v>Deelnemer 20</v>
      </c>
      <c r="F372" s="276">
        <f>'Deelnemer 20 vtg'!$C$7</f>
        <v>0</v>
      </c>
      <c r="G372" s="183" t="str">
        <f>'Deelnemer 20 vtg'!B26</f>
        <v xml:space="preserve"> - </v>
      </c>
      <c r="H372" s="186" t="str">
        <f>VLOOKUP(G372,'Categorie H2 Vtg.'!$B$4:$D$20,3,0)</f>
        <v>-</v>
      </c>
      <c r="I372" s="187">
        <f>'Deelnemer 20 vtg'!E26</f>
        <v>0</v>
      </c>
      <c r="J372" s="180">
        <f>'Deelnemer 20 vtg'!V26</f>
        <v>0</v>
      </c>
      <c r="K372" s="184">
        <f>'Deelnemer 20 vtg'!Z26</f>
        <v>0</v>
      </c>
      <c r="L372" s="184">
        <f>'Deelnemer 20 vtg'!AE26</f>
        <v>0</v>
      </c>
      <c r="M372" s="188">
        <f t="shared" si="41"/>
        <v>0</v>
      </c>
      <c r="N372" s="188">
        <f t="shared" si="42"/>
        <v>0</v>
      </c>
      <c r="O372" s="184">
        <f>'Deelnemer 20 vtg'!AG26</f>
        <v>0</v>
      </c>
      <c r="P372" s="184">
        <f>'Deelnemer 20 vtg'!AJ26</f>
        <v>0</v>
      </c>
      <c r="Q372" s="184">
        <f>'Deelnemer 20 vtg'!AK26</f>
        <v>0</v>
      </c>
    </row>
    <row r="373" spans="2:18" ht="16.5" hidden="1" customHeight="1" x14ac:dyDescent="0.3">
      <c r="B373" s="639"/>
      <c r="C373" s="161">
        <v>9</v>
      </c>
      <c r="D373" s="182" t="str">
        <f>'Deelnemer 20 vtg'!A27</f>
        <v/>
      </c>
      <c r="E373" s="183" t="str">
        <f>MID(_xlfn.TEXTJOIN(" ",TRUE,'Deelnemer 20 vtg'!$D$6,$B$365),1,12)</f>
        <v>Deelnemer 20</v>
      </c>
      <c r="F373" s="276">
        <f>'Deelnemer 20 vtg'!$C$7</f>
        <v>0</v>
      </c>
      <c r="G373" s="183" t="str">
        <f>'Deelnemer 20 vtg'!B27</f>
        <v xml:space="preserve"> - </v>
      </c>
      <c r="H373" s="186" t="str">
        <f>VLOOKUP(G373,'Categorie H2 Vtg.'!$B$4:$D$20,3,0)</f>
        <v>-</v>
      </c>
      <c r="I373" s="187">
        <f>'Deelnemer 20 vtg'!E27</f>
        <v>0</v>
      </c>
      <c r="J373" s="180">
        <f>'Deelnemer 20 vtg'!V27</f>
        <v>0</v>
      </c>
      <c r="K373" s="184">
        <f>'Deelnemer 20 vtg'!Z27</f>
        <v>0</v>
      </c>
      <c r="L373" s="184">
        <f>'Deelnemer 20 vtg'!AE27</f>
        <v>0</v>
      </c>
      <c r="M373" s="188">
        <f t="shared" si="41"/>
        <v>0</v>
      </c>
      <c r="N373" s="188">
        <f t="shared" si="42"/>
        <v>0</v>
      </c>
      <c r="O373" s="184">
        <f>'Deelnemer 20 vtg'!AG27</f>
        <v>0</v>
      </c>
      <c r="P373" s="184">
        <f>'Deelnemer 20 vtg'!AJ27</f>
        <v>0</v>
      </c>
      <c r="Q373" s="184">
        <f>'Deelnemer 20 vtg'!AK27</f>
        <v>0</v>
      </c>
    </row>
    <row r="374" spans="2:18" ht="16.5" hidden="1" customHeight="1" x14ac:dyDescent="0.3">
      <c r="B374" s="639"/>
      <c r="C374" s="161">
        <v>10</v>
      </c>
      <c r="D374" s="182" t="str">
        <f>'Deelnemer 20 vtg'!A28</f>
        <v/>
      </c>
      <c r="E374" s="183" t="str">
        <f>MID(_xlfn.TEXTJOIN(" ",TRUE,'Deelnemer 20 vtg'!$D$6,$B$365),1,12)</f>
        <v>Deelnemer 20</v>
      </c>
      <c r="F374" s="276">
        <f>'Deelnemer 20 vtg'!$C$7</f>
        <v>0</v>
      </c>
      <c r="G374" s="183" t="str">
        <f>'Deelnemer 20 vtg'!B28</f>
        <v xml:space="preserve"> - </v>
      </c>
      <c r="H374" s="186" t="str">
        <f>VLOOKUP(G374,'Categorie H2 Vtg.'!$B$4:$D$20,3,0)</f>
        <v>-</v>
      </c>
      <c r="I374" s="187">
        <f>'Deelnemer 20 vtg'!E28</f>
        <v>0</v>
      </c>
      <c r="J374" s="180">
        <f>'Deelnemer 20 vtg'!V28</f>
        <v>0</v>
      </c>
      <c r="K374" s="184">
        <f>'Deelnemer 20 vtg'!Z28</f>
        <v>0</v>
      </c>
      <c r="L374" s="184">
        <f>'Deelnemer 20 vtg'!AE28</f>
        <v>0</v>
      </c>
      <c r="M374" s="188">
        <f t="shared" si="41"/>
        <v>0</v>
      </c>
      <c r="N374" s="188">
        <f t="shared" si="42"/>
        <v>0</v>
      </c>
      <c r="O374" s="184">
        <f>'Deelnemer 20 vtg'!AG28</f>
        <v>0</v>
      </c>
      <c r="P374" s="184">
        <f>'Deelnemer 20 vtg'!AJ28</f>
        <v>0</v>
      </c>
      <c r="Q374" s="184">
        <f>'Deelnemer 20 vtg'!AK28</f>
        <v>0</v>
      </c>
    </row>
    <row r="375" spans="2:18" ht="16.5" hidden="1" customHeight="1" x14ac:dyDescent="0.3">
      <c r="B375" s="639"/>
      <c r="C375" s="161">
        <v>11</v>
      </c>
      <c r="D375" s="182" t="str">
        <f>'Deelnemer 20 vtg'!A29</f>
        <v/>
      </c>
      <c r="E375" s="183" t="str">
        <f>MID(_xlfn.TEXTJOIN(" ",TRUE,'Deelnemer 20 vtg'!$D$6,$B$365),1,12)</f>
        <v>Deelnemer 20</v>
      </c>
      <c r="F375" s="276">
        <f>'Deelnemer 20 vtg'!$C$7</f>
        <v>0</v>
      </c>
      <c r="G375" s="183" t="str">
        <f>'Deelnemer 20 vtg'!B29</f>
        <v xml:space="preserve"> - </v>
      </c>
      <c r="H375" s="186" t="str">
        <f>VLOOKUP(G375,'Categorie H2 Vtg.'!$B$4:$D$20,3,0)</f>
        <v>-</v>
      </c>
      <c r="I375" s="187">
        <f>'Deelnemer 20 vtg'!E29</f>
        <v>0</v>
      </c>
      <c r="J375" s="180">
        <f>'Deelnemer 20 vtg'!V29</f>
        <v>0</v>
      </c>
      <c r="K375" s="184">
        <f>'Deelnemer 20 vtg'!Z29</f>
        <v>0</v>
      </c>
      <c r="L375" s="184">
        <f>'Deelnemer 20 vtg'!AE29</f>
        <v>0</v>
      </c>
      <c r="M375" s="188">
        <f t="shared" si="41"/>
        <v>0</v>
      </c>
      <c r="N375" s="188">
        <f t="shared" si="42"/>
        <v>0</v>
      </c>
      <c r="O375" s="184">
        <f>'Deelnemer 20 vtg'!AG29</f>
        <v>0</v>
      </c>
      <c r="P375" s="184">
        <f>'Deelnemer 20 vtg'!AJ29</f>
        <v>0</v>
      </c>
      <c r="Q375" s="184">
        <f>'Deelnemer 20 vtg'!AK29</f>
        <v>0</v>
      </c>
    </row>
    <row r="376" spans="2:18" ht="16.5" hidden="1" customHeight="1" x14ac:dyDescent="0.3">
      <c r="B376" s="639"/>
      <c r="C376" s="161">
        <v>12</v>
      </c>
      <c r="D376" s="182" t="str">
        <f>'Deelnemer 20 vtg'!A30</f>
        <v/>
      </c>
      <c r="E376" s="183" t="str">
        <f>MID(_xlfn.TEXTJOIN(" ",TRUE,'Deelnemer 20 vtg'!$D$6,$B$365),1,12)</f>
        <v>Deelnemer 20</v>
      </c>
      <c r="F376" s="276">
        <f>'Deelnemer 20 vtg'!$C$7</f>
        <v>0</v>
      </c>
      <c r="G376" s="183" t="str">
        <f>'Deelnemer 20 vtg'!B30</f>
        <v xml:space="preserve"> - </v>
      </c>
      <c r="H376" s="186" t="str">
        <f>VLOOKUP(G376,'Categorie H2 Vtg.'!$B$4:$D$20,3,0)</f>
        <v>-</v>
      </c>
      <c r="I376" s="187">
        <f>'Deelnemer 20 vtg'!E30</f>
        <v>0</v>
      </c>
      <c r="J376" s="180">
        <f>'Deelnemer 20 vtg'!V30</f>
        <v>0</v>
      </c>
      <c r="K376" s="184">
        <f>'Deelnemer 20 vtg'!Z30</f>
        <v>0</v>
      </c>
      <c r="L376" s="184">
        <f>'Deelnemer 20 vtg'!AE30</f>
        <v>0</v>
      </c>
      <c r="M376" s="188">
        <f t="shared" si="41"/>
        <v>0</v>
      </c>
      <c r="N376" s="188">
        <f t="shared" si="42"/>
        <v>0</v>
      </c>
      <c r="O376" s="184">
        <f>'Deelnemer 20 vtg'!AG30</f>
        <v>0</v>
      </c>
      <c r="P376" s="184">
        <f>'Deelnemer 20 vtg'!AJ30</f>
        <v>0</v>
      </c>
      <c r="Q376" s="184">
        <f>'Deelnemer 20 vtg'!AK30</f>
        <v>0</v>
      </c>
    </row>
    <row r="377" spans="2:18" ht="16.5" hidden="1" customHeight="1" x14ac:dyDescent="0.3">
      <c r="B377" s="639"/>
      <c r="C377" s="161">
        <v>13</v>
      </c>
      <c r="D377" s="182" t="str">
        <f>'Deelnemer 20 vtg'!A31</f>
        <v/>
      </c>
      <c r="E377" s="183" t="str">
        <f>MID(_xlfn.TEXTJOIN(" ",TRUE,'Deelnemer 20 vtg'!$D$6,$B$365),1,12)</f>
        <v>Deelnemer 20</v>
      </c>
      <c r="F377" s="276">
        <f>'Deelnemer 20 vtg'!$C$7</f>
        <v>0</v>
      </c>
      <c r="G377" s="183" t="str">
        <f>'Deelnemer 20 vtg'!B31</f>
        <v xml:space="preserve"> - </v>
      </c>
      <c r="H377" s="186" t="str">
        <f>VLOOKUP(G377,'Categorie H2 Vtg.'!$B$4:$D$20,3,0)</f>
        <v>-</v>
      </c>
      <c r="I377" s="187">
        <f>'Deelnemer 20 vtg'!E31</f>
        <v>0</v>
      </c>
      <c r="J377" s="180">
        <f>'Deelnemer 20 vtg'!V31</f>
        <v>0</v>
      </c>
      <c r="K377" s="184">
        <f>'Deelnemer 20 vtg'!Z31</f>
        <v>0</v>
      </c>
      <c r="L377" s="184">
        <f>'Deelnemer 20 vtg'!AE31</f>
        <v>0</v>
      </c>
      <c r="M377" s="188">
        <f t="shared" si="41"/>
        <v>0</v>
      </c>
      <c r="N377" s="188">
        <f t="shared" si="42"/>
        <v>0</v>
      </c>
      <c r="O377" s="184">
        <f>'Deelnemer 20 vtg'!AG31</f>
        <v>0</v>
      </c>
      <c r="P377" s="184">
        <f>'Deelnemer 20 vtg'!AJ31</f>
        <v>0</v>
      </c>
      <c r="Q377" s="184">
        <f>'Deelnemer 20 vtg'!AK31</f>
        <v>0</v>
      </c>
    </row>
    <row r="378" spans="2:18" ht="16.5" hidden="1" customHeight="1" x14ac:dyDescent="0.3">
      <c r="B378" s="639"/>
      <c r="C378" s="161">
        <v>14</v>
      </c>
      <c r="D378" s="182" t="str">
        <f>'Deelnemer 20 vtg'!A32</f>
        <v/>
      </c>
      <c r="E378" s="183" t="str">
        <f>MID(_xlfn.TEXTJOIN(" ",TRUE,'Deelnemer 20 vtg'!$D$6,$B$365),1,12)</f>
        <v>Deelnemer 20</v>
      </c>
      <c r="F378" s="276">
        <f>'Deelnemer 20 vtg'!$C$7</f>
        <v>0</v>
      </c>
      <c r="G378" s="183" t="str">
        <f>'Deelnemer 20 vtg'!B32</f>
        <v xml:space="preserve"> - </v>
      </c>
      <c r="H378" s="186" t="str">
        <f>VLOOKUP(G378,'Categorie H2 Vtg.'!$B$4:$D$20,3,0)</f>
        <v>-</v>
      </c>
      <c r="I378" s="187">
        <f>'Deelnemer 20 vtg'!E32</f>
        <v>0</v>
      </c>
      <c r="J378" s="180">
        <f>'Deelnemer 20 vtg'!V32</f>
        <v>0</v>
      </c>
      <c r="K378" s="184">
        <f>'Deelnemer 20 vtg'!Z32</f>
        <v>0</v>
      </c>
      <c r="L378" s="184">
        <f>'Deelnemer 20 vtg'!AE32</f>
        <v>0</v>
      </c>
      <c r="M378" s="188">
        <f t="shared" si="41"/>
        <v>0</v>
      </c>
      <c r="N378" s="188">
        <f t="shared" si="42"/>
        <v>0</v>
      </c>
      <c r="O378" s="184">
        <f>'Deelnemer 20 vtg'!AG32</f>
        <v>0</v>
      </c>
      <c r="P378" s="184">
        <f>'Deelnemer 20 vtg'!AJ32</f>
        <v>0</v>
      </c>
      <c r="Q378" s="184">
        <f>'Deelnemer 20 vtg'!AK32</f>
        <v>0</v>
      </c>
    </row>
    <row r="379" spans="2:18" ht="16.5" hidden="1" customHeight="1" x14ac:dyDescent="0.3">
      <c r="B379" s="639"/>
      <c r="C379" s="161">
        <v>15</v>
      </c>
      <c r="D379" s="182" t="str">
        <f>'Deelnemer 20 vtg'!A33</f>
        <v/>
      </c>
      <c r="E379" s="183" t="str">
        <f>MID(_xlfn.TEXTJOIN(" ",TRUE,'Deelnemer 20 vtg'!$D$6,$B$365),1,12)</f>
        <v>Deelnemer 20</v>
      </c>
      <c r="F379" s="276">
        <f>'Deelnemer 20 vtg'!$C$7</f>
        <v>0</v>
      </c>
      <c r="G379" s="183" t="str">
        <f>'Deelnemer 20 vtg'!B33</f>
        <v xml:space="preserve"> - </v>
      </c>
      <c r="H379" s="186" t="str">
        <f>VLOOKUP(G379,'Categorie H2 Vtg.'!$B$4:$D$20,3,0)</f>
        <v>-</v>
      </c>
      <c r="I379" s="187">
        <f>'Deelnemer 20 vtg'!E33</f>
        <v>0</v>
      </c>
      <c r="J379" s="180">
        <f>'Deelnemer 20 vtg'!V33</f>
        <v>0</v>
      </c>
      <c r="K379" s="184">
        <f>'Deelnemer 20 vtg'!Z33</f>
        <v>0</v>
      </c>
      <c r="L379" s="184">
        <f>'Deelnemer 20 vtg'!AE33</f>
        <v>0</v>
      </c>
      <c r="M379" s="188">
        <f t="shared" si="41"/>
        <v>0</v>
      </c>
      <c r="N379" s="188">
        <f t="shared" si="42"/>
        <v>0</v>
      </c>
      <c r="O379" s="184">
        <f>'Deelnemer 20 vtg'!AG33</f>
        <v>0</v>
      </c>
      <c r="P379" s="184">
        <f>'Deelnemer 20 vtg'!AJ33</f>
        <v>0</v>
      </c>
      <c r="Q379" s="184">
        <f>'Deelnemer 20 vtg'!AK33</f>
        <v>0</v>
      </c>
    </row>
    <row r="380" spans="2:18" s="181" customFormat="1" ht="16.5" hidden="1" customHeight="1" x14ac:dyDescent="0.3">
      <c r="B380" s="639">
        <f t="shared" si="36"/>
        <v>21</v>
      </c>
      <c r="C380" s="189">
        <v>1</v>
      </c>
      <c r="D380" s="182" t="str">
        <f>'Deelnemer 21 vtg'!A19</f>
        <v/>
      </c>
      <c r="E380" s="183" t="str">
        <f>MID(_xlfn.TEXTJOIN(" ",TRUE,'Deelnemer 21 vtg'!$D$6,$B$380),1,12)</f>
        <v>Deelnemer 21</v>
      </c>
      <c r="F380" s="276">
        <f>'Deelnemer 21 vtg'!$C$7</f>
        <v>0</v>
      </c>
      <c r="G380" s="183" t="str">
        <f>'Deelnemer 21 vtg'!B19</f>
        <v xml:space="preserve"> - </v>
      </c>
      <c r="H380" s="183" t="str">
        <f>VLOOKUP(G380,'Categorie H2 Vtg.'!$B$4:$D$20,3,0)</f>
        <v>-</v>
      </c>
      <c r="I380" s="187">
        <f>'Deelnemer 21 vtg'!E19</f>
        <v>0</v>
      </c>
      <c r="J380" s="180">
        <f>'Deelnemer 21 vtg'!V19</f>
        <v>0</v>
      </c>
      <c r="K380" s="184">
        <f>'Deelnemer 21 vtg'!Z19</f>
        <v>0</v>
      </c>
      <c r="L380" s="184">
        <f>'Deelnemer 21 vtg'!AE19</f>
        <v>0</v>
      </c>
      <c r="M380" s="184">
        <f>K380*J380</f>
        <v>0</v>
      </c>
      <c r="N380" s="184">
        <f>L380*J380</f>
        <v>0</v>
      </c>
      <c r="O380" s="184">
        <f>'Deelnemer 21 vtg'!AG19</f>
        <v>0</v>
      </c>
      <c r="P380" s="184">
        <f>'Deelnemer 21 vtg'!AJ19</f>
        <v>0</v>
      </c>
      <c r="Q380" s="184">
        <f>'Deelnemer 21 vtg'!AK19</f>
        <v>0</v>
      </c>
      <c r="R380" s="161"/>
    </row>
    <row r="381" spans="2:18" ht="16.5" hidden="1" customHeight="1" x14ac:dyDescent="0.3">
      <c r="B381" s="639"/>
      <c r="C381" s="161">
        <v>2</v>
      </c>
      <c r="D381" s="182" t="str">
        <f>'Deelnemer 21 vtg'!A20</f>
        <v/>
      </c>
      <c r="E381" s="183" t="str">
        <f>MID(_xlfn.TEXTJOIN(" ",TRUE,'Deelnemer 21 vtg'!$D$6,$B$380),1,12)</f>
        <v>Deelnemer 21</v>
      </c>
      <c r="F381" s="276">
        <f>'Deelnemer 21 vtg'!$C$7</f>
        <v>0</v>
      </c>
      <c r="G381" s="183" t="str">
        <f>'Deelnemer 21 vtg'!B20</f>
        <v xml:space="preserve"> - </v>
      </c>
      <c r="H381" s="186" t="str">
        <f>VLOOKUP(G381,'Categorie H2 Vtg.'!$B$4:$D$20,3,0)</f>
        <v>-</v>
      </c>
      <c r="I381" s="187">
        <f>'Deelnemer 21 vtg'!E20</f>
        <v>0</v>
      </c>
      <c r="J381" s="180">
        <f>'Deelnemer 21 vtg'!V20</f>
        <v>0</v>
      </c>
      <c r="K381" s="184">
        <f>'Deelnemer 21 vtg'!Z20</f>
        <v>0</v>
      </c>
      <c r="L381" s="184">
        <f>'Deelnemer 21 vtg'!AE20</f>
        <v>0</v>
      </c>
      <c r="M381" s="188">
        <f t="shared" ref="M381:M394" si="43">K381*J381</f>
        <v>0</v>
      </c>
      <c r="N381" s="188">
        <f t="shared" ref="N381:N394" si="44">L381*J381</f>
        <v>0</v>
      </c>
      <c r="O381" s="184">
        <f>'Deelnemer 21 vtg'!AG20</f>
        <v>0</v>
      </c>
      <c r="P381" s="184">
        <f>'Deelnemer 21 vtg'!AJ20</f>
        <v>0</v>
      </c>
      <c r="Q381" s="184">
        <f>'Deelnemer 21 vtg'!AK20</f>
        <v>0</v>
      </c>
    </row>
    <row r="382" spans="2:18" ht="16.5" hidden="1" customHeight="1" x14ac:dyDescent="0.3">
      <c r="B382" s="639"/>
      <c r="C382" s="161">
        <v>3</v>
      </c>
      <c r="D382" s="182" t="str">
        <f>'Deelnemer 21 vtg'!A21</f>
        <v/>
      </c>
      <c r="E382" s="183" t="str">
        <f>MID(_xlfn.TEXTJOIN(" ",TRUE,'Deelnemer 21 vtg'!$D$6,$B$380),1,12)</f>
        <v>Deelnemer 21</v>
      </c>
      <c r="F382" s="276">
        <f>'Deelnemer 21 vtg'!$C$7</f>
        <v>0</v>
      </c>
      <c r="G382" s="183" t="str">
        <f>'Deelnemer 21 vtg'!B21</f>
        <v xml:space="preserve"> - </v>
      </c>
      <c r="H382" s="186" t="str">
        <f>VLOOKUP(G382,'Categorie H2 Vtg.'!$B$4:$D$20,3,0)</f>
        <v>-</v>
      </c>
      <c r="I382" s="187">
        <f>'Deelnemer 21 vtg'!E21</f>
        <v>0</v>
      </c>
      <c r="J382" s="180">
        <f>'Deelnemer 21 vtg'!V21</f>
        <v>0</v>
      </c>
      <c r="K382" s="184">
        <f>'Deelnemer 21 vtg'!Z21</f>
        <v>0</v>
      </c>
      <c r="L382" s="184">
        <f>'Deelnemer 21 vtg'!AE21</f>
        <v>0</v>
      </c>
      <c r="M382" s="188">
        <f t="shared" si="43"/>
        <v>0</v>
      </c>
      <c r="N382" s="188">
        <f t="shared" si="44"/>
        <v>0</v>
      </c>
      <c r="O382" s="184">
        <f>'Deelnemer 21 vtg'!AG21</f>
        <v>0</v>
      </c>
      <c r="P382" s="184">
        <f>'Deelnemer 21 vtg'!AJ21</f>
        <v>0</v>
      </c>
      <c r="Q382" s="184">
        <f>'Deelnemer 21 vtg'!AK21</f>
        <v>0</v>
      </c>
    </row>
    <row r="383" spans="2:18" ht="16.5" hidden="1" customHeight="1" x14ac:dyDescent="0.3">
      <c r="B383" s="639"/>
      <c r="C383" s="161">
        <v>4</v>
      </c>
      <c r="D383" s="182" t="str">
        <f>'Deelnemer 21 vtg'!A22</f>
        <v/>
      </c>
      <c r="E383" s="183" t="str">
        <f>MID(_xlfn.TEXTJOIN(" ",TRUE,'Deelnemer 21 vtg'!$D$6,$B$380),1,12)</f>
        <v>Deelnemer 21</v>
      </c>
      <c r="F383" s="276">
        <f>'Deelnemer 21 vtg'!$C$7</f>
        <v>0</v>
      </c>
      <c r="G383" s="183" t="str">
        <f>'Deelnemer 21 vtg'!B22</f>
        <v xml:space="preserve"> - </v>
      </c>
      <c r="H383" s="186" t="str">
        <f>VLOOKUP(G383,'Categorie H2 Vtg.'!$B$4:$D$20,3,0)</f>
        <v>-</v>
      </c>
      <c r="I383" s="187">
        <f>'Deelnemer 21 vtg'!E22</f>
        <v>0</v>
      </c>
      <c r="J383" s="180">
        <f>'Deelnemer 21 vtg'!V22</f>
        <v>0</v>
      </c>
      <c r="K383" s="184">
        <f>'Deelnemer 21 vtg'!Z22</f>
        <v>0</v>
      </c>
      <c r="L383" s="184">
        <f>'Deelnemer 21 vtg'!AE22</f>
        <v>0</v>
      </c>
      <c r="M383" s="188">
        <f t="shared" si="43"/>
        <v>0</v>
      </c>
      <c r="N383" s="188">
        <f t="shared" si="44"/>
        <v>0</v>
      </c>
      <c r="O383" s="184">
        <f>'Deelnemer 21 vtg'!AG22</f>
        <v>0</v>
      </c>
      <c r="P383" s="184">
        <f>'Deelnemer 21 vtg'!AJ22</f>
        <v>0</v>
      </c>
      <c r="Q383" s="184">
        <f>'Deelnemer 21 vtg'!AK22</f>
        <v>0</v>
      </c>
    </row>
    <row r="384" spans="2:18" ht="16.5" hidden="1" customHeight="1" x14ac:dyDescent="0.3">
      <c r="B384" s="639"/>
      <c r="C384" s="161">
        <v>5</v>
      </c>
      <c r="D384" s="182" t="str">
        <f>'Deelnemer 21 vtg'!A23</f>
        <v/>
      </c>
      <c r="E384" s="183" t="str">
        <f>MID(_xlfn.TEXTJOIN(" ",TRUE,'Deelnemer 21 vtg'!$D$6,$B$380),1,12)</f>
        <v>Deelnemer 21</v>
      </c>
      <c r="F384" s="276">
        <f>'Deelnemer 21 vtg'!$C$7</f>
        <v>0</v>
      </c>
      <c r="G384" s="183" t="str">
        <f>'Deelnemer 21 vtg'!B23</f>
        <v xml:space="preserve"> - </v>
      </c>
      <c r="H384" s="186" t="str">
        <f>VLOOKUP(G384,'Categorie H2 Vtg.'!$B$4:$D$20,3,0)</f>
        <v>-</v>
      </c>
      <c r="I384" s="187">
        <f>'Deelnemer 21 vtg'!E23</f>
        <v>0</v>
      </c>
      <c r="J384" s="180">
        <f>'Deelnemer 21 vtg'!V23</f>
        <v>0</v>
      </c>
      <c r="K384" s="184">
        <f>'Deelnemer 21 vtg'!Z23</f>
        <v>0</v>
      </c>
      <c r="L384" s="184">
        <f>'Deelnemer 21 vtg'!AE23</f>
        <v>0</v>
      </c>
      <c r="M384" s="188">
        <f t="shared" si="43"/>
        <v>0</v>
      </c>
      <c r="N384" s="188">
        <f t="shared" si="44"/>
        <v>0</v>
      </c>
      <c r="O384" s="184">
        <f>'Deelnemer 21 vtg'!AG23</f>
        <v>0</v>
      </c>
      <c r="P384" s="184">
        <f>'Deelnemer 21 vtg'!AJ23</f>
        <v>0</v>
      </c>
      <c r="Q384" s="184">
        <f>'Deelnemer 21 vtg'!AK23</f>
        <v>0</v>
      </c>
    </row>
    <row r="385" spans="2:18" ht="16.5" hidden="1" customHeight="1" x14ac:dyDescent="0.3">
      <c r="B385" s="639"/>
      <c r="C385" s="161">
        <v>6</v>
      </c>
      <c r="D385" s="182" t="str">
        <f>'Deelnemer 21 vtg'!A24</f>
        <v/>
      </c>
      <c r="E385" s="183" t="str">
        <f>MID(_xlfn.TEXTJOIN(" ",TRUE,'Deelnemer 21 vtg'!$D$6,$B$380),1,12)</f>
        <v>Deelnemer 21</v>
      </c>
      <c r="F385" s="276">
        <f>'Deelnemer 21 vtg'!$C$7</f>
        <v>0</v>
      </c>
      <c r="G385" s="183" t="str">
        <f>'Deelnemer 21 vtg'!B24</f>
        <v xml:space="preserve"> - </v>
      </c>
      <c r="H385" s="186" t="str">
        <f>VLOOKUP(G385,'Categorie H2 Vtg.'!$B$4:$D$20,3,0)</f>
        <v>-</v>
      </c>
      <c r="I385" s="187">
        <f>'Deelnemer 21 vtg'!E24</f>
        <v>0</v>
      </c>
      <c r="J385" s="180">
        <f>'Deelnemer 21 vtg'!V24</f>
        <v>0</v>
      </c>
      <c r="K385" s="184">
        <f>'Deelnemer 21 vtg'!Z24</f>
        <v>0</v>
      </c>
      <c r="L385" s="184">
        <f>'Deelnemer 21 vtg'!AE24</f>
        <v>0</v>
      </c>
      <c r="M385" s="188">
        <f t="shared" si="43"/>
        <v>0</v>
      </c>
      <c r="N385" s="188">
        <f t="shared" si="44"/>
        <v>0</v>
      </c>
      <c r="O385" s="184">
        <f>'Deelnemer 21 vtg'!AG24</f>
        <v>0</v>
      </c>
      <c r="P385" s="184">
        <f>'Deelnemer 21 vtg'!AJ24</f>
        <v>0</v>
      </c>
      <c r="Q385" s="184">
        <f>'Deelnemer 21 vtg'!AK24</f>
        <v>0</v>
      </c>
    </row>
    <row r="386" spans="2:18" ht="16.5" hidden="1" customHeight="1" x14ac:dyDescent="0.3">
      <c r="B386" s="639"/>
      <c r="C386" s="161">
        <v>7</v>
      </c>
      <c r="D386" s="182" t="str">
        <f>'Deelnemer 21 vtg'!A25</f>
        <v/>
      </c>
      <c r="E386" s="183" t="str">
        <f>MID(_xlfn.TEXTJOIN(" ",TRUE,'Deelnemer 21 vtg'!$D$6,$B$380),1,12)</f>
        <v>Deelnemer 21</v>
      </c>
      <c r="F386" s="276">
        <f>'Deelnemer 21 vtg'!$C$7</f>
        <v>0</v>
      </c>
      <c r="G386" s="183" t="str">
        <f>'Deelnemer 21 vtg'!B25</f>
        <v xml:space="preserve"> - </v>
      </c>
      <c r="H386" s="186" t="str">
        <f>VLOOKUP(G386,'Categorie H2 Vtg.'!$B$4:$D$20,3,0)</f>
        <v>-</v>
      </c>
      <c r="I386" s="187">
        <f>'Deelnemer 21 vtg'!E25</f>
        <v>0</v>
      </c>
      <c r="J386" s="180">
        <f>'Deelnemer 21 vtg'!V25</f>
        <v>0</v>
      </c>
      <c r="K386" s="184">
        <f>'Deelnemer 21 vtg'!Z25</f>
        <v>0</v>
      </c>
      <c r="L386" s="184">
        <f>'Deelnemer 21 vtg'!AE25</f>
        <v>0</v>
      </c>
      <c r="M386" s="188">
        <f t="shared" si="43"/>
        <v>0</v>
      </c>
      <c r="N386" s="188">
        <f t="shared" si="44"/>
        <v>0</v>
      </c>
      <c r="O386" s="184">
        <f>'Deelnemer 21 vtg'!AG25</f>
        <v>0</v>
      </c>
      <c r="P386" s="184">
        <f>'Deelnemer 21 vtg'!AJ25</f>
        <v>0</v>
      </c>
      <c r="Q386" s="184">
        <f>'Deelnemer 21 vtg'!AK25</f>
        <v>0</v>
      </c>
    </row>
    <row r="387" spans="2:18" ht="16.5" hidden="1" customHeight="1" x14ac:dyDescent="0.3">
      <c r="B387" s="639"/>
      <c r="C387" s="161">
        <v>8</v>
      </c>
      <c r="D387" s="182" t="str">
        <f>'Deelnemer 21 vtg'!A26</f>
        <v/>
      </c>
      <c r="E387" s="183" t="str">
        <f>MID(_xlfn.TEXTJOIN(" ",TRUE,'Deelnemer 21 vtg'!$D$6,$B$380),1,12)</f>
        <v>Deelnemer 21</v>
      </c>
      <c r="F387" s="276">
        <f>'Deelnemer 21 vtg'!$C$7</f>
        <v>0</v>
      </c>
      <c r="G387" s="183" t="str">
        <f>'Deelnemer 21 vtg'!B26</f>
        <v xml:space="preserve"> - </v>
      </c>
      <c r="H387" s="186" t="str">
        <f>VLOOKUP(G387,'Categorie H2 Vtg.'!$B$4:$D$20,3,0)</f>
        <v>-</v>
      </c>
      <c r="I387" s="187">
        <f>'Deelnemer 21 vtg'!E26</f>
        <v>0</v>
      </c>
      <c r="J387" s="180">
        <f>'Deelnemer 21 vtg'!V26</f>
        <v>0</v>
      </c>
      <c r="K387" s="184">
        <f>'Deelnemer 21 vtg'!Z26</f>
        <v>0</v>
      </c>
      <c r="L387" s="184">
        <f>'Deelnemer 21 vtg'!AE26</f>
        <v>0</v>
      </c>
      <c r="M387" s="188">
        <f t="shared" si="43"/>
        <v>0</v>
      </c>
      <c r="N387" s="188">
        <f t="shared" si="44"/>
        <v>0</v>
      </c>
      <c r="O387" s="184">
        <f>'Deelnemer 21 vtg'!AG26</f>
        <v>0</v>
      </c>
      <c r="P387" s="184">
        <f>'Deelnemer 21 vtg'!AJ26</f>
        <v>0</v>
      </c>
      <c r="Q387" s="184">
        <f>'Deelnemer 21 vtg'!AK26</f>
        <v>0</v>
      </c>
    </row>
    <row r="388" spans="2:18" ht="16.5" hidden="1" customHeight="1" x14ac:dyDescent="0.3">
      <c r="B388" s="639"/>
      <c r="C388" s="161">
        <v>9</v>
      </c>
      <c r="D388" s="182" t="str">
        <f>'Deelnemer 21 vtg'!A27</f>
        <v/>
      </c>
      <c r="E388" s="183" t="str">
        <f>MID(_xlfn.TEXTJOIN(" ",TRUE,'Deelnemer 21 vtg'!$D$6,$B$380),1,12)</f>
        <v>Deelnemer 21</v>
      </c>
      <c r="F388" s="276">
        <f>'Deelnemer 21 vtg'!$C$7</f>
        <v>0</v>
      </c>
      <c r="G388" s="183" t="str">
        <f>'Deelnemer 21 vtg'!B27</f>
        <v xml:space="preserve"> - </v>
      </c>
      <c r="H388" s="186" t="str">
        <f>VLOOKUP(G388,'Categorie H2 Vtg.'!$B$4:$D$20,3,0)</f>
        <v>-</v>
      </c>
      <c r="I388" s="187">
        <f>'Deelnemer 21 vtg'!E27</f>
        <v>0</v>
      </c>
      <c r="J388" s="180">
        <f>'Deelnemer 21 vtg'!V27</f>
        <v>0</v>
      </c>
      <c r="K388" s="184">
        <f>'Deelnemer 21 vtg'!Z27</f>
        <v>0</v>
      </c>
      <c r="L388" s="184">
        <f>'Deelnemer 21 vtg'!AE27</f>
        <v>0</v>
      </c>
      <c r="M388" s="188">
        <f t="shared" si="43"/>
        <v>0</v>
      </c>
      <c r="N388" s="188">
        <f t="shared" si="44"/>
        <v>0</v>
      </c>
      <c r="O388" s="184">
        <f>'Deelnemer 21 vtg'!AG27</f>
        <v>0</v>
      </c>
      <c r="P388" s="184">
        <f>'Deelnemer 21 vtg'!AJ27</f>
        <v>0</v>
      </c>
      <c r="Q388" s="184">
        <f>'Deelnemer 21 vtg'!AK27</f>
        <v>0</v>
      </c>
    </row>
    <row r="389" spans="2:18" ht="16.5" hidden="1" customHeight="1" x14ac:dyDescent="0.3">
      <c r="B389" s="639"/>
      <c r="C389" s="161">
        <v>10</v>
      </c>
      <c r="D389" s="182" t="str">
        <f>'Deelnemer 21 vtg'!A28</f>
        <v/>
      </c>
      <c r="E389" s="183" t="str">
        <f>MID(_xlfn.TEXTJOIN(" ",TRUE,'Deelnemer 21 vtg'!$D$6,$B$380),1,12)</f>
        <v>Deelnemer 21</v>
      </c>
      <c r="F389" s="276">
        <f>'Deelnemer 21 vtg'!$C$7</f>
        <v>0</v>
      </c>
      <c r="G389" s="183" t="str">
        <f>'Deelnemer 21 vtg'!B28</f>
        <v xml:space="preserve"> - </v>
      </c>
      <c r="H389" s="186" t="str">
        <f>VLOOKUP(G389,'Categorie H2 Vtg.'!$B$4:$D$20,3,0)</f>
        <v>-</v>
      </c>
      <c r="I389" s="187">
        <f>'Deelnemer 21 vtg'!E28</f>
        <v>0</v>
      </c>
      <c r="J389" s="180">
        <f>'Deelnemer 21 vtg'!V28</f>
        <v>0</v>
      </c>
      <c r="K389" s="184">
        <f>'Deelnemer 21 vtg'!Z28</f>
        <v>0</v>
      </c>
      <c r="L389" s="184">
        <f>'Deelnemer 21 vtg'!AE28</f>
        <v>0</v>
      </c>
      <c r="M389" s="188">
        <f t="shared" si="43"/>
        <v>0</v>
      </c>
      <c r="N389" s="188">
        <f t="shared" si="44"/>
        <v>0</v>
      </c>
      <c r="O389" s="184">
        <f>'Deelnemer 21 vtg'!AG28</f>
        <v>0</v>
      </c>
      <c r="P389" s="184">
        <f>'Deelnemer 21 vtg'!AJ28</f>
        <v>0</v>
      </c>
      <c r="Q389" s="184">
        <f>'Deelnemer 21 vtg'!AK28</f>
        <v>0</v>
      </c>
    </row>
    <row r="390" spans="2:18" ht="16.5" hidden="1" customHeight="1" x14ac:dyDescent="0.3">
      <c r="B390" s="639"/>
      <c r="C390" s="161">
        <v>11</v>
      </c>
      <c r="D390" s="182" t="str">
        <f>'Deelnemer 21 vtg'!A29</f>
        <v/>
      </c>
      <c r="E390" s="183" t="str">
        <f>MID(_xlfn.TEXTJOIN(" ",TRUE,'Deelnemer 21 vtg'!$D$6,$B$380),1,12)</f>
        <v>Deelnemer 21</v>
      </c>
      <c r="F390" s="276">
        <f>'Deelnemer 21 vtg'!$C$7</f>
        <v>0</v>
      </c>
      <c r="G390" s="183" t="str">
        <f>'Deelnemer 21 vtg'!B29</f>
        <v xml:space="preserve"> - </v>
      </c>
      <c r="H390" s="186" t="str">
        <f>VLOOKUP(G390,'Categorie H2 Vtg.'!$B$4:$D$20,3,0)</f>
        <v>-</v>
      </c>
      <c r="I390" s="187">
        <f>'Deelnemer 21 vtg'!E29</f>
        <v>0</v>
      </c>
      <c r="J390" s="180">
        <f>'Deelnemer 21 vtg'!V29</f>
        <v>0</v>
      </c>
      <c r="K390" s="184">
        <f>'Deelnemer 21 vtg'!Z29</f>
        <v>0</v>
      </c>
      <c r="L390" s="184">
        <f>'Deelnemer 21 vtg'!AE29</f>
        <v>0</v>
      </c>
      <c r="M390" s="188">
        <f t="shared" si="43"/>
        <v>0</v>
      </c>
      <c r="N390" s="188">
        <f t="shared" si="44"/>
        <v>0</v>
      </c>
      <c r="O390" s="184">
        <f>'Deelnemer 21 vtg'!AG29</f>
        <v>0</v>
      </c>
      <c r="P390" s="184">
        <f>'Deelnemer 21 vtg'!AJ29</f>
        <v>0</v>
      </c>
      <c r="Q390" s="184">
        <f>'Deelnemer 21 vtg'!AK29</f>
        <v>0</v>
      </c>
    </row>
    <row r="391" spans="2:18" ht="16.5" hidden="1" customHeight="1" x14ac:dyDescent="0.3">
      <c r="B391" s="639"/>
      <c r="C391" s="161">
        <v>12</v>
      </c>
      <c r="D391" s="182" t="str">
        <f>'Deelnemer 21 vtg'!A30</f>
        <v/>
      </c>
      <c r="E391" s="183" t="str">
        <f>MID(_xlfn.TEXTJOIN(" ",TRUE,'Deelnemer 21 vtg'!$D$6,$B$380),1,12)</f>
        <v>Deelnemer 21</v>
      </c>
      <c r="F391" s="276">
        <f>'Deelnemer 21 vtg'!$C$7</f>
        <v>0</v>
      </c>
      <c r="G391" s="183" t="str">
        <f>'Deelnemer 21 vtg'!B30</f>
        <v xml:space="preserve"> - </v>
      </c>
      <c r="H391" s="186" t="str">
        <f>VLOOKUP(G391,'Categorie H2 Vtg.'!$B$4:$D$20,3,0)</f>
        <v>-</v>
      </c>
      <c r="I391" s="187">
        <f>'Deelnemer 21 vtg'!E30</f>
        <v>0</v>
      </c>
      <c r="J391" s="180">
        <f>'Deelnemer 21 vtg'!V30</f>
        <v>0</v>
      </c>
      <c r="K391" s="184">
        <f>'Deelnemer 21 vtg'!Z30</f>
        <v>0</v>
      </c>
      <c r="L391" s="184">
        <f>'Deelnemer 21 vtg'!AE30</f>
        <v>0</v>
      </c>
      <c r="M391" s="188">
        <f t="shared" si="43"/>
        <v>0</v>
      </c>
      <c r="N391" s="188">
        <f t="shared" si="44"/>
        <v>0</v>
      </c>
      <c r="O391" s="184">
        <f>'Deelnemer 21 vtg'!AG30</f>
        <v>0</v>
      </c>
      <c r="P391" s="184">
        <f>'Deelnemer 21 vtg'!AJ30</f>
        <v>0</v>
      </c>
      <c r="Q391" s="184">
        <f>'Deelnemer 21 vtg'!AK30</f>
        <v>0</v>
      </c>
    </row>
    <row r="392" spans="2:18" ht="16.5" hidden="1" customHeight="1" x14ac:dyDescent="0.3">
      <c r="B392" s="639"/>
      <c r="C392" s="161">
        <v>13</v>
      </c>
      <c r="D392" s="182" t="str">
        <f>'Deelnemer 21 vtg'!A31</f>
        <v/>
      </c>
      <c r="E392" s="183" t="str">
        <f>MID(_xlfn.TEXTJOIN(" ",TRUE,'Deelnemer 21 vtg'!$D$6,$B$380),1,12)</f>
        <v>Deelnemer 21</v>
      </c>
      <c r="F392" s="276">
        <f>'Deelnemer 21 vtg'!$C$7</f>
        <v>0</v>
      </c>
      <c r="G392" s="183" t="str">
        <f>'Deelnemer 21 vtg'!B31</f>
        <v xml:space="preserve"> - </v>
      </c>
      <c r="H392" s="186" t="str">
        <f>VLOOKUP(G392,'Categorie H2 Vtg.'!$B$4:$D$20,3,0)</f>
        <v>-</v>
      </c>
      <c r="I392" s="187">
        <f>'Deelnemer 21 vtg'!E31</f>
        <v>0</v>
      </c>
      <c r="J392" s="180">
        <f>'Deelnemer 21 vtg'!V31</f>
        <v>0</v>
      </c>
      <c r="K392" s="184">
        <f>'Deelnemer 21 vtg'!Z31</f>
        <v>0</v>
      </c>
      <c r="L392" s="184">
        <f>'Deelnemer 21 vtg'!AE31</f>
        <v>0</v>
      </c>
      <c r="M392" s="188">
        <f t="shared" si="43"/>
        <v>0</v>
      </c>
      <c r="N392" s="188">
        <f t="shared" si="44"/>
        <v>0</v>
      </c>
      <c r="O392" s="184">
        <f>'Deelnemer 21 vtg'!AG31</f>
        <v>0</v>
      </c>
      <c r="P392" s="184">
        <f>'Deelnemer 21 vtg'!AJ31</f>
        <v>0</v>
      </c>
      <c r="Q392" s="184">
        <f>'Deelnemer 21 vtg'!AK31</f>
        <v>0</v>
      </c>
    </row>
    <row r="393" spans="2:18" ht="16.5" hidden="1" customHeight="1" x14ac:dyDescent="0.3">
      <c r="B393" s="639"/>
      <c r="C393" s="161">
        <v>14</v>
      </c>
      <c r="D393" s="182" t="str">
        <f>'Deelnemer 21 vtg'!A32</f>
        <v/>
      </c>
      <c r="E393" s="183" t="str">
        <f>MID(_xlfn.TEXTJOIN(" ",TRUE,'Deelnemer 21 vtg'!$D$6,$B$380),1,12)</f>
        <v>Deelnemer 21</v>
      </c>
      <c r="F393" s="276">
        <f>'Deelnemer 21 vtg'!$C$7</f>
        <v>0</v>
      </c>
      <c r="G393" s="183" t="str">
        <f>'Deelnemer 21 vtg'!B32</f>
        <v xml:space="preserve"> - </v>
      </c>
      <c r="H393" s="186" t="str">
        <f>VLOOKUP(G393,'Categorie H2 Vtg.'!$B$4:$D$20,3,0)</f>
        <v>-</v>
      </c>
      <c r="I393" s="187">
        <f>'Deelnemer 21 vtg'!E32</f>
        <v>0</v>
      </c>
      <c r="J393" s="180">
        <f>'Deelnemer 21 vtg'!V32</f>
        <v>0</v>
      </c>
      <c r="K393" s="184">
        <f>'Deelnemer 21 vtg'!Z32</f>
        <v>0</v>
      </c>
      <c r="L393" s="184">
        <f>'Deelnemer 21 vtg'!AE32</f>
        <v>0</v>
      </c>
      <c r="M393" s="188">
        <f t="shared" si="43"/>
        <v>0</v>
      </c>
      <c r="N393" s="188">
        <f t="shared" si="44"/>
        <v>0</v>
      </c>
      <c r="O393" s="184">
        <f>'Deelnemer 21 vtg'!AG32</f>
        <v>0</v>
      </c>
      <c r="P393" s="184">
        <f>'Deelnemer 21 vtg'!AJ32</f>
        <v>0</v>
      </c>
      <c r="Q393" s="184">
        <f>'Deelnemer 21 vtg'!AK32</f>
        <v>0</v>
      </c>
    </row>
    <row r="394" spans="2:18" ht="16.5" hidden="1" customHeight="1" x14ac:dyDescent="0.3">
      <c r="B394" s="639"/>
      <c r="C394" s="161">
        <v>15</v>
      </c>
      <c r="D394" s="182" t="str">
        <f>'Deelnemer 21 vtg'!A33</f>
        <v/>
      </c>
      <c r="E394" s="183" t="str">
        <f>MID(_xlfn.TEXTJOIN(" ",TRUE,'Deelnemer 21 vtg'!$D$6,$B$380),1,12)</f>
        <v>Deelnemer 21</v>
      </c>
      <c r="F394" s="276">
        <f>'Deelnemer 21 vtg'!$C$7</f>
        <v>0</v>
      </c>
      <c r="G394" s="183" t="str">
        <f>'Deelnemer 21 vtg'!B33</f>
        <v xml:space="preserve"> - </v>
      </c>
      <c r="H394" s="186" t="str">
        <f>VLOOKUP(G394,'Categorie H2 Vtg.'!$B$4:$D$20,3,0)</f>
        <v>-</v>
      </c>
      <c r="I394" s="187">
        <f>'Deelnemer 21 vtg'!E33</f>
        <v>0</v>
      </c>
      <c r="J394" s="180">
        <f>'Deelnemer 21 vtg'!V33</f>
        <v>0</v>
      </c>
      <c r="K394" s="184">
        <f>'Deelnemer 21 vtg'!Z33</f>
        <v>0</v>
      </c>
      <c r="L394" s="184">
        <f>'Deelnemer 21 vtg'!AE33</f>
        <v>0</v>
      </c>
      <c r="M394" s="188">
        <f t="shared" si="43"/>
        <v>0</v>
      </c>
      <c r="N394" s="188">
        <f t="shared" si="44"/>
        <v>0</v>
      </c>
      <c r="O394" s="184">
        <f>'Deelnemer 21 vtg'!AG33</f>
        <v>0</v>
      </c>
      <c r="P394" s="184">
        <f>'Deelnemer 21 vtg'!AJ33</f>
        <v>0</v>
      </c>
      <c r="Q394" s="184">
        <f>'Deelnemer 21 vtg'!AK33</f>
        <v>0</v>
      </c>
    </row>
    <row r="395" spans="2:18" s="181" customFormat="1" ht="16.5" hidden="1" customHeight="1" x14ac:dyDescent="0.3">
      <c r="B395" s="639">
        <f t="shared" si="36"/>
        <v>22</v>
      </c>
      <c r="C395" s="189">
        <v>1</v>
      </c>
      <c r="D395" s="182" t="str">
        <f>'Deelnemer 22 vtg'!A19</f>
        <v/>
      </c>
      <c r="E395" s="183" t="str">
        <f>MID(_xlfn.TEXTJOIN(" ",TRUE,'Deelnemer 22 vtg'!$D$6,$B$395),1,12)</f>
        <v>Deelnemer 22</v>
      </c>
      <c r="F395" s="276">
        <f>'Deelnemer 22 vtg'!$C$7</f>
        <v>0</v>
      </c>
      <c r="G395" s="183" t="str">
        <f>'Deelnemer 22 vtg'!B19</f>
        <v xml:space="preserve"> - </v>
      </c>
      <c r="H395" s="183" t="str">
        <f>VLOOKUP(G395,'Categorie H2 Vtg.'!$B$4:$D$20,3,0)</f>
        <v>-</v>
      </c>
      <c r="I395" s="187">
        <f>'Deelnemer 22 vtg'!E19</f>
        <v>0</v>
      </c>
      <c r="J395" s="180">
        <f>'Deelnemer 22 vtg'!V19</f>
        <v>0</v>
      </c>
      <c r="K395" s="184">
        <f>'Deelnemer 22 vtg'!Z19</f>
        <v>0</v>
      </c>
      <c r="L395" s="184">
        <f>'Deelnemer 22 vtg'!AE19</f>
        <v>0</v>
      </c>
      <c r="M395" s="184">
        <f>K395*J395</f>
        <v>0</v>
      </c>
      <c r="N395" s="184">
        <f>L395*J395</f>
        <v>0</v>
      </c>
      <c r="O395" s="184">
        <f>'Deelnemer 22 vtg'!AG19</f>
        <v>0</v>
      </c>
      <c r="P395" s="184">
        <f>'Deelnemer 22 vtg'!AJ19</f>
        <v>0</v>
      </c>
      <c r="Q395" s="184">
        <f>'Deelnemer 22 vtg'!AK19</f>
        <v>0</v>
      </c>
      <c r="R395" s="161"/>
    </row>
    <row r="396" spans="2:18" ht="16.5" hidden="1" customHeight="1" x14ac:dyDescent="0.3">
      <c r="B396" s="639"/>
      <c r="C396" s="161">
        <v>2</v>
      </c>
      <c r="D396" s="182" t="str">
        <f>'Deelnemer 22 vtg'!A20</f>
        <v/>
      </c>
      <c r="E396" s="183" t="str">
        <f>MID(_xlfn.TEXTJOIN(" ",TRUE,'Deelnemer 22 vtg'!$D$6,$B$395),1,12)</f>
        <v>Deelnemer 22</v>
      </c>
      <c r="F396" s="276">
        <f>'Deelnemer 22 vtg'!$C$7</f>
        <v>0</v>
      </c>
      <c r="G396" s="183" t="str">
        <f>'Deelnemer 22 vtg'!B20</f>
        <v xml:space="preserve"> - </v>
      </c>
      <c r="H396" s="186" t="str">
        <f>VLOOKUP(G396,'Categorie H2 Vtg.'!$B$4:$D$20,3,0)</f>
        <v>-</v>
      </c>
      <c r="I396" s="187">
        <f>'Deelnemer 22 vtg'!E20</f>
        <v>0</v>
      </c>
      <c r="J396" s="180">
        <f>'Deelnemer 22 vtg'!V20</f>
        <v>0</v>
      </c>
      <c r="K396" s="184">
        <f>'Deelnemer 22 vtg'!Z20</f>
        <v>0</v>
      </c>
      <c r="L396" s="184">
        <f>'Deelnemer 22 vtg'!AE20</f>
        <v>0</v>
      </c>
      <c r="M396" s="188">
        <f t="shared" ref="M396:M409" si="45">K396*J396</f>
        <v>0</v>
      </c>
      <c r="N396" s="188">
        <f t="shared" ref="N396:N409" si="46">L396*J396</f>
        <v>0</v>
      </c>
      <c r="O396" s="184">
        <f>'Deelnemer 22 vtg'!AG20</f>
        <v>0</v>
      </c>
      <c r="P396" s="184">
        <f>'Deelnemer 22 vtg'!AJ20</f>
        <v>0</v>
      </c>
      <c r="Q396" s="184">
        <f>'Deelnemer 22 vtg'!AK20</f>
        <v>0</v>
      </c>
    </row>
    <row r="397" spans="2:18" ht="16.5" hidden="1" customHeight="1" x14ac:dyDescent="0.3">
      <c r="B397" s="639"/>
      <c r="C397" s="161">
        <v>3</v>
      </c>
      <c r="D397" s="182" t="str">
        <f>'Deelnemer 22 vtg'!A21</f>
        <v/>
      </c>
      <c r="E397" s="183" t="str">
        <f>MID(_xlfn.TEXTJOIN(" ",TRUE,'Deelnemer 22 vtg'!$D$6,$B$395),1,12)</f>
        <v>Deelnemer 22</v>
      </c>
      <c r="F397" s="276">
        <f>'Deelnemer 22 vtg'!$C$7</f>
        <v>0</v>
      </c>
      <c r="G397" s="183" t="str">
        <f>'Deelnemer 22 vtg'!B21</f>
        <v xml:space="preserve"> - </v>
      </c>
      <c r="H397" s="186" t="str">
        <f>VLOOKUP(G397,'Categorie H2 Vtg.'!$B$4:$D$20,3,0)</f>
        <v>-</v>
      </c>
      <c r="I397" s="187">
        <f>'Deelnemer 22 vtg'!E21</f>
        <v>0</v>
      </c>
      <c r="J397" s="180">
        <f>'Deelnemer 22 vtg'!V21</f>
        <v>0</v>
      </c>
      <c r="K397" s="184">
        <f>'Deelnemer 22 vtg'!Z21</f>
        <v>0</v>
      </c>
      <c r="L397" s="184">
        <f>'Deelnemer 22 vtg'!AE21</f>
        <v>0</v>
      </c>
      <c r="M397" s="188">
        <f t="shared" si="45"/>
        <v>0</v>
      </c>
      <c r="N397" s="188">
        <f t="shared" si="46"/>
        <v>0</v>
      </c>
      <c r="O397" s="184">
        <f>'Deelnemer 22 vtg'!AG21</f>
        <v>0</v>
      </c>
      <c r="P397" s="184">
        <f>'Deelnemer 22 vtg'!AJ21</f>
        <v>0</v>
      </c>
      <c r="Q397" s="184">
        <f>'Deelnemer 22 vtg'!AK21</f>
        <v>0</v>
      </c>
    </row>
    <row r="398" spans="2:18" ht="16.5" hidden="1" customHeight="1" x14ac:dyDescent="0.3">
      <c r="B398" s="639"/>
      <c r="C398" s="161">
        <v>4</v>
      </c>
      <c r="D398" s="182" t="str">
        <f>'Deelnemer 22 vtg'!A22</f>
        <v/>
      </c>
      <c r="E398" s="183" t="str">
        <f>MID(_xlfn.TEXTJOIN(" ",TRUE,'Deelnemer 22 vtg'!$D$6,$B$395),1,12)</f>
        <v>Deelnemer 22</v>
      </c>
      <c r="F398" s="276">
        <f>'Deelnemer 22 vtg'!$C$7</f>
        <v>0</v>
      </c>
      <c r="G398" s="183" t="str">
        <f>'Deelnemer 22 vtg'!B22</f>
        <v xml:space="preserve"> - </v>
      </c>
      <c r="H398" s="186" t="str">
        <f>VLOOKUP(G398,'Categorie H2 Vtg.'!$B$4:$D$20,3,0)</f>
        <v>-</v>
      </c>
      <c r="I398" s="187">
        <f>'Deelnemer 22 vtg'!E22</f>
        <v>0</v>
      </c>
      <c r="J398" s="180">
        <f>'Deelnemer 22 vtg'!V22</f>
        <v>0</v>
      </c>
      <c r="K398" s="184">
        <f>'Deelnemer 22 vtg'!Z22</f>
        <v>0</v>
      </c>
      <c r="L398" s="184">
        <f>'Deelnemer 22 vtg'!AE22</f>
        <v>0</v>
      </c>
      <c r="M398" s="188">
        <f t="shared" si="45"/>
        <v>0</v>
      </c>
      <c r="N398" s="188">
        <f t="shared" si="46"/>
        <v>0</v>
      </c>
      <c r="O398" s="184">
        <f>'Deelnemer 22 vtg'!AG22</f>
        <v>0</v>
      </c>
      <c r="P398" s="184">
        <f>'Deelnemer 22 vtg'!AJ22</f>
        <v>0</v>
      </c>
      <c r="Q398" s="184">
        <f>'Deelnemer 22 vtg'!AK22</f>
        <v>0</v>
      </c>
    </row>
    <row r="399" spans="2:18" ht="16.5" hidden="1" customHeight="1" x14ac:dyDescent="0.3">
      <c r="B399" s="639"/>
      <c r="C399" s="161">
        <v>5</v>
      </c>
      <c r="D399" s="182" t="str">
        <f>'Deelnemer 22 vtg'!A23</f>
        <v/>
      </c>
      <c r="E399" s="183" t="str">
        <f>MID(_xlfn.TEXTJOIN(" ",TRUE,'Deelnemer 22 vtg'!$D$6,$B$395),1,12)</f>
        <v>Deelnemer 22</v>
      </c>
      <c r="F399" s="276">
        <f>'Deelnemer 22 vtg'!$C$7</f>
        <v>0</v>
      </c>
      <c r="G399" s="183" t="str">
        <f>'Deelnemer 22 vtg'!B23</f>
        <v xml:space="preserve"> - </v>
      </c>
      <c r="H399" s="186" t="str">
        <f>VLOOKUP(G399,'Categorie H2 Vtg.'!$B$4:$D$20,3,0)</f>
        <v>-</v>
      </c>
      <c r="I399" s="187">
        <f>'Deelnemer 22 vtg'!E23</f>
        <v>0</v>
      </c>
      <c r="J399" s="180">
        <f>'Deelnemer 22 vtg'!V23</f>
        <v>0</v>
      </c>
      <c r="K399" s="184">
        <f>'Deelnemer 22 vtg'!Z23</f>
        <v>0</v>
      </c>
      <c r="L399" s="184">
        <f>'Deelnemer 22 vtg'!AE23</f>
        <v>0</v>
      </c>
      <c r="M399" s="188">
        <f t="shared" si="45"/>
        <v>0</v>
      </c>
      <c r="N399" s="188">
        <f t="shared" si="46"/>
        <v>0</v>
      </c>
      <c r="O399" s="184">
        <f>'Deelnemer 22 vtg'!AG23</f>
        <v>0</v>
      </c>
      <c r="P399" s="184">
        <f>'Deelnemer 22 vtg'!AJ23</f>
        <v>0</v>
      </c>
      <c r="Q399" s="184">
        <f>'Deelnemer 22 vtg'!AK23</f>
        <v>0</v>
      </c>
    </row>
    <row r="400" spans="2:18" ht="16.5" hidden="1" customHeight="1" x14ac:dyDescent="0.3">
      <c r="B400" s="639"/>
      <c r="C400" s="161">
        <v>6</v>
      </c>
      <c r="D400" s="182" t="str">
        <f>'Deelnemer 22 vtg'!A24</f>
        <v/>
      </c>
      <c r="E400" s="183" t="str">
        <f>MID(_xlfn.TEXTJOIN(" ",TRUE,'Deelnemer 22 vtg'!$D$6,$B$395),1,12)</f>
        <v>Deelnemer 22</v>
      </c>
      <c r="F400" s="276">
        <f>'Deelnemer 22 vtg'!$C$7</f>
        <v>0</v>
      </c>
      <c r="G400" s="183" t="str">
        <f>'Deelnemer 22 vtg'!B24</f>
        <v xml:space="preserve"> - </v>
      </c>
      <c r="H400" s="186" t="str">
        <f>VLOOKUP(G400,'Categorie H2 Vtg.'!$B$4:$D$20,3,0)</f>
        <v>-</v>
      </c>
      <c r="I400" s="187">
        <f>'Deelnemer 22 vtg'!E24</f>
        <v>0</v>
      </c>
      <c r="J400" s="180">
        <f>'Deelnemer 22 vtg'!V24</f>
        <v>0</v>
      </c>
      <c r="K400" s="184">
        <f>'Deelnemer 22 vtg'!Z24</f>
        <v>0</v>
      </c>
      <c r="L400" s="184">
        <f>'Deelnemer 22 vtg'!AE24</f>
        <v>0</v>
      </c>
      <c r="M400" s="188">
        <f t="shared" si="45"/>
        <v>0</v>
      </c>
      <c r="N400" s="188">
        <f t="shared" si="46"/>
        <v>0</v>
      </c>
      <c r="O400" s="184">
        <f>'Deelnemer 22 vtg'!AG24</f>
        <v>0</v>
      </c>
      <c r="P400" s="184">
        <f>'Deelnemer 22 vtg'!AJ24</f>
        <v>0</v>
      </c>
      <c r="Q400" s="184">
        <f>'Deelnemer 22 vtg'!AK24</f>
        <v>0</v>
      </c>
    </row>
    <row r="401" spans="2:18" ht="16.5" hidden="1" customHeight="1" x14ac:dyDescent="0.3">
      <c r="B401" s="639"/>
      <c r="C401" s="161">
        <v>7</v>
      </c>
      <c r="D401" s="182" t="str">
        <f>'Deelnemer 22 vtg'!A25</f>
        <v/>
      </c>
      <c r="E401" s="183" t="str">
        <f>MID(_xlfn.TEXTJOIN(" ",TRUE,'Deelnemer 22 vtg'!$D$6,$B$395),1,12)</f>
        <v>Deelnemer 22</v>
      </c>
      <c r="F401" s="276">
        <f>'Deelnemer 22 vtg'!$C$7</f>
        <v>0</v>
      </c>
      <c r="G401" s="183" t="str">
        <f>'Deelnemer 22 vtg'!B25</f>
        <v xml:space="preserve"> - </v>
      </c>
      <c r="H401" s="186" t="str">
        <f>VLOOKUP(G401,'Categorie H2 Vtg.'!$B$4:$D$20,3,0)</f>
        <v>-</v>
      </c>
      <c r="I401" s="187">
        <f>'Deelnemer 22 vtg'!E25</f>
        <v>0</v>
      </c>
      <c r="J401" s="180">
        <f>'Deelnemer 22 vtg'!V25</f>
        <v>0</v>
      </c>
      <c r="K401" s="184">
        <f>'Deelnemer 22 vtg'!Z25</f>
        <v>0</v>
      </c>
      <c r="L401" s="184">
        <f>'Deelnemer 22 vtg'!AE25</f>
        <v>0</v>
      </c>
      <c r="M401" s="188">
        <f t="shared" si="45"/>
        <v>0</v>
      </c>
      <c r="N401" s="188">
        <f t="shared" si="46"/>
        <v>0</v>
      </c>
      <c r="O401" s="184">
        <f>'Deelnemer 22 vtg'!AG25</f>
        <v>0</v>
      </c>
      <c r="P401" s="184">
        <f>'Deelnemer 22 vtg'!AJ25</f>
        <v>0</v>
      </c>
      <c r="Q401" s="184">
        <f>'Deelnemer 22 vtg'!AK25</f>
        <v>0</v>
      </c>
    </row>
    <row r="402" spans="2:18" ht="16.5" hidden="1" customHeight="1" x14ac:dyDescent="0.3">
      <c r="B402" s="639"/>
      <c r="C402" s="161">
        <v>8</v>
      </c>
      <c r="D402" s="182" t="str">
        <f>'Deelnemer 22 vtg'!A26</f>
        <v/>
      </c>
      <c r="E402" s="183" t="str">
        <f>MID(_xlfn.TEXTJOIN(" ",TRUE,'Deelnemer 22 vtg'!$D$6,$B$395),1,12)</f>
        <v>Deelnemer 22</v>
      </c>
      <c r="F402" s="276">
        <f>'Deelnemer 22 vtg'!$C$7</f>
        <v>0</v>
      </c>
      <c r="G402" s="183" t="str">
        <f>'Deelnemer 22 vtg'!B26</f>
        <v xml:space="preserve"> - </v>
      </c>
      <c r="H402" s="186" t="str">
        <f>VLOOKUP(G402,'Categorie H2 Vtg.'!$B$4:$D$20,3,0)</f>
        <v>-</v>
      </c>
      <c r="I402" s="187">
        <f>'Deelnemer 22 vtg'!E26</f>
        <v>0</v>
      </c>
      <c r="J402" s="180">
        <f>'Deelnemer 22 vtg'!V26</f>
        <v>0</v>
      </c>
      <c r="K402" s="184">
        <f>'Deelnemer 22 vtg'!Z26</f>
        <v>0</v>
      </c>
      <c r="L402" s="184">
        <f>'Deelnemer 22 vtg'!AE26</f>
        <v>0</v>
      </c>
      <c r="M402" s="188">
        <f t="shared" si="45"/>
        <v>0</v>
      </c>
      <c r="N402" s="188">
        <f t="shared" si="46"/>
        <v>0</v>
      </c>
      <c r="O402" s="184">
        <f>'Deelnemer 22 vtg'!AG26</f>
        <v>0</v>
      </c>
      <c r="P402" s="184">
        <f>'Deelnemer 22 vtg'!AJ26</f>
        <v>0</v>
      </c>
      <c r="Q402" s="184">
        <f>'Deelnemer 22 vtg'!AK26</f>
        <v>0</v>
      </c>
    </row>
    <row r="403" spans="2:18" ht="16.5" hidden="1" customHeight="1" x14ac:dyDescent="0.3">
      <c r="B403" s="639"/>
      <c r="C403" s="161">
        <v>9</v>
      </c>
      <c r="D403" s="182" t="str">
        <f>'Deelnemer 22 vtg'!A27</f>
        <v/>
      </c>
      <c r="E403" s="183" t="str">
        <f>MID(_xlfn.TEXTJOIN(" ",TRUE,'Deelnemer 22 vtg'!$D$6,$B$395),1,12)</f>
        <v>Deelnemer 22</v>
      </c>
      <c r="F403" s="276">
        <f>'Deelnemer 22 vtg'!$C$7</f>
        <v>0</v>
      </c>
      <c r="G403" s="183" t="str">
        <f>'Deelnemer 22 vtg'!B27</f>
        <v xml:space="preserve"> - </v>
      </c>
      <c r="H403" s="186" t="str">
        <f>VLOOKUP(G403,'Categorie H2 Vtg.'!$B$4:$D$20,3,0)</f>
        <v>-</v>
      </c>
      <c r="I403" s="187">
        <f>'Deelnemer 22 vtg'!E27</f>
        <v>0</v>
      </c>
      <c r="J403" s="180">
        <f>'Deelnemer 22 vtg'!V27</f>
        <v>0</v>
      </c>
      <c r="K403" s="184">
        <f>'Deelnemer 22 vtg'!Z27</f>
        <v>0</v>
      </c>
      <c r="L403" s="184">
        <f>'Deelnemer 22 vtg'!AE27</f>
        <v>0</v>
      </c>
      <c r="M403" s="188">
        <f t="shared" si="45"/>
        <v>0</v>
      </c>
      <c r="N403" s="188">
        <f t="shared" si="46"/>
        <v>0</v>
      </c>
      <c r="O403" s="184">
        <f>'Deelnemer 22 vtg'!AG27</f>
        <v>0</v>
      </c>
      <c r="P403" s="184">
        <f>'Deelnemer 22 vtg'!AJ27</f>
        <v>0</v>
      </c>
      <c r="Q403" s="184">
        <f>'Deelnemer 22 vtg'!AK27</f>
        <v>0</v>
      </c>
    </row>
    <row r="404" spans="2:18" ht="16.5" hidden="1" customHeight="1" x14ac:dyDescent="0.3">
      <c r="B404" s="639"/>
      <c r="C404" s="161">
        <v>10</v>
      </c>
      <c r="D404" s="182" t="str">
        <f>'Deelnemer 22 vtg'!A28</f>
        <v/>
      </c>
      <c r="E404" s="183" t="str">
        <f>MID(_xlfn.TEXTJOIN(" ",TRUE,'Deelnemer 22 vtg'!$D$6,$B$395),1,12)</f>
        <v>Deelnemer 22</v>
      </c>
      <c r="F404" s="276">
        <f>'Deelnemer 22 vtg'!$C$7</f>
        <v>0</v>
      </c>
      <c r="G404" s="183" t="str">
        <f>'Deelnemer 22 vtg'!B28</f>
        <v xml:space="preserve"> - </v>
      </c>
      <c r="H404" s="186" t="str">
        <f>VLOOKUP(G404,'Categorie H2 Vtg.'!$B$4:$D$20,3,0)</f>
        <v>-</v>
      </c>
      <c r="I404" s="187">
        <f>'Deelnemer 22 vtg'!E28</f>
        <v>0</v>
      </c>
      <c r="J404" s="180">
        <f>'Deelnemer 22 vtg'!V28</f>
        <v>0</v>
      </c>
      <c r="K404" s="184">
        <f>'Deelnemer 22 vtg'!Z28</f>
        <v>0</v>
      </c>
      <c r="L404" s="184">
        <f>'Deelnemer 22 vtg'!AE28</f>
        <v>0</v>
      </c>
      <c r="M404" s="188">
        <f t="shared" si="45"/>
        <v>0</v>
      </c>
      <c r="N404" s="188">
        <f t="shared" si="46"/>
        <v>0</v>
      </c>
      <c r="O404" s="184">
        <f>'Deelnemer 22 vtg'!AG28</f>
        <v>0</v>
      </c>
      <c r="P404" s="184">
        <f>'Deelnemer 22 vtg'!AJ28</f>
        <v>0</v>
      </c>
      <c r="Q404" s="184">
        <f>'Deelnemer 22 vtg'!AK28</f>
        <v>0</v>
      </c>
    </row>
    <row r="405" spans="2:18" ht="16.5" hidden="1" customHeight="1" x14ac:dyDescent="0.3">
      <c r="B405" s="639"/>
      <c r="C405" s="161">
        <v>11</v>
      </c>
      <c r="D405" s="182" t="str">
        <f>'Deelnemer 22 vtg'!A29</f>
        <v/>
      </c>
      <c r="E405" s="183" t="str">
        <f>MID(_xlfn.TEXTJOIN(" ",TRUE,'Deelnemer 22 vtg'!$D$6,$B$395),1,12)</f>
        <v>Deelnemer 22</v>
      </c>
      <c r="F405" s="276">
        <f>'Deelnemer 22 vtg'!$C$7</f>
        <v>0</v>
      </c>
      <c r="G405" s="183" t="str">
        <f>'Deelnemer 22 vtg'!B29</f>
        <v xml:space="preserve"> - </v>
      </c>
      <c r="H405" s="186" t="str">
        <f>VLOOKUP(G405,'Categorie H2 Vtg.'!$B$4:$D$20,3,0)</f>
        <v>-</v>
      </c>
      <c r="I405" s="187">
        <f>'Deelnemer 22 vtg'!E29</f>
        <v>0</v>
      </c>
      <c r="J405" s="180">
        <f>'Deelnemer 22 vtg'!V29</f>
        <v>0</v>
      </c>
      <c r="K405" s="184">
        <f>'Deelnemer 22 vtg'!Z29</f>
        <v>0</v>
      </c>
      <c r="L405" s="184">
        <f>'Deelnemer 22 vtg'!AE29</f>
        <v>0</v>
      </c>
      <c r="M405" s="188">
        <f t="shared" si="45"/>
        <v>0</v>
      </c>
      <c r="N405" s="188">
        <f t="shared" si="46"/>
        <v>0</v>
      </c>
      <c r="O405" s="184">
        <f>'Deelnemer 22 vtg'!AG29</f>
        <v>0</v>
      </c>
      <c r="P405" s="184">
        <f>'Deelnemer 22 vtg'!AJ29</f>
        <v>0</v>
      </c>
      <c r="Q405" s="184">
        <f>'Deelnemer 22 vtg'!AK29</f>
        <v>0</v>
      </c>
    </row>
    <row r="406" spans="2:18" ht="16.5" hidden="1" customHeight="1" x14ac:dyDescent="0.3">
      <c r="B406" s="639"/>
      <c r="C406" s="161">
        <v>12</v>
      </c>
      <c r="D406" s="182" t="str">
        <f>'Deelnemer 22 vtg'!A30</f>
        <v/>
      </c>
      <c r="E406" s="183" t="str">
        <f>MID(_xlfn.TEXTJOIN(" ",TRUE,'Deelnemer 22 vtg'!$D$6,$B$395),1,12)</f>
        <v>Deelnemer 22</v>
      </c>
      <c r="F406" s="276">
        <f>'Deelnemer 22 vtg'!$C$7</f>
        <v>0</v>
      </c>
      <c r="G406" s="183" t="str">
        <f>'Deelnemer 22 vtg'!B30</f>
        <v xml:space="preserve"> - </v>
      </c>
      <c r="H406" s="186" t="str">
        <f>VLOOKUP(G406,'Categorie H2 Vtg.'!$B$4:$D$20,3,0)</f>
        <v>-</v>
      </c>
      <c r="I406" s="187">
        <f>'Deelnemer 22 vtg'!E30</f>
        <v>0</v>
      </c>
      <c r="J406" s="180">
        <f>'Deelnemer 22 vtg'!V30</f>
        <v>0</v>
      </c>
      <c r="K406" s="184">
        <f>'Deelnemer 22 vtg'!Z30</f>
        <v>0</v>
      </c>
      <c r="L406" s="184">
        <f>'Deelnemer 22 vtg'!AE30</f>
        <v>0</v>
      </c>
      <c r="M406" s="188">
        <f t="shared" si="45"/>
        <v>0</v>
      </c>
      <c r="N406" s="188">
        <f t="shared" si="46"/>
        <v>0</v>
      </c>
      <c r="O406" s="184">
        <f>'Deelnemer 22 vtg'!AG30</f>
        <v>0</v>
      </c>
      <c r="P406" s="184">
        <f>'Deelnemer 22 vtg'!AJ30</f>
        <v>0</v>
      </c>
      <c r="Q406" s="184">
        <f>'Deelnemer 22 vtg'!AK30</f>
        <v>0</v>
      </c>
    </row>
    <row r="407" spans="2:18" ht="16.5" hidden="1" customHeight="1" x14ac:dyDescent="0.3">
      <c r="B407" s="639"/>
      <c r="C407" s="161">
        <v>13</v>
      </c>
      <c r="D407" s="182" t="str">
        <f>'Deelnemer 22 vtg'!A31</f>
        <v/>
      </c>
      <c r="E407" s="183" t="str">
        <f>MID(_xlfn.TEXTJOIN(" ",TRUE,'Deelnemer 22 vtg'!$D$6,$B$395),1,12)</f>
        <v>Deelnemer 22</v>
      </c>
      <c r="F407" s="276">
        <f>'Deelnemer 22 vtg'!$C$7</f>
        <v>0</v>
      </c>
      <c r="G407" s="183" t="str">
        <f>'Deelnemer 22 vtg'!B31</f>
        <v xml:space="preserve"> - </v>
      </c>
      <c r="H407" s="186" t="str">
        <f>VLOOKUP(G407,'Categorie H2 Vtg.'!$B$4:$D$20,3,0)</f>
        <v>-</v>
      </c>
      <c r="I407" s="187">
        <f>'Deelnemer 22 vtg'!E31</f>
        <v>0</v>
      </c>
      <c r="J407" s="180">
        <f>'Deelnemer 22 vtg'!V31</f>
        <v>0</v>
      </c>
      <c r="K407" s="184">
        <f>'Deelnemer 22 vtg'!Z31</f>
        <v>0</v>
      </c>
      <c r="L407" s="184">
        <f>'Deelnemer 22 vtg'!AE31</f>
        <v>0</v>
      </c>
      <c r="M407" s="188">
        <f t="shared" si="45"/>
        <v>0</v>
      </c>
      <c r="N407" s="188">
        <f t="shared" si="46"/>
        <v>0</v>
      </c>
      <c r="O407" s="184">
        <f>'Deelnemer 22 vtg'!AG31</f>
        <v>0</v>
      </c>
      <c r="P407" s="184">
        <f>'Deelnemer 22 vtg'!AJ31</f>
        <v>0</v>
      </c>
      <c r="Q407" s="184">
        <f>'Deelnemer 22 vtg'!AK31</f>
        <v>0</v>
      </c>
    </row>
    <row r="408" spans="2:18" ht="16.5" hidden="1" customHeight="1" x14ac:dyDescent="0.3">
      <c r="B408" s="639"/>
      <c r="C408" s="161">
        <v>14</v>
      </c>
      <c r="D408" s="182" t="str">
        <f>'Deelnemer 22 vtg'!A32</f>
        <v/>
      </c>
      <c r="E408" s="183" t="str">
        <f>MID(_xlfn.TEXTJOIN(" ",TRUE,'Deelnemer 22 vtg'!$D$6,$B$395),1,12)</f>
        <v>Deelnemer 22</v>
      </c>
      <c r="F408" s="276">
        <f>'Deelnemer 22 vtg'!$C$7</f>
        <v>0</v>
      </c>
      <c r="G408" s="183" t="str">
        <f>'Deelnemer 22 vtg'!B32</f>
        <v xml:space="preserve"> - </v>
      </c>
      <c r="H408" s="186" t="str">
        <f>VLOOKUP(G408,'Categorie H2 Vtg.'!$B$4:$D$20,3,0)</f>
        <v>-</v>
      </c>
      <c r="I408" s="187">
        <f>'Deelnemer 22 vtg'!E32</f>
        <v>0</v>
      </c>
      <c r="J408" s="180">
        <f>'Deelnemer 22 vtg'!V32</f>
        <v>0</v>
      </c>
      <c r="K408" s="184">
        <f>'Deelnemer 22 vtg'!Z32</f>
        <v>0</v>
      </c>
      <c r="L408" s="184">
        <f>'Deelnemer 22 vtg'!AE32</f>
        <v>0</v>
      </c>
      <c r="M408" s="188">
        <f t="shared" si="45"/>
        <v>0</v>
      </c>
      <c r="N408" s="188">
        <f t="shared" si="46"/>
        <v>0</v>
      </c>
      <c r="O408" s="184">
        <f>'Deelnemer 22 vtg'!AG32</f>
        <v>0</v>
      </c>
      <c r="P408" s="184">
        <f>'Deelnemer 22 vtg'!AJ32</f>
        <v>0</v>
      </c>
      <c r="Q408" s="184">
        <f>'Deelnemer 22 vtg'!AK32</f>
        <v>0</v>
      </c>
    </row>
    <row r="409" spans="2:18" ht="16.5" hidden="1" customHeight="1" x14ac:dyDescent="0.3">
      <c r="B409" s="639"/>
      <c r="C409" s="161">
        <v>15</v>
      </c>
      <c r="D409" s="182" t="str">
        <f>'Deelnemer 22 vtg'!A33</f>
        <v/>
      </c>
      <c r="E409" s="183" t="str">
        <f>MID(_xlfn.TEXTJOIN(" ",TRUE,'Deelnemer 22 vtg'!$D$6,$B$395),1,12)</f>
        <v>Deelnemer 22</v>
      </c>
      <c r="F409" s="276">
        <f>'Deelnemer 22 vtg'!$C$7</f>
        <v>0</v>
      </c>
      <c r="G409" s="183" t="str">
        <f>'Deelnemer 22 vtg'!B33</f>
        <v xml:space="preserve"> - </v>
      </c>
      <c r="H409" s="186" t="str">
        <f>VLOOKUP(G409,'Categorie H2 Vtg.'!$B$4:$D$20,3,0)</f>
        <v>-</v>
      </c>
      <c r="I409" s="187">
        <f>'Deelnemer 22 vtg'!E33</f>
        <v>0</v>
      </c>
      <c r="J409" s="180">
        <f>'Deelnemer 22 vtg'!V33</f>
        <v>0</v>
      </c>
      <c r="K409" s="184">
        <f>'Deelnemer 22 vtg'!Z33</f>
        <v>0</v>
      </c>
      <c r="L409" s="184">
        <f>'Deelnemer 22 vtg'!AE33</f>
        <v>0</v>
      </c>
      <c r="M409" s="188">
        <f t="shared" si="45"/>
        <v>0</v>
      </c>
      <c r="N409" s="188">
        <f t="shared" si="46"/>
        <v>0</v>
      </c>
      <c r="O409" s="184">
        <f>'Deelnemer 22 vtg'!AG33</f>
        <v>0</v>
      </c>
      <c r="P409" s="184">
        <f>'Deelnemer 22 vtg'!AJ33</f>
        <v>0</v>
      </c>
      <c r="Q409" s="184">
        <f>'Deelnemer 22 vtg'!AK33</f>
        <v>0</v>
      </c>
    </row>
    <row r="410" spans="2:18" s="181" customFormat="1" ht="16.5" hidden="1" customHeight="1" x14ac:dyDescent="0.3">
      <c r="B410" s="639">
        <f t="shared" ref="B410:B440" si="47">B395+1</f>
        <v>23</v>
      </c>
      <c r="C410" s="189">
        <v>1</v>
      </c>
      <c r="D410" s="182" t="str">
        <f>'Deelnemer 23 vtg'!A19</f>
        <v/>
      </c>
      <c r="E410" s="183" t="str">
        <f>MID(_xlfn.TEXTJOIN(" ",TRUE,'Deelnemer 23 vtg'!$D$6,$B$410),1,12)</f>
        <v>Deelnemer 23</v>
      </c>
      <c r="F410" s="276">
        <f>'Deelnemer 23 vtg'!$C$7</f>
        <v>0</v>
      </c>
      <c r="G410" s="183" t="str">
        <f>'Deelnemer 23 vtg'!B19</f>
        <v xml:space="preserve"> - </v>
      </c>
      <c r="H410" s="183" t="str">
        <f>VLOOKUP(G410,'Categorie H2 Vtg.'!$B$4:$D$20,3,0)</f>
        <v>-</v>
      </c>
      <c r="I410" s="187">
        <f>'Deelnemer 23 vtg'!E19</f>
        <v>0</v>
      </c>
      <c r="J410" s="180">
        <f>'Deelnemer 23 vtg'!V19</f>
        <v>0</v>
      </c>
      <c r="K410" s="184">
        <f>'Deelnemer 23 vtg'!Z19</f>
        <v>0</v>
      </c>
      <c r="L410" s="184">
        <f>'Deelnemer 23 vtg'!AE19</f>
        <v>0</v>
      </c>
      <c r="M410" s="184">
        <f>K410*J410</f>
        <v>0</v>
      </c>
      <c r="N410" s="184">
        <f>L410*J410</f>
        <v>0</v>
      </c>
      <c r="O410" s="184">
        <f>'Deelnemer 23 vtg'!AG19</f>
        <v>0</v>
      </c>
      <c r="P410" s="184">
        <f>'Deelnemer 23 vtg'!AJ19</f>
        <v>0</v>
      </c>
      <c r="Q410" s="184">
        <f>'Deelnemer 23 vtg'!AK19</f>
        <v>0</v>
      </c>
      <c r="R410" s="161"/>
    </row>
    <row r="411" spans="2:18" ht="16.5" hidden="1" customHeight="1" x14ac:dyDescent="0.3">
      <c r="B411" s="639"/>
      <c r="C411" s="161">
        <v>2</v>
      </c>
      <c r="D411" s="182" t="str">
        <f>'Deelnemer 23 vtg'!A20</f>
        <v/>
      </c>
      <c r="E411" s="183" t="str">
        <f>MID(_xlfn.TEXTJOIN(" ",TRUE,'Deelnemer 23 vtg'!$D$6,$B$410),1,12)</f>
        <v>Deelnemer 23</v>
      </c>
      <c r="F411" s="276">
        <f>'Deelnemer 23 vtg'!$C$7</f>
        <v>0</v>
      </c>
      <c r="G411" s="183" t="str">
        <f>'Deelnemer 23 vtg'!B20</f>
        <v xml:space="preserve"> - </v>
      </c>
      <c r="H411" s="186" t="str">
        <f>VLOOKUP(G411,'Categorie H2 Vtg.'!$B$4:$D$20,3,0)</f>
        <v>-</v>
      </c>
      <c r="I411" s="187">
        <f>'Deelnemer 23 vtg'!E20</f>
        <v>0</v>
      </c>
      <c r="J411" s="180">
        <f>'Deelnemer 23 vtg'!V20</f>
        <v>0</v>
      </c>
      <c r="K411" s="184">
        <f>'Deelnemer 23 vtg'!Z20</f>
        <v>0</v>
      </c>
      <c r="L411" s="184">
        <f>'Deelnemer 23 vtg'!AE20</f>
        <v>0</v>
      </c>
      <c r="M411" s="188">
        <f t="shared" ref="M411:M424" si="48">K411*J411</f>
        <v>0</v>
      </c>
      <c r="N411" s="188">
        <f t="shared" ref="N411:N424" si="49">L411*J411</f>
        <v>0</v>
      </c>
      <c r="O411" s="184">
        <f>'Deelnemer 23 vtg'!AG20</f>
        <v>0</v>
      </c>
      <c r="P411" s="184">
        <f>'Deelnemer 23 vtg'!AJ20</f>
        <v>0</v>
      </c>
      <c r="Q411" s="184">
        <f>'Deelnemer 23 vtg'!AK20</f>
        <v>0</v>
      </c>
    </row>
    <row r="412" spans="2:18" ht="16.5" hidden="1" customHeight="1" x14ac:dyDescent="0.3">
      <c r="B412" s="639"/>
      <c r="C412" s="161">
        <v>3</v>
      </c>
      <c r="D412" s="182" t="str">
        <f>'Deelnemer 23 vtg'!A21</f>
        <v/>
      </c>
      <c r="E412" s="183" t="str">
        <f>MID(_xlfn.TEXTJOIN(" ",TRUE,'Deelnemer 23 vtg'!$D$6,$B$410),1,12)</f>
        <v>Deelnemer 23</v>
      </c>
      <c r="F412" s="276">
        <f>'Deelnemer 23 vtg'!$C$7</f>
        <v>0</v>
      </c>
      <c r="G412" s="183" t="str">
        <f>'Deelnemer 23 vtg'!B21</f>
        <v xml:space="preserve"> - </v>
      </c>
      <c r="H412" s="186" t="str">
        <f>VLOOKUP(G412,'Categorie H2 Vtg.'!$B$4:$D$20,3,0)</f>
        <v>-</v>
      </c>
      <c r="I412" s="187">
        <f>'Deelnemer 23 vtg'!E21</f>
        <v>0</v>
      </c>
      <c r="J412" s="180">
        <f>'Deelnemer 23 vtg'!V21</f>
        <v>0</v>
      </c>
      <c r="K412" s="184">
        <f>'Deelnemer 23 vtg'!Z21</f>
        <v>0</v>
      </c>
      <c r="L412" s="184">
        <f>'Deelnemer 23 vtg'!AE21</f>
        <v>0</v>
      </c>
      <c r="M412" s="188">
        <f t="shared" si="48"/>
        <v>0</v>
      </c>
      <c r="N412" s="188">
        <f t="shared" si="49"/>
        <v>0</v>
      </c>
      <c r="O412" s="184">
        <f>'Deelnemer 23 vtg'!AG21</f>
        <v>0</v>
      </c>
      <c r="P412" s="184">
        <f>'Deelnemer 23 vtg'!AJ21</f>
        <v>0</v>
      </c>
      <c r="Q412" s="184">
        <f>'Deelnemer 23 vtg'!AK21</f>
        <v>0</v>
      </c>
    </row>
    <row r="413" spans="2:18" ht="16.5" hidden="1" customHeight="1" x14ac:dyDescent="0.3">
      <c r="B413" s="639"/>
      <c r="C413" s="161">
        <v>4</v>
      </c>
      <c r="D413" s="182" t="str">
        <f>'Deelnemer 23 vtg'!A22</f>
        <v/>
      </c>
      <c r="E413" s="183" t="str">
        <f>MID(_xlfn.TEXTJOIN(" ",TRUE,'Deelnemer 23 vtg'!$D$6,$B$410),1,12)</f>
        <v>Deelnemer 23</v>
      </c>
      <c r="F413" s="276">
        <f>'Deelnemer 23 vtg'!$C$7</f>
        <v>0</v>
      </c>
      <c r="G413" s="183" t="str">
        <f>'Deelnemer 23 vtg'!B22</f>
        <v xml:space="preserve"> - </v>
      </c>
      <c r="H413" s="186" t="str">
        <f>VLOOKUP(G413,'Categorie H2 Vtg.'!$B$4:$D$20,3,0)</f>
        <v>-</v>
      </c>
      <c r="I413" s="187">
        <f>'Deelnemer 23 vtg'!E22</f>
        <v>0</v>
      </c>
      <c r="J413" s="180">
        <f>'Deelnemer 23 vtg'!V22</f>
        <v>0</v>
      </c>
      <c r="K413" s="184">
        <f>'Deelnemer 23 vtg'!Z22</f>
        <v>0</v>
      </c>
      <c r="L413" s="184">
        <f>'Deelnemer 23 vtg'!AE22</f>
        <v>0</v>
      </c>
      <c r="M413" s="188">
        <f t="shared" si="48"/>
        <v>0</v>
      </c>
      <c r="N413" s="188">
        <f t="shared" si="49"/>
        <v>0</v>
      </c>
      <c r="O413" s="184">
        <f>'Deelnemer 23 vtg'!AG22</f>
        <v>0</v>
      </c>
      <c r="P413" s="184">
        <f>'Deelnemer 23 vtg'!AJ22</f>
        <v>0</v>
      </c>
      <c r="Q413" s="184">
        <f>'Deelnemer 23 vtg'!AK22</f>
        <v>0</v>
      </c>
    </row>
    <row r="414" spans="2:18" ht="16.5" hidden="1" customHeight="1" x14ac:dyDescent="0.3">
      <c r="B414" s="639"/>
      <c r="C414" s="161">
        <v>5</v>
      </c>
      <c r="D414" s="182" t="str">
        <f>'Deelnemer 23 vtg'!A23</f>
        <v/>
      </c>
      <c r="E414" s="183" t="str">
        <f>MID(_xlfn.TEXTJOIN(" ",TRUE,'Deelnemer 23 vtg'!$D$6,$B$410),1,12)</f>
        <v>Deelnemer 23</v>
      </c>
      <c r="F414" s="276">
        <f>'Deelnemer 23 vtg'!$C$7</f>
        <v>0</v>
      </c>
      <c r="G414" s="183" t="str">
        <f>'Deelnemer 23 vtg'!B23</f>
        <v xml:space="preserve"> - </v>
      </c>
      <c r="H414" s="186" t="str">
        <f>VLOOKUP(G414,'Categorie H2 Vtg.'!$B$4:$D$20,3,0)</f>
        <v>-</v>
      </c>
      <c r="I414" s="187">
        <f>'Deelnemer 23 vtg'!E23</f>
        <v>0</v>
      </c>
      <c r="J414" s="180">
        <f>'Deelnemer 23 vtg'!V23</f>
        <v>0</v>
      </c>
      <c r="K414" s="184">
        <f>'Deelnemer 23 vtg'!Z23</f>
        <v>0</v>
      </c>
      <c r="L414" s="184">
        <f>'Deelnemer 23 vtg'!AE23</f>
        <v>0</v>
      </c>
      <c r="M414" s="188">
        <f t="shared" si="48"/>
        <v>0</v>
      </c>
      <c r="N414" s="188">
        <f t="shared" si="49"/>
        <v>0</v>
      </c>
      <c r="O414" s="184">
        <f>'Deelnemer 23 vtg'!AG23</f>
        <v>0</v>
      </c>
      <c r="P414" s="184">
        <f>'Deelnemer 23 vtg'!AJ23</f>
        <v>0</v>
      </c>
      <c r="Q414" s="184">
        <f>'Deelnemer 23 vtg'!AK23</f>
        <v>0</v>
      </c>
    </row>
    <row r="415" spans="2:18" ht="16.5" hidden="1" customHeight="1" x14ac:dyDescent="0.3">
      <c r="B415" s="639"/>
      <c r="C415" s="161">
        <v>6</v>
      </c>
      <c r="D415" s="182" t="str">
        <f>'Deelnemer 23 vtg'!A24</f>
        <v/>
      </c>
      <c r="E415" s="183" t="str">
        <f>MID(_xlfn.TEXTJOIN(" ",TRUE,'Deelnemer 23 vtg'!$D$6,$B$410),1,12)</f>
        <v>Deelnemer 23</v>
      </c>
      <c r="F415" s="276">
        <f>'Deelnemer 23 vtg'!$C$7</f>
        <v>0</v>
      </c>
      <c r="G415" s="183" t="str">
        <f>'Deelnemer 23 vtg'!B24</f>
        <v xml:space="preserve"> - </v>
      </c>
      <c r="H415" s="186" t="str">
        <f>VLOOKUP(G415,'Categorie H2 Vtg.'!$B$4:$D$20,3,0)</f>
        <v>-</v>
      </c>
      <c r="I415" s="187">
        <f>'Deelnemer 23 vtg'!E24</f>
        <v>0</v>
      </c>
      <c r="J415" s="180">
        <f>'Deelnemer 23 vtg'!V24</f>
        <v>0</v>
      </c>
      <c r="K415" s="184">
        <f>'Deelnemer 23 vtg'!Z24</f>
        <v>0</v>
      </c>
      <c r="L415" s="184">
        <f>'Deelnemer 23 vtg'!AE24</f>
        <v>0</v>
      </c>
      <c r="M415" s="188">
        <f t="shared" si="48"/>
        <v>0</v>
      </c>
      <c r="N415" s="188">
        <f t="shared" si="49"/>
        <v>0</v>
      </c>
      <c r="O415" s="184">
        <f>'Deelnemer 23 vtg'!AG24</f>
        <v>0</v>
      </c>
      <c r="P415" s="184">
        <f>'Deelnemer 23 vtg'!AJ24</f>
        <v>0</v>
      </c>
      <c r="Q415" s="184">
        <f>'Deelnemer 23 vtg'!AK24</f>
        <v>0</v>
      </c>
    </row>
    <row r="416" spans="2:18" ht="16.5" hidden="1" customHeight="1" x14ac:dyDescent="0.3">
      <c r="B416" s="639"/>
      <c r="C416" s="161">
        <v>7</v>
      </c>
      <c r="D416" s="182" t="str">
        <f>'Deelnemer 23 vtg'!A25</f>
        <v/>
      </c>
      <c r="E416" s="183" t="str">
        <f>MID(_xlfn.TEXTJOIN(" ",TRUE,'Deelnemer 23 vtg'!$D$6,$B$410),1,12)</f>
        <v>Deelnemer 23</v>
      </c>
      <c r="F416" s="276">
        <f>'Deelnemer 23 vtg'!$C$7</f>
        <v>0</v>
      </c>
      <c r="G416" s="183" t="str">
        <f>'Deelnemer 23 vtg'!B25</f>
        <v xml:space="preserve"> - </v>
      </c>
      <c r="H416" s="186" t="str">
        <f>VLOOKUP(G416,'Categorie H2 Vtg.'!$B$4:$D$20,3,0)</f>
        <v>-</v>
      </c>
      <c r="I416" s="187">
        <f>'Deelnemer 23 vtg'!E25</f>
        <v>0</v>
      </c>
      <c r="J416" s="180">
        <f>'Deelnemer 23 vtg'!V25</f>
        <v>0</v>
      </c>
      <c r="K416" s="184">
        <f>'Deelnemer 23 vtg'!Z25</f>
        <v>0</v>
      </c>
      <c r="L416" s="184">
        <f>'Deelnemer 23 vtg'!AE25</f>
        <v>0</v>
      </c>
      <c r="M416" s="188">
        <f t="shared" si="48"/>
        <v>0</v>
      </c>
      <c r="N416" s="188">
        <f t="shared" si="49"/>
        <v>0</v>
      </c>
      <c r="O416" s="184">
        <f>'Deelnemer 23 vtg'!AG25</f>
        <v>0</v>
      </c>
      <c r="P416" s="184">
        <f>'Deelnemer 23 vtg'!AJ25</f>
        <v>0</v>
      </c>
      <c r="Q416" s="184">
        <f>'Deelnemer 23 vtg'!AK25</f>
        <v>0</v>
      </c>
    </row>
    <row r="417" spans="2:18" ht="16.5" hidden="1" customHeight="1" x14ac:dyDescent="0.3">
      <c r="B417" s="639"/>
      <c r="C417" s="161">
        <v>8</v>
      </c>
      <c r="D417" s="182" t="str">
        <f>'Deelnemer 23 vtg'!A26</f>
        <v/>
      </c>
      <c r="E417" s="183" t="str">
        <f>MID(_xlfn.TEXTJOIN(" ",TRUE,'Deelnemer 23 vtg'!$D$6,$B$410),1,12)</f>
        <v>Deelnemer 23</v>
      </c>
      <c r="F417" s="276">
        <f>'Deelnemer 23 vtg'!$C$7</f>
        <v>0</v>
      </c>
      <c r="G417" s="183" t="str">
        <f>'Deelnemer 23 vtg'!B26</f>
        <v xml:space="preserve"> - </v>
      </c>
      <c r="H417" s="186" t="str">
        <f>VLOOKUP(G417,'Categorie H2 Vtg.'!$B$4:$D$20,3,0)</f>
        <v>-</v>
      </c>
      <c r="I417" s="187">
        <f>'Deelnemer 23 vtg'!E26</f>
        <v>0</v>
      </c>
      <c r="J417" s="180">
        <f>'Deelnemer 23 vtg'!V26</f>
        <v>0</v>
      </c>
      <c r="K417" s="184">
        <f>'Deelnemer 23 vtg'!Z26</f>
        <v>0</v>
      </c>
      <c r="L417" s="184">
        <f>'Deelnemer 23 vtg'!AE26</f>
        <v>0</v>
      </c>
      <c r="M417" s="188">
        <f t="shared" si="48"/>
        <v>0</v>
      </c>
      <c r="N417" s="188">
        <f t="shared" si="49"/>
        <v>0</v>
      </c>
      <c r="O417" s="184">
        <f>'Deelnemer 23 vtg'!AG26</f>
        <v>0</v>
      </c>
      <c r="P417" s="184">
        <f>'Deelnemer 23 vtg'!AJ26</f>
        <v>0</v>
      </c>
      <c r="Q417" s="184">
        <f>'Deelnemer 23 vtg'!AK26</f>
        <v>0</v>
      </c>
    </row>
    <row r="418" spans="2:18" ht="16.5" hidden="1" customHeight="1" x14ac:dyDescent="0.3">
      <c r="B418" s="639"/>
      <c r="C418" s="161">
        <v>9</v>
      </c>
      <c r="D418" s="182" t="str">
        <f>'Deelnemer 23 vtg'!A27</f>
        <v/>
      </c>
      <c r="E418" s="183" t="str">
        <f>MID(_xlfn.TEXTJOIN(" ",TRUE,'Deelnemer 23 vtg'!$D$6,$B$410),1,12)</f>
        <v>Deelnemer 23</v>
      </c>
      <c r="F418" s="276">
        <f>'Deelnemer 23 vtg'!$C$7</f>
        <v>0</v>
      </c>
      <c r="G418" s="183" t="str">
        <f>'Deelnemer 23 vtg'!B27</f>
        <v xml:space="preserve"> - </v>
      </c>
      <c r="H418" s="186" t="str">
        <f>VLOOKUP(G418,'Categorie H2 Vtg.'!$B$4:$D$20,3,0)</f>
        <v>-</v>
      </c>
      <c r="I418" s="187">
        <f>'Deelnemer 23 vtg'!E27</f>
        <v>0</v>
      </c>
      <c r="J418" s="180">
        <f>'Deelnemer 23 vtg'!V27</f>
        <v>0</v>
      </c>
      <c r="K418" s="184">
        <f>'Deelnemer 23 vtg'!Z27</f>
        <v>0</v>
      </c>
      <c r="L418" s="184">
        <f>'Deelnemer 23 vtg'!AE27</f>
        <v>0</v>
      </c>
      <c r="M418" s="188">
        <f t="shared" si="48"/>
        <v>0</v>
      </c>
      <c r="N418" s="188">
        <f t="shared" si="49"/>
        <v>0</v>
      </c>
      <c r="O418" s="184">
        <f>'Deelnemer 23 vtg'!AG27</f>
        <v>0</v>
      </c>
      <c r="P418" s="184">
        <f>'Deelnemer 23 vtg'!AJ27</f>
        <v>0</v>
      </c>
      <c r="Q418" s="184">
        <f>'Deelnemer 23 vtg'!AK27</f>
        <v>0</v>
      </c>
    </row>
    <row r="419" spans="2:18" ht="16.5" hidden="1" customHeight="1" x14ac:dyDescent="0.3">
      <c r="B419" s="639"/>
      <c r="C419" s="161">
        <v>10</v>
      </c>
      <c r="D419" s="182" t="str">
        <f>'Deelnemer 23 vtg'!A28</f>
        <v/>
      </c>
      <c r="E419" s="183" t="str">
        <f>MID(_xlfn.TEXTJOIN(" ",TRUE,'Deelnemer 23 vtg'!$D$6,$B$410),1,12)</f>
        <v>Deelnemer 23</v>
      </c>
      <c r="F419" s="276">
        <f>'Deelnemer 23 vtg'!$C$7</f>
        <v>0</v>
      </c>
      <c r="G419" s="183" t="str">
        <f>'Deelnemer 23 vtg'!B28</f>
        <v xml:space="preserve"> - </v>
      </c>
      <c r="H419" s="186" t="str">
        <f>VLOOKUP(G419,'Categorie H2 Vtg.'!$B$4:$D$20,3,0)</f>
        <v>-</v>
      </c>
      <c r="I419" s="187">
        <f>'Deelnemer 23 vtg'!E28</f>
        <v>0</v>
      </c>
      <c r="J419" s="180">
        <f>'Deelnemer 23 vtg'!V28</f>
        <v>0</v>
      </c>
      <c r="K419" s="184">
        <f>'Deelnemer 23 vtg'!Z28</f>
        <v>0</v>
      </c>
      <c r="L419" s="184">
        <f>'Deelnemer 23 vtg'!AE28</f>
        <v>0</v>
      </c>
      <c r="M419" s="188">
        <f t="shared" si="48"/>
        <v>0</v>
      </c>
      <c r="N419" s="188">
        <f t="shared" si="49"/>
        <v>0</v>
      </c>
      <c r="O419" s="184">
        <f>'Deelnemer 23 vtg'!AG28</f>
        <v>0</v>
      </c>
      <c r="P419" s="184">
        <f>'Deelnemer 23 vtg'!AJ28</f>
        <v>0</v>
      </c>
      <c r="Q419" s="184">
        <f>'Deelnemer 23 vtg'!AK28</f>
        <v>0</v>
      </c>
    </row>
    <row r="420" spans="2:18" ht="16.5" hidden="1" customHeight="1" x14ac:dyDescent="0.3">
      <c r="B420" s="639"/>
      <c r="C420" s="161">
        <v>11</v>
      </c>
      <c r="D420" s="182" t="str">
        <f>'Deelnemer 23 vtg'!A29</f>
        <v/>
      </c>
      <c r="E420" s="183" t="str">
        <f>MID(_xlfn.TEXTJOIN(" ",TRUE,'Deelnemer 23 vtg'!$D$6,$B$410),1,12)</f>
        <v>Deelnemer 23</v>
      </c>
      <c r="F420" s="276">
        <f>'Deelnemer 23 vtg'!$C$7</f>
        <v>0</v>
      </c>
      <c r="G420" s="183" t="str">
        <f>'Deelnemer 23 vtg'!B29</f>
        <v xml:space="preserve"> - </v>
      </c>
      <c r="H420" s="186" t="str">
        <f>VLOOKUP(G420,'Categorie H2 Vtg.'!$B$4:$D$20,3,0)</f>
        <v>-</v>
      </c>
      <c r="I420" s="187">
        <f>'Deelnemer 23 vtg'!E29</f>
        <v>0</v>
      </c>
      <c r="J420" s="180">
        <f>'Deelnemer 23 vtg'!V29</f>
        <v>0</v>
      </c>
      <c r="K420" s="184">
        <f>'Deelnemer 23 vtg'!Z29</f>
        <v>0</v>
      </c>
      <c r="L420" s="184">
        <f>'Deelnemer 23 vtg'!AE29</f>
        <v>0</v>
      </c>
      <c r="M420" s="188">
        <f t="shared" si="48"/>
        <v>0</v>
      </c>
      <c r="N420" s="188">
        <f t="shared" si="49"/>
        <v>0</v>
      </c>
      <c r="O420" s="184">
        <f>'Deelnemer 23 vtg'!AG29</f>
        <v>0</v>
      </c>
      <c r="P420" s="184">
        <f>'Deelnemer 23 vtg'!AJ29</f>
        <v>0</v>
      </c>
      <c r="Q420" s="184">
        <f>'Deelnemer 23 vtg'!AK29</f>
        <v>0</v>
      </c>
    </row>
    <row r="421" spans="2:18" ht="16.5" hidden="1" customHeight="1" x14ac:dyDescent="0.3">
      <c r="B421" s="639"/>
      <c r="C421" s="161">
        <v>12</v>
      </c>
      <c r="D421" s="182" t="str">
        <f>'Deelnemer 23 vtg'!A30</f>
        <v/>
      </c>
      <c r="E421" s="183" t="str">
        <f>MID(_xlfn.TEXTJOIN(" ",TRUE,'Deelnemer 23 vtg'!$D$6,$B$410),1,12)</f>
        <v>Deelnemer 23</v>
      </c>
      <c r="F421" s="276">
        <f>'Deelnemer 23 vtg'!$C$7</f>
        <v>0</v>
      </c>
      <c r="G421" s="183" t="str">
        <f>'Deelnemer 23 vtg'!B30</f>
        <v xml:space="preserve"> - </v>
      </c>
      <c r="H421" s="186" t="str">
        <f>VLOOKUP(G421,'Categorie H2 Vtg.'!$B$4:$D$20,3,0)</f>
        <v>-</v>
      </c>
      <c r="I421" s="187">
        <f>'Deelnemer 23 vtg'!E30</f>
        <v>0</v>
      </c>
      <c r="J421" s="180">
        <f>'Deelnemer 23 vtg'!V30</f>
        <v>0</v>
      </c>
      <c r="K421" s="184">
        <f>'Deelnemer 23 vtg'!Z30</f>
        <v>0</v>
      </c>
      <c r="L421" s="184">
        <f>'Deelnemer 23 vtg'!AE30</f>
        <v>0</v>
      </c>
      <c r="M421" s="188">
        <f t="shared" si="48"/>
        <v>0</v>
      </c>
      <c r="N421" s="188">
        <f t="shared" si="49"/>
        <v>0</v>
      </c>
      <c r="O421" s="184">
        <f>'Deelnemer 23 vtg'!AG30</f>
        <v>0</v>
      </c>
      <c r="P421" s="184">
        <f>'Deelnemer 23 vtg'!AJ30</f>
        <v>0</v>
      </c>
      <c r="Q421" s="184">
        <f>'Deelnemer 23 vtg'!AK30</f>
        <v>0</v>
      </c>
    </row>
    <row r="422" spans="2:18" ht="16.5" hidden="1" customHeight="1" x14ac:dyDescent="0.3">
      <c r="B422" s="639"/>
      <c r="C422" s="161">
        <v>13</v>
      </c>
      <c r="D422" s="182" t="str">
        <f>'Deelnemer 23 vtg'!A31</f>
        <v/>
      </c>
      <c r="E422" s="183" t="str">
        <f>MID(_xlfn.TEXTJOIN(" ",TRUE,'Deelnemer 23 vtg'!$D$6,$B$410),1,12)</f>
        <v>Deelnemer 23</v>
      </c>
      <c r="F422" s="276">
        <f>'Deelnemer 23 vtg'!$C$7</f>
        <v>0</v>
      </c>
      <c r="G422" s="183" t="str">
        <f>'Deelnemer 23 vtg'!B31</f>
        <v xml:space="preserve"> - </v>
      </c>
      <c r="H422" s="186" t="str">
        <f>VLOOKUP(G422,'Categorie H2 Vtg.'!$B$4:$D$20,3,0)</f>
        <v>-</v>
      </c>
      <c r="I422" s="187">
        <f>'Deelnemer 23 vtg'!E31</f>
        <v>0</v>
      </c>
      <c r="J422" s="180">
        <f>'Deelnemer 23 vtg'!V31</f>
        <v>0</v>
      </c>
      <c r="K422" s="184">
        <f>'Deelnemer 23 vtg'!Z31</f>
        <v>0</v>
      </c>
      <c r="L422" s="184">
        <f>'Deelnemer 23 vtg'!AE31</f>
        <v>0</v>
      </c>
      <c r="M422" s="188">
        <f t="shared" si="48"/>
        <v>0</v>
      </c>
      <c r="N422" s="188">
        <f t="shared" si="49"/>
        <v>0</v>
      </c>
      <c r="O422" s="184">
        <f>'Deelnemer 23 vtg'!AG31</f>
        <v>0</v>
      </c>
      <c r="P422" s="184">
        <f>'Deelnemer 23 vtg'!AJ31</f>
        <v>0</v>
      </c>
      <c r="Q422" s="184">
        <f>'Deelnemer 23 vtg'!AK31</f>
        <v>0</v>
      </c>
    </row>
    <row r="423" spans="2:18" ht="16.5" hidden="1" customHeight="1" x14ac:dyDescent="0.3">
      <c r="B423" s="639"/>
      <c r="C423" s="161">
        <v>14</v>
      </c>
      <c r="D423" s="182" t="str">
        <f>'Deelnemer 23 vtg'!A32</f>
        <v/>
      </c>
      <c r="E423" s="183" t="str">
        <f>MID(_xlfn.TEXTJOIN(" ",TRUE,'Deelnemer 23 vtg'!$D$6,$B$410),1,12)</f>
        <v>Deelnemer 23</v>
      </c>
      <c r="F423" s="276">
        <f>'Deelnemer 23 vtg'!$C$7</f>
        <v>0</v>
      </c>
      <c r="G423" s="183" t="str">
        <f>'Deelnemer 23 vtg'!B32</f>
        <v xml:space="preserve"> - </v>
      </c>
      <c r="H423" s="186" t="str">
        <f>VLOOKUP(G423,'Categorie H2 Vtg.'!$B$4:$D$20,3,0)</f>
        <v>-</v>
      </c>
      <c r="I423" s="187">
        <f>'Deelnemer 23 vtg'!E32</f>
        <v>0</v>
      </c>
      <c r="J423" s="180">
        <f>'Deelnemer 23 vtg'!V32</f>
        <v>0</v>
      </c>
      <c r="K423" s="184">
        <f>'Deelnemer 23 vtg'!Z32</f>
        <v>0</v>
      </c>
      <c r="L423" s="184">
        <f>'Deelnemer 23 vtg'!AE32</f>
        <v>0</v>
      </c>
      <c r="M423" s="188">
        <f t="shared" si="48"/>
        <v>0</v>
      </c>
      <c r="N423" s="188">
        <f t="shared" si="49"/>
        <v>0</v>
      </c>
      <c r="O423" s="184">
        <f>'Deelnemer 23 vtg'!AG32</f>
        <v>0</v>
      </c>
      <c r="P423" s="184">
        <f>'Deelnemer 23 vtg'!AJ32</f>
        <v>0</v>
      </c>
      <c r="Q423" s="184">
        <f>'Deelnemer 23 vtg'!AK32</f>
        <v>0</v>
      </c>
    </row>
    <row r="424" spans="2:18" ht="16.5" hidden="1" customHeight="1" x14ac:dyDescent="0.3">
      <c r="B424" s="639"/>
      <c r="C424" s="161">
        <v>15</v>
      </c>
      <c r="D424" s="182" t="str">
        <f>'Deelnemer 23 vtg'!A33</f>
        <v/>
      </c>
      <c r="E424" s="183" t="str">
        <f>MID(_xlfn.TEXTJOIN(" ",TRUE,'Deelnemer 23 vtg'!$D$6,$B$410),1,12)</f>
        <v>Deelnemer 23</v>
      </c>
      <c r="F424" s="276">
        <f>'Deelnemer 23 vtg'!$C$7</f>
        <v>0</v>
      </c>
      <c r="G424" s="183" t="str">
        <f>'Deelnemer 23 vtg'!B33</f>
        <v xml:space="preserve"> - </v>
      </c>
      <c r="H424" s="186" t="str">
        <f>VLOOKUP(G424,'Categorie H2 Vtg.'!$B$4:$D$20,3,0)</f>
        <v>-</v>
      </c>
      <c r="I424" s="187">
        <f>'Deelnemer 23 vtg'!E33</f>
        <v>0</v>
      </c>
      <c r="J424" s="180">
        <f>'Deelnemer 23 vtg'!V33</f>
        <v>0</v>
      </c>
      <c r="K424" s="184">
        <f>'Deelnemer 23 vtg'!Z33</f>
        <v>0</v>
      </c>
      <c r="L424" s="184">
        <f>'Deelnemer 23 vtg'!AE33</f>
        <v>0</v>
      </c>
      <c r="M424" s="188">
        <f t="shared" si="48"/>
        <v>0</v>
      </c>
      <c r="N424" s="188">
        <f t="shared" si="49"/>
        <v>0</v>
      </c>
      <c r="O424" s="184">
        <f>'Deelnemer 23 vtg'!AG33</f>
        <v>0</v>
      </c>
      <c r="P424" s="184">
        <f>'Deelnemer 23 vtg'!AJ33</f>
        <v>0</v>
      </c>
      <c r="Q424" s="184">
        <f>'Deelnemer 23 vtg'!AK33</f>
        <v>0</v>
      </c>
    </row>
    <row r="425" spans="2:18" s="181" customFormat="1" ht="16.5" hidden="1" customHeight="1" x14ac:dyDescent="0.3">
      <c r="B425" s="639">
        <f t="shared" si="47"/>
        <v>24</v>
      </c>
      <c r="C425" s="189">
        <v>1</v>
      </c>
      <c r="D425" s="182" t="str">
        <f>'Deelnemer 24 vtg'!A19</f>
        <v/>
      </c>
      <c r="E425" s="183" t="str">
        <f>MID(_xlfn.TEXTJOIN(" ",TRUE,'Deelnemer 24 vtg'!$D$6,$B$425),1,12)</f>
        <v>Deelnemer 24</v>
      </c>
      <c r="F425" s="276">
        <f>'Deelnemer 24 vtg'!$C$7</f>
        <v>0</v>
      </c>
      <c r="G425" s="183" t="str">
        <f>'Deelnemer 24 vtg'!B19</f>
        <v xml:space="preserve"> - </v>
      </c>
      <c r="H425" s="183" t="str">
        <f>VLOOKUP(G425,'Categorie H2 Vtg.'!$B$4:$D$20,3,0)</f>
        <v>-</v>
      </c>
      <c r="I425" s="187">
        <f>'Deelnemer 24 vtg'!E19</f>
        <v>0</v>
      </c>
      <c r="J425" s="180">
        <f>'Deelnemer 24 vtg'!V19</f>
        <v>0</v>
      </c>
      <c r="K425" s="184">
        <f>'Deelnemer 24 vtg'!Z19</f>
        <v>0</v>
      </c>
      <c r="L425" s="184">
        <f>'Deelnemer 24 vtg'!AE19</f>
        <v>0</v>
      </c>
      <c r="M425" s="184">
        <f>K425*J425</f>
        <v>0</v>
      </c>
      <c r="N425" s="184">
        <f>L425*J425</f>
        <v>0</v>
      </c>
      <c r="O425" s="184">
        <f>'Deelnemer 24 vtg'!AG19</f>
        <v>0</v>
      </c>
      <c r="P425" s="184">
        <f>'Deelnemer 24 vtg'!AJ19</f>
        <v>0</v>
      </c>
      <c r="Q425" s="184">
        <f>'Deelnemer 24 vtg'!AK19</f>
        <v>0</v>
      </c>
      <c r="R425" s="161"/>
    </row>
    <row r="426" spans="2:18" ht="16.5" hidden="1" customHeight="1" x14ac:dyDescent="0.3">
      <c r="B426" s="639"/>
      <c r="C426" s="161">
        <v>2</v>
      </c>
      <c r="D426" s="182" t="str">
        <f>'Deelnemer 24 vtg'!A20</f>
        <v/>
      </c>
      <c r="E426" s="183" t="str">
        <f>MID(_xlfn.TEXTJOIN(" ",TRUE,'Deelnemer 24 vtg'!$D$6,$B$425),1,12)</f>
        <v>Deelnemer 24</v>
      </c>
      <c r="F426" s="276">
        <f>'Deelnemer 24 vtg'!$C$7</f>
        <v>0</v>
      </c>
      <c r="G426" s="183" t="str">
        <f>'Deelnemer 24 vtg'!B20</f>
        <v xml:space="preserve"> - </v>
      </c>
      <c r="H426" s="186" t="str">
        <f>VLOOKUP(G426,'Categorie H2 Vtg.'!$B$4:$D$20,3,0)</f>
        <v>-</v>
      </c>
      <c r="I426" s="187">
        <f>'Deelnemer 24 vtg'!E20</f>
        <v>0</v>
      </c>
      <c r="J426" s="180">
        <f>'Deelnemer 24 vtg'!V20</f>
        <v>0</v>
      </c>
      <c r="K426" s="184">
        <f>'Deelnemer 24 vtg'!Z20</f>
        <v>0</v>
      </c>
      <c r="L426" s="184">
        <f>'Deelnemer 24 vtg'!AE20</f>
        <v>0</v>
      </c>
      <c r="M426" s="188">
        <f t="shared" ref="M426:M439" si="50">K426*J426</f>
        <v>0</v>
      </c>
      <c r="N426" s="188">
        <f t="shared" ref="N426:N439" si="51">L426*J426</f>
        <v>0</v>
      </c>
      <c r="O426" s="184">
        <f>'Deelnemer 24 vtg'!AG20</f>
        <v>0</v>
      </c>
      <c r="P426" s="184">
        <f>'Deelnemer 24 vtg'!AJ20</f>
        <v>0</v>
      </c>
      <c r="Q426" s="184">
        <f>'Deelnemer 24 vtg'!AK20</f>
        <v>0</v>
      </c>
    </row>
    <row r="427" spans="2:18" ht="16.5" hidden="1" customHeight="1" x14ac:dyDescent="0.3">
      <c r="B427" s="639"/>
      <c r="C427" s="161">
        <v>3</v>
      </c>
      <c r="D427" s="182" t="str">
        <f>'Deelnemer 24 vtg'!A21</f>
        <v/>
      </c>
      <c r="E427" s="183" t="str">
        <f>MID(_xlfn.TEXTJOIN(" ",TRUE,'Deelnemer 24 vtg'!$D$6,$B$425),1,12)</f>
        <v>Deelnemer 24</v>
      </c>
      <c r="F427" s="276">
        <f>'Deelnemer 24 vtg'!$C$7</f>
        <v>0</v>
      </c>
      <c r="G427" s="183" t="str">
        <f>'Deelnemer 24 vtg'!B21</f>
        <v xml:space="preserve"> - </v>
      </c>
      <c r="H427" s="186" t="str">
        <f>VLOOKUP(G427,'Categorie H2 Vtg.'!$B$4:$D$20,3,0)</f>
        <v>-</v>
      </c>
      <c r="I427" s="187">
        <f>'Deelnemer 24 vtg'!E21</f>
        <v>0</v>
      </c>
      <c r="J427" s="180">
        <f>'Deelnemer 24 vtg'!V21</f>
        <v>0</v>
      </c>
      <c r="K427" s="184">
        <f>'Deelnemer 24 vtg'!Z21</f>
        <v>0</v>
      </c>
      <c r="L427" s="184">
        <f>'Deelnemer 24 vtg'!AE21</f>
        <v>0</v>
      </c>
      <c r="M427" s="188">
        <f t="shared" si="50"/>
        <v>0</v>
      </c>
      <c r="N427" s="188">
        <f t="shared" si="51"/>
        <v>0</v>
      </c>
      <c r="O427" s="184">
        <f>'Deelnemer 24 vtg'!AG21</f>
        <v>0</v>
      </c>
      <c r="P427" s="184">
        <f>'Deelnemer 24 vtg'!AJ21</f>
        <v>0</v>
      </c>
      <c r="Q427" s="184">
        <f>'Deelnemer 24 vtg'!AK21</f>
        <v>0</v>
      </c>
    </row>
    <row r="428" spans="2:18" ht="16.5" hidden="1" customHeight="1" x14ac:dyDescent="0.3">
      <c r="B428" s="639"/>
      <c r="C428" s="161">
        <v>4</v>
      </c>
      <c r="D428" s="182" t="str">
        <f>'Deelnemer 24 vtg'!A22</f>
        <v/>
      </c>
      <c r="E428" s="183" t="str">
        <f>MID(_xlfn.TEXTJOIN(" ",TRUE,'Deelnemer 24 vtg'!$D$6,$B$425),1,12)</f>
        <v>Deelnemer 24</v>
      </c>
      <c r="F428" s="276">
        <f>'Deelnemer 24 vtg'!$C$7</f>
        <v>0</v>
      </c>
      <c r="G428" s="183" t="str">
        <f>'Deelnemer 24 vtg'!B22</f>
        <v xml:space="preserve"> - </v>
      </c>
      <c r="H428" s="186" t="str">
        <f>VLOOKUP(G428,'Categorie H2 Vtg.'!$B$4:$D$20,3,0)</f>
        <v>-</v>
      </c>
      <c r="I428" s="187">
        <f>'Deelnemer 24 vtg'!E22</f>
        <v>0</v>
      </c>
      <c r="J428" s="180">
        <f>'Deelnemer 24 vtg'!V22</f>
        <v>0</v>
      </c>
      <c r="K428" s="184">
        <f>'Deelnemer 24 vtg'!Z22</f>
        <v>0</v>
      </c>
      <c r="L428" s="184">
        <f>'Deelnemer 24 vtg'!AE22</f>
        <v>0</v>
      </c>
      <c r="M428" s="188">
        <f t="shared" si="50"/>
        <v>0</v>
      </c>
      <c r="N428" s="188">
        <f t="shared" si="51"/>
        <v>0</v>
      </c>
      <c r="O428" s="184">
        <f>'Deelnemer 24 vtg'!AG22</f>
        <v>0</v>
      </c>
      <c r="P428" s="184">
        <f>'Deelnemer 24 vtg'!AJ22</f>
        <v>0</v>
      </c>
      <c r="Q428" s="184">
        <f>'Deelnemer 24 vtg'!AK22</f>
        <v>0</v>
      </c>
    </row>
    <row r="429" spans="2:18" ht="16.5" hidden="1" customHeight="1" x14ac:dyDescent="0.3">
      <c r="B429" s="639"/>
      <c r="C429" s="161">
        <v>5</v>
      </c>
      <c r="D429" s="182" t="str">
        <f>'Deelnemer 24 vtg'!A23</f>
        <v/>
      </c>
      <c r="E429" s="183" t="str">
        <f>MID(_xlfn.TEXTJOIN(" ",TRUE,'Deelnemer 24 vtg'!$D$6,$B$425),1,12)</f>
        <v>Deelnemer 24</v>
      </c>
      <c r="F429" s="276">
        <f>'Deelnemer 24 vtg'!$C$7</f>
        <v>0</v>
      </c>
      <c r="G429" s="183" t="str">
        <f>'Deelnemer 24 vtg'!B23</f>
        <v xml:space="preserve"> - </v>
      </c>
      <c r="H429" s="186" t="str">
        <f>VLOOKUP(G429,'Categorie H2 Vtg.'!$B$4:$D$20,3,0)</f>
        <v>-</v>
      </c>
      <c r="I429" s="187">
        <f>'Deelnemer 24 vtg'!E23</f>
        <v>0</v>
      </c>
      <c r="J429" s="180">
        <f>'Deelnemer 24 vtg'!V23</f>
        <v>0</v>
      </c>
      <c r="K429" s="184">
        <f>'Deelnemer 24 vtg'!Z23</f>
        <v>0</v>
      </c>
      <c r="L429" s="184">
        <f>'Deelnemer 24 vtg'!AE23</f>
        <v>0</v>
      </c>
      <c r="M429" s="188">
        <f t="shared" si="50"/>
        <v>0</v>
      </c>
      <c r="N429" s="188">
        <f t="shared" si="51"/>
        <v>0</v>
      </c>
      <c r="O429" s="184">
        <f>'Deelnemer 24 vtg'!AG23</f>
        <v>0</v>
      </c>
      <c r="P429" s="184">
        <f>'Deelnemer 24 vtg'!AJ23</f>
        <v>0</v>
      </c>
      <c r="Q429" s="184">
        <f>'Deelnemer 24 vtg'!AK23</f>
        <v>0</v>
      </c>
    </row>
    <row r="430" spans="2:18" ht="16.5" hidden="1" customHeight="1" x14ac:dyDescent="0.3">
      <c r="B430" s="639"/>
      <c r="C430" s="161">
        <v>6</v>
      </c>
      <c r="D430" s="182" t="str">
        <f>'Deelnemer 24 vtg'!A24</f>
        <v/>
      </c>
      <c r="E430" s="183" t="str">
        <f>MID(_xlfn.TEXTJOIN(" ",TRUE,'Deelnemer 24 vtg'!$D$6,$B$425),1,12)</f>
        <v>Deelnemer 24</v>
      </c>
      <c r="F430" s="276">
        <f>'Deelnemer 24 vtg'!$C$7</f>
        <v>0</v>
      </c>
      <c r="G430" s="183" t="str">
        <f>'Deelnemer 24 vtg'!B24</f>
        <v xml:space="preserve"> - </v>
      </c>
      <c r="H430" s="186" t="str">
        <f>VLOOKUP(G430,'Categorie H2 Vtg.'!$B$4:$D$20,3,0)</f>
        <v>-</v>
      </c>
      <c r="I430" s="187">
        <f>'Deelnemer 24 vtg'!E24</f>
        <v>0</v>
      </c>
      <c r="J430" s="180">
        <f>'Deelnemer 24 vtg'!V24</f>
        <v>0</v>
      </c>
      <c r="K430" s="184">
        <f>'Deelnemer 24 vtg'!Z24</f>
        <v>0</v>
      </c>
      <c r="L430" s="184">
        <f>'Deelnemer 24 vtg'!AE24</f>
        <v>0</v>
      </c>
      <c r="M430" s="188">
        <f t="shared" si="50"/>
        <v>0</v>
      </c>
      <c r="N430" s="188">
        <f t="shared" si="51"/>
        <v>0</v>
      </c>
      <c r="O430" s="184">
        <f>'Deelnemer 24 vtg'!AG24</f>
        <v>0</v>
      </c>
      <c r="P430" s="184">
        <f>'Deelnemer 24 vtg'!AJ24</f>
        <v>0</v>
      </c>
      <c r="Q430" s="184">
        <f>'Deelnemer 24 vtg'!AK24</f>
        <v>0</v>
      </c>
    </row>
    <row r="431" spans="2:18" ht="16.5" hidden="1" customHeight="1" x14ac:dyDescent="0.3">
      <c r="B431" s="639"/>
      <c r="C431" s="161">
        <v>7</v>
      </c>
      <c r="D431" s="182" t="str">
        <f>'Deelnemer 24 vtg'!A25</f>
        <v/>
      </c>
      <c r="E431" s="183" t="str">
        <f>MID(_xlfn.TEXTJOIN(" ",TRUE,'Deelnemer 24 vtg'!$D$6,$B$425),1,12)</f>
        <v>Deelnemer 24</v>
      </c>
      <c r="F431" s="276">
        <f>'Deelnemer 24 vtg'!$C$7</f>
        <v>0</v>
      </c>
      <c r="G431" s="183" t="str">
        <f>'Deelnemer 24 vtg'!B25</f>
        <v xml:space="preserve"> - </v>
      </c>
      <c r="H431" s="186" t="str">
        <f>VLOOKUP(G431,'Categorie H2 Vtg.'!$B$4:$D$20,3,0)</f>
        <v>-</v>
      </c>
      <c r="I431" s="187">
        <f>'Deelnemer 24 vtg'!E25</f>
        <v>0</v>
      </c>
      <c r="J431" s="180">
        <f>'Deelnemer 24 vtg'!V25</f>
        <v>0</v>
      </c>
      <c r="K431" s="184">
        <f>'Deelnemer 24 vtg'!Z25</f>
        <v>0</v>
      </c>
      <c r="L431" s="184">
        <f>'Deelnemer 24 vtg'!AE25</f>
        <v>0</v>
      </c>
      <c r="M431" s="188">
        <f t="shared" si="50"/>
        <v>0</v>
      </c>
      <c r="N431" s="188">
        <f t="shared" si="51"/>
        <v>0</v>
      </c>
      <c r="O431" s="184">
        <f>'Deelnemer 24 vtg'!AG25</f>
        <v>0</v>
      </c>
      <c r="P431" s="184">
        <f>'Deelnemer 24 vtg'!AJ25</f>
        <v>0</v>
      </c>
      <c r="Q431" s="184">
        <f>'Deelnemer 24 vtg'!AK25</f>
        <v>0</v>
      </c>
    </row>
    <row r="432" spans="2:18" ht="16.5" hidden="1" customHeight="1" x14ac:dyDescent="0.3">
      <c r="B432" s="639"/>
      <c r="C432" s="161">
        <v>8</v>
      </c>
      <c r="D432" s="182" t="str">
        <f>'Deelnemer 24 vtg'!A26</f>
        <v/>
      </c>
      <c r="E432" s="183" t="str">
        <f>MID(_xlfn.TEXTJOIN(" ",TRUE,'Deelnemer 24 vtg'!$D$6,$B$425),1,12)</f>
        <v>Deelnemer 24</v>
      </c>
      <c r="F432" s="276">
        <f>'Deelnemer 24 vtg'!$C$7</f>
        <v>0</v>
      </c>
      <c r="G432" s="183" t="str">
        <f>'Deelnemer 24 vtg'!B26</f>
        <v xml:space="preserve"> - </v>
      </c>
      <c r="H432" s="186" t="str">
        <f>VLOOKUP(G432,'Categorie H2 Vtg.'!$B$4:$D$20,3,0)</f>
        <v>-</v>
      </c>
      <c r="I432" s="187">
        <f>'Deelnemer 24 vtg'!E26</f>
        <v>0</v>
      </c>
      <c r="J432" s="180">
        <f>'Deelnemer 24 vtg'!V26</f>
        <v>0</v>
      </c>
      <c r="K432" s="184">
        <f>'Deelnemer 24 vtg'!Z26</f>
        <v>0</v>
      </c>
      <c r="L432" s="184">
        <f>'Deelnemer 24 vtg'!AE26</f>
        <v>0</v>
      </c>
      <c r="M432" s="188">
        <f t="shared" si="50"/>
        <v>0</v>
      </c>
      <c r="N432" s="188">
        <f t="shared" si="51"/>
        <v>0</v>
      </c>
      <c r="O432" s="184">
        <f>'Deelnemer 24 vtg'!AG26</f>
        <v>0</v>
      </c>
      <c r="P432" s="184">
        <f>'Deelnemer 24 vtg'!AJ26</f>
        <v>0</v>
      </c>
      <c r="Q432" s="184">
        <f>'Deelnemer 24 vtg'!AK26</f>
        <v>0</v>
      </c>
    </row>
    <row r="433" spans="2:18" ht="16.5" hidden="1" customHeight="1" x14ac:dyDescent="0.3">
      <c r="B433" s="639"/>
      <c r="C433" s="161">
        <v>9</v>
      </c>
      <c r="D433" s="182" t="str">
        <f>'Deelnemer 24 vtg'!A27</f>
        <v/>
      </c>
      <c r="E433" s="183" t="str">
        <f>MID(_xlfn.TEXTJOIN(" ",TRUE,'Deelnemer 24 vtg'!$D$6,$B$425),1,12)</f>
        <v>Deelnemer 24</v>
      </c>
      <c r="F433" s="276">
        <f>'Deelnemer 24 vtg'!$C$7</f>
        <v>0</v>
      </c>
      <c r="G433" s="183" t="str">
        <f>'Deelnemer 24 vtg'!B27</f>
        <v xml:space="preserve"> - </v>
      </c>
      <c r="H433" s="186" t="str">
        <f>VLOOKUP(G433,'Categorie H2 Vtg.'!$B$4:$D$20,3,0)</f>
        <v>-</v>
      </c>
      <c r="I433" s="187">
        <f>'Deelnemer 24 vtg'!E27</f>
        <v>0</v>
      </c>
      <c r="J433" s="180">
        <f>'Deelnemer 24 vtg'!V27</f>
        <v>0</v>
      </c>
      <c r="K433" s="184">
        <f>'Deelnemer 24 vtg'!Z27</f>
        <v>0</v>
      </c>
      <c r="L433" s="184">
        <f>'Deelnemer 24 vtg'!AE27</f>
        <v>0</v>
      </c>
      <c r="M433" s="188">
        <f t="shared" si="50"/>
        <v>0</v>
      </c>
      <c r="N433" s="188">
        <f t="shared" si="51"/>
        <v>0</v>
      </c>
      <c r="O433" s="184">
        <f>'Deelnemer 24 vtg'!AG27</f>
        <v>0</v>
      </c>
      <c r="P433" s="184">
        <f>'Deelnemer 24 vtg'!AJ27</f>
        <v>0</v>
      </c>
      <c r="Q433" s="184">
        <f>'Deelnemer 24 vtg'!AK27</f>
        <v>0</v>
      </c>
    </row>
    <row r="434" spans="2:18" ht="16.5" hidden="1" customHeight="1" x14ac:dyDescent="0.3">
      <c r="B434" s="639"/>
      <c r="C434" s="161">
        <v>10</v>
      </c>
      <c r="D434" s="182" t="str">
        <f>'Deelnemer 24 vtg'!A28</f>
        <v/>
      </c>
      <c r="E434" s="183" t="str">
        <f>MID(_xlfn.TEXTJOIN(" ",TRUE,'Deelnemer 24 vtg'!$D$6,$B$425),1,12)</f>
        <v>Deelnemer 24</v>
      </c>
      <c r="F434" s="276">
        <f>'Deelnemer 24 vtg'!$C$7</f>
        <v>0</v>
      </c>
      <c r="G434" s="183" t="str">
        <f>'Deelnemer 24 vtg'!B28</f>
        <v xml:space="preserve"> - </v>
      </c>
      <c r="H434" s="186" t="str">
        <f>VLOOKUP(G434,'Categorie H2 Vtg.'!$B$4:$D$20,3,0)</f>
        <v>-</v>
      </c>
      <c r="I434" s="187">
        <f>'Deelnemer 24 vtg'!E28</f>
        <v>0</v>
      </c>
      <c r="J434" s="180">
        <f>'Deelnemer 24 vtg'!V28</f>
        <v>0</v>
      </c>
      <c r="K434" s="184">
        <f>'Deelnemer 24 vtg'!Z28</f>
        <v>0</v>
      </c>
      <c r="L434" s="184">
        <f>'Deelnemer 24 vtg'!AE28</f>
        <v>0</v>
      </c>
      <c r="M434" s="188">
        <f t="shared" si="50"/>
        <v>0</v>
      </c>
      <c r="N434" s="188">
        <f t="shared" si="51"/>
        <v>0</v>
      </c>
      <c r="O434" s="184">
        <f>'Deelnemer 24 vtg'!AG28</f>
        <v>0</v>
      </c>
      <c r="P434" s="184">
        <f>'Deelnemer 24 vtg'!AJ28</f>
        <v>0</v>
      </c>
      <c r="Q434" s="184">
        <f>'Deelnemer 24 vtg'!AK28</f>
        <v>0</v>
      </c>
    </row>
    <row r="435" spans="2:18" ht="16.5" hidden="1" customHeight="1" x14ac:dyDescent="0.3">
      <c r="B435" s="639"/>
      <c r="C435" s="161">
        <v>11</v>
      </c>
      <c r="D435" s="182" t="str">
        <f>'Deelnemer 24 vtg'!A29</f>
        <v/>
      </c>
      <c r="E435" s="183" t="str">
        <f>MID(_xlfn.TEXTJOIN(" ",TRUE,'Deelnemer 24 vtg'!$D$6,$B$425),1,12)</f>
        <v>Deelnemer 24</v>
      </c>
      <c r="F435" s="276">
        <f>'Deelnemer 24 vtg'!$C$7</f>
        <v>0</v>
      </c>
      <c r="G435" s="183" t="str">
        <f>'Deelnemer 24 vtg'!B29</f>
        <v xml:space="preserve"> - </v>
      </c>
      <c r="H435" s="186" t="str">
        <f>VLOOKUP(G435,'Categorie H2 Vtg.'!$B$4:$D$20,3,0)</f>
        <v>-</v>
      </c>
      <c r="I435" s="187">
        <f>'Deelnemer 24 vtg'!E29</f>
        <v>0</v>
      </c>
      <c r="J435" s="180">
        <f>'Deelnemer 24 vtg'!V29</f>
        <v>0</v>
      </c>
      <c r="K435" s="184">
        <f>'Deelnemer 24 vtg'!Z29</f>
        <v>0</v>
      </c>
      <c r="L435" s="184">
        <f>'Deelnemer 24 vtg'!AE29</f>
        <v>0</v>
      </c>
      <c r="M435" s="188">
        <f t="shared" si="50"/>
        <v>0</v>
      </c>
      <c r="N435" s="188">
        <f t="shared" si="51"/>
        <v>0</v>
      </c>
      <c r="O435" s="184">
        <f>'Deelnemer 24 vtg'!AG29</f>
        <v>0</v>
      </c>
      <c r="P435" s="184">
        <f>'Deelnemer 24 vtg'!AJ29</f>
        <v>0</v>
      </c>
      <c r="Q435" s="184">
        <f>'Deelnemer 24 vtg'!AK29</f>
        <v>0</v>
      </c>
    </row>
    <row r="436" spans="2:18" ht="16.5" hidden="1" customHeight="1" x14ac:dyDescent="0.3">
      <c r="B436" s="639"/>
      <c r="C436" s="161">
        <v>12</v>
      </c>
      <c r="D436" s="182" t="str">
        <f>'Deelnemer 24 vtg'!A30</f>
        <v/>
      </c>
      <c r="E436" s="183" t="str">
        <f>MID(_xlfn.TEXTJOIN(" ",TRUE,'Deelnemer 24 vtg'!$D$6,$B$425),1,12)</f>
        <v>Deelnemer 24</v>
      </c>
      <c r="F436" s="276">
        <f>'Deelnemer 24 vtg'!$C$7</f>
        <v>0</v>
      </c>
      <c r="G436" s="183" t="str">
        <f>'Deelnemer 24 vtg'!B30</f>
        <v xml:space="preserve"> - </v>
      </c>
      <c r="H436" s="186" t="str">
        <f>VLOOKUP(G436,'Categorie H2 Vtg.'!$B$4:$D$20,3,0)</f>
        <v>-</v>
      </c>
      <c r="I436" s="187">
        <f>'Deelnemer 24 vtg'!E30</f>
        <v>0</v>
      </c>
      <c r="J436" s="180">
        <f>'Deelnemer 24 vtg'!V30</f>
        <v>0</v>
      </c>
      <c r="K436" s="184">
        <f>'Deelnemer 24 vtg'!Z30</f>
        <v>0</v>
      </c>
      <c r="L436" s="184">
        <f>'Deelnemer 24 vtg'!AE30</f>
        <v>0</v>
      </c>
      <c r="M436" s="188">
        <f t="shared" si="50"/>
        <v>0</v>
      </c>
      <c r="N436" s="188">
        <f t="shared" si="51"/>
        <v>0</v>
      </c>
      <c r="O436" s="184">
        <f>'Deelnemer 24 vtg'!AG30</f>
        <v>0</v>
      </c>
      <c r="P436" s="184">
        <f>'Deelnemer 24 vtg'!AJ30</f>
        <v>0</v>
      </c>
      <c r="Q436" s="184">
        <f>'Deelnemer 24 vtg'!AK30</f>
        <v>0</v>
      </c>
    </row>
    <row r="437" spans="2:18" ht="16.5" hidden="1" customHeight="1" x14ac:dyDescent="0.3">
      <c r="B437" s="639"/>
      <c r="C437" s="161">
        <v>13</v>
      </c>
      <c r="D437" s="182" t="str">
        <f>'Deelnemer 24 vtg'!A31</f>
        <v/>
      </c>
      <c r="E437" s="183" t="str">
        <f>MID(_xlfn.TEXTJOIN(" ",TRUE,'Deelnemer 24 vtg'!$D$6,$B$425),1,12)</f>
        <v>Deelnemer 24</v>
      </c>
      <c r="F437" s="276">
        <f>'Deelnemer 24 vtg'!$C$7</f>
        <v>0</v>
      </c>
      <c r="G437" s="183" t="str">
        <f>'Deelnemer 24 vtg'!B31</f>
        <v xml:space="preserve"> - </v>
      </c>
      <c r="H437" s="186" t="str">
        <f>VLOOKUP(G437,'Categorie H2 Vtg.'!$B$4:$D$20,3,0)</f>
        <v>-</v>
      </c>
      <c r="I437" s="187">
        <f>'Deelnemer 24 vtg'!E31</f>
        <v>0</v>
      </c>
      <c r="J437" s="180">
        <f>'Deelnemer 24 vtg'!V31</f>
        <v>0</v>
      </c>
      <c r="K437" s="184">
        <f>'Deelnemer 24 vtg'!Z31</f>
        <v>0</v>
      </c>
      <c r="L437" s="184">
        <f>'Deelnemer 24 vtg'!AE31</f>
        <v>0</v>
      </c>
      <c r="M437" s="188">
        <f t="shared" si="50"/>
        <v>0</v>
      </c>
      <c r="N437" s="188">
        <f t="shared" si="51"/>
        <v>0</v>
      </c>
      <c r="O437" s="184">
        <f>'Deelnemer 24 vtg'!AG31</f>
        <v>0</v>
      </c>
      <c r="P437" s="184">
        <f>'Deelnemer 24 vtg'!AJ31</f>
        <v>0</v>
      </c>
      <c r="Q437" s="184">
        <f>'Deelnemer 24 vtg'!AK31</f>
        <v>0</v>
      </c>
    </row>
    <row r="438" spans="2:18" ht="16.5" hidden="1" customHeight="1" x14ac:dyDescent="0.3">
      <c r="B438" s="639"/>
      <c r="C438" s="161">
        <v>14</v>
      </c>
      <c r="D438" s="182" t="str">
        <f>'Deelnemer 24 vtg'!A32</f>
        <v/>
      </c>
      <c r="E438" s="183" t="str">
        <f>MID(_xlfn.TEXTJOIN(" ",TRUE,'Deelnemer 24 vtg'!$D$6,$B$425),1,12)</f>
        <v>Deelnemer 24</v>
      </c>
      <c r="F438" s="276">
        <f>'Deelnemer 24 vtg'!$C$7</f>
        <v>0</v>
      </c>
      <c r="G438" s="183" t="str">
        <f>'Deelnemer 24 vtg'!B32</f>
        <v xml:space="preserve"> - </v>
      </c>
      <c r="H438" s="186" t="str">
        <f>VLOOKUP(G438,'Categorie H2 Vtg.'!$B$4:$D$20,3,0)</f>
        <v>-</v>
      </c>
      <c r="I438" s="187">
        <f>'Deelnemer 24 vtg'!E32</f>
        <v>0</v>
      </c>
      <c r="J438" s="180">
        <f>'Deelnemer 24 vtg'!V32</f>
        <v>0</v>
      </c>
      <c r="K438" s="184">
        <f>'Deelnemer 24 vtg'!Z32</f>
        <v>0</v>
      </c>
      <c r="L438" s="184">
        <f>'Deelnemer 24 vtg'!AE32</f>
        <v>0</v>
      </c>
      <c r="M438" s="188">
        <f t="shared" si="50"/>
        <v>0</v>
      </c>
      <c r="N438" s="188">
        <f t="shared" si="51"/>
        <v>0</v>
      </c>
      <c r="O438" s="184">
        <f>'Deelnemer 24 vtg'!AG32</f>
        <v>0</v>
      </c>
      <c r="P438" s="184">
        <f>'Deelnemer 24 vtg'!AJ32</f>
        <v>0</v>
      </c>
      <c r="Q438" s="184">
        <f>'Deelnemer 24 vtg'!AK32</f>
        <v>0</v>
      </c>
    </row>
    <row r="439" spans="2:18" ht="16.5" hidden="1" customHeight="1" x14ac:dyDescent="0.3">
      <c r="B439" s="639"/>
      <c r="C439" s="161">
        <v>15</v>
      </c>
      <c r="D439" s="182" t="str">
        <f>'Deelnemer 24 vtg'!A33</f>
        <v/>
      </c>
      <c r="E439" s="183" t="str">
        <f>MID(_xlfn.TEXTJOIN(" ",TRUE,'Deelnemer 24 vtg'!$D$6,$B$425),1,12)</f>
        <v>Deelnemer 24</v>
      </c>
      <c r="F439" s="276">
        <f>'Deelnemer 24 vtg'!$C$7</f>
        <v>0</v>
      </c>
      <c r="G439" s="183" t="str">
        <f>'Deelnemer 24 vtg'!B33</f>
        <v xml:space="preserve"> - </v>
      </c>
      <c r="H439" s="186" t="str">
        <f>VLOOKUP(G439,'Categorie H2 Vtg.'!$B$4:$D$20,3,0)</f>
        <v>-</v>
      </c>
      <c r="I439" s="187">
        <f>'Deelnemer 24 vtg'!E33</f>
        <v>0</v>
      </c>
      <c r="J439" s="180">
        <f>'Deelnemer 24 vtg'!V33</f>
        <v>0</v>
      </c>
      <c r="K439" s="184">
        <f>'Deelnemer 24 vtg'!Z33</f>
        <v>0</v>
      </c>
      <c r="L439" s="184">
        <f>'Deelnemer 24 vtg'!AE33</f>
        <v>0</v>
      </c>
      <c r="M439" s="188">
        <f t="shared" si="50"/>
        <v>0</v>
      </c>
      <c r="N439" s="188">
        <f t="shared" si="51"/>
        <v>0</v>
      </c>
      <c r="O439" s="184">
        <f>'Deelnemer 24 vtg'!AG33</f>
        <v>0</v>
      </c>
      <c r="P439" s="184">
        <f>'Deelnemer 24 vtg'!AJ33</f>
        <v>0</v>
      </c>
      <c r="Q439" s="184">
        <f>'Deelnemer 24 vtg'!AK33</f>
        <v>0</v>
      </c>
    </row>
    <row r="440" spans="2:18" s="181" customFormat="1" ht="16.5" hidden="1" customHeight="1" x14ac:dyDescent="0.3">
      <c r="B440" s="639">
        <f t="shared" si="47"/>
        <v>25</v>
      </c>
      <c r="C440" s="189">
        <v>1</v>
      </c>
      <c r="D440" s="182" t="str">
        <f>'Deelnemer 25 vtg'!A19</f>
        <v/>
      </c>
      <c r="E440" s="183" t="str">
        <f>MID(_xlfn.TEXTJOIN(" ",TRUE,'Deelnemer 25 vtg'!$D$6,$B$440),1,12)</f>
        <v>Deelnemer 25</v>
      </c>
      <c r="F440" s="276">
        <f>'Deelnemer 25 vtg'!$C$7</f>
        <v>0</v>
      </c>
      <c r="G440" s="183" t="str">
        <f>'Deelnemer 25 vtg'!B19</f>
        <v xml:space="preserve"> - </v>
      </c>
      <c r="H440" s="183" t="str">
        <f>VLOOKUP(G440,'Categorie H2 Vtg.'!$B$4:$D$20,3,0)</f>
        <v>-</v>
      </c>
      <c r="I440" s="187">
        <f>'Deelnemer 25 vtg'!E19</f>
        <v>0</v>
      </c>
      <c r="J440" s="180">
        <f>'Deelnemer 25 vtg'!V19</f>
        <v>0</v>
      </c>
      <c r="K440" s="184">
        <f>'Deelnemer 25 vtg'!Z19</f>
        <v>0</v>
      </c>
      <c r="L440" s="184">
        <f>'Deelnemer 25 vtg'!AE19</f>
        <v>0</v>
      </c>
      <c r="M440" s="184">
        <f>K440*J440</f>
        <v>0</v>
      </c>
      <c r="N440" s="184">
        <f>L440*J440</f>
        <v>0</v>
      </c>
      <c r="O440" s="184">
        <f>'Deelnemer 25 vtg'!AG19</f>
        <v>0</v>
      </c>
      <c r="P440" s="184">
        <f>'Deelnemer 25 vtg'!AJ19</f>
        <v>0</v>
      </c>
      <c r="Q440" s="184">
        <f>'Deelnemer 25 vtg'!AK19</f>
        <v>0</v>
      </c>
      <c r="R440" s="161"/>
    </row>
    <row r="441" spans="2:18" ht="16.5" hidden="1" customHeight="1" x14ac:dyDescent="0.3">
      <c r="B441" s="639"/>
      <c r="C441" s="161">
        <v>2</v>
      </c>
      <c r="D441" s="182" t="str">
        <f>'Deelnemer 25 vtg'!A20</f>
        <v/>
      </c>
      <c r="E441" s="183" t="str">
        <f>MID(_xlfn.TEXTJOIN(" ",TRUE,'Deelnemer 25 vtg'!$D$6,$B$440),1,12)</f>
        <v>Deelnemer 25</v>
      </c>
      <c r="F441" s="276">
        <f>'Deelnemer 25 vtg'!$C$7</f>
        <v>0</v>
      </c>
      <c r="G441" s="183" t="str">
        <f>'Deelnemer 25 vtg'!B20</f>
        <v xml:space="preserve"> - </v>
      </c>
      <c r="H441" s="186" t="str">
        <f>VLOOKUP(G441,'Categorie H2 Vtg.'!$B$4:$D$20,3,0)</f>
        <v>-</v>
      </c>
      <c r="I441" s="187">
        <f>'Deelnemer 25 vtg'!E20</f>
        <v>0</v>
      </c>
      <c r="J441" s="180">
        <f>'Deelnemer 25 vtg'!V20</f>
        <v>0</v>
      </c>
      <c r="K441" s="184">
        <f>'Deelnemer 25 vtg'!Z20</f>
        <v>0</v>
      </c>
      <c r="L441" s="184">
        <f>'Deelnemer 25 vtg'!AE20</f>
        <v>0</v>
      </c>
      <c r="M441" s="188">
        <f t="shared" ref="M441:M454" si="52">K441*J441</f>
        <v>0</v>
      </c>
      <c r="N441" s="188">
        <f t="shared" ref="N441:N454" si="53">L441*J441</f>
        <v>0</v>
      </c>
      <c r="O441" s="184">
        <f>'Deelnemer 25 vtg'!AG20</f>
        <v>0</v>
      </c>
      <c r="P441" s="184">
        <f>'Deelnemer 25 vtg'!AJ20</f>
        <v>0</v>
      </c>
      <c r="Q441" s="184">
        <f>'Deelnemer 25 vtg'!AK20</f>
        <v>0</v>
      </c>
    </row>
    <row r="442" spans="2:18" ht="16.5" hidden="1" customHeight="1" x14ac:dyDescent="0.3">
      <c r="B442" s="639"/>
      <c r="C442" s="161">
        <v>3</v>
      </c>
      <c r="D442" s="182" t="str">
        <f>'Deelnemer 25 vtg'!A21</f>
        <v/>
      </c>
      <c r="E442" s="183" t="str">
        <f>MID(_xlfn.TEXTJOIN(" ",TRUE,'Deelnemer 25 vtg'!$D$6,$B$440),1,12)</f>
        <v>Deelnemer 25</v>
      </c>
      <c r="F442" s="276">
        <f>'Deelnemer 25 vtg'!$C$7</f>
        <v>0</v>
      </c>
      <c r="G442" s="183" t="str">
        <f>'Deelnemer 25 vtg'!B21</f>
        <v xml:space="preserve"> - </v>
      </c>
      <c r="H442" s="186" t="str">
        <f>VLOOKUP(G442,'Categorie H2 Vtg.'!$B$4:$D$20,3,0)</f>
        <v>-</v>
      </c>
      <c r="I442" s="187">
        <f>'Deelnemer 25 vtg'!E21</f>
        <v>0</v>
      </c>
      <c r="J442" s="180">
        <f>'Deelnemer 25 vtg'!V21</f>
        <v>0</v>
      </c>
      <c r="K442" s="184">
        <f>'Deelnemer 25 vtg'!Z21</f>
        <v>0</v>
      </c>
      <c r="L442" s="184">
        <f>'Deelnemer 25 vtg'!AE21</f>
        <v>0</v>
      </c>
      <c r="M442" s="188">
        <f t="shared" si="52"/>
        <v>0</v>
      </c>
      <c r="N442" s="188">
        <f t="shared" si="53"/>
        <v>0</v>
      </c>
      <c r="O442" s="184">
        <f>'Deelnemer 25 vtg'!AG21</f>
        <v>0</v>
      </c>
      <c r="P442" s="184">
        <f>'Deelnemer 25 vtg'!AJ21</f>
        <v>0</v>
      </c>
      <c r="Q442" s="184">
        <f>'Deelnemer 25 vtg'!AK21</f>
        <v>0</v>
      </c>
    </row>
    <row r="443" spans="2:18" ht="16.5" hidden="1" customHeight="1" x14ac:dyDescent="0.3">
      <c r="B443" s="639"/>
      <c r="C443" s="161">
        <v>4</v>
      </c>
      <c r="D443" s="182" t="str">
        <f>'Deelnemer 25 vtg'!A22</f>
        <v/>
      </c>
      <c r="E443" s="183" t="str">
        <f>MID(_xlfn.TEXTJOIN(" ",TRUE,'Deelnemer 25 vtg'!$D$6,$B$440),1,12)</f>
        <v>Deelnemer 25</v>
      </c>
      <c r="F443" s="276">
        <f>'Deelnemer 25 vtg'!$C$7</f>
        <v>0</v>
      </c>
      <c r="G443" s="183" t="str">
        <f>'Deelnemer 25 vtg'!B22</f>
        <v xml:space="preserve"> - </v>
      </c>
      <c r="H443" s="186" t="str">
        <f>VLOOKUP(G443,'Categorie H2 Vtg.'!$B$4:$D$20,3,0)</f>
        <v>-</v>
      </c>
      <c r="I443" s="187">
        <f>'Deelnemer 25 vtg'!E22</f>
        <v>0</v>
      </c>
      <c r="J443" s="180">
        <f>'Deelnemer 25 vtg'!V22</f>
        <v>0</v>
      </c>
      <c r="K443" s="184">
        <f>'Deelnemer 25 vtg'!Z22</f>
        <v>0</v>
      </c>
      <c r="L443" s="184">
        <f>'Deelnemer 25 vtg'!AE22</f>
        <v>0</v>
      </c>
      <c r="M443" s="188">
        <f t="shared" si="52"/>
        <v>0</v>
      </c>
      <c r="N443" s="188">
        <f t="shared" si="53"/>
        <v>0</v>
      </c>
      <c r="O443" s="184">
        <f>'Deelnemer 25 vtg'!AG22</f>
        <v>0</v>
      </c>
      <c r="P443" s="184">
        <f>'Deelnemer 25 vtg'!AJ22</f>
        <v>0</v>
      </c>
      <c r="Q443" s="184">
        <f>'Deelnemer 25 vtg'!AK22</f>
        <v>0</v>
      </c>
    </row>
    <row r="444" spans="2:18" ht="16.5" hidden="1" customHeight="1" x14ac:dyDescent="0.3">
      <c r="B444" s="639"/>
      <c r="C444" s="161">
        <v>5</v>
      </c>
      <c r="D444" s="182" t="str">
        <f>'Deelnemer 25 vtg'!A23</f>
        <v/>
      </c>
      <c r="E444" s="183" t="str">
        <f>MID(_xlfn.TEXTJOIN(" ",TRUE,'Deelnemer 25 vtg'!$D$6,$B$440),1,12)</f>
        <v>Deelnemer 25</v>
      </c>
      <c r="F444" s="276">
        <f>'Deelnemer 25 vtg'!$C$7</f>
        <v>0</v>
      </c>
      <c r="G444" s="183" t="str">
        <f>'Deelnemer 25 vtg'!B23</f>
        <v xml:space="preserve"> - </v>
      </c>
      <c r="H444" s="186" t="str">
        <f>VLOOKUP(G444,'Categorie H2 Vtg.'!$B$4:$D$20,3,0)</f>
        <v>-</v>
      </c>
      <c r="I444" s="187">
        <f>'Deelnemer 25 vtg'!E23</f>
        <v>0</v>
      </c>
      <c r="J444" s="180">
        <f>'Deelnemer 25 vtg'!V23</f>
        <v>0</v>
      </c>
      <c r="K444" s="184">
        <f>'Deelnemer 25 vtg'!Z23</f>
        <v>0</v>
      </c>
      <c r="L444" s="184">
        <f>'Deelnemer 25 vtg'!AE23</f>
        <v>0</v>
      </c>
      <c r="M444" s="188">
        <f t="shared" si="52"/>
        <v>0</v>
      </c>
      <c r="N444" s="188">
        <f t="shared" si="53"/>
        <v>0</v>
      </c>
      <c r="O444" s="184">
        <f>'Deelnemer 25 vtg'!AG23</f>
        <v>0</v>
      </c>
      <c r="P444" s="184">
        <f>'Deelnemer 25 vtg'!AJ23</f>
        <v>0</v>
      </c>
      <c r="Q444" s="184">
        <f>'Deelnemer 25 vtg'!AK23</f>
        <v>0</v>
      </c>
    </row>
    <row r="445" spans="2:18" ht="16.5" hidden="1" customHeight="1" x14ac:dyDescent="0.3">
      <c r="B445" s="639"/>
      <c r="C445" s="161">
        <v>6</v>
      </c>
      <c r="D445" s="182" t="str">
        <f>'Deelnemer 25 vtg'!A24</f>
        <v/>
      </c>
      <c r="E445" s="183" t="str">
        <f>MID(_xlfn.TEXTJOIN(" ",TRUE,'Deelnemer 25 vtg'!$D$6,$B$440),1,12)</f>
        <v>Deelnemer 25</v>
      </c>
      <c r="F445" s="276">
        <f>'Deelnemer 25 vtg'!$C$7</f>
        <v>0</v>
      </c>
      <c r="G445" s="183" t="str">
        <f>'Deelnemer 25 vtg'!B24</f>
        <v xml:space="preserve"> - </v>
      </c>
      <c r="H445" s="186" t="str">
        <f>VLOOKUP(G445,'Categorie H2 Vtg.'!$B$4:$D$20,3,0)</f>
        <v>-</v>
      </c>
      <c r="I445" s="187">
        <f>'Deelnemer 25 vtg'!E24</f>
        <v>0</v>
      </c>
      <c r="J445" s="180">
        <f>'Deelnemer 25 vtg'!V24</f>
        <v>0</v>
      </c>
      <c r="K445" s="184">
        <f>'Deelnemer 25 vtg'!Z24</f>
        <v>0</v>
      </c>
      <c r="L445" s="184">
        <f>'Deelnemer 25 vtg'!AE24</f>
        <v>0</v>
      </c>
      <c r="M445" s="188">
        <f t="shared" si="52"/>
        <v>0</v>
      </c>
      <c r="N445" s="188">
        <f t="shared" si="53"/>
        <v>0</v>
      </c>
      <c r="O445" s="184">
        <f>'Deelnemer 25 vtg'!AG24</f>
        <v>0</v>
      </c>
      <c r="P445" s="184">
        <f>'Deelnemer 25 vtg'!AJ24</f>
        <v>0</v>
      </c>
      <c r="Q445" s="184">
        <f>'Deelnemer 25 vtg'!AK24</f>
        <v>0</v>
      </c>
    </row>
    <row r="446" spans="2:18" ht="16.5" hidden="1" customHeight="1" x14ac:dyDescent="0.3">
      <c r="B446" s="639"/>
      <c r="C446" s="161">
        <v>7</v>
      </c>
      <c r="D446" s="182" t="str">
        <f>'Deelnemer 25 vtg'!A25</f>
        <v/>
      </c>
      <c r="E446" s="183" t="str">
        <f>MID(_xlfn.TEXTJOIN(" ",TRUE,'Deelnemer 25 vtg'!$D$6,$B$440),1,12)</f>
        <v>Deelnemer 25</v>
      </c>
      <c r="F446" s="276">
        <f>'Deelnemer 25 vtg'!$C$7</f>
        <v>0</v>
      </c>
      <c r="G446" s="183" t="str">
        <f>'Deelnemer 25 vtg'!B25</f>
        <v xml:space="preserve"> - </v>
      </c>
      <c r="H446" s="186" t="str">
        <f>VLOOKUP(G446,'Categorie H2 Vtg.'!$B$4:$D$20,3,0)</f>
        <v>-</v>
      </c>
      <c r="I446" s="187">
        <f>'Deelnemer 25 vtg'!E25</f>
        <v>0</v>
      </c>
      <c r="J446" s="180">
        <f>'Deelnemer 25 vtg'!V25</f>
        <v>0</v>
      </c>
      <c r="K446" s="184">
        <f>'Deelnemer 25 vtg'!Z25</f>
        <v>0</v>
      </c>
      <c r="L446" s="184">
        <f>'Deelnemer 25 vtg'!AE25</f>
        <v>0</v>
      </c>
      <c r="M446" s="188">
        <f t="shared" si="52"/>
        <v>0</v>
      </c>
      <c r="N446" s="188">
        <f t="shared" si="53"/>
        <v>0</v>
      </c>
      <c r="O446" s="184">
        <f>'Deelnemer 25 vtg'!AG25</f>
        <v>0</v>
      </c>
      <c r="P446" s="184">
        <f>'Deelnemer 25 vtg'!AJ25</f>
        <v>0</v>
      </c>
      <c r="Q446" s="184">
        <f>'Deelnemer 25 vtg'!AK25</f>
        <v>0</v>
      </c>
    </row>
    <row r="447" spans="2:18" ht="16.5" hidden="1" customHeight="1" x14ac:dyDescent="0.3">
      <c r="B447" s="639"/>
      <c r="C447" s="161">
        <v>8</v>
      </c>
      <c r="D447" s="182" t="str">
        <f>'Deelnemer 25 vtg'!A26</f>
        <v/>
      </c>
      <c r="E447" s="183" t="str">
        <f>MID(_xlfn.TEXTJOIN(" ",TRUE,'Deelnemer 25 vtg'!$D$6,$B$440),1,12)</f>
        <v>Deelnemer 25</v>
      </c>
      <c r="F447" s="276">
        <f>'Deelnemer 25 vtg'!$C$7</f>
        <v>0</v>
      </c>
      <c r="G447" s="183" t="str">
        <f>'Deelnemer 25 vtg'!B26</f>
        <v xml:space="preserve"> - </v>
      </c>
      <c r="H447" s="186" t="str">
        <f>VLOOKUP(G447,'Categorie H2 Vtg.'!$B$4:$D$20,3,0)</f>
        <v>-</v>
      </c>
      <c r="I447" s="187">
        <f>'Deelnemer 25 vtg'!E26</f>
        <v>0</v>
      </c>
      <c r="J447" s="180">
        <f>'Deelnemer 25 vtg'!V26</f>
        <v>0</v>
      </c>
      <c r="K447" s="184">
        <f>'Deelnemer 25 vtg'!Z26</f>
        <v>0</v>
      </c>
      <c r="L447" s="184">
        <f>'Deelnemer 25 vtg'!AE26</f>
        <v>0</v>
      </c>
      <c r="M447" s="188">
        <f t="shared" si="52"/>
        <v>0</v>
      </c>
      <c r="N447" s="188">
        <f t="shared" si="53"/>
        <v>0</v>
      </c>
      <c r="O447" s="184">
        <f>'Deelnemer 25 vtg'!AG26</f>
        <v>0</v>
      </c>
      <c r="P447" s="184">
        <f>'Deelnemer 25 vtg'!AJ26</f>
        <v>0</v>
      </c>
      <c r="Q447" s="184">
        <f>'Deelnemer 25 vtg'!AK26</f>
        <v>0</v>
      </c>
    </row>
    <row r="448" spans="2:18" ht="16.5" hidden="1" customHeight="1" x14ac:dyDescent="0.3">
      <c r="B448" s="639"/>
      <c r="C448" s="161">
        <v>9</v>
      </c>
      <c r="D448" s="182" t="str">
        <f>'Deelnemer 25 vtg'!A27</f>
        <v/>
      </c>
      <c r="E448" s="183" t="str">
        <f>MID(_xlfn.TEXTJOIN(" ",TRUE,'Deelnemer 25 vtg'!$D$6,$B$440),1,12)</f>
        <v>Deelnemer 25</v>
      </c>
      <c r="F448" s="276">
        <f>'Deelnemer 25 vtg'!$C$7</f>
        <v>0</v>
      </c>
      <c r="G448" s="183" t="str">
        <f>'Deelnemer 25 vtg'!B27</f>
        <v xml:space="preserve"> - </v>
      </c>
      <c r="H448" s="186" t="str">
        <f>VLOOKUP(G448,'Categorie H2 Vtg.'!$B$4:$D$20,3,0)</f>
        <v>-</v>
      </c>
      <c r="I448" s="187">
        <f>'Deelnemer 25 vtg'!E27</f>
        <v>0</v>
      </c>
      <c r="J448" s="180">
        <f>'Deelnemer 25 vtg'!V27</f>
        <v>0</v>
      </c>
      <c r="K448" s="184">
        <f>'Deelnemer 25 vtg'!Z27</f>
        <v>0</v>
      </c>
      <c r="L448" s="184">
        <f>'Deelnemer 25 vtg'!AE27</f>
        <v>0</v>
      </c>
      <c r="M448" s="188">
        <f t="shared" si="52"/>
        <v>0</v>
      </c>
      <c r="N448" s="188">
        <f t="shared" si="53"/>
        <v>0</v>
      </c>
      <c r="O448" s="184">
        <f>'Deelnemer 25 vtg'!AG27</f>
        <v>0</v>
      </c>
      <c r="P448" s="184">
        <f>'Deelnemer 25 vtg'!AJ27</f>
        <v>0</v>
      </c>
      <c r="Q448" s="184">
        <f>'Deelnemer 25 vtg'!AK27</f>
        <v>0</v>
      </c>
    </row>
    <row r="449" spans="2:18" ht="16.5" hidden="1" customHeight="1" x14ac:dyDescent="0.3">
      <c r="B449" s="639"/>
      <c r="C449" s="161">
        <v>10</v>
      </c>
      <c r="D449" s="182" t="str">
        <f>'Deelnemer 25 vtg'!A28</f>
        <v/>
      </c>
      <c r="E449" s="183" t="str">
        <f>MID(_xlfn.TEXTJOIN(" ",TRUE,'Deelnemer 25 vtg'!$D$6,$B$440),1,12)</f>
        <v>Deelnemer 25</v>
      </c>
      <c r="F449" s="276">
        <f>'Deelnemer 25 vtg'!$C$7</f>
        <v>0</v>
      </c>
      <c r="G449" s="183" t="str">
        <f>'Deelnemer 25 vtg'!B28</f>
        <v xml:space="preserve"> - </v>
      </c>
      <c r="H449" s="186" t="str">
        <f>VLOOKUP(G449,'Categorie H2 Vtg.'!$B$4:$D$20,3,0)</f>
        <v>-</v>
      </c>
      <c r="I449" s="187">
        <f>'Deelnemer 25 vtg'!E28</f>
        <v>0</v>
      </c>
      <c r="J449" s="180">
        <f>'Deelnemer 25 vtg'!V28</f>
        <v>0</v>
      </c>
      <c r="K449" s="184">
        <f>'Deelnemer 25 vtg'!Z28</f>
        <v>0</v>
      </c>
      <c r="L449" s="184">
        <f>'Deelnemer 25 vtg'!AE28</f>
        <v>0</v>
      </c>
      <c r="M449" s="188">
        <f t="shared" si="52"/>
        <v>0</v>
      </c>
      <c r="N449" s="188">
        <f t="shared" si="53"/>
        <v>0</v>
      </c>
      <c r="O449" s="184">
        <f>'Deelnemer 25 vtg'!AG28</f>
        <v>0</v>
      </c>
      <c r="P449" s="184">
        <f>'Deelnemer 25 vtg'!AJ28</f>
        <v>0</v>
      </c>
      <c r="Q449" s="184">
        <f>'Deelnemer 25 vtg'!AK28</f>
        <v>0</v>
      </c>
    </row>
    <row r="450" spans="2:18" ht="16.5" hidden="1" customHeight="1" x14ac:dyDescent="0.3">
      <c r="B450" s="639"/>
      <c r="C450" s="161">
        <v>11</v>
      </c>
      <c r="D450" s="182" t="str">
        <f>'Deelnemer 25 vtg'!A29</f>
        <v/>
      </c>
      <c r="E450" s="183" t="str">
        <f>MID(_xlfn.TEXTJOIN(" ",TRUE,'Deelnemer 25 vtg'!$D$6,$B$440),1,12)</f>
        <v>Deelnemer 25</v>
      </c>
      <c r="F450" s="276">
        <f>'Deelnemer 25 vtg'!$C$7</f>
        <v>0</v>
      </c>
      <c r="G450" s="183" t="str">
        <f>'Deelnemer 25 vtg'!B29</f>
        <v xml:space="preserve"> - </v>
      </c>
      <c r="H450" s="186" t="str">
        <f>VLOOKUP(G450,'Categorie H2 Vtg.'!$B$4:$D$20,3,0)</f>
        <v>-</v>
      </c>
      <c r="I450" s="187">
        <f>'Deelnemer 25 vtg'!E29</f>
        <v>0</v>
      </c>
      <c r="J450" s="180">
        <f>'Deelnemer 25 vtg'!V29</f>
        <v>0</v>
      </c>
      <c r="K450" s="184">
        <f>'Deelnemer 25 vtg'!Z29</f>
        <v>0</v>
      </c>
      <c r="L450" s="184">
        <f>'Deelnemer 25 vtg'!AE29</f>
        <v>0</v>
      </c>
      <c r="M450" s="188">
        <f t="shared" si="52"/>
        <v>0</v>
      </c>
      <c r="N450" s="188">
        <f t="shared" si="53"/>
        <v>0</v>
      </c>
      <c r="O450" s="184">
        <f>'Deelnemer 25 vtg'!AG29</f>
        <v>0</v>
      </c>
      <c r="P450" s="184">
        <f>'Deelnemer 25 vtg'!AJ29</f>
        <v>0</v>
      </c>
      <c r="Q450" s="184">
        <f>'Deelnemer 25 vtg'!AK29</f>
        <v>0</v>
      </c>
    </row>
    <row r="451" spans="2:18" ht="16.5" hidden="1" customHeight="1" x14ac:dyDescent="0.3">
      <c r="B451" s="639"/>
      <c r="C451" s="161">
        <v>12</v>
      </c>
      <c r="D451" s="182" t="str">
        <f>'Deelnemer 25 vtg'!A30</f>
        <v/>
      </c>
      <c r="E451" s="183" t="str">
        <f>MID(_xlfn.TEXTJOIN(" ",TRUE,'Deelnemer 25 vtg'!$D$6,$B$440),1,12)</f>
        <v>Deelnemer 25</v>
      </c>
      <c r="F451" s="276">
        <f>'Deelnemer 25 vtg'!$C$7</f>
        <v>0</v>
      </c>
      <c r="G451" s="183" t="str">
        <f>'Deelnemer 25 vtg'!B30</f>
        <v xml:space="preserve"> - </v>
      </c>
      <c r="H451" s="186" t="str">
        <f>VLOOKUP(G451,'Categorie H2 Vtg.'!$B$4:$D$20,3,0)</f>
        <v>-</v>
      </c>
      <c r="I451" s="187">
        <f>'Deelnemer 25 vtg'!E30</f>
        <v>0</v>
      </c>
      <c r="J451" s="180">
        <f>'Deelnemer 25 vtg'!V30</f>
        <v>0</v>
      </c>
      <c r="K451" s="184">
        <f>'Deelnemer 25 vtg'!Z30</f>
        <v>0</v>
      </c>
      <c r="L451" s="184">
        <f>'Deelnemer 25 vtg'!AE30</f>
        <v>0</v>
      </c>
      <c r="M451" s="188">
        <f t="shared" si="52"/>
        <v>0</v>
      </c>
      <c r="N451" s="188">
        <f t="shared" si="53"/>
        <v>0</v>
      </c>
      <c r="O451" s="184">
        <f>'Deelnemer 25 vtg'!AG30</f>
        <v>0</v>
      </c>
      <c r="P451" s="184">
        <f>'Deelnemer 25 vtg'!AJ30</f>
        <v>0</v>
      </c>
      <c r="Q451" s="184">
        <f>'Deelnemer 25 vtg'!AK30</f>
        <v>0</v>
      </c>
    </row>
    <row r="452" spans="2:18" ht="16.5" hidden="1" customHeight="1" x14ac:dyDescent="0.3">
      <c r="B452" s="639"/>
      <c r="C452" s="161">
        <v>13</v>
      </c>
      <c r="D452" s="182" t="str">
        <f>'Deelnemer 25 vtg'!A31</f>
        <v/>
      </c>
      <c r="E452" s="183" t="str">
        <f>MID(_xlfn.TEXTJOIN(" ",TRUE,'Deelnemer 25 vtg'!$D$6,$B$440),1,12)</f>
        <v>Deelnemer 25</v>
      </c>
      <c r="F452" s="276">
        <f>'Deelnemer 25 vtg'!$C$7</f>
        <v>0</v>
      </c>
      <c r="G452" s="183" t="str">
        <f>'Deelnemer 25 vtg'!B31</f>
        <v xml:space="preserve"> - </v>
      </c>
      <c r="H452" s="186" t="str">
        <f>VLOOKUP(G452,'Categorie H2 Vtg.'!$B$4:$D$20,3,0)</f>
        <v>-</v>
      </c>
      <c r="I452" s="187">
        <f>'Deelnemer 25 vtg'!E31</f>
        <v>0</v>
      </c>
      <c r="J452" s="180">
        <f>'Deelnemer 25 vtg'!V31</f>
        <v>0</v>
      </c>
      <c r="K452" s="184">
        <f>'Deelnemer 25 vtg'!Z31</f>
        <v>0</v>
      </c>
      <c r="L452" s="184">
        <f>'Deelnemer 25 vtg'!AE31</f>
        <v>0</v>
      </c>
      <c r="M452" s="188">
        <f t="shared" si="52"/>
        <v>0</v>
      </c>
      <c r="N452" s="188">
        <f t="shared" si="53"/>
        <v>0</v>
      </c>
      <c r="O452" s="184">
        <f>'Deelnemer 25 vtg'!AG31</f>
        <v>0</v>
      </c>
      <c r="P452" s="184">
        <f>'Deelnemer 25 vtg'!AJ31</f>
        <v>0</v>
      </c>
      <c r="Q452" s="184">
        <f>'Deelnemer 25 vtg'!AK31</f>
        <v>0</v>
      </c>
    </row>
    <row r="453" spans="2:18" ht="16.5" hidden="1" customHeight="1" x14ac:dyDescent="0.3">
      <c r="B453" s="639"/>
      <c r="C453" s="161">
        <v>14</v>
      </c>
      <c r="D453" s="182" t="str">
        <f>'Deelnemer 25 vtg'!A32</f>
        <v/>
      </c>
      <c r="E453" s="183" t="str">
        <f>MID(_xlfn.TEXTJOIN(" ",TRUE,'Deelnemer 25 vtg'!$D$6,$B$440),1,12)</f>
        <v>Deelnemer 25</v>
      </c>
      <c r="F453" s="276">
        <f>'Deelnemer 25 vtg'!$C$7</f>
        <v>0</v>
      </c>
      <c r="G453" s="183" t="str">
        <f>'Deelnemer 25 vtg'!B32</f>
        <v xml:space="preserve"> - </v>
      </c>
      <c r="H453" s="186" t="str">
        <f>VLOOKUP(G453,'Categorie H2 Vtg.'!$B$4:$D$20,3,0)</f>
        <v>-</v>
      </c>
      <c r="I453" s="187">
        <f>'Deelnemer 25 vtg'!E32</f>
        <v>0</v>
      </c>
      <c r="J453" s="180">
        <f>'Deelnemer 25 vtg'!V32</f>
        <v>0</v>
      </c>
      <c r="K453" s="184">
        <f>'Deelnemer 25 vtg'!Z32</f>
        <v>0</v>
      </c>
      <c r="L453" s="184">
        <f>'Deelnemer 25 vtg'!AE32</f>
        <v>0</v>
      </c>
      <c r="M453" s="188">
        <f t="shared" si="52"/>
        <v>0</v>
      </c>
      <c r="N453" s="188">
        <f t="shared" si="53"/>
        <v>0</v>
      </c>
      <c r="O453" s="184">
        <f>'Deelnemer 25 vtg'!AG32</f>
        <v>0</v>
      </c>
      <c r="P453" s="184">
        <f>'Deelnemer 25 vtg'!AJ32</f>
        <v>0</v>
      </c>
      <c r="Q453" s="184">
        <f>'Deelnemer 25 vtg'!AK32</f>
        <v>0</v>
      </c>
    </row>
    <row r="454" spans="2:18" ht="16.5" hidden="1" customHeight="1" x14ac:dyDescent="0.3">
      <c r="B454" s="639"/>
      <c r="C454" s="161">
        <v>15</v>
      </c>
      <c r="D454" s="182" t="str">
        <f>'Deelnemer 25 vtg'!A33</f>
        <v/>
      </c>
      <c r="E454" s="183" t="str">
        <f>MID(_xlfn.TEXTJOIN(" ",TRUE,'Deelnemer 25 vtg'!$D$6,$B$440),1,12)</f>
        <v>Deelnemer 25</v>
      </c>
      <c r="F454" s="276">
        <f>'Deelnemer 25 vtg'!$C$7</f>
        <v>0</v>
      </c>
      <c r="G454" s="183" t="str">
        <f>'Deelnemer 25 vtg'!B33</f>
        <v xml:space="preserve"> - </v>
      </c>
      <c r="H454" s="186" t="str">
        <f>VLOOKUP(G454,'Categorie H2 Vtg.'!$B$4:$D$20,3,0)</f>
        <v>-</v>
      </c>
      <c r="I454" s="187">
        <f>'Deelnemer 25 vtg'!E33</f>
        <v>0</v>
      </c>
      <c r="J454" s="180">
        <f>'Deelnemer 25 vtg'!V33</f>
        <v>0</v>
      </c>
      <c r="K454" s="184">
        <f>'Deelnemer 25 vtg'!Z33</f>
        <v>0</v>
      </c>
      <c r="L454" s="184">
        <f>'Deelnemer 25 vtg'!AE33</f>
        <v>0</v>
      </c>
      <c r="M454" s="188">
        <f t="shared" si="52"/>
        <v>0</v>
      </c>
      <c r="N454" s="188">
        <f t="shared" si="53"/>
        <v>0</v>
      </c>
      <c r="O454" s="184">
        <f>'Deelnemer 25 vtg'!AG33</f>
        <v>0</v>
      </c>
      <c r="P454" s="184">
        <f>'Deelnemer 25 vtg'!AJ33</f>
        <v>0</v>
      </c>
      <c r="Q454" s="184">
        <f>'Deelnemer 25 vtg'!AK33</f>
        <v>0</v>
      </c>
    </row>
    <row r="455" spans="2:18" s="181" customFormat="1" ht="16.5" hidden="1" customHeight="1" x14ac:dyDescent="0.3">
      <c r="B455" s="189"/>
      <c r="E455" s="191"/>
      <c r="F455" s="191"/>
      <c r="G455" s="191"/>
      <c r="H455" s="191"/>
      <c r="K455" s="192"/>
      <c r="L455" s="192"/>
      <c r="M455" s="192"/>
      <c r="N455" s="192"/>
      <c r="O455" s="192"/>
      <c r="P455" s="192"/>
      <c r="Q455" s="192">
        <f>SUM(Q95:Q454)</f>
        <v>0</v>
      </c>
      <c r="R455" s="161"/>
    </row>
    <row r="456" spans="2:18" ht="16.5" hidden="1" customHeight="1" x14ac:dyDescent="0.3">
      <c r="B456" s="193"/>
    </row>
    <row r="457" spans="2:18" ht="16.5" hidden="1" customHeight="1" x14ac:dyDescent="0.3">
      <c r="B457" s="193"/>
    </row>
    <row r="458" spans="2:18" ht="16.5" hidden="1" customHeight="1" x14ac:dyDescent="0.3">
      <c r="B458" s="193"/>
    </row>
    <row r="459" spans="2:18" ht="16.5" hidden="1" customHeight="1" x14ac:dyDescent="0.3">
      <c r="B459" s="193"/>
    </row>
    <row r="460" spans="2:18" ht="16.5" hidden="1" customHeight="1" x14ac:dyDescent="0.3">
      <c r="B460" s="193"/>
    </row>
    <row r="461" spans="2:18" ht="16.5" hidden="1" customHeight="1" x14ac:dyDescent="0.3">
      <c r="B461" s="193"/>
    </row>
    <row r="462" spans="2:18" ht="16.5" hidden="1" customHeight="1" x14ac:dyDescent="0.3">
      <c r="B462" s="193"/>
    </row>
    <row r="463" spans="2:18" ht="16.5" hidden="1" customHeight="1" x14ac:dyDescent="0.3">
      <c r="B463" s="193"/>
    </row>
    <row r="464" spans="2:18" ht="16.5" hidden="1" customHeight="1" x14ac:dyDescent="0.3">
      <c r="B464" s="193"/>
    </row>
    <row r="465" spans="2:2" ht="16.5" hidden="1" customHeight="1" x14ac:dyDescent="0.3">
      <c r="B465" s="193"/>
    </row>
    <row r="466" spans="2:2" ht="16.5" hidden="1" customHeight="1" x14ac:dyDescent="0.3">
      <c r="B466" s="193"/>
    </row>
    <row r="467" spans="2:2" ht="16.5" hidden="1" customHeight="1" x14ac:dyDescent="0.3">
      <c r="B467" s="193"/>
    </row>
    <row r="468" spans="2:2" ht="16.5" hidden="1" customHeight="1" x14ac:dyDescent="0.3">
      <c r="B468" s="193"/>
    </row>
    <row r="469" spans="2:2" ht="16.5" hidden="1" customHeight="1" x14ac:dyDescent="0.3">
      <c r="B469" s="193"/>
    </row>
    <row r="470" spans="2:2" ht="16.5" hidden="1" customHeight="1" x14ac:dyDescent="0.3">
      <c r="B470" s="193"/>
    </row>
    <row r="471" spans="2:2" ht="16.5" hidden="1" customHeight="1" x14ac:dyDescent="0.3">
      <c r="B471" s="193"/>
    </row>
    <row r="472" spans="2:2" ht="16.5" hidden="1" customHeight="1" x14ac:dyDescent="0.3">
      <c r="B472" s="193"/>
    </row>
    <row r="473" spans="2:2" ht="16.5" hidden="1" customHeight="1" x14ac:dyDescent="0.3">
      <c r="B473" s="193"/>
    </row>
    <row r="474" spans="2:2" ht="16.5" hidden="1" customHeight="1" x14ac:dyDescent="0.3">
      <c r="B474" s="193"/>
    </row>
    <row r="475" spans="2:2" ht="16.5" hidden="1" customHeight="1" x14ac:dyDescent="0.3">
      <c r="B475" s="193"/>
    </row>
    <row r="476" spans="2:2" ht="16.5" hidden="1" customHeight="1" x14ac:dyDescent="0.3">
      <c r="B476" s="193"/>
    </row>
    <row r="477" spans="2:2" ht="16.5" customHeight="1" x14ac:dyDescent="0.3">
      <c r="B477" s="193"/>
    </row>
    <row r="478" spans="2:2" ht="16.5" customHeight="1" x14ac:dyDescent="0.3">
      <c r="B478" s="193"/>
    </row>
    <row r="479" spans="2:2" ht="16.5" customHeight="1" x14ac:dyDescent="0.3">
      <c r="B479" s="193"/>
    </row>
    <row r="480" spans="2:2" ht="16.5" customHeight="1" x14ac:dyDescent="0.3">
      <c r="B480" s="193"/>
    </row>
    <row r="481" spans="2:2" ht="16.5" customHeight="1" x14ac:dyDescent="0.3">
      <c r="B481" s="193"/>
    </row>
    <row r="482" spans="2:2" ht="16.5" customHeight="1" x14ac:dyDescent="0.3">
      <c r="B482" s="193"/>
    </row>
    <row r="483" spans="2:2" ht="16.5" customHeight="1" x14ac:dyDescent="0.3">
      <c r="B483" s="193"/>
    </row>
    <row r="484" spans="2:2" ht="16.5" customHeight="1" x14ac:dyDescent="0.3">
      <c r="B484" s="193"/>
    </row>
    <row r="485" spans="2:2" ht="16.5" customHeight="1" x14ac:dyDescent="0.3">
      <c r="B485" s="193"/>
    </row>
    <row r="486" spans="2:2" x14ac:dyDescent="0.3">
      <c r="B486" s="193"/>
    </row>
    <row r="487" spans="2:2" x14ac:dyDescent="0.3">
      <c r="B487" s="193"/>
    </row>
    <row r="488" spans="2:2" x14ac:dyDescent="0.3">
      <c r="B488" s="193"/>
    </row>
    <row r="489" spans="2:2" x14ac:dyDescent="0.3">
      <c r="B489" s="193"/>
    </row>
    <row r="490" spans="2:2" x14ac:dyDescent="0.3">
      <c r="B490" s="193"/>
    </row>
    <row r="491" spans="2:2" x14ac:dyDescent="0.3">
      <c r="B491" s="193"/>
    </row>
    <row r="492" spans="2:2" x14ac:dyDescent="0.3">
      <c r="B492" s="193"/>
    </row>
    <row r="493" spans="2:2" x14ac:dyDescent="0.3">
      <c r="B493" s="193"/>
    </row>
    <row r="494" spans="2:2" x14ac:dyDescent="0.3">
      <c r="B494" s="193"/>
    </row>
    <row r="495" spans="2:2" x14ac:dyDescent="0.3">
      <c r="B495" s="193"/>
    </row>
    <row r="496" spans="2:2" x14ac:dyDescent="0.3">
      <c r="B496" s="193"/>
    </row>
    <row r="497" spans="2:2" x14ac:dyDescent="0.3">
      <c r="B497" s="193"/>
    </row>
    <row r="498" spans="2:2" x14ac:dyDescent="0.3">
      <c r="B498" s="193"/>
    </row>
    <row r="499" spans="2:2" x14ac:dyDescent="0.3">
      <c r="B499" s="193"/>
    </row>
    <row r="500" spans="2:2" x14ac:dyDescent="0.3">
      <c r="B500" s="193"/>
    </row>
    <row r="501" spans="2:2" x14ac:dyDescent="0.3">
      <c r="B501" s="193"/>
    </row>
    <row r="502" spans="2:2" x14ac:dyDescent="0.3">
      <c r="B502" s="193"/>
    </row>
    <row r="503" spans="2:2" x14ac:dyDescent="0.3">
      <c r="B503" s="193"/>
    </row>
    <row r="504" spans="2:2" x14ac:dyDescent="0.3">
      <c r="B504" s="193"/>
    </row>
    <row r="505" spans="2:2" x14ac:dyDescent="0.3">
      <c r="B505" s="193"/>
    </row>
    <row r="506" spans="2:2" x14ac:dyDescent="0.3">
      <c r="B506" s="193"/>
    </row>
    <row r="507" spans="2:2" x14ac:dyDescent="0.3">
      <c r="B507" s="193"/>
    </row>
    <row r="508" spans="2:2" x14ac:dyDescent="0.3">
      <c r="B508" s="193"/>
    </row>
    <row r="509" spans="2:2" x14ac:dyDescent="0.3">
      <c r="B509" s="193"/>
    </row>
    <row r="510" spans="2:2" x14ac:dyDescent="0.3">
      <c r="B510" s="193"/>
    </row>
    <row r="511" spans="2:2" x14ac:dyDescent="0.3">
      <c r="B511" s="193"/>
    </row>
    <row r="512" spans="2:2" x14ac:dyDescent="0.3">
      <c r="B512" s="193"/>
    </row>
    <row r="513" spans="2:2" x14ac:dyDescent="0.3">
      <c r="B513" s="193"/>
    </row>
    <row r="514" spans="2:2" x14ac:dyDescent="0.3">
      <c r="B514" s="193"/>
    </row>
    <row r="515" spans="2:2" x14ac:dyDescent="0.3">
      <c r="B515" s="193"/>
    </row>
    <row r="516" spans="2:2" x14ac:dyDescent="0.3">
      <c r="B516" s="193"/>
    </row>
    <row r="517" spans="2:2" x14ac:dyDescent="0.3">
      <c r="B517" s="193"/>
    </row>
    <row r="518" spans="2:2" x14ac:dyDescent="0.3">
      <c r="B518" s="193"/>
    </row>
    <row r="519" spans="2:2" x14ac:dyDescent="0.3">
      <c r="B519" s="193"/>
    </row>
    <row r="520" spans="2:2" x14ac:dyDescent="0.3">
      <c r="B520" s="193"/>
    </row>
    <row r="521" spans="2:2" x14ac:dyDescent="0.3">
      <c r="B521" s="193"/>
    </row>
    <row r="522" spans="2:2" x14ac:dyDescent="0.3">
      <c r="B522" s="193"/>
    </row>
    <row r="523" spans="2:2" x14ac:dyDescent="0.3">
      <c r="B523" s="193"/>
    </row>
    <row r="524" spans="2:2" x14ac:dyDescent="0.3">
      <c r="B524" s="193"/>
    </row>
    <row r="525" spans="2:2" x14ac:dyDescent="0.3">
      <c r="B525" s="193"/>
    </row>
    <row r="526" spans="2:2" x14ac:dyDescent="0.3">
      <c r="B526" s="193"/>
    </row>
    <row r="527" spans="2:2" x14ac:dyDescent="0.3">
      <c r="B527" s="193"/>
    </row>
    <row r="528" spans="2:2" x14ac:dyDescent="0.3">
      <c r="B528" s="193"/>
    </row>
    <row r="529" spans="2:2" x14ac:dyDescent="0.3">
      <c r="B529" s="193"/>
    </row>
    <row r="530" spans="2:2" x14ac:dyDescent="0.3">
      <c r="B530" s="193"/>
    </row>
    <row r="531" spans="2:2" x14ac:dyDescent="0.3">
      <c r="B531" s="193"/>
    </row>
    <row r="532" spans="2:2" x14ac:dyDescent="0.3">
      <c r="B532" s="193"/>
    </row>
    <row r="533" spans="2:2" x14ac:dyDescent="0.3">
      <c r="B533" s="193"/>
    </row>
    <row r="534" spans="2:2" x14ac:dyDescent="0.3">
      <c r="B534" s="193"/>
    </row>
    <row r="535" spans="2:2" x14ac:dyDescent="0.3">
      <c r="B535" s="193"/>
    </row>
    <row r="536" spans="2:2" x14ac:dyDescent="0.3">
      <c r="B536" s="193"/>
    </row>
    <row r="537" spans="2:2" x14ac:dyDescent="0.3">
      <c r="B537" s="193"/>
    </row>
    <row r="538" spans="2:2" x14ac:dyDescent="0.3">
      <c r="B538" s="193"/>
    </row>
    <row r="539" spans="2:2" x14ac:dyDescent="0.3">
      <c r="B539" s="193"/>
    </row>
    <row r="540" spans="2:2" x14ac:dyDescent="0.3">
      <c r="B540" s="193"/>
    </row>
    <row r="541" spans="2:2" x14ac:dyDescent="0.3">
      <c r="B541" s="193"/>
    </row>
    <row r="542" spans="2:2" x14ac:dyDescent="0.3">
      <c r="B542" s="193"/>
    </row>
    <row r="543" spans="2:2" x14ac:dyDescent="0.3">
      <c r="B543" s="193"/>
    </row>
    <row r="544" spans="2:2" x14ac:dyDescent="0.3">
      <c r="B544" s="193"/>
    </row>
    <row r="545" spans="2:2" x14ac:dyDescent="0.3">
      <c r="B545" s="193"/>
    </row>
    <row r="546" spans="2:2" x14ac:dyDescent="0.3">
      <c r="B546" s="193"/>
    </row>
    <row r="547" spans="2:2" x14ac:dyDescent="0.3">
      <c r="B547" s="193"/>
    </row>
    <row r="548" spans="2:2" x14ac:dyDescent="0.3">
      <c r="B548" s="193"/>
    </row>
    <row r="549" spans="2:2" x14ac:dyDescent="0.3">
      <c r="B549" s="193"/>
    </row>
    <row r="550" spans="2:2" x14ac:dyDescent="0.3">
      <c r="B550" s="193"/>
    </row>
    <row r="551" spans="2:2" x14ac:dyDescent="0.3">
      <c r="B551" s="193"/>
    </row>
    <row r="552" spans="2:2" x14ac:dyDescent="0.3">
      <c r="B552" s="193"/>
    </row>
    <row r="553" spans="2:2" x14ac:dyDescent="0.3">
      <c r="B553" s="193"/>
    </row>
    <row r="554" spans="2:2" x14ac:dyDescent="0.3">
      <c r="B554" s="193"/>
    </row>
    <row r="555" spans="2:2" x14ac:dyDescent="0.3">
      <c r="B555" s="193"/>
    </row>
    <row r="556" spans="2:2" x14ac:dyDescent="0.3">
      <c r="B556" s="193"/>
    </row>
    <row r="557" spans="2:2" x14ac:dyDescent="0.3">
      <c r="B557" s="193"/>
    </row>
    <row r="558" spans="2:2" x14ac:dyDescent="0.3">
      <c r="B558" s="193"/>
    </row>
    <row r="559" spans="2:2" x14ac:dyDescent="0.3">
      <c r="B559" s="193"/>
    </row>
    <row r="560" spans="2:2" x14ac:dyDescent="0.3">
      <c r="B560" s="193"/>
    </row>
    <row r="561" spans="2:2" x14ac:dyDescent="0.3">
      <c r="B561" s="193"/>
    </row>
    <row r="562" spans="2:2" x14ac:dyDescent="0.3">
      <c r="B562" s="193"/>
    </row>
    <row r="563" spans="2:2" x14ac:dyDescent="0.3">
      <c r="B563" s="193"/>
    </row>
    <row r="564" spans="2:2" x14ac:dyDescent="0.3">
      <c r="B564" s="193"/>
    </row>
    <row r="565" spans="2:2" x14ac:dyDescent="0.3">
      <c r="B565" s="193"/>
    </row>
    <row r="566" spans="2:2" x14ac:dyDescent="0.3">
      <c r="B566" s="193"/>
    </row>
    <row r="567" spans="2:2" x14ac:dyDescent="0.3">
      <c r="B567" s="193"/>
    </row>
    <row r="568" spans="2:2" x14ac:dyDescent="0.3">
      <c r="B568" s="193"/>
    </row>
    <row r="569" spans="2:2" x14ac:dyDescent="0.3">
      <c r="B569" s="193"/>
    </row>
    <row r="570" spans="2:2" x14ac:dyDescent="0.3">
      <c r="B570" s="193"/>
    </row>
    <row r="571" spans="2:2" x14ac:dyDescent="0.3">
      <c r="B571" s="193"/>
    </row>
    <row r="572" spans="2:2" x14ac:dyDescent="0.3">
      <c r="B572" s="193"/>
    </row>
    <row r="573" spans="2:2" x14ac:dyDescent="0.3">
      <c r="B573" s="193"/>
    </row>
    <row r="574" spans="2:2" x14ac:dyDescent="0.3">
      <c r="B574" s="193"/>
    </row>
    <row r="575" spans="2:2" x14ac:dyDescent="0.3">
      <c r="B575" s="193"/>
    </row>
    <row r="576" spans="2:2" x14ac:dyDescent="0.3">
      <c r="B576" s="193"/>
    </row>
    <row r="577" spans="2:2" x14ac:dyDescent="0.3">
      <c r="B577" s="193"/>
    </row>
    <row r="578" spans="2:2" x14ac:dyDescent="0.3">
      <c r="B578" s="193"/>
    </row>
    <row r="579" spans="2:2" x14ac:dyDescent="0.3">
      <c r="B579" s="193"/>
    </row>
    <row r="580" spans="2:2" x14ac:dyDescent="0.3">
      <c r="B580" s="193"/>
    </row>
    <row r="581" spans="2:2" x14ac:dyDescent="0.3">
      <c r="B581" s="193"/>
    </row>
    <row r="582" spans="2:2" x14ac:dyDescent="0.3">
      <c r="B582" s="193"/>
    </row>
    <row r="583" spans="2:2" x14ac:dyDescent="0.3">
      <c r="B583" s="193"/>
    </row>
    <row r="584" spans="2:2" x14ac:dyDescent="0.3">
      <c r="B584" s="193"/>
    </row>
    <row r="585" spans="2:2" x14ac:dyDescent="0.3">
      <c r="B585" s="193"/>
    </row>
    <row r="586" spans="2:2" x14ac:dyDescent="0.3">
      <c r="B586" s="193"/>
    </row>
    <row r="587" spans="2:2" x14ac:dyDescent="0.3">
      <c r="B587" s="193"/>
    </row>
    <row r="588" spans="2:2" x14ac:dyDescent="0.3">
      <c r="B588" s="193"/>
    </row>
    <row r="589" spans="2:2" x14ac:dyDescent="0.3">
      <c r="B589" s="193"/>
    </row>
    <row r="590" spans="2:2" x14ac:dyDescent="0.3">
      <c r="B590" s="193"/>
    </row>
    <row r="591" spans="2:2" x14ac:dyDescent="0.3">
      <c r="B591" s="193"/>
    </row>
    <row r="592" spans="2:2" x14ac:dyDescent="0.3">
      <c r="B592" s="193"/>
    </row>
    <row r="593" spans="2:2" x14ac:dyDescent="0.3">
      <c r="B593" s="193"/>
    </row>
    <row r="594" spans="2:2" x14ac:dyDescent="0.3">
      <c r="B594" s="193"/>
    </row>
    <row r="595" spans="2:2" x14ac:dyDescent="0.3">
      <c r="B595" s="193"/>
    </row>
  </sheetData>
  <sheetProtection algorithmName="SHA-512" hashValue="2AU4yMuXpCEG5aKHSQr+PfLbBNbQhb8bsiAvPMlMSv04iONTeftlK7t40SEJHIv627CY5s0sGacFe7jj8SSs0A==" saltValue="64cQ9Em9S+XIbPG8ruUNfA==" spinCount="100000" sheet="1" selectLockedCells="1"/>
  <autoFilter ref="D94:Q455" xr:uid="{CA0144F4-6760-436F-9941-EF1FB5948EF7}"/>
  <mergeCells count="24">
    <mergeCell ref="B260:B274"/>
    <mergeCell ref="B95:B109"/>
    <mergeCell ref="B110:B124"/>
    <mergeCell ref="B125:B139"/>
    <mergeCell ref="B140:B154"/>
    <mergeCell ref="B155:B169"/>
    <mergeCell ref="B170:B184"/>
    <mergeCell ref="B185:B199"/>
    <mergeCell ref="B200:B214"/>
    <mergeCell ref="B215:B229"/>
    <mergeCell ref="B230:B244"/>
    <mergeCell ref="B245:B259"/>
    <mergeCell ref="B440:B454"/>
    <mergeCell ref="B275:B289"/>
    <mergeCell ref="B290:B304"/>
    <mergeCell ref="B305:B319"/>
    <mergeCell ref="B320:B334"/>
    <mergeCell ref="B335:B349"/>
    <mergeCell ref="B350:B364"/>
    <mergeCell ref="B365:B379"/>
    <mergeCell ref="B380:B394"/>
    <mergeCell ref="B395:B409"/>
    <mergeCell ref="B410:B424"/>
    <mergeCell ref="B425:B439"/>
  </mergeCells>
  <conditionalFormatting sqref="C455:Q455 G155:H230 F231:H244 G245:H454 C95:Q109 C110:H154 I110:Q454 C155:E454">
    <cfRule type="colorScale" priority="1">
      <colorScale>
        <cfvo type="min"/>
        <cfvo type="max"/>
        <color theme="0"/>
        <color rgb="FF339933"/>
      </colorScale>
    </cfRule>
  </conditionalFormatting>
  <pageMargins left="0.7" right="0.7" top="0.75" bottom="0.75" header="0.3" footer="0.3"/>
  <pageSetup paperSize="9" scale="3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tabColor rgb="FFFF0000"/>
    <pageSetUpPr fitToPage="1"/>
  </sheetPr>
  <dimension ref="A1:N54"/>
  <sheetViews>
    <sheetView topLeftCell="A12" zoomScaleNormal="80" workbookViewId="0">
      <selection activeCell="H40" sqref="H40"/>
    </sheetView>
  </sheetViews>
  <sheetFormatPr defaultColWidth="14.44140625" defaultRowHeight="15" customHeight="1" x14ac:dyDescent="0.2"/>
  <cols>
    <col min="1" max="1" width="5.44140625" style="130" customWidth="1"/>
    <col min="2" max="2" width="19.44140625" style="119" customWidth="1"/>
    <col min="3" max="3" width="27.6640625" style="119" customWidth="1"/>
    <col min="4" max="4" width="25.44140625" style="119" customWidth="1"/>
    <col min="5" max="5" width="17.44140625" style="119" customWidth="1"/>
    <col min="6" max="11" width="20.6640625" style="119" customWidth="1"/>
    <col min="12" max="12" width="8.44140625" style="125" customWidth="1"/>
    <col min="13" max="27" width="8.44140625" style="119" customWidth="1"/>
    <col min="28" max="16384" width="14.44140625" style="119"/>
  </cols>
  <sheetData>
    <row r="1" spans="1:14" ht="15" customHeight="1" x14ac:dyDescent="0.2">
      <c r="B1" s="199" t="s">
        <v>138</v>
      </c>
      <c r="M1" s="125"/>
      <c r="N1" s="125"/>
    </row>
    <row r="2" spans="1:14" ht="11.4" x14ac:dyDescent="0.2">
      <c r="B2" s="199" t="s">
        <v>139</v>
      </c>
      <c r="M2" s="125"/>
      <c r="N2" s="125"/>
    </row>
    <row r="3" spans="1:14" ht="17.399999999999999" x14ac:dyDescent="0.2">
      <c r="A3" s="194"/>
      <c r="B3" s="162"/>
      <c r="C3" s="164" t="s">
        <v>120</v>
      </c>
      <c r="D3" s="162"/>
      <c r="M3" s="125"/>
      <c r="N3" s="125"/>
    </row>
    <row r="4" spans="1:14" ht="17.399999999999999" x14ac:dyDescent="0.2">
      <c r="A4" s="194"/>
      <c r="B4" s="162"/>
      <c r="C4" s="164" t="s">
        <v>140</v>
      </c>
      <c r="D4" s="162"/>
      <c r="E4" s="125"/>
      <c r="F4" s="125"/>
      <c r="G4" s="125"/>
      <c r="H4" s="125"/>
      <c r="I4" s="125"/>
      <c r="J4" s="125"/>
      <c r="K4" s="125"/>
      <c r="M4" s="125"/>
      <c r="N4" s="125"/>
    </row>
    <row r="5" spans="1:14" ht="22.5" customHeight="1" x14ac:dyDescent="0.2">
      <c r="A5" s="194"/>
      <c r="B5" s="161"/>
      <c r="C5" s="162"/>
      <c r="D5" s="162"/>
      <c r="E5" s="125"/>
      <c r="F5" s="125"/>
      <c r="G5" s="125"/>
      <c r="H5" s="125"/>
      <c r="I5" s="125"/>
      <c r="J5" s="125"/>
      <c r="K5" s="125"/>
      <c r="M5" s="125"/>
      <c r="N5" s="125"/>
    </row>
    <row r="6" spans="1:14" ht="17.25" customHeight="1" x14ac:dyDescent="0.2">
      <c r="A6" s="194"/>
      <c r="B6" s="161"/>
      <c r="C6" s="162"/>
      <c r="D6" s="162"/>
      <c r="E6" s="125"/>
      <c r="F6" s="125"/>
      <c r="G6" s="125"/>
      <c r="H6" s="125"/>
      <c r="I6" s="125"/>
      <c r="J6" s="125"/>
      <c r="K6" s="125"/>
      <c r="M6" s="125"/>
      <c r="N6" s="125"/>
    </row>
    <row r="7" spans="1:14" ht="18.75" customHeight="1" x14ac:dyDescent="0.2">
      <c r="A7" s="194"/>
      <c r="B7" s="162"/>
      <c r="C7" s="162"/>
      <c r="D7" s="162"/>
      <c r="E7" s="125"/>
      <c r="F7" s="125"/>
      <c r="G7" s="125"/>
      <c r="H7" s="125"/>
      <c r="I7" s="125"/>
      <c r="J7" s="125"/>
      <c r="K7" s="125"/>
      <c r="M7" s="125"/>
      <c r="N7" s="125"/>
    </row>
    <row r="8" spans="1:14" ht="27" customHeight="1" x14ac:dyDescent="0.2">
      <c r="A8" s="194"/>
      <c r="B8" s="162"/>
      <c r="C8" s="162"/>
      <c r="D8" s="162"/>
      <c r="E8" s="125"/>
      <c r="F8" s="125"/>
      <c r="G8" s="125"/>
      <c r="H8" s="125"/>
      <c r="I8" s="125"/>
      <c r="J8" s="125"/>
      <c r="K8" s="125"/>
      <c r="M8" s="125"/>
      <c r="N8" s="125"/>
    </row>
    <row r="9" spans="1:14" ht="19.5" customHeight="1" x14ac:dyDescent="0.2">
      <c r="A9" s="194"/>
      <c r="B9" s="165" t="s">
        <v>121</v>
      </c>
      <c r="C9" s="650">
        <f>'Deelnemer 1 tankstation'!D6</f>
        <v>0</v>
      </c>
      <c r="D9" s="650"/>
      <c r="E9" s="650"/>
      <c r="F9" s="125"/>
      <c r="G9" s="125"/>
      <c r="H9" s="125"/>
      <c r="I9" s="125"/>
      <c r="J9" s="125"/>
      <c r="K9" s="125"/>
      <c r="M9" s="125"/>
      <c r="N9" s="125"/>
    </row>
    <row r="10" spans="1:14" ht="15" customHeight="1" x14ac:dyDescent="0.2">
      <c r="A10" s="194"/>
      <c r="B10" s="165" t="s">
        <v>122</v>
      </c>
      <c r="C10" s="650" t="str">
        <f>'Deelnemer 1 tankstation'!D7</f>
        <v>in te vullen door RVO</v>
      </c>
      <c r="D10" s="650"/>
      <c r="E10" s="650"/>
      <c r="F10" s="125"/>
      <c r="G10" s="125"/>
      <c r="H10" s="125"/>
      <c r="I10" s="125"/>
      <c r="J10" s="125"/>
      <c r="K10" s="125"/>
      <c r="M10" s="125"/>
      <c r="N10" s="125"/>
    </row>
    <row r="11" spans="1:14" ht="15" customHeight="1" x14ac:dyDescent="0.2">
      <c r="A11" s="194"/>
      <c r="B11" s="162"/>
      <c r="C11" s="162"/>
      <c r="D11" s="162"/>
      <c r="E11" s="125"/>
      <c r="F11" s="125"/>
      <c r="G11" s="125"/>
      <c r="H11" s="125"/>
      <c r="I11" s="125"/>
      <c r="J11" s="125"/>
      <c r="K11" s="125"/>
      <c r="M11" s="125"/>
      <c r="N11" s="125"/>
    </row>
    <row r="12" spans="1:14" ht="16.2" customHeight="1" x14ac:dyDescent="0.2">
      <c r="A12" s="194"/>
      <c r="B12" s="132" t="s">
        <v>141</v>
      </c>
      <c r="C12" s="133"/>
      <c r="D12" s="133"/>
      <c r="E12" s="133"/>
      <c r="F12" s="133"/>
      <c r="G12" s="133"/>
      <c r="H12" s="133"/>
      <c r="I12" s="133"/>
      <c r="J12" s="133"/>
      <c r="K12" s="133"/>
      <c r="L12" s="126"/>
      <c r="M12" s="125"/>
      <c r="N12" s="125"/>
    </row>
    <row r="13" spans="1:14" ht="16.2" customHeight="1" x14ac:dyDescent="0.2">
      <c r="A13" s="194"/>
      <c r="B13" s="134"/>
      <c r="C13" s="135"/>
      <c r="D13" s="135"/>
      <c r="E13" s="135"/>
      <c r="F13" s="135"/>
      <c r="G13" s="135"/>
      <c r="H13" s="122"/>
      <c r="I13" s="136"/>
      <c r="J13" s="135"/>
      <c r="K13" s="135"/>
      <c r="L13" s="127"/>
      <c r="M13" s="125"/>
      <c r="N13" s="125"/>
    </row>
    <row r="14" spans="1:14" s="123" customFormat="1" ht="30" customHeight="1" x14ac:dyDescent="0.3">
      <c r="A14" s="195"/>
      <c r="B14" s="121" t="s">
        <v>142</v>
      </c>
      <c r="C14" s="121"/>
      <c r="D14" s="121" t="s">
        <v>143</v>
      </c>
      <c r="E14" s="282" t="s">
        <v>144</v>
      </c>
      <c r="F14" s="282" t="s">
        <v>333</v>
      </c>
      <c r="G14" s="283" t="s">
        <v>145</v>
      </c>
      <c r="H14" s="282" t="s">
        <v>334</v>
      </c>
      <c r="I14" s="282" t="s">
        <v>146</v>
      </c>
      <c r="J14" s="283" t="s">
        <v>147</v>
      </c>
      <c r="K14" s="284" t="s">
        <v>148</v>
      </c>
      <c r="L14" s="128"/>
      <c r="M14" s="197"/>
      <c r="N14" s="197"/>
    </row>
    <row r="15" spans="1:14" ht="16.2" customHeight="1" x14ac:dyDescent="0.2">
      <c r="A15" s="194">
        <v>1</v>
      </c>
      <c r="B15" s="120" t="str">
        <f>Totaaloverzicht!C8</f>
        <v>Deelnemer 1</v>
      </c>
      <c r="C15" s="120" t="str">
        <f>Totaaloverzicht!F8</f>
        <v>Waterstoftankstation</v>
      </c>
      <c r="D15" s="120" t="str">
        <f>Totaaloverzicht!D8</f>
        <v/>
      </c>
      <c r="E15" s="124">
        <f ca="1">Totaaloverzicht!M8</f>
        <v>0</v>
      </c>
      <c r="F15" s="124">
        <f ca="1">Totaaloverzicht!N8</f>
        <v>0</v>
      </c>
      <c r="G15" s="124">
        <f>Totaaloverzicht!I8</f>
        <v>0</v>
      </c>
      <c r="H15" s="124">
        <f ca="1">'Deelnemer 1 tankstation'!V130</f>
        <v>0</v>
      </c>
      <c r="I15" s="124">
        <f>'Deelnemer 1 tankstation'!R132</f>
        <v>0</v>
      </c>
      <c r="J15" s="124">
        <f ca="1">Totaaloverzicht!Q8</f>
        <v>0</v>
      </c>
      <c r="K15" s="124">
        <f t="shared" ref="K15:K40" ca="1" si="0">0.5*H15</f>
        <v>0</v>
      </c>
      <c r="L15" s="127"/>
      <c r="M15" s="125"/>
      <c r="N15" s="125"/>
    </row>
    <row r="16" spans="1:14" ht="16.2" customHeight="1" x14ac:dyDescent="0.2">
      <c r="A16" s="194">
        <v>2</v>
      </c>
      <c r="B16" s="120" t="str">
        <f>Totaaloverzicht!C9</f>
        <v>Deelnemer 2</v>
      </c>
      <c r="C16" s="120" t="str">
        <f>Totaaloverzicht!F9</f>
        <v/>
      </c>
      <c r="D16" s="120" t="str">
        <f>Totaaloverzicht!D9</f>
        <v/>
      </c>
      <c r="E16" s="124">
        <f>Totaaloverzicht!M9</f>
        <v>0</v>
      </c>
      <c r="F16" s="124">
        <f>Totaaloverzicht!N9</f>
        <v>0</v>
      </c>
      <c r="G16" s="124">
        <f>Totaaloverzicht!I9</f>
        <v>0</v>
      </c>
      <c r="H16" s="124" cm="1">
        <f t="array" aca="1" ref="H16" ca="1">INDIRECT("'Deelnemer 2 vtg'!Z44")</f>
        <v>0</v>
      </c>
      <c r="I16" s="124">
        <f>Totaaloverzicht!P9</f>
        <v>0</v>
      </c>
      <c r="J16" s="124">
        <f>Totaaloverzicht!Q9</f>
        <v>0</v>
      </c>
      <c r="K16" s="124">
        <f t="shared" ca="1" si="0"/>
        <v>0</v>
      </c>
      <c r="L16" s="127"/>
      <c r="M16" s="125"/>
      <c r="N16" s="125"/>
    </row>
    <row r="17" spans="1:14" ht="16.2" customHeight="1" x14ac:dyDescent="0.2">
      <c r="A17" s="194">
        <v>3</v>
      </c>
      <c r="B17" s="120" t="str">
        <f>Totaaloverzicht!C10</f>
        <v>Deelnemer 3</v>
      </c>
      <c r="C17" s="120" t="str">
        <f>Totaaloverzicht!F10</f>
        <v/>
      </c>
      <c r="D17" s="120" t="str">
        <f>Totaaloverzicht!D10</f>
        <v/>
      </c>
      <c r="E17" s="124">
        <f>Totaaloverzicht!M10</f>
        <v>0</v>
      </c>
      <c r="F17" s="124">
        <f>Totaaloverzicht!N10</f>
        <v>0</v>
      </c>
      <c r="G17" s="124">
        <f>Totaaloverzicht!I10</f>
        <v>0</v>
      </c>
      <c r="H17" s="124" cm="1">
        <f t="array" aca="1" ref="H17" ca="1">INDIRECT("'Deelnemer 3 vtg'!Z44")</f>
        <v>0</v>
      </c>
      <c r="I17" s="124">
        <f>Totaaloverzicht!P10</f>
        <v>0</v>
      </c>
      <c r="J17" s="124">
        <f>Totaaloverzicht!Q10</f>
        <v>0</v>
      </c>
      <c r="K17" s="124">
        <f t="shared" ca="1" si="0"/>
        <v>0</v>
      </c>
      <c r="L17" s="127"/>
      <c r="M17" s="125"/>
      <c r="N17" s="125"/>
    </row>
    <row r="18" spans="1:14" ht="16.2" customHeight="1" x14ac:dyDescent="0.2">
      <c r="A18" s="194">
        <v>4</v>
      </c>
      <c r="B18" s="120" t="str">
        <f>Totaaloverzicht!C11</f>
        <v>Deelnemer 4</v>
      </c>
      <c r="C18" s="120" t="str">
        <f>Totaaloverzicht!F11</f>
        <v/>
      </c>
      <c r="D18" s="120" t="str">
        <f>Totaaloverzicht!D11</f>
        <v/>
      </c>
      <c r="E18" s="124">
        <f>Totaaloverzicht!M11</f>
        <v>0</v>
      </c>
      <c r="F18" s="124">
        <f>Totaaloverzicht!N11</f>
        <v>0</v>
      </c>
      <c r="G18" s="124">
        <f>Totaaloverzicht!I11</f>
        <v>0</v>
      </c>
      <c r="H18" s="124" cm="1">
        <f t="array" aca="1" ref="H18" ca="1">INDIRECT("'Deelnemer 4 vtg'!Z44")</f>
        <v>0</v>
      </c>
      <c r="I18" s="124">
        <f>Totaaloverzicht!P11</f>
        <v>0</v>
      </c>
      <c r="J18" s="124">
        <f>Totaaloverzicht!Q11</f>
        <v>0</v>
      </c>
      <c r="K18" s="124">
        <f t="shared" ca="1" si="0"/>
        <v>0</v>
      </c>
      <c r="L18" s="127"/>
      <c r="M18" s="125"/>
      <c r="N18" s="125"/>
    </row>
    <row r="19" spans="1:14" ht="16.2" customHeight="1" x14ac:dyDescent="0.2">
      <c r="A19" s="194">
        <v>5</v>
      </c>
      <c r="B19" s="120" t="str">
        <f>Totaaloverzicht!C12</f>
        <v>Deelnemer 5</v>
      </c>
      <c r="C19" s="120" t="str">
        <f>Totaaloverzicht!F12</f>
        <v/>
      </c>
      <c r="D19" s="120" t="str">
        <f>Totaaloverzicht!D12</f>
        <v/>
      </c>
      <c r="E19" s="124">
        <f>Totaaloverzicht!M12</f>
        <v>0</v>
      </c>
      <c r="F19" s="124">
        <f>Totaaloverzicht!N12</f>
        <v>0</v>
      </c>
      <c r="G19" s="124">
        <f>Totaaloverzicht!I12</f>
        <v>0</v>
      </c>
      <c r="H19" s="124" cm="1">
        <f t="array" aca="1" ref="H19" ca="1">INDIRECT("'Deelnemer 5 vtg'!Z44")</f>
        <v>0</v>
      </c>
      <c r="I19" s="124">
        <f>Totaaloverzicht!P12</f>
        <v>0</v>
      </c>
      <c r="J19" s="124">
        <f>Totaaloverzicht!Q12</f>
        <v>0</v>
      </c>
      <c r="K19" s="124">
        <f t="shared" ca="1" si="0"/>
        <v>0</v>
      </c>
      <c r="L19" s="127"/>
      <c r="M19" s="125"/>
      <c r="N19" s="125"/>
    </row>
    <row r="20" spans="1:14" ht="16.2" customHeight="1" x14ac:dyDescent="0.2">
      <c r="A20" s="194">
        <v>6</v>
      </c>
      <c r="B20" s="120" t="str">
        <f>Totaaloverzicht!C13</f>
        <v>Deelnemer 6</v>
      </c>
      <c r="C20" s="120" t="str">
        <f>Totaaloverzicht!F13</f>
        <v/>
      </c>
      <c r="D20" s="120" t="str">
        <f>Totaaloverzicht!D13</f>
        <v/>
      </c>
      <c r="E20" s="124">
        <f>Totaaloverzicht!M13</f>
        <v>0</v>
      </c>
      <c r="F20" s="124">
        <f>Totaaloverzicht!N13</f>
        <v>0</v>
      </c>
      <c r="G20" s="124">
        <f>Totaaloverzicht!I13</f>
        <v>0</v>
      </c>
      <c r="H20" s="124" cm="1">
        <f t="array" aca="1" ref="H20" ca="1">INDIRECT("'Deelnemer 6 vtg'!Z44")</f>
        <v>0</v>
      </c>
      <c r="I20" s="124">
        <f>Totaaloverzicht!P13</f>
        <v>0</v>
      </c>
      <c r="J20" s="124">
        <f>Totaaloverzicht!Q13</f>
        <v>0</v>
      </c>
      <c r="K20" s="124">
        <f t="shared" ca="1" si="0"/>
        <v>0</v>
      </c>
      <c r="L20" s="127"/>
      <c r="M20" s="125"/>
      <c r="N20" s="125"/>
    </row>
    <row r="21" spans="1:14" ht="16.2" customHeight="1" x14ac:dyDescent="0.2">
      <c r="A21" s="194">
        <v>7</v>
      </c>
      <c r="B21" s="120" t="str">
        <f>Totaaloverzicht!C14</f>
        <v>Deelnemer 7</v>
      </c>
      <c r="C21" s="120" t="str">
        <f>Totaaloverzicht!F14</f>
        <v/>
      </c>
      <c r="D21" s="120" t="str">
        <f>Totaaloverzicht!D14</f>
        <v/>
      </c>
      <c r="E21" s="124">
        <f>Totaaloverzicht!M14</f>
        <v>0</v>
      </c>
      <c r="F21" s="124">
        <f>Totaaloverzicht!N14</f>
        <v>0</v>
      </c>
      <c r="G21" s="124">
        <f>Totaaloverzicht!I14</f>
        <v>0</v>
      </c>
      <c r="H21" s="124" cm="1">
        <f t="array" aca="1" ref="H21" ca="1">INDIRECT("'Deelnemer 7 vtg'!Z44")</f>
        <v>0</v>
      </c>
      <c r="I21" s="124">
        <f>Totaaloverzicht!P14</f>
        <v>0</v>
      </c>
      <c r="J21" s="124">
        <f>Totaaloverzicht!Q14</f>
        <v>0</v>
      </c>
      <c r="K21" s="124">
        <f t="shared" ca="1" si="0"/>
        <v>0</v>
      </c>
      <c r="L21" s="127"/>
      <c r="M21" s="125"/>
      <c r="N21" s="125"/>
    </row>
    <row r="22" spans="1:14" ht="16.2" customHeight="1" x14ac:dyDescent="0.2">
      <c r="A22" s="194">
        <v>8</v>
      </c>
      <c r="B22" s="120" t="str">
        <f>Totaaloverzicht!C15</f>
        <v>Deelnemer 8</v>
      </c>
      <c r="C22" s="120" t="str">
        <f>Totaaloverzicht!F15</f>
        <v/>
      </c>
      <c r="D22" s="120" t="str">
        <f>Totaaloverzicht!D15</f>
        <v/>
      </c>
      <c r="E22" s="124">
        <f>Totaaloverzicht!M15</f>
        <v>0</v>
      </c>
      <c r="F22" s="124">
        <f>Totaaloverzicht!N15</f>
        <v>0</v>
      </c>
      <c r="G22" s="124">
        <f>Totaaloverzicht!I15</f>
        <v>0</v>
      </c>
      <c r="H22" s="124" cm="1">
        <f t="array" aca="1" ref="H22" ca="1">INDIRECT("'Deelnemer 8 vtg'!Z44")</f>
        <v>0</v>
      </c>
      <c r="I22" s="124">
        <f>Totaaloverzicht!P15</f>
        <v>0</v>
      </c>
      <c r="J22" s="124">
        <f>Totaaloverzicht!Q15</f>
        <v>0</v>
      </c>
      <c r="K22" s="124">
        <f t="shared" ca="1" si="0"/>
        <v>0</v>
      </c>
      <c r="L22" s="127"/>
      <c r="M22" s="125"/>
      <c r="N22" s="125"/>
    </row>
    <row r="23" spans="1:14" ht="16.2" customHeight="1" x14ac:dyDescent="0.2">
      <c r="A23" s="194">
        <v>9</v>
      </c>
      <c r="B23" s="120" t="str">
        <f>Totaaloverzicht!C16</f>
        <v>Deelnemer 9</v>
      </c>
      <c r="C23" s="120" t="str">
        <f>Totaaloverzicht!F16</f>
        <v/>
      </c>
      <c r="D23" s="120" t="str">
        <f>Totaaloverzicht!D16</f>
        <v/>
      </c>
      <c r="E23" s="124">
        <f>Totaaloverzicht!M16</f>
        <v>0</v>
      </c>
      <c r="F23" s="124">
        <f>Totaaloverzicht!N16</f>
        <v>0</v>
      </c>
      <c r="G23" s="124">
        <f>Totaaloverzicht!I16</f>
        <v>0</v>
      </c>
      <c r="H23" s="124" cm="1">
        <f t="array" aca="1" ref="H23" ca="1">INDIRECT("'Deelnemer 9 vtg'!Z44")</f>
        <v>0</v>
      </c>
      <c r="I23" s="124">
        <f>Totaaloverzicht!P16</f>
        <v>0</v>
      </c>
      <c r="J23" s="124">
        <f>Totaaloverzicht!Q16</f>
        <v>0</v>
      </c>
      <c r="K23" s="124">
        <f t="shared" ca="1" si="0"/>
        <v>0</v>
      </c>
      <c r="L23" s="127"/>
      <c r="M23" s="125"/>
      <c r="N23" s="125"/>
    </row>
    <row r="24" spans="1:14" ht="16.2" customHeight="1" x14ac:dyDescent="0.2">
      <c r="A24" s="194">
        <v>10</v>
      </c>
      <c r="B24" s="120" t="str">
        <f>Totaaloverzicht!C17</f>
        <v>Deelnemer 10</v>
      </c>
      <c r="C24" s="120" t="str">
        <f>Totaaloverzicht!F17</f>
        <v/>
      </c>
      <c r="D24" s="120" t="str">
        <f>Totaaloverzicht!D17</f>
        <v/>
      </c>
      <c r="E24" s="124">
        <f>Totaaloverzicht!M17</f>
        <v>0</v>
      </c>
      <c r="F24" s="124">
        <f>Totaaloverzicht!N17</f>
        <v>0</v>
      </c>
      <c r="G24" s="124">
        <f>Totaaloverzicht!I17</f>
        <v>0</v>
      </c>
      <c r="H24" s="124" cm="1">
        <f t="array" aca="1" ref="H24" ca="1">INDIRECT("'Deelnemer 10 vtg'!Z44")</f>
        <v>0</v>
      </c>
      <c r="I24" s="124">
        <f>Totaaloverzicht!P17</f>
        <v>0</v>
      </c>
      <c r="J24" s="124">
        <f>Totaaloverzicht!Q17</f>
        <v>0</v>
      </c>
      <c r="K24" s="124">
        <f t="shared" ca="1" si="0"/>
        <v>0</v>
      </c>
      <c r="L24" s="127"/>
      <c r="M24" s="125"/>
      <c r="N24" s="125"/>
    </row>
    <row r="25" spans="1:14" ht="16.2" customHeight="1" x14ac:dyDescent="0.2">
      <c r="A25" s="194">
        <v>11</v>
      </c>
      <c r="B25" s="120" t="str">
        <f>Totaaloverzicht!C18</f>
        <v>Deelnemer 11</v>
      </c>
      <c r="C25" s="120" t="str">
        <f>Totaaloverzicht!F18</f>
        <v/>
      </c>
      <c r="D25" s="120" t="str">
        <f>Totaaloverzicht!D18</f>
        <v/>
      </c>
      <c r="E25" s="124">
        <f>Totaaloverzicht!M18</f>
        <v>0</v>
      </c>
      <c r="F25" s="124">
        <f>Totaaloverzicht!N18</f>
        <v>0</v>
      </c>
      <c r="G25" s="124">
        <f>Totaaloverzicht!I18</f>
        <v>0</v>
      </c>
      <c r="H25" s="124" cm="1">
        <f t="array" aca="1" ref="H25" ca="1">INDIRECT("'Deelnemer 11 vtg'!Z44")</f>
        <v>0</v>
      </c>
      <c r="I25" s="124">
        <f>Totaaloverzicht!P18</f>
        <v>0</v>
      </c>
      <c r="J25" s="124">
        <f>Totaaloverzicht!Q18</f>
        <v>0</v>
      </c>
      <c r="K25" s="124">
        <f t="shared" ca="1" si="0"/>
        <v>0</v>
      </c>
      <c r="L25" s="129"/>
      <c r="M25" s="125"/>
      <c r="N25" s="125"/>
    </row>
    <row r="26" spans="1:14" ht="16.2" customHeight="1" x14ac:dyDescent="0.2">
      <c r="A26" s="194">
        <v>12</v>
      </c>
      <c r="B26" s="120" t="str">
        <f>Totaaloverzicht!C19</f>
        <v>Deelnemer 12</v>
      </c>
      <c r="C26" s="120" t="str">
        <f>Totaaloverzicht!F19</f>
        <v/>
      </c>
      <c r="D26" s="120" t="str">
        <f>Totaaloverzicht!D19</f>
        <v/>
      </c>
      <c r="E26" s="124">
        <f>Totaaloverzicht!M19</f>
        <v>0</v>
      </c>
      <c r="F26" s="124">
        <f>Totaaloverzicht!N19</f>
        <v>0</v>
      </c>
      <c r="G26" s="124">
        <f>Totaaloverzicht!I19</f>
        <v>0</v>
      </c>
      <c r="H26" s="124" cm="1">
        <f t="array" aca="1" ref="H26" ca="1">INDIRECT("'Deelnemer 12 vtg'!Z44")</f>
        <v>0</v>
      </c>
      <c r="I26" s="124">
        <f>Totaaloverzicht!P19</f>
        <v>0</v>
      </c>
      <c r="J26" s="124">
        <f>Totaaloverzicht!Q19</f>
        <v>0</v>
      </c>
      <c r="K26" s="124">
        <f t="shared" ca="1" si="0"/>
        <v>0</v>
      </c>
      <c r="L26" s="129"/>
      <c r="M26" s="125"/>
      <c r="N26" s="125"/>
    </row>
    <row r="27" spans="1:14" ht="16.2" customHeight="1" x14ac:dyDescent="0.2">
      <c r="A27" s="194">
        <v>13</v>
      </c>
      <c r="B27" s="120" t="str">
        <f>Totaaloverzicht!C20</f>
        <v>Deelnemer 13</v>
      </c>
      <c r="C27" s="120" t="str">
        <f>Totaaloverzicht!F20</f>
        <v/>
      </c>
      <c r="D27" s="120" t="str">
        <f>Totaaloverzicht!D20</f>
        <v/>
      </c>
      <c r="E27" s="124">
        <f>Totaaloverzicht!M20</f>
        <v>0</v>
      </c>
      <c r="F27" s="124">
        <f>Totaaloverzicht!N20</f>
        <v>0</v>
      </c>
      <c r="G27" s="124">
        <f>Totaaloverzicht!I20</f>
        <v>0</v>
      </c>
      <c r="H27" s="124" cm="1">
        <f t="array" aca="1" ref="H27" ca="1">INDIRECT("'Deelnemer 13 vtg'!Z44")</f>
        <v>0</v>
      </c>
      <c r="I27" s="124">
        <f>Totaaloverzicht!P20</f>
        <v>0</v>
      </c>
      <c r="J27" s="124">
        <f>Totaaloverzicht!Q20</f>
        <v>0</v>
      </c>
      <c r="K27" s="124">
        <f t="shared" ca="1" si="0"/>
        <v>0</v>
      </c>
      <c r="L27" s="129"/>
      <c r="M27" s="125"/>
      <c r="N27" s="125"/>
    </row>
    <row r="28" spans="1:14" ht="16.2" customHeight="1" x14ac:dyDescent="0.2">
      <c r="A28" s="194">
        <v>14</v>
      </c>
      <c r="B28" s="120" t="str">
        <f>Totaaloverzicht!C21</f>
        <v>Deelnemer 14</v>
      </c>
      <c r="C28" s="120" t="str">
        <f>Totaaloverzicht!F21</f>
        <v/>
      </c>
      <c r="D28" s="120" t="str">
        <f>Totaaloverzicht!D21</f>
        <v/>
      </c>
      <c r="E28" s="124">
        <f>Totaaloverzicht!M21</f>
        <v>0</v>
      </c>
      <c r="F28" s="124">
        <f>Totaaloverzicht!N21</f>
        <v>0</v>
      </c>
      <c r="G28" s="124">
        <f>Totaaloverzicht!I21</f>
        <v>0</v>
      </c>
      <c r="H28" s="124" cm="1">
        <f t="array" aca="1" ref="H28" ca="1">INDIRECT("'Deelnemer 14 vtg'!Z44")</f>
        <v>0</v>
      </c>
      <c r="I28" s="124">
        <f>Totaaloverzicht!P21</f>
        <v>0</v>
      </c>
      <c r="J28" s="124">
        <f>Totaaloverzicht!Q21</f>
        <v>0</v>
      </c>
      <c r="K28" s="124">
        <f t="shared" ca="1" si="0"/>
        <v>0</v>
      </c>
      <c r="L28" s="129"/>
      <c r="M28" s="125"/>
      <c r="N28" s="125"/>
    </row>
    <row r="29" spans="1:14" ht="16.2" customHeight="1" x14ac:dyDescent="0.2">
      <c r="A29" s="194">
        <v>15</v>
      </c>
      <c r="B29" s="120" t="str">
        <f>Totaaloverzicht!C22</f>
        <v>Deelnemer 15</v>
      </c>
      <c r="C29" s="120" t="str">
        <f>Totaaloverzicht!F22</f>
        <v/>
      </c>
      <c r="D29" s="120" t="str">
        <f>Totaaloverzicht!D22</f>
        <v/>
      </c>
      <c r="E29" s="124">
        <f>Totaaloverzicht!M22</f>
        <v>0</v>
      </c>
      <c r="F29" s="124">
        <f>Totaaloverzicht!N22</f>
        <v>0</v>
      </c>
      <c r="G29" s="124">
        <f>Totaaloverzicht!I22</f>
        <v>0</v>
      </c>
      <c r="H29" s="124" cm="1">
        <f t="array" aca="1" ref="H29" ca="1">INDIRECT("'Deelnemer 15 vtg'!Z44")</f>
        <v>0</v>
      </c>
      <c r="I29" s="124">
        <f>Totaaloverzicht!P22</f>
        <v>0</v>
      </c>
      <c r="J29" s="124">
        <f>Totaaloverzicht!Q22</f>
        <v>0</v>
      </c>
      <c r="K29" s="124">
        <f t="shared" ca="1" si="0"/>
        <v>0</v>
      </c>
      <c r="L29" s="129"/>
      <c r="M29" s="125"/>
      <c r="N29" s="125"/>
    </row>
    <row r="30" spans="1:14" ht="16.2" customHeight="1" x14ac:dyDescent="0.2">
      <c r="A30" s="194">
        <v>16</v>
      </c>
      <c r="B30" s="120" t="str">
        <f>Totaaloverzicht!C23</f>
        <v>Deelnemer 16</v>
      </c>
      <c r="C30" s="120" t="str">
        <f>Totaaloverzicht!F23</f>
        <v/>
      </c>
      <c r="D30" s="120" t="str">
        <f>Totaaloverzicht!D23</f>
        <v/>
      </c>
      <c r="E30" s="124">
        <f>Totaaloverzicht!M23</f>
        <v>0</v>
      </c>
      <c r="F30" s="124">
        <f>Totaaloverzicht!N23</f>
        <v>0</v>
      </c>
      <c r="G30" s="124">
        <f>Totaaloverzicht!I23</f>
        <v>0</v>
      </c>
      <c r="H30" s="124" cm="1">
        <f t="array" aca="1" ref="H30" ca="1">INDIRECT("'Deelnemer 16 vtg'!Z44")</f>
        <v>0</v>
      </c>
      <c r="I30" s="124">
        <f>Totaaloverzicht!P23</f>
        <v>0</v>
      </c>
      <c r="J30" s="124">
        <f>Totaaloverzicht!Q23</f>
        <v>0</v>
      </c>
      <c r="K30" s="124">
        <f t="shared" ca="1" si="0"/>
        <v>0</v>
      </c>
      <c r="L30" s="129"/>
      <c r="M30" s="125"/>
      <c r="N30" s="125"/>
    </row>
    <row r="31" spans="1:14" ht="16.2" customHeight="1" x14ac:dyDescent="0.2">
      <c r="A31" s="194">
        <v>17</v>
      </c>
      <c r="B31" s="120" t="str">
        <f>Totaaloverzicht!C24</f>
        <v>Deelnemer 17</v>
      </c>
      <c r="C31" s="120" t="str">
        <f>Totaaloverzicht!F24</f>
        <v/>
      </c>
      <c r="D31" s="120" t="str">
        <f>Totaaloverzicht!D24</f>
        <v/>
      </c>
      <c r="E31" s="124">
        <f>Totaaloverzicht!M24</f>
        <v>0</v>
      </c>
      <c r="F31" s="124">
        <f>Totaaloverzicht!N24</f>
        <v>0</v>
      </c>
      <c r="G31" s="124">
        <f>Totaaloverzicht!I24</f>
        <v>0</v>
      </c>
      <c r="H31" s="124" cm="1">
        <f t="array" aca="1" ref="H31" ca="1">INDIRECT("'Deelnemer 17 vtg'!Z44")</f>
        <v>0</v>
      </c>
      <c r="I31" s="124">
        <f>Totaaloverzicht!P24</f>
        <v>0</v>
      </c>
      <c r="J31" s="124">
        <f>Totaaloverzicht!Q24</f>
        <v>0</v>
      </c>
      <c r="K31" s="124">
        <f t="shared" ca="1" si="0"/>
        <v>0</v>
      </c>
      <c r="L31" s="129"/>
      <c r="M31" s="125"/>
      <c r="N31" s="125"/>
    </row>
    <row r="32" spans="1:14" ht="16.2" customHeight="1" x14ac:dyDescent="0.2">
      <c r="A32" s="194">
        <v>18</v>
      </c>
      <c r="B32" s="120" t="str">
        <f>Totaaloverzicht!C25</f>
        <v>Deelnemer 18</v>
      </c>
      <c r="C32" s="120" t="str">
        <f>Totaaloverzicht!F25</f>
        <v/>
      </c>
      <c r="D32" s="120" t="str">
        <f>Totaaloverzicht!D25</f>
        <v/>
      </c>
      <c r="E32" s="124">
        <f>Totaaloverzicht!M25</f>
        <v>0</v>
      </c>
      <c r="F32" s="124">
        <f>Totaaloverzicht!N25</f>
        <v>0</v>
      </c>
      <c r="G32" s="124">
        <f>Totaaloverzicht!I25</f>
        <v>0</v>
      </c>
      <c r="H32" s="124" cm="1">
        <f t="array" aca="1" ref="H32" ca="1">INDIRECT("'Deelnemer 18 vtg'!Z44")</f>
        <v>0</v>
      </c>
      <c r="I32" s="124">
        <f>Totaaloverzicht!P25</f>
        <v>0</v>
      </c>
      <c r="J32" s="124">
        <f>Totaaloverzicht!Q25</f>
        <v>0</v>
      </c>
      <c r="K32" s="124">
        <f t="shared" ca="1" si="0"/>
        <v>0</v>
      </c>
      <c r="L32" s="129"/>
      <c r="M32" s="125"/>
      <c r="N32" s="125"/>
    </row>
    <row r="33" spans="1:14" ht="16.2" customHeight="1" x14ac:dyDescent="0.2">
      <c r="A33" s="194">
        <v>19</v>
      </c>
      <c r="B33" s="120" t="str">
        <f>Totaaloverzicht!C26</f>
        <v>Deelnemer 19</v>
      </c>
      <c r="C33" s="120" t="str">
        <f>Totaaloverzicht!F26</f>
        <v/>
      </c>
      <c r="D33" s="120" t="str">
        <f>Totaaloverzicht!D26</f>
        <v/>
      </c>
      <c r="E33" s="124">
        <f>Totaaloverzicht!M26</f>
        <v>0</v>
      </c>
      <c r="F33" s="124">
        <f>Totaaloverzicht!N26</f>
        <v>0</v>
      </c>
      <c r="G33" s="124">
        <f>Totaaloverzicht!I26</f>
        <v>0</v>
      </c>
      <c r="H33" s="124" cm="1">
        <f t="array" aca="1" ref="H33" ca="1">INDIRECT("'Deelnemer 19 vtg'!Z44")</f>
        <v>0</v>
      </c>
      <c r="I33" s="124">
        <f>Totaaloverzicht!P26</f>
        <v>0</v>
      </c>
      <c r="J33" s="124">
        <f>Totaaloverzicht!Q26</f>
        <v>0</v>
      </c>
      <c r="K33" s="124">
        <f t="shared" ca="1" si="0"/>
        <v>0</v>
      </c>
      <c r="L33" s="129"/>
      <c r="M33" s="125"/>
      <c r="N33" s="125"/>
    </row>
    <row r="34" spans="1:14" ht="16.2" customHeight="1" x14ac:dyDescent="0.2">
      <c r="A34" s="194">
        <v>20</v>
      </c>
      <c r="B34" s="120" t="str">
        <f>Totaaloverzicht!C27</f>
        <v>Deelnemer 20</v>
      </c>
      <c r="C34" s="120" t="str">
        <f>Totaaloverzicht!F27</f>
        <v/>
      </c>
      <c r="D34" s="120" t="str">
        <f>Totaaloverzicht!D27</f>
        <v/>
      </c>
      <c r="E34" s="124">
        <f>Totaaloverzicht!M27</f>
        <v>0</v>
      </c>
      <c r="F34" s="124">
        <f>Totaaloverzicht!N27</f>
        <v>0</v>
      </c>
      <c r="G34" s="124">
        <f>Totaaloverzicht!I27</f>
        <v>0</v>
      </c>
      <c r="H34" s="124" cm="1">
        <f t="array" aca="1" ref="H34" ca="1">INDIRECT("'Deelnemer 20 vtg'!Z44")</f>
        <v>0</v>
      </c>
      <c r="I34" s="124">
        <f>Totaaloverzicht!P27</f>
        <v>0</v>
      </c>
      <c r="J34" s="124">
        <f>Totaaloverzicht!Q27</f>
        <v>0</v>
      </c>
      <c r="K34" s="124">
        <f t="shared" ca="1" si="0"/>
        <v>0</v>
      </c>
      <c r="L34" s="129"/>
      <c r="M34" s="125"/>
      <c r="N34" s="125"/>
    </row>
    <row r="35" spans="1:14" ht="16.2" customHeight="1" x14ac:dyDescent="0.2">
      <c r="A35" s="194">
        <v>21</v>
      </c>
      <c r="B35" s="120" t="str">
        <f>Totaaloverzicht!C28</f>
        <v>Deelnemer 21</v>
      </c>
      <c r="C35" s="120" t="str">
        <f>Totaaloverzicht!F28</f>
        <v/>
      </c>
      <c r="D35" s="120" t="str">
        <f>Totaaloverzicht!D28</f>
        <v/>
      </c>
      <c r="E35" s="124">
        <f>Totaaloverzicht!M28</f>
        <v>0</v>
      </c>
      <c r="F35" s="124">
        <f>Totaaloverzicht!N28</f>
        <v>0</v>
      </c>
      <c r="G35" s="124">
        <f>Totaaloverzicht!I28</f>
        <v>0</v>
      </c>
      <c r="H35" s="124" cm="1">
        <f t="array" aca="1" ref="H35" ca="1">INDIRECT("'Deelnemer 21 vtg'!Z44")</f>
        <v>0</v>
      </c>
      <c r="I35" s="124">
        <f>Totaaloverzicht!P28</f>
        <v>0</v>
      </c>
      <c r="J35" s="124">
        <f>Totaaloverzicht!Q28</f>
        <v>0</v>
      </c>
      <c r="K35" s="124">
        <f t="shared" ca="1" si="0"/>
        <v>0</v>
      </c>
      <c r="L35" s="129"/>
      <c r="M35" s="125"/>
      <c r="N35" s="125"/>
    </row>
    <row r="36" spans="1:14" ht="16.2" customHeight="1" x14ac:dyDescent="0.2">
      <c r="A36" s="194">
        <v>22</v>
      </c>
      <c r="B36" s="120" t="str">
        <f>Totaaloverzicht!C29</f>
        <v>Deelnemer 22</v>
      </c>
      <c r="C36" s="120" t="str">
        <f>Totaaloverzicht!F29</f>
        <v/>
      </c>
      <c r="D36" s="120" t="str">
        <f>Totaaloverzicht!D29</f>
        <v/>
      </c>
      <c r="E36" s="124">
        <f>Totaaloverzicht!M29</f>
        <v>0</v>
      </c>
      <c r="F36" s="124">
        <f>Totaaloverzicht!N29</f>
        <v>0</v>
      </c>
      <c r="G36" s="124">
        <f>Totaaloverzicht!I29</f>
        <v>0</v>
      </c>
      <c r="H36" s="124" cm="1">
        <f t="array" aca="1" ref="H36" ca="1">INDIRECT("'Deelnemer 22 vtg'!Z44")</f>
        <v>0</v>
      </c>
      <c r="I36" s="124">
        <f>Totaaloverzicht!P29</f>
        <v>0</v>
      </c>
      <c r="J36" s="124">
        <f>Totaaloverzicht!Q29</f>
        <v>0</v>
      </c>
      <c r="K36" s="124">
        <f t="shared" ca="1" si="0"/>
        <v>0</v>
      </c>
      <c r="L36" s="129"/>
      <c r="M36" s="125"/>
      <c r="N36" s="125"/>
    </row>
    <row r="37" spans="1:14" ht="16.2" customHeight="1" x14ac:dyDescent="0.2">
      <c r="A37" s="194">
        <v>23</v>
      </c>
      <c r="B37" s="120" t="str">
        <f>Totaaloverzicht!C30</f>
        <v>Deelnemer 23</v>
      </c>
      <c r="C37" s="120" t="str">
        <f>Totaaloverzicht!F30</f>
        <v/>
      </c>
      <c r="D37" s="120" t="str">
        <f>Totaaloverzicht!D30</f>
        <v/>
      </c>
      <c r="E37" s="124">
        <f>Totaaloverzicht!M30</f>
        <v>0</v>
      </c>
      <c r="F37" s="124">
        <f>Totaaloverzicht!N30</f>
        <v>0</v>
      </c>
      <c r="G37" s="124">
        <f>Totaaloverzicht!I30</f>
        <v>0</v>
      </c>
      <c r="H37" s="124" cm="1">
        <f t="array" aca="1" ref="H37" ca="1">INDIRECT("'Deelnemer 23 vtg'!Z44")</f>
        <v>0</v>
      </c>
      <c r="I37" s="124">
        <f>Totaaloverzicht!P30</f>
        <v>0</v>
      </c>
      <c r="J37" s="124">
        <f>Totaaloverzicht!Q30</f>
        <v>0</v>
      </c>
      <c r="K37" s="124">
        <f t="shared" ca="1" si="0"/>
        <v>0</v>
      </c>
      <c r="L37" s="129"/>
      <c r="M37" s="125"/>
      <c r="N37" s="125"/>
    </row>
    <row r="38" spans="1:14" ht="16.2" customHeight="1" x14ac:dyDescent="0.2">
      <c r="A38" s="194">
        <v>24</v>
      </c>
      <c r="B38" s="120" t="str">
        <f>Totaaloverzicht!C31</f>
        <v>Deelnemer 24</v>
      </c>
      <c r="C38" s="120" t="str">
        <f>Totaaloverzicht!F31</f>
        <v/>
      </c>
      <c r="D38" s="120" t="str">
        <f>Totaaloverzicht!D31</f>
        <v/>
      </c>
      <c r="E38" s="124">
        <f>Totaaloverzicht!M31</f>
        <v>0</v>
      </c>
      <c r="F38" s="124">
        <f>Totaaloverzicht!N31</f>
        <v>0</v>
      </c>
      <c r="G38" s="124">
        <f>Totaaloverzicht!I31</f>
        <v>0</v>
      </c>
      <c r="H38" s="124" cm="1">
        <f t="array" aca="1" ref="H38" ca="1">INDIRECT("'Deelnemer 24 vtg'!Z44")</f>
        <v>0</v>
      </c>
      <c r="I38" s="124">
        <f>Totaaloverzicht!P31</f>
        <v>0</v>
      </c>
      <c r="J38" s="124">
        <f>Totaaloverzicht!Q31</f>
        <v>0</v>
      </c>
      <c r="K38" s="124">
        <f t="shared" ca="1" si="0"/>
        <v>0</v>
      </c>
      <c r="L38" s="129"/>
      <c r="M38" s="125"/>
      <c r="N38" s="125"/>
    </row>
    <row r="39" spans="1:14" ht="16.2" customHeight="1" x14ac:dyDescent="0.2">
      <c r="A39" s="194">
        <v>25</v>
      </c>
      <c r="B39" s="120" t="str">
        <f>Totaaloverzicht!C32</f>
        <v>Deelnemer 25</v>
      </c>
      <c r="C39" s="120" t="str">
        <f>Totaaloverzicht!F32</f>
        <v/>
      </c>
      <c r="D39" s="120" t="str">
        <f>Totaaloverzicht!D32</f>
        <v/>
      </c>
      <c r="E39" s="124">
        <f>Totaaloverzicht!M32</f>
        <v>0</v>
      </c>
      <c r="F39" s="124">
        <f>Totaaloverzicht!N32</f>
        <v>0</v>
      </c>
      <c r="G39" s="124">
        <f>Totaaloverzicht!I32</f>
        <v>0</v>
      </c>
      <c r="H39" s="124" cm="1">
        <f t="array" aca="1" ref="H39" ca="1">INDIRECT("'Deelnemer 25 vtg'!Z44")</f>
        <v>0</v>
      </c>
      <c r="I39" s="124">
        <f>Totaaloverzicht!P32</f>
        <v>0</v>
      </c>
      <c r="J39" s="124">
        <f>Totaaloverzicht!Q32</f>
        <v>0</v>
      </c>
      <c r="K39" s="124">
        <f t="shared" ca="1" si="0"/>
        <v>0</v>
      </c>
      <c r="L39" s="129"/>
      <c r="M39" s="125"/>
      <c r="N39" s="125"/>
    </row>
    <row r="40" spans="1:14" ht="16.2" customHeight="1" x14ac:dyDescent="0.2">
      <c r="A40" s="194"/>
      <c r="B40" s="120" t="str">
        <f>Totaaloverzicht!C33</f>
        <v>Deelnemer 26</v>
      </c>
      <c r="C40" s="120" t="str">
        <f>Totaaloverzicht!F33</f>
        <v/>
      </c>
      <c r="D40" s="120" t="str">
        <f>Totaaloverzicht!D33</f>
        <v/>
      </c>
      <c r="E40" s="124">
        <f ca="1">Totaaloverzicht!M33</f>
        <v>0</v>
      </c>
      <c r="F40" s="124">
        <f ca="1">Totaaloverzicht!N33</f>
        <v>0</v>
      </c>
      <c r="G40" s="124">
        <f>Totaaloverzicht!I33</f>
        <v>0</v>
      </c>
      <c r="H40" s="124">
        <f ca="1">'Deelnemer 26 tankstation'!V31</f>
        <v>0</v>
      </c>
      <c r="I40" s="124">
        <f>Totaaloverzicht!P33</f>
        <v>0</v>
      </c>
      <c r="J40" s="124">
        <f ca="1">Totaaloverzicht!Q33</f>
        <v>0</v>
      </c>
      <c r="K40" s="124">
        <f t="shared" ca="1" si="0"/>
        <v>0</v>
      </c>
      <c r="L40" s="129"/>
      <c r="M40" s="125"/>
      <c r="N40" s="125"/>
    </row>
    <row r="41" spans="1:14" ht="16.2" customHeight="1" x14ac:dyDescent="0.2">
      <c r="A41" s="194"/>
      <c r="B41" s="137"/>
      <c r="C41" s="138"/>
      <c r="D41" s="138"/>
      <c r="E41" s="139">
        <f t="shared" ref="E41:K41" ca="1" si="1">SUM(E15:E40)</f>
        <v>0</v>
      </c>
      <c r="F41" s="139">
        <f t="shared" ca="1" si="1"/>
        <v>0</v>
      </c>
      <c r="G41" s="139">
        <f t="shared" si="1"/>
        <v>0</v>
      </c>
      <c r="H41" s="139">
        <f t="shared" ca="1" si="1"/>
        <v>0</v>
      </c>
      <c r="I41" s="139">
        <f t="shared" si="1"/>
        <v>0</v>
      </c>
      <c r="J41" s="139">
        <f t="shared" ca="1" si="1"/>
        <v>0</v>
      </c>
      <c r="K41" s="139">
        <f t="shared" ca="1" si="1"/>
        <v>0</v>
      </c>
      <c r="L41" s="129"/>
      <c r="M41" s="125"/>
      <c r="N41" s="125"/>
    </row>
    <row r="42" spans="1:14" ht="16.2" customHeight="1" x14ac:dyDescent="0.2">
      <c r="A42" s="194"/>
      <c r="B42" s="140"/>
      <c r="C42" s="141"/>
      <c r="D42" s="141"/>
      <c r="E42" s="142"/>
      <c r="F42" s="142"/>
      <c r="G42" s="142"/>
      <c r="H42" s="142"/>
      <c r="I42" s="142"/>
      <c r="J42" s="142"/>
      <c r="K42" s="142"/>
      <c r="L42" s="143"/>
      <c r="M42" s="125"/>
      <c r="N42" s="125"/>
    </row>
    <row r="43" spans="1:14" ht="15.75" customHeight="1" x14ac:dyDescent="0.2">
      <c r="A43" s="194"/>
      <c r="B43" s="125"/>
      <c r="C43" s="125"/>
      <c r="D43" s="125"/>
      <c r="E43" s="125"/>
      <c r="F43" s="125"/>
      <c r="G43" s="125"/>
      <c r="H43" s="125"/>
      <c r="I43" s="125"/>
      <c r="J43" s="125"/>
      <c r="K43" s="125"/>
      <c r="M43" s="125"/>
      <c r="N43" s="125"/>
    </row>
    <row r="44" spans="1:14" ht="15.75" customHeight="1" x14ac:dyDescent="0.2">
      <c r="A44" s="194"/>
      <c r="B44" s="196" t="s">
        <v>149</v>
      </c>
      <c r="C44" s="125"/>
      <c r="D44" s="125"/>
      <c r="E44" s="125"/>
      <c r="F44" s="125"/>
      <c r="G44" s="125"/>
      <c r="H44" s="125"/>
      <c r="I44" s="125"/>
      <c r="J44" s="125"/>
      <c r="K44" s="125"/>
      <c r="M44" s="125"/>
      <c r="N44" s="125"/>
    </row>
    <row r="45" spans="1:14" ht="15.75" customHeight="1" x14ac:dyDescent="0.2">
      <c r="A45" s="194"/>
      <c r="B45" s="641"/>
      <c r="C45" s="642"/>
      <c r="D45" s="642"/>
      <c r="E45" s="642"/>
      <c r="F45" s="642"/>
      <c r="G45" s="642"/>
      <c r="H45" s="642"/>
      <c r="I45" s="642"/>
      <c r="J45" s="642"/>
      <c r="K45" s="642"/>
      <c r="L45" s="643"/>
      <c r="M45" s="125"/>
      <c r="N45" s="125"/>
    </row>
    <row r="46" spans="1:14" ht="15.75" customHeight="1" x14ac:dyDescent="0.2">
      <c r="A46" s="194"/>
      <c r="B46" s="644"/>
      <c r="C46" s="645"/>
      <c r="D46" s="645"/>
      <c r="E46" s="645"/>
      <c r="F46" s="645"/>
      <c r="G46" s="645"/>
      <c r="H46" s="645"/>
      <c r="I46" s="645"/>
      <c r="J46" s="645"/>
      <c r="K46" s="645"/>
      <c r="L46" s="646"/>
      <c r="M46" s="125"/>
      <c r="N46" s="125"/>
    </row>
    <row r="47" spans="1:14" ht="15.75" customHeight="1" x14ac:dyDescent="0.2">
      <c r="A47" s="194"/>
      <c r="B47" s="644"/>
      <c r="C47" s="645"/>
      <c r="D47" s="645"/>
      <c r="E47" s="645"/>
      <c r="F47" s="645"/>
      <c r="G47" s="645"/>
      <c r="H47" s="645"/>
      <c r="I47" s="645"/>
      <c r="J47" s="645"/>
      <c r="K47" s="645"/>
      <c r="L47" s="646"/>
      <c r="M47" s="125"/>
      <c r="N47" s="125"/>
    </row>
    <row r="48" spans="1:14" ht="15.75" customHeight="1" x14ac:dyDescent="0.2">
      <c r="A48" s="194"/>
      <c r="B48" s="644"/>
      <c r="C48" s="645"/>
      <c r="D48" s="645"/>
      <c r="E48" s="645"/>
      <c r="F48" s="645"/>
      <c r="G48" s="645"/>
      <c r="H48" s="645"/>
      <c r="I48" s="645"/>
      <c r="J48" s="645"/>
      <c r="K48" s="645"/>
      <c r="L48" s="646"/>
      <c r="M48" s="125"/>
      <c r="N48" s="125"/>
    </row>
    <row r="49" spans="1:14" ht="15.75" customHeight="1" x14ac:dyDescent="0.2">
      <c r="A49" s="194"/>
      <c r="B49" s="644"/>
      <c r="C49" s="645"/>
      <c r="D49" s="645"/>
      <c r="E49" s="645"/>
      <c r="F49" s="645"/>
      <c r="G49" s="645"/>
      <c r="H49" s="645"/>
      <c r="I49" s="645"/>
      <c r="J49" s="645"/>
      <c r="K49" s="645"/>
      <c r="L49" s="646"/>
      <c r="M49" s="125"/>
      <c r="N49" s="125"/>
    </row>
    <row r="50" spans="1:14" ht="15.75" customHeight="1" x14ac:dyDescent="0.2">
      <c r="A50" s="194"/>
      <c r="B50" s="644"/>
      <c r="C50" s="645"/>
      <c r="D50" s="645"/>
      <c r="E50" s="645"/>
      <c r="F50" s="645"/>
      <c r="G50" s="645"/>
      <c r="H50" s="645"/>
      <c r="I50" s="645"/>
      <c r="J50" s="645"/>
      <c r="K50" s="645"/>
      <c r="L50" s="646"/>
      <c r="M50" s="125"/>
      <c r="N50" s="125"/>
    </row>
    <row r="51" spans="1:14" ht="15.75" customHeight="1" x14ac:dyDescent="0.2">
      <c r="A51" s="194"/>
      <c r="B51" s="644"/>
      <c r="C51" s="645"/>
      <c r="D51" s="645"/>
      <c r="E51" s="645"/>
      <c r="F51" s="645"/>
      <c r="G51" s="645"/>
      <c r="H51" s="645"/>
      <c r="I51" s="645"/>
      <c r="J51" s="645"/>
      <c r="K51" s="645"/>
      <c r="L51" s="646"/>
      <c r="M51" s="125"/>
      <c r="N51" s="125"/>
    </row>
    <row r="52" spans="1:14" ht="15.75" customHeight="1" x14ac:dyDescent="0.2">
      <c r="A52" s="194"/>
      <c r="B52" s="647"/>
      <c r="C52" s="648"/>
      <c r="D52" s="648"/>
      <c r="E52" s="648"/>
      <c r="F52" s="648"/>
      <c r="G52" s="648"/>
      <c r="H52" s="648"/>
      <c r="I52" s="648"/>
      <c r="J52" s="648"/>
      <c r="K52" s="648"/>
      <c r="L52" s="649"/>
      <c r="M52" s="125"/>
      <c r="N52" s="125"/>
    </row>
    <row r="53" spans="1:14" ht="15" customHeight="1" x14ac:dyDescent="0.2">
      <c r="A53" s="194"/>
      <c r="B53" s="125"/>
      <c r="C53" s="125"/>
      <c r="D53" s="125"/>
      <c r="E53" s="125"/>
      <c r="F53" s="125"/>
      <c r="G53" s="125"/>
      <c r="H53" s="125"/>
      <c r="I53" s="125"/>
      <c r="J53" s="125"/>
      <c r="K53" s="125"/>
      <c r="M53" s="125"/>
      <c r="N53" s="125"/>
    </row>
    <row r="54" spans="1:14" ht="15" customHeight="1" x14ac:dyDescent="0.2">
      <c r="A54" s="194"/>
      <c r="B54" s="125"/>
      <c r="C54" s="125"/>
      <c r="D54" s="125"/>
      <c r="E54" s="125"/>
      <c r="F54" s="125"/>
      <c r="G54" s="125"/>
      <c r="H54" s="125"/>
      <c r="I54" s="125"/>
      <c r="J54" s="125"/>
      <c r="K54" s="125"/>
      <c r="M54" s="125"/>
      <c r="N54" s="125"/>
    </row>
  </sheetData>
  <sheetProtection algorithmName="SHA-512" hashValue="N3CcQYNr4HX/Uy29YzvoLJGOC6+PwhIobBErmFtNIUuj+WGCS9+TnEF0kA85fOOIUewCran2reZ7/5DxTeOp+Q==" saltValue="cW7GsJ5qRgjAeenNc1ifoQ==" spinCount="100000" sheet="1" objects="1" scenarios="1"/>
  <mergeCells count="3">
    <mergeCell ref="B45:L52"/>
    <mergeCell ref="C9:E9"/>
    <mergeCell ref="C10:E10"/>
  </mergeCells>
  <pageMargins left="0.7" right="0.7" top="0.75" bottom="0.75" header="0.3" footer="0.3"/>
  <pageSetup paperSize="9" scale="59" orientation="landscape" r:id="rId1"/>
  <headerFooter>
    <oddFooter>&amp;L_x000D_&amp;1#&amp;"Calibri"&amp;10&amp;K000000 Intern gebruik</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tabColor theme="8" tint="0.79998168889431442"/>
  </sheetPr>
  <dimension ref="B1:S88"/>
  <sheetViews>
    <sheetView showGridLines="0" zoomScale="80" zoomScaleNormal="80" workbookViewId="0">
      <selection activeCell="H37" sqref="H37"/>
    </sheetView>
  </sheetViews>
  <sheetFormatPr defaultColWidth="14.44140625" defaultRowHeight="15" customHeight="1" x14ac:dyDescent="0.3"/>
  <cols>
    <col min="1" max="1" width="3.44140625" style="32" customWidth="1"/>
    <col min="2" max="2" width="3.44140625" style="30" customWidth="1"/>
    <col min="3" max="3" width="24.44140625" style="33" customWidth="1"/>
    <col min="4" max="4" width="21" style="32" customWidth="1"/>
    <col min="5" max="5" width="20" style="32" customWidth="1"/>
    <col min="6" max="6" width="29.44140625" style="32" customWidth="1"/>
    <col min="7" max="7" width="31.6640625" style="32" customWidth="1"/>
    <col min="8" max="8" width="29.6640625" style="32" customWidth="1"/>
    <col min="9" max="9" width="31.44140625" style="32" customWidth="1"/>
    <col min="10" max="10" width="22.44140625" style="32" customWidth="1"/>
    <col min="11" max="11" width="21.44140625" style="32" customWidth="1"/>
    <col min="12" max="12" width="4.6640625" style="30" customWidth="1"/>
    <col min="13" max="13" width="25.6640625" style="32" hidden="1" customWidth="1"/>
    <col min="14" max="14" width="18.6640625" style="32" hidden="1" customWidth="1"/>
    <col min="15" max="15" width="22.44140625" style="32" hidden="1" customWidth="1"/>
    <col min="16" max="16" width="21.6640625" style="32" hidden="1" customWidth="1"/>
    <col min="17" max="17" width="24" style="32" hidden="1" customWidth="1"/>
    <col min="18" max="19" width="9.109375" style="32" hidden="1" customWidth="1"/>
    <col min="20" max="26" width="9.109375" style="32" customWidth="1"/>
    <col min="27" max="16384" width="14.44140625" style="32"/>
  </cols>
  <sheetData>
    <row r="1" spans="2:19" ht="24" customHeight="1" x14ac:dyDescent="0.3">
      <c r="C1" s="30"/>
      <c r="D1" s="31"/>
      <c r="E1" s="31"/>
      <c r="F1" s="31"/>
      <c r="G1" s="31"/>
      <c r="H1" s="31"/>
      <c r="I1" s="31"/>
      <c r="J1" s="31"/>
      <c r="K1" s="31"/>
    </row>
    <row r="2" spans="2:19" ht="22.5" customHeight="1" x14ac:dyDescent="0.3">
      <c r="C2" s="17" t="s">
        <v>120</v>
      </c>
      <c r="D2" s="31"/>
      <c r="E2" s="31"/>
      <c r="F2" s="31"/>
      <c r="G2" s="31"/>
      <c r="H2" s="31"/>
      <c r="I2" s="31"/>
      <c r="J2" s="31"/>
      <c r="K2" s="31"/>
    </row>
    <row r="3" spans="2:19" ht="22.5" customHeight="1" x14ac:dyDescent="0.3">
      <c r="C3" s="17" t="s">
        <v>150</v>
      </c>
      <c r="D3" s="28"/>
      <c r="E3" s="28"/>
      <c r="F3" s="28"/>
      <c r="G3" s="28"/>
      <c r="H3" s="28"/>
      <c r="I3" s="28"/>
      <c r="J3" s="28"/>
      <c r="K3" s="28"/>
      <c r="L3" s="10"/>
    </row>
    <row r="4" spans="2:19" ht="24" customHeight="1" x14ac:dyDescent="0.3">
      <c r="C4" s="30"/>
      <c r="D4" s="10"/>
      <c r="E4" s="10"/>
      <c r="F4" s="10"/>
      <c r="G4" s="10"/>
      <c r="H4" s="10"/>
      <c r="I4" s="84" t="str">
        <f ca="1">IF((OR(AND(H8&gt;0,I8=0),AND(H9&gt;0,I9=0),AND(H10&gt;0,I10=0),AND(H11&gt;0,I11=0),AND(H12&gt;0,I12=0),AND(H13&gt;0,I13=0),AND(H14&gt;0,I14=0),AND(H15&gt;0,I15=0),AND(H16&gt;0,I16=0),AND(H17&gt;0,I17=0),AND(H18&gt;0,I18=0),AND(H19&gt;0,I19=0),AND(H22&gt;0,I22=0))),"Let op! Niet voor alle deelnemers is een gevraagd subsidiebedrag ingevuld.", "")</f>
        <v/>
      </c>
      <c r="J4" s="10"/>
      <c r="K4" s="10"/>
      <c r="L4" s="10"/>
    </row>
    <row r="5" spans="2:19" ht="16.5" customHeight="1" x14ac:dyDescent="0.3">
      <c r="C5" s="23" t="s">
        <v>151</v>
      </c>
      <c r="D5" s="4"/>
      <c r="E5" s="4"/>
      <c r="F5" s="4"/>
      <c r="G5" s="85" t="str">
        <f>IF(I9+J9&gt;H9,"De totale subsidie voor voertuigen mag niet hoger zijn dan 80%. Dit wordt door RVO gecorrigeerd tijdens de beoordeling.","")</f>
        <v/>
      </c>
      <c r="H5" s="4"/>
      <c r="I5" s="4"/>
      <c r="J5" s="4"/>
      <c r="K5" s="4"/>
      <c r="L5" s="4"/>
      <c r="M5" s="657" t="s">
        <v>152</v>
      </c>
      <c r="N5" s="657"/>
      <c r="O5" s="657"/>
      <c r="P5" s="657"/>
      <c r="Q5" s="657"/>
      <c r="R5" s="298"/>
      <c r="S5" s="298"/>
    </row>
    <row r="6" spans="2:19" ht="16.5" customHeight="1" x14ac:dyDescent="0.3">
      <c r="C6" s="86" t="str">
        <f>IF(COUNTIF(C8:C32,"Penvoerder")&gt;1,"Let op! Slechts één deelnemer kan de penvoerder zijn","")</f>
        <v/>
      </c>
      <c r="D6" s="4"/>
      <c r="E6" s="4"/>
      <c r="F6" s="4"/>
      <c r="G6" s="4"/>
      <c r="H6" s="4"/>
      <c r="I6" s="4"/>
      <c r="J6" s="4"/>
      <c r="K6" s="4"/>
      <c r="L6" s="4"/>
    </row>
    <row r="7" spans="2:19" ht="34.200000000000003" customHeight="1" x14ac:dyDescent="0.3">
      <c r="C7" s="9" t="s">
        <v>124</v>
      </c>
      <c r="D7" s="662" t="s">
        <v>125</v>
      </c>
      <c r="E7" s="663"/>
      <c r="F7" s="11" t="s">
        <v>153</v>
      </c>
      <c r="G7" s="12" t="s">
        <v>154</v>
      </c>
      <c r="H7" s="12" t="s">
        <v>155</v>
      </c>
      <c r="I7" s="12" t="s">
        <v>156</v>
      </c>
      <c r="J7" s="12" t="s">
        <v>157</v>
      </c>
      <c r="K7" s="12" t="s">
        <v>158</v>
      </c>
      <c r="L7" s="4"/>
      <c r="M7" s="272" t="s">
        <v>159</v>
      </c>
      <c r="N7" s="272" t="s">
        <v>160</v>
      </c>
      <c r="O7" s="272" t="s">
        <v>161</v>
      </c>
      <c r="P7" s="12" t="s">
        <v>157</v>
      </c>
      <c r="Q7" s="12" t="s">
        <v>158</v>
      </c>
      <c r="S7" s="341" t="str">
        <f>IF($O$35="","","Totaal te committeren")</f>
        <v/>
      </c>
    </row>
    <row r="8" spans="2:19" ht="16.5" customHeight="1" x14ac:dyDescent="0.3">
      <c r="B8" s="103">
        <v>1</v>
      </c>
      <c r="C8" s="8" t="str">
        <f>IF('Deelnemer 1 tankstation'!$D$12="Ja", "Penvoerder", "Deelnemer 1")</f>
        <v>Deelnemer 1</v>
      </c>
      <c r="D8" s="71" t="str">
        <f>IF('Deelnemer 1 tankstation'!$D$13&gt;0,'Deelnemer 1 tankstation'!$D$13,"")</f>
        <v/>
      </c>
      <c r="E8" s="72"/>
      <c r="F8" s="13" t="s">
        <v>59</v>
      </c>
      <c r="G8" s="14">
        <f>'Deelnemer 1 tankstation'!F130</f>
        <v>0</v>
      </c>
      <c r="H8" s="15">
        <f ca="1">'Deelnemer 1 tankstation'!I130</f>
        <v>0</v>
      </c>
      <c r="I8" s="15">
        <f>'Deelnemer 1 tankstation'!J130</f>
        <v>0</v>
      </c>
      <c r="J8" s="14">
        <f>'Deelnemer 1 tankstation'!$E$132</f>
        <v>0</v>
      </c>
      <c r="K8" s="14">
        <f>'Deelnemer 1 tankstation'!E133</f>
        <v>0</v>
      </c>
      <c r="L8" s="4"/>
      <c r="M8" s="14">
        <f ca="1">'Deelnemer 1 tankstation'!R130</f>
        <v>0</v>
      </c>
      <c r="N8" s="15">
        <f ca="1">'Deelnemer 1 tankstation'!S130</f>
        <v>0</v>
      </c>
      <c r="O8" s="15">
        <f ca="1">'Deelnemer 1 tankstation'!V130</f>
        <v>0</v>
      </c>
      <c r="P8" s="14">
        <f>'Deelnemer 1 tankstation'!$R$132</f>
        <v>0</v>
      </c>
      <c r="Q8" s="14">
        <f ca="1">'Deelnemer 1 tankstation'!R133</f>
        <v>0</v>
      </c>
      <c r="S8" s="341"/>
    </row>
    <row r="9" spans="2:19" ht="16.5" customHeight="1" x14ac:dyDescent="0.3">
      <c r="B9" s="103">
        <v>2</v>
      </c>
      <c r="C9" s="8" t="str">
        <f>IF('Deelnemer 2 vtg'!$C$6="Ja", "Penvoerder", "Deelnemer 2")</f>
        <v>Deelnemer 2</v>
      </c>
      <c r="D9" s="71" t="str">
        <f>IF('Deelnemer 2 vtg'!$C$7&gt;0,'Deelnemer 2 vtg'!$C$7,"")</f>
        <v/>
      </c>
      <c r="E9" s="72"/>
      <c r="F9" s="13" t="str">
        <f>IF(D9="", "", "Voertuigen/werktuigen")</f>
        <v/>
      </c>
      <c r="G9" s="15">
        <f>'Deelnemer 2 vtg'!$D$42</f>
        <v>0</v>
      </c>
      <c r="H9" s="15">
        <f>'Deelnemer 2 vtg'!$D$43</f>
        <v>0</v>
      </c>
      <c r="I9" s="15">
        <f>'Deelnemer 2 vtg'!$D$44</f>
        <v>0</v>
      </c>
      <c r="J9" s="14">
        <f>'Deelnemer 2 vtg'!D$46</f>
        <v>0</v>
      </c>
      <c r="K9" s="14">
        <f>'Deelnemer 2 vtg'!$D$47</f>
        <v>0</v>
      </c>
      <c r="L9" s="4"/>
      <c r="M9" s="15">
        <f>'Deelnemer 2 vtg'!$Z$42</f>
        <v>0</v>
      </c>
      <c r="N9" s="15">
        <f>'Deelnemer 2 vtg'!$Z$43</f>
        <v>0</v>
      </c>
      <c r="O9" s="15">
        <f>'Deelnemer 2 vtg'!$Z$44</f>
        <v>0</v>
      </c>
      <c r="P9" s="15">
        <f>'Deelnemer 2 vtg'!$Z$46</f>
        <v>0</v>
      </c>
      <c r="Q9" s="15">
        <f>'Deelnemer 2 vtg'!$Z$47</f>
        <v>0</v>
      </c>
      <c r="S9" s="341" t="str">
        <f t="shared" ref="S9:S32" si="0">IF($O$35="","",ROUND(O9*$O$35,0))</f>
        <v/>
      </c>
    </row>
    <row r="10" spans="2:19" ht="16.5" customHeight="1" x14ac:dyDescent="0.3">
      <c r="B10" s="103">
        <v>3</v>
      </c>
      <c r="C10" s="8" t="str">
        <f>IF('Deelnemer 3 vtg'!$C$6="Ja", "Penvoerder", "Deelnemer 3")</f>
        <v>Deelnemer 3</v>
      </c>
      <c r="D10" s="71" t="str">
        <f>IF('Deelnemer 3 vtg'!$C$7&gt;0,'Deelnemer 3 vtg'!$C$7,"")</f>
        <v/>
      </c>
      <c r="E10" s="72"/>
      <c r="F10" s="13" t="str">
        <f t="shared" ref="F10:F32" si="1">IF(D10="", "", "Voertuigen/werktuigen")</f>
        <v/>
      </c>
      <c r="G10" s="15">
        <f>'Deelnemer 3 vtg'!$D$42</f>
        <v>0</v>
      </c>
      <c r="H10" s="15">
        <f>'Deelnemer 3 vtg'!$D$43</f>
        <v>0</v>
      </c>
      <c r="I10" s="15">
        <f>'Deelnemer 3 vtg'!$D$44</f>
        <v>0</v>
      </c>
      <c r="J10" s="14">
        <f>'Deelnemer 3 vtg'!$D$46</f>
        <v>0</v>
      </c>
      <c r="K10" s="14">
        <f>'Deelnemer 3 vtg'!$D$47</f>
        <v>0</v>
      </c>
      <c r="L10" s="4"/>
      <c r="M10" s="15">
        <f>'Deelnemer 3 vtg'!$Z$42</f>
        <v>0</v>
      </c>
      <c r="N10" s="15">
        <f>'Deelnemer 3 vtg'!$Z$43</f>
        <v>0</v>
      </c>
      <c r="O10" s="15">
        <f>'Deelnemer 3 vtg'!$Z$44</f>
        <v>0</v>
      </c>
      <c r="P10" s="15">
        <f>'Deelnemer 3 vtg'!$Z$46</f>
        <v>0</v>
      </c>
      <c r="Q10" s="15">
        <f>'Deelnemer 3 vtg'!$Z$47</f>
        <v>0</v>
      </c>
      <c r="S10" s="341" t="str">
        <f t="shared" si="0"/>
        <v/>
      </c>
    </row>
    <row r="11" spans="2:19" ht="16.5" customHeight="1" x14ac:dyDescent="0.3">
      <c r="B11" s="103">
        <v>4</v>
      </c>
      <c r="C11" s="8" t="str">
        <f>IF('Deelnemer 4 vtg'!$C$6="Ja", "Penvoerder", "Deelnemer 4")</f>
        <v>Deelnemer 4</v>
      </c>
      <c r="D11" s="71" t="str">
        <f>IF('Deelnemer 4 vtg'!$C$7&gt;0,'Deelnemer 4 vtg'!$C$7,"")</f>
        <v/>
      </c>
      <c r="E11" s="72"/>
      <c r="F11" s="13" t="str">
        <f t="shared" si="1"/>
        <v/>
      </c>
      <c r="G11" s="15">
        <f>'Deelnemer 4 vtg'!$D$42</f>
        <v>0</v>
      </c>
      <c r="H11" s="15">
        <f>'Deelnemer 4 vtg'!$D$43</f>
        <v>0</v>
      </c>
      <c r="I11" s="15">
        <f>'Deelnemer 4 vtg'!$D$44</f>
        <v>0</v>
      </c>
      <c r="J11" s="14">
        <f>'Deelnemer 4 vtg'!$D$46</f>
        <v>0</v>
      </c>
      <c r="K11" s="14">
        <f>'Deelnemer 4 vtg'!$D$47</f>
        <v>0</v>
      </c>
      <c r="L11" s="4"/>
      <c r="M11" s="15">
        <f>'Deelnemer 4 vtg'!$Z$42</f>
        <v>0</v>
      </c>
      <c r="N11" s="15">
        <f>'Deelnemer 4 vtg'!$Z$43</f>
        <v>0</v>
      </c>
      <c r="O11" s="15">
        <f>'Deelnemer 4 vtg'!$Z$44</f>
        <v>0</v>
      </c>
      <c r="P11" s="15">
        <f>'Deelnemer 4 vtg'!$Z$46</f>
        <v>0</v>
      </c>
      <c r="Q11" s="15">
        <f>'Deelnemer 4 vtg'!$Z$47</f>
        <v>0</v>
      </c>
      <c r="S11" s="341" t="str">
        <f t="shared" si="0"/>
        <v/>
      </c>
    </row>
    <row r="12" spans="2:19" ht="16.5" customHeight="1" x14ac:dyDescent="0.3">
      <c r="B12" s="103">
        <v>5</v>
      </c>
      <c r="C12" s="8" t="str">
        <f>IF('Deelnemer 5 vtg'!$C$6="Ja", "Penvoerder", "Deelnemer 5")</f>
        <v>Deelnemer 5</v>
      </c>
      <c r="D12" s="71" t="str">
        <f>IF('Deelnemer 5 vtg'!$C$7&gt;0,'Deelnemer 5 vtg'!$C$7,"")</f>
        <v/>
      </c>
      <c r="E12" s="72"/>
      <c r="F12" s="13" t="str">
        <f t="shared" si="1"/>
        <v/>
      </c>
      <c r="G12" s="15">
        <f>'Deelnemer 5 vtg'!$D$42</f>
        <v>0</v>
      </c>
      <c r="H12" s="15">
        <f>'Deelnemer 5 vtg'!$D$43</f>
        <v>0</v>
      </c>
      <c r="I12" s="15">
        <f>'Deelnemer 5 vtg'!$D$44</f>
        <v>0</v>
      </c>
      <c r="J12" s="14">
        <f>'Deelnemer 5 vtg'!$D$46</f>
        <v>0</v>
      </c>
      <c r="K12" s="14">
        <f>'Deelnemer 5 vtg'!$D$47</f>
        <v>0</v>
      </c>
      <c r="L12" s="4"/>
      <c r="M12" s="15">
        <f>'Deelnemer 5 vtg'!$Z$42</f>
        <v>0</v>
      </c>
      <c r="N12" s="15">
        <f>'Deelnemer 5 vtg'!$Z$43</f>
        <v>0</v>
      </c>
      <c r="O12" s="15">
        <f>'Deelnemer 5 vtg'!$Z$44</f>
        <v>0</v>
      </c>
      <c r="P12" s="15">
        <f>'Deelnemer 5 vtg'!$Z$46</f>
        <v>0</v>
      </c>
      <c r="Q12" s="15">
        <f>'Deelnemer 5 vtg'!$Z$47</f>
        <v>0</v>
      </c>
      <c r="S12" s="341" t="str">
        <f t="shared" si="0"/>
        <v/>
      </c>
    </row>
    <row r="13" spans="2:19" ht="16.5" customHeight="1" x14ac:dyDescent="0.3">
      <c r="B13" s="103">
        <v>6</v>
      </c>
      <c r="C13" s="8" t="str">
        <f>IF('Deelnemer 6 vtg'!$C$6="Ja", "Penvoerder", "Deelnemer 6")</f>
        <v>Deelnemer 6</v>
      </c>
      <c r="D13" s="71" t="str">
        <f>IF('Deelnemer 6 vtg'!$C$7&gt;0,'Deelnemer 6 vtg'!$C$7,"")</f>
        <v/>
      </c>
      <c r="E13" s="72"/>
      <c r="F13" s="13" t="str">
        <f t="shared" si="1"/>
        <v/>
      </c>
      <c r="G13" s="15">
        <f>'Deelnemer 6 vtg'!$D$42</f>
        <v>0</v>
      </c>
      <c r="H13" s="15">
        <f>'Deelnemer 6 vtg'!$D$43</f>
        <v>0</v>
      </c>
      <c r="I13" s="15">
        <f>'Deelnemer 6 vtg'!$D$44</f>
        <v>0</v>
      </c>
      <c r="J13" s="14">
        <f>'Deelnemer 6 vtg'!$D$46</f>
        <v>0</v>
      </c>
      <c r="K13" s="14">
        <f>'Deelnemer 6 vtg'!$D$47</f>
        <v>0</v>
      </c>
      <c r="L13" s="4"/>
      <c r="M13" s="15">
        <f>'Deelnemer 6 vtg'!$Z$42</f>
        <v>0</v>
      </c>
      <c r="N13" s="15">
        <f>'Deelnemer 6 vtg'!$Z$43</f>
        <v>0</v>
      </c>
      <c r="O13" s="15">
        <f>'Deelnemer 6 vtg'!$Z$44</f>
        <v>0</v>
      </c>
      <c r="P13" s="15">
        <f>'Deelnemer 6 vtg'!$Z$46</f>
        <v>0</v>
      </c>
      <c r="Q13" s="15">
        <f>'Deelnemer 6 vtg'!$Z$47</f>
        <v>0</v>
      </c>
      <c r="S13" s="341" t="str">
        <f t="shared" si="0"/>
        <v/>
      </c>
    </row>
    <row r="14" spans="2:19" ht="16.5" customHeight="1" x14ac:dyDescent="0.3">
      <c r="B14" s="103">
        <v>7</v>
      </c>
      <c r="C14" s="8" t="str">
        <f>IF('Deelnemer 7 vtg'!$C$6="Ja", "Penvoerder", "Deelnemer 7")</f>
        <v>Deelnemer 7</v>
      </c>
      <c r="D14" s="71" t="str">
        <f>IF('Deelnemer 7 vtg'!$C$7&gt;0,'Deelnemer 7 vtg'!$C$7,"")</f>
        <v/>
      </c>
      <c r="E14" s="72"/>
      <c r="F14" s="13" t="str">
        <f t="shared" si="1"/>
        <v/>
      </c>
      <c r="G14" s="15">
        <f>'Deelnemer 7 vtg'!$D$42</f>
        <v>0</v>
      </c>
      <c r="H14" s="15">
        <f>'Deelnemer 7 vtg'!$D$43</f>
        <v>0</v>
      </c>
      <c r="I14" s="15">
        <f>'Deelnemer 7 vtg'!$D$44</f>
        <v>0</v>
      </c>
      <c r="J14" s="14">
        <f>'Deelnemer 7 vtg'!$D$46</f>
        <v>0</v>
      </c>
      <c r="K14" s="14">
        <f>'Deelnemer 7 vtg'!$D$47</f>
        <v>0</v>
      </c>
      <c r="L14" s="4"/>
      <c r="M14" s="15">
        <f>'Deelnemer 7 vtg'!$Z$42</f>
        <v>0</v>
      </c>
      <c r="N14" s="15">
        <f>'Deelnemer 7 vtg'!$Z$43</f>
        <v>0</v>
      </c>
      <c r="O14" s="15">
        <f>'Deelnemer 7 vtg'!$Z$44</f>
        <v>0</v>
      </c>
      <c r="P14" s="15">
        <f>'Deelnemer 7 vtg'!$Z$46</f>
        <v>0</v>
      </c>
      <c r="Q14" s="15">
        <f>'Deelnemer 7 vtg'!$Z$47</f>
        <v>0</v>
      </c>
      <c r="S14" s="341" t="str">
        <f t="shared" si="0"/>
        <v/>
      </c>
    </row>
    <row r="15" spans="2:19" ht="16.5" customHeight="1" x14ac:dyDescent="0.3">
      <c r="B15" s="103">
        <v>8</v>
      </c>
      <c r="C15" s="8" t="str">
        <f>IF('Deelnemer 8 vtg'!$C$6="Ja", "Penvoerder", "Deelnemer 8")</f>
        <v>Deelnemer 8</v>
      </c>
      <c r="D15" s="71" t="str">
        <f>IF('Deelnemer 8 vtg'!$C$7&gt;0,'Deelnemer 8 vtg'!$C$7,"")</f>
        <v/>
      </c>
      <c r="E15" s="72"/>
      <c r="F15" s="13" t="str">
        <f t="shared" si="1"/>
        <v/>
      </c>
      <c r="G15" s="15">
        <f>'Deelnemer 8 vtg'!$D$42</f>
        <v>0</v>
      </c>
      <c r="H15" s="15">
        <f>'Deelnemer 8 vtg'!$D$43</f>
        <v>0</v>
      </c>
      <c r="I15" s="15">
        <f>'Deelnemer 8 vtg'!$D$44</f>
        <v>0</v>
      </c>
      <c r="J15" s="14">
        <f>'Deelnemer 8 vtg'!$D$46</f>
        <v>0</v>
      </c>
      <c r="K15" s="14">
        <f>'Deelnemer 8 vtg'!$D$47</f>
        <v>0</v>
      </c>
      <c r="L15" s="4"/>
      <c r="M15" s="15">
        <f>'Deelnemer 8 vtg'!$Z$42</f>
        <v>0</v>
      </c>
      <c r="N15" s="15">
        <f>'Deelnemer 8 vtg'!$Z$43</f>
        <v>0</v>
      </c>
      <c r="O15" s="15">
        <f>'Deelnemer 8 vtg'!$Z$44</f>
        <v>0</v>
      </c>
      <c r="P15" s="15">
        <f>'Deelnemer 8 vtg'!$Z$46</f>
        <v>0</v>
      </c>
      <c r="Q15" s="15">
        <f>'Deelnemer 8 vtg'!$Z$47</f>
        <v>0</v>
      </c>
      <c r="S15" s="341" t="str">
        <f t="shared" si="0"/>
        <v/>
      </c>
    </row>
    <row r="16" spans="2:19" ht="16.5" customHeight="1" x14ac:dyDescent="0.3">
      <c r="B16" s="103">
        <v>9</v>
      </c>
      <c r="C16" s="8" t="str">
        <f>IF('Deelnemer 9 vtg'!$C$6="Ja", "Penvoerder", "Deelnemer 9")</f>
        <v>Deelnemer 9</v>
      </c>
      <c r="D16" s="71" t="str">
        <f>IF('Deelnemer 9 vtg'!$C$7&gt;0,'Deelnemer 9 vtg'!$C$7,"")</f>
        <v/>
      </c>
      <c r="E16" s="72"/>
      <c r="F16" s="13" t="str">
        <f t="shared" si="1"/>
        <v/>
      </c>
      <c r="G16" s="15">
        <f>'Deelnemer 9 vtg'!$D$42</f>
        <v>0</v>
      </c>
      <c r="H16" s="15">
        <f>'Deelnemer 9 vtg'!$D$43</f>
        <v>0</v>
      </c>
      <c r="I16" s="15">
        <f>'Deelnemer 9 vtg'!$D$44</f>
        <v>0</v>
      </c>
      <c r="J16" s="14">
        <f>'Deelnemer 9 vtg'!$D$46</f>
        <v>0</v>
      </c>
      <c r="K16" s="14">
        <f>'Deelnemer 9 vtg'!$D$47</f>
        <v>0</v>
      </c>
      <c r="L16" s="4"/>
      <c r="M16" s="15">
        <f>'Deelnemer 9 vtg'!$Z$42</f>
        <v>0</v>
      </c>
      <c r="N16" s="15">
        <f>'Deelnemer 9 vtg'!$Z$43</f>
        <v>0</v>
      </c>
      <c r="O16" s="15">
        <f>'Deelnemer 9 vtg'!$Z$44</f>
        <v>0</v>
      </c>
      <c r="P16" s="15">
        <f>'Deelnemer 9 vtg'!$Z$46</f>
        <v>0</v>
      </c>
      <c r="Q16" s="15">
        <f>'Deelnemer 9 vtg'!$Z$47</f>
        <v>0</v>
      </c>
      <c r="S16" s="341" t="str">
        <f t="shared" si="0"/>
        <v/>
      </c>
    </row>
    <row r="17" spans="2:19" ht="16.5" customHeight="1" x14ac:dyDescent="0.3">
      <c r="B17" s="103">
        <v>10</v>
      </c>
      <c r="C17" s="8" t="str">
        <f>IF('Deelnemer 10 vtg'!$C$6="Ja", "Penvoerder", "Deelnemer 10")</f>
        <v>Deelnemer 10</v>
      </c>
      <c r="D17" s="71" t="str">
        <f>IF('Deelnemer 10 vtg'!$C$7&gt;0,'Deelnemer 10 vtg'!$C$7,"")</f>
        <v/>
      </c>
      <c r="E17" s="72"/>
      <c r="F17" s="13" t="str">
        <f t="shared" si="1"/>
        <v/>
      </c>
      <c r="G17" s="15">
        <f>'Deelnemer 10 vtg'!$D$42</f>
        <v>0</v>
      </c>
      <c r="H17" s="15">
        <f>'Deelnemer 10 vtg'!$D$43</f>
        <v>0</v>
      </c>
      <c r="I17" s="15">
        <f>'Deelnemer 10 vtg'!$D$44</f>
        <v>0</v>
      </c>
      <c r="J17" s="14">
        <f>'Deelnemer 10 vtg'!$D$46</f>
        <v>0</v>
      </c>
      <c r="K17" s="14">
        <f>'Deelnemer 10 vtg'!$D$47</f>
        <v>0</v>
      </c>
      <c r="L17" s="4"/>
      <c r="M17" s="15">
        <f>'Deelnemer 10 vtg'!$Z$42</f>
        <v>0</v>
      </c>
      <c r="N17" s="15">
        <f>'Deelnemer 10 vtg'!$Z$43</f>
        <v>0</v>
      </c>
      <c r="O17" s="15">
        <f>'Deelnemer 10 vtg'!$Z$44</f>
        <v>0</v>
      </c>
      <c r="P17" s="15">
        <f>'Deelnemer 10 vtg'!$Z$46</f>
        <v>0</v>
      </c>
      <c r="Q17" s="15">
        <f>'Deelnemer 10 vtg'!$Z$47</f>
        <v>0</v>
      </c>
      <c r="S17" s="341" t="str">
        <f t="shared" si="0"/>
        <v/>
      </c>
    </row>
    <row r="18" spans="2:19" ht="16.5" customHeight="1" x14ac:dyDescent="0.3">
      <c r="B18" s="103">
        <v>11</v>
      </c>
      <c r="C18" s="8" t="str">
        <f>IF('Deelnemer 11 vtg'!$C$6="Ja", "Penvoerder", "Deelnemer 11")</f>
        <v>Deelnemer 11</v>
      </c>
      <c r="D18" s="71" t="str">
        <f>IF('Deelnemer 11 vtg'!$C$7&gt;0,'Deelnemer 11 vtg'!$C$7,"")</f>
        <v/>
      </c>
      <c r="E18" s="72"/>
      <c r="F18" s="13" t="str">
        <f t="shared" si="1"/>
        <v/>
      </c>
      <c r="G18" s="15">
        <f>'Deelnemer 11 vtg'!$D$42</f>
        <v>0</v>
      </c>
      <c r="H18" s="15">
        <f>'Deelnemer 11 vtg'!$D$43</f>
        <v>0</v>
      </c>
      <c r="I18" s="15">
        <f>'Deelnemer 11 vtg'!$D$44</f>
        <v>0</v>
      </c>
      <c r="J18" s="14">
        <f>'Deelnemer 11 vtg'!$D$46</f>
        <v>0</v>
      </c>
      <c r="K18" s="14">
        <f>'Deelnemer 11 vtg'!$D$47</f>
        <v>0</v>
      </c>
      <c r="L18" s="4"/>
      <c r="M18" s="15">
        <f>'Deelnemer 11 vtg'!$Z$42</f>
        <v>0</v>
      </c>
      <c r="N18" s="15">
        <f>'Deelnemer 11 vtg'!$Z$43</f>
        <v>0</v>
      </c>
      <c r="O18" s="15">
        <f>'Deelnemer 11 vtg'!$Z$44</f>
        <v>0</v>
      </c>
      <c r="P18" s="15">
        <f>'Deelnemer 11 vtg'!$Z$46</f>
        <v>0</v>
      </c>
      <c r="Q18" s="15">
        <f>'Deelnemer 11 vtg'!$Z$47</f>
        <v>0</v>
      </c>
      <c r="S18" s="341" t="str">
        <f t="shared" si="0"/>
        <v/>
      </c>
    </row>
    <row r="19" spans="2:19" ht="16.5" customHeight="1" x14ac:dyDescent="0.3">
      <c r="B19" s="103">
        <v>12</v>
      </c>
      <c r="C19" s="8" t="str">
        <f>IF('Deelnemer 12 vtg'!$C$6="Ja", "Penvoerder", "Deelnemer 12")</f>
        <v>Deelnemer 12</v>
      </c>
      <c r="D19" s="71" t="str">
        <f>IF('Deelnemer 12 vtg'!$C$7&gt;0,'Deelnemer 12 vtg'!$C$7,"")</f>
        <v/>
      </c>
      <c r="E19" s="72"/>
      <c r="F19" s="13" t="str">
        <f t="shared" si="1"/>
        <v/>
      </c>
      <c r="G19" s="15">
        <f>'Deelnemer 12 vtg'!$D$42</f>
        <v>0</v>
      </c>
      <c r="H19" s="15">
        <f>'Deelnemer 12 vtg'!$D$43</f>
        <v>0</v>
      </c>
      <c r="I19" s="15">
        <f>'Deelnemer 12 vtg'!$D$44</f>
        <v>0</v>
      </c>
      <c r="J19" s="14">
        <f>'Deelnemer 12 vtg'!$D$46</f>
        <v>0</v>
      </c>
      <c r="K19" s="14">
        <f>'Deelnemer 12 vtg'!$D$47</f>
        <v>0</v>
      </c>
      <c r="L19" s="4"/>
      <c r="M19" s="15">
        <f>'Deelnemer 12 vtg'!$Z$42</f>
        <v>0</v>
      </c>
      <c r="N19" s="15">
        <f>'Deelnemer 12 vtg'!$Z$43</f>
        <v>0</v>
      </c>
      <c r="O19" s="15">
        <f>'Deelnemer 12 vtg'!$Z$44</f>
        <v>0</v>
      </c>
      <c r="P19" s="15">
        <f>'Deelnemer 12 vtg'!$Z$46</f>
        <v>0</v>
      </c>
      <c r="Q19" s="15">
        <f>'Deelnemer 12 vtg'!$Z$47</f>
        <v>0</v>
      </c>
      <c r="S19" s="341" t="str">
        <f t="shared" si="0"/>
        <v/>
      </c>
    </row>
    <row r="20" spans="2:19" ht="16.5" customHeight="1" x14ac:dyDescent="0.3">
      <c r="B20" s="103">
        <v>13</v>
      </c>
      <c r="C20" s="8" t="str">
        <f>IF('Deelnemer 13 vtg'!$C$6="Ja", "Penvoerder", "Deelnemer 13")</f>
        <v>Deelnemer 13</v>
      </c>
      <c r="D20" s="71" t="str">
        <f>IF('Deelnemer 13 vtg'!$C$7&gt;0,'Deelnemer 13 vtg'!$C$7,"")</f>
        <v/>
      </c>
      <c r="E20" s="72"/>
      <c r="F20" s="13" t="str">
        <f t="shared" ref="F20:F21" si="2">IF(D20="", "", "Voertuigen/werktuigen")</f>
        <v/>
      </c>
      <c r="G20" s="15">
        <f>'Deelnemer 13 vtg'!$D$42</f>
        <v>0</v>
      </c>
      <c r="H20" s="15">
        <f>'Deelnemer 13 vtg'!$D$43</f>
        <v>0</v>
      </c>
      <c r="I20" s="15">
        <f>'Deelnemer 13 vtg'!$D$44</f>
        <v>0</v>
      </c>
      <c r="J20" s="14">
        <f>'Deelnemer 13 vtg'!$D$46</f>
        <v>0</v>
      </c>
      <c r="K20" s="14">
        <f>'Deelnemer 13 vtg'!$D$47</f>
        <v>0</v>
      </c>
      <c r="L20" s="4"/>
      <c r="M20" s="15">
        <f>'Deelnemer 13 vtg'!$Z$42</f>
        <v>0</v>
      </c>
      <c r="N20" s="15">
        <f>'Deelnemer 13 vtg'!$Z$43</f>
        <v>0</v>
      </c>
      <c r="O20" s="15">
        <f>'Deelnemer 13 vtg'!$Z$44</f>
        <v>0</v>
      </c>
      <c r="P20" s="15">
        <f>'Deelnemer 13 vtg'!$Z$46</f>
        <v>0</v>
      </c>
      <c r="Q20" s="15">
        <f>'Deelnemer 13 vtg'!$Z$47</f>
        <v>0</v>
      </c>
      <c r="S20" s="341" t="str">
        <f t="shared" si="0"/>
        <v/>
      </c>
    </row>
    <row r="21" spans="2:19" ht="16.5" customHeight="1" x14ac:dyDescent="0.3">
      <c r="B21" s="103">
        <v>14</v>
      </c>
      <c r="C21" s="8" t="str">
        <f>IF('Deelnemer 14 vtg'!$C$6="Ja", "Penvoerder", "Deelnemer 14")</f>
        <v>Deelnemer 14</v>
      </c>
      <c r="D21" s="71" t="str">
        <f>IF('Deelnemer 14 vtg'!$C$7&gt;0,'Deelnemer 14 vtg'!$C$7,"")</f>
        <v/>
      </c>
      <c r="E21" s="72"/>
      <c r="F21" s="13" t="str">
        <f t="shared" si="2"/>
        <v/>
      </c>
      <c r="G21" s="15">
        <f>'Deelnemer 14 vtg'!$D$42</f>
        <v>0</v>
      </c>
      <c r="H21" s="15">
        <f>'Deelnemer 14 vtg'!$D$43</f>
        <v>0</v>
      </c>
      <c r="I21" s="15">
        <f>'Deelnemer 14 vtg'!$D$44</f>
        <v>0</v>
      </c>
      <c r="J21" s="14">
        <f>'Deelnemer 14 vtg'!$D$46</f>
        <v>0</v>
      </c>
      <c r="K21" s="14">
        <f>'Deelnemer 14 vtg'!$D$47</f>
        <v>0</v>
      </c>
      <c r="L21" s="4"/>
      <c r="M21" s="15">
        <f>'Deelnemer 14 vtg'!$Z$42</f>
        <v>0</v>
      </c>
      <c r="N21" s="15">
        <f>'Deelnemer 14 vtg'!$Z$43</f>
        <v>0</v>
      </c>
      <c r="O21" s="15">
        <f>'Deelnemer 14 vtg'!$Z$44</f>
        <v>0</v>
      </c>
      <c r="P21" s="15">
        <f>'Deelnemer 14 vtg'!$Z$46</f>
        <v>0</v>
      </c>
      <c r="Q21" s="15">
        <f>'Deelnemer 14 vtg'!$Z$47</f>
        <v>0</v>
      </c>
      <c r="S21" s="341" t="str">
        <f t="shared" si="0"/>
        <v/>
      </c>
    </row>
    <row r="22" spans="2:19" ht="16.5" customHeight="1" x14ac:dyDescent="0.3">
      <c r="B22" s="103">
        <v>15</v>
      </c>
      <c r="C22" s="8" t="str">
        <f>IF('Deelnemer 15 vtg'!$C$6="Ja", "Penvoerder", "Deelnemer 15")</f>
        <v>Deelnemer 15</v>
      </c>
      <c r="D22" s="71" t="str">
        <f>IF('Deelnemer 15 vtg'!$C$7&gt;0,'Deelnemer 15 vtg'!$C$7,"")</f>
        <v/>
      </c>
      <c r="E22" s="72"/>
      <c r="F22" s="13" t="str">
        <f t="shared" si="1"/>
        <v/>
      </c>
      <c r="G22" s="15">
        <f>'Deelnemer 15 vtg'!$D$42</f>
        <v>0</v>
      </c>
      <c r="H22" s="15">
        <f>'Deelnemer 15 vtg'!$D$43</f>
        <v>0</v>
      </c>
      <c r="I22" s="15">
        <f>'Deelnemer 15 vtg'!$D$44</f>
        <v>0</v>
      </c>
      <c r="J22" s="14">
        <f>'Deelnemer 15 vtg'!$D$46</f>
        <v>0</v>
      </c>
      <c r="K22" s="14">
        <f>'Deelnemer 15 vtg'!$D$47</f>
        <v>0</v>
      </c>
      <c r="L22" s="4"/>
      <c r="M22" s="15">
        <f>'Deelnemer 15 vtg'!$Z$42</f>
        <v>0</v>
      </c>
      <c r="N22" s="15">
        <f>'Deelnemer 15 vtg'!$Z$43</f>
        <v>0</v>
      </c>
      <c r="O22" s="15">
        <f>'Deelnemer 15 vtg'!$Z$44</f>
        <v>0</v>
      </c>
      <c r="P22" s="15">
        <f>'Deelnemer 15 vtg'!$Z$46</f>
        <v>0</v>
      </c>
      <c r="Q22" s="15">
        <f>'Deelnemer 15 vtg'!$Z$47</f>
        <v>0</v>
      </c>
      <c r="S22" s="341" t="str">
        <f t="shared" si="0"/>
        <v/>
      </c>
    </row>
    <row r="23" spans="2:19" ht="16.5" customHeight="1" x14ac:dyDescent="0.3">
      <c r="B23" s="103">
        <v>16</v>
      </c>
      <c r="C23" s="8" t="str">
        <f>IF('Deelnemer 16 vtg'!$C$6="Ja", "Penvoerder", "Deelnemer 16")</f>
        <v>Deelnemer 16</v>
      </c>
      <c r="D23" s="71" t="str">
        <f>IF('Deelnemer 16 vtg'!$C$7&gt;0,'Deelnemer 16 vtg'!$C$7,"")</f>
        <v/>
      </c>
      <c r="E23" s="72"/>
      <c r="F23" s="13" t="str">
        <f t="shared" si="1"/>
        <v/>
      </c>
      <c r="G23" s="15">
        <f>'Deelnemer 16 vtg'!$D$42</f>
        <v>0</v>
      </c>
      <c r="H23" s="15">
        <f>'Deelnemer 16 vtg'!$D$43</f>
        <v>0</v>
      </c>
      <c r="I23" s="15">
        <f>'Deelnemer 16 vtg'!$D$44</f>
        <v>0</v>
      </c>
      <c r="J23" s="14">
        <f>'Deelnemer 16 vtg'!$D$46</f>
        <v>0</v>
      </c>
      <c r="K23" s="14">
        <f>'Deelnemer 16 vtg'!$D$47</f>
        <v>0</v>
      </c>
      <c r="L23" s="4"/>
      <c r="M23" s="15">
        <f>'Deelnemer 16 vtg'!$Z$42</f>
        <v>0</v>
      </c>
      <c r="N23" s="15">
        <f>'Deelnemer 16 vtg'!$Z$43</f>
        <v>0</v>
      </c>
      <c r="O23" s="15">
        <f>'Deelnemer 16 vtg'!$Z$44</f>
        <v>0</v>
      </c>
      <c r="P23" s="15">
        <f>'Deelnemer 16 vtg'!$Z$46</f>
        <v>0</v>
      </c>
      <c r="Q23" s="15">
        <f>'Deelnemer 16 vtg'!$Z$47</f>
        <v>0</v>
      </c>
      <c r="S23" s="341" t="str">
        <f t="shared" si="0"/>
        <v/>
      </c>
    </row>
    <row r="24" spans="2:19" ht="16.5" customHeight="1" x14ac:dyDescent="0.3">
      <c r="B24" s="103">
        <v>17</v>
      </c>
      <c r="C24" s="8" t="str">
        <f>IF('Deelnemer 17 vtg'!$C$6="Ja", "Penvoerder", "Deelnemer 17")</f>
        <v>Deelnemer 17</v>
      </c>
      <c r="D24" s="71" t="str">
        <f>IF('Deelnemer 17 vtg'!$C$7&gt;0,'Deelnemer 17 vtg'!$C$7,"")</f>
        <v/>
      </c>
      <c r="E24" s="72"/>
      <c r="F24" s="13" t="str">
        <f t="shared" si="1"/>
        <v/>
      </c>
      <c r="G24" s="15">
        <f>'Deelnemer 17 vtg'!$D$42</f>
        <v>0</v>
      </c>
      <c r="H24" s="15">
        <f>'Deelnemer 17 vtg'!$D$43</f>
        <v>0</v>
      </c>
      <c r="I24" s="15">
        <f>'Deelnemer 17 vtg'!$D$44</f>
        <v>0</v>
      </c>
      <c r="J24" s="14">
        <f>'Deelnemer 17 vtg'!$D$46</f>
        <v>0</v>
      </c>
      <c r="K24" s="14">
        <f>'Deelnemer 17 vtg'!$D$47</f>
        <v>0</v>
      </c>
      <c r="L24" s="4"/>
      <c r="M24" s="15">
        <f>'Deelnemer 17 vtg'!$Z$42</f>
        <v>0</v>
      </c>
      <c r="N24" s="15">
        <f>'Deelnemer 17 vtg'!$Z$43</f>
        <v>0</v>
      </c>
      <c r="O24" s="15">
        <f>'Deelnemer 17 vtg'!$Z$44</f>
        <v>0</v>
      </c>
      <c r="P24" s="15">
        <f>'Deelnemer 17 vtg'!$Z$46</f>
        <v>0</v>
      </c>
      <c r="Q24" s="15">
        <f>'Deelnemer 17 vtg'!$Z$47</f>
        <v>0</v>
      </c>
      <c r="S24" s="341" t="str">
        <f t="shared" si="0"/>
        <v/>
      </c>
    </row>
    <row r="25" spans="2:19" ht="16.5" customHeight="1" x14ac:dyDescent="0.3">
      <c r="B25" s="103">
        <v>18</v>
      </c>
      <c r="C25" s="8" t="str">
        <f>IF('Deelnemer 18 vtg'!$C$6="Ja", "Penvoerder", "Deelnemer 18")</f>
        <v>Deelnemer 18</v>
      </c>
      <c r="D25" s="71" t="str">
        <f>IF('Deelnemer 18 vtg'!$C$7&gt;0,'Deelnemer 18 vtg'!$C$7,"")</f>
        <v/>
      </c>
      <c r="E25" s="72"/>
      <c r="F25" s="13" t="str">
        <f t="shared" si="1"/>
        <v/>
      </c>
      <c r="G25" s="15">
        <f>'Deelnemer 18 vtg'!$D$42</f>
        <v>0</v>
      </c>
      <c r="H25" s="15">
        <f>'Deelnemer 18 vtg'!$D$43</f>
        <v>0</v>
      </c>
      <c r="I25" s="15">
        <f>'Deelnemer 18 vtg'!$D$44</f>
        <v>0</v>
      </c>
      <c r="J25" s="14">
        <f>'Deelnemer 18 vtg'!$D$46</f>
        <v>0</v>
      </c>
      <c r="K25" s="14">
        <f>'Deelnemer 18 vtg'!$D$47</f>
        <v>0</v>
      </c>
      <c r="L25" s="4"/>
      <c r="M25" s="15">
        <f>'Deelnemer 18 vtg'!$Z$42</f>
        <v>0</v>
      </c>
      <c r="N25" s="15">
        <f>'Deelnemer 18 vtg'!$Z$43</f>
        <v>0</v>
      </c>
      <c r="O25" s="15">
        <f>'Deelnemer 18 vtg'!$Z$44</f>
        <v>0</v>
      </c>
      <c r="P25" s="15">
        <f>'Deelnemer 18 vtg'!$Z$46</f>
        <v>0</v>
      </c>
      <c r="Q25" s="15">
        <f>'Deelnemer 18 vtg'!$Z$47</f>
        <v>0</v>
      </c>
      <c r="S25" s="341" t="str">
        <f t="shared" si="0"/>
        <v/>
      </c>
    </row>
    <row r="26" spans="2:19" ht="16.5" customHeight="1" x14ac:dyDescent="0.3">
      <c r="B26" s="103">
        <v>19</v>
      </c>
      <c r="C26" s="8" t="str">
        <f>IF('Deelnemer 19 vtg'!$C$6="Ja", "Penvoerder", "Deelnemer 19")</f>
        <v>Deelnemer 19</v>
      </c>
      <c r="D26" s="71" t="str">
        <f>IF('Deelnemer 19 vtg'!$C$7&gt;0,'Deelnemer 19 vtg'!$C$7,"")</f>
        <v/>
      </c>
      <c r="E26" s="72"/>
      <c r="F26" s="13" t="str">
        <f t="shared" si="1"/>
        <v/>
      </c>
      <c r="G26" s="15">
        <f>'Deelnemer 19 vtg'!$D$42</f>
        <v>0</v>
      </c>
      <c r="H26" s="15">
        <f>'Deelnemer 19 vtg'!$D$43</f>
        <v>0</v>
      </c>
      <c r="I26" s="15">
        <f>'Deelnemer 19 vtg'!$D$44</f>
        <v>0</v>
      </c>
      <c r="J26" s="14">
        <f>'Deelnemer 19 vtg'!$D$46</f>
        <v>0</v>
      </c>
      <c r="K26" s="14">
        <f>'Deelnemer 19 vtg'!$D$47</f>
        <v>0</v>
      </c>
      <c r="L26" s="4"/>
      <c r="M26" s="15">
        <f>'Deelnemer 19 vtg'!$Z$42</f>
        <v>0</v>
      </c>
      <c r="N26" s="15">
        <f>'Deelnemer 19 vtg'!$Z$43</f>
        <v>0</v>
      </c>
      <c r="O26" s="15">
        <f>'Deelnemer 19 vtg'!$Z$44</f>
        <v>0</v>
      </c>
      <c r="P26" s="15">
        <f>'Deelnemer 19 vtg'!$Z$46</f>
        <v>0</v>
      </c>
      <c r="Q26" s="15">
        <f>'Deelnemer 19 vtg'!$Z$47</f>
        <v>0</v>
      </c>
      <c r="S26" s="341" t="str">
        <f t="shared" si="0"/>
        <v/>
      </c>
    </row>
    <row r="27" spans="2:19" ht="16.5" customHeight="1" x14ac:dyDescent="0.3">
      <c r="B27" s="103">
        <v>20</v>
      </c>
      <c r="C27" s="8" t="str">
        <f>IF('Deelnemer 20 vtg'!$C$6="Ja", "Penvoerder", "Deelnemer 20")</f>
        <v>Deelnemer 20</v>
      </c>
      <c r="D27" s="71" t="str">
        <f>IF('Deelnemer 20 vtg'!$C$7&gt;0,'Deelnemer 20 vtg'!$C$7,"")</f>
        <v/>
      </c>
      <c r="E27" s="72"/>
      <c r="F27" s="13" t="str">
        <f t="shared" si="1"/>
        <v/>
      </c>
      <c r="G27" s="15">
        <f>'Deelnemer 20 vtg'!$D$42</f>
        <v>0</v>
      </c>
      <c r="H27" s="15">
        <f>'Deelnemer 20 vtg'!$D$43</f>
        <v>0</v>
      </c>
      <c r="I27" s="15">
        <f>'Deelnemer 20 vtg'!$D$44</f>
        <v>0</v>
      </c>
      <c r="J27" s="14">
        <f>'Deelnemer 20 vtg'!$D$46</f>
        <v>0</v>
      </c>
      <c r="K27" s="14">
        <f>'Deelnemer 20 vtg'!$D$47</f>
        <v>0</v>
      </c>
      <c r="L27" s="4"/>
      <c r="M27" s="15">
        <f>'Deelnemer 20 vtg'!$Z$42</f>
        <v>0</v>
      </c>
      <c r="N27" s="15">
        <f>'Deelnemer 20 vtg'!$Z$43</f>
        <v>0</v>
      </c>
      <c r="O27" s="15">
        <f>'Deelnemer 20 vtg'!$Z$44</f>
        <v>0</v>
      </c>
      <c r="P27" s="15">
        <f>'Deelnemer 20 vtg'!$Z$46</f>
        <v>0</v>
      </c>
      <c r="Q27" s="15">
        <f>'Deelnemer 20 vtg'!$Z$47</f>
        <v>0</v>
      </c>
      <c r="S27" s="341" t="str">
        <f t="shared" si="0"/>
        <v/>
      </c>
    </row>
    <row r="28" spans="2:19" ht="16.5" customHeight="1" x14ac:dyDescent="0.3">
      <c r="B28" s="103">
        <v>21</v>
      </c>
      <c r="C28" s="8" t="str">
        <f>IF('Deelnemer 21 vtg'!$C$6="Ja", "Penvoerder", "Deelnemer 21")</f>
        <v>Deelnemer 21</v>
      </c>
      <c r="D28" s="71" t="str">
        <f>IF('Deelnemer 21 vtg'!$C$7&gt;0,'Deelnemer 21 vtg'!$C$7,"")</f>
        <v/>
      </c>
      <c r="E28" s="72"/>
      <c r="F28" s="13" t="str">
        <f t="shared" si="1"/>
        <v/>
      </c>
      <c r="G28" s="15">
        <f>'Deelnemer 21 vtg'!$D$42</f>
        <v>0</v>
      </c>
      <c r="H28" s="15">
        <f>'Deelnemer 21 vtg'!$D$43</f>
        <v>0</v>
      </c>
      <c r="I28" s="15">
        <f>'Deelnemer 21 vtg'!$D$44</f>
        <v>0</v>
      </c>
      <c r="J28" s="14">
        <f>'Deelnemer 21 vtg'!$D$46</f>
        <v>0</v>
      </c>
      <c r="K28" s="14">
        <f>'Deelnemer 21 vtg'!$D$47</f>
        <v>0</v>
      </c>
      <c r="L28" s="4"/>
      <c r="M28" s="15">
        <f>'Deelnemer 21 vtg'!$Z$42</f>
        <v>0</v>
      </c>
      <c r="N28" s="15">
        <f>'Deelnemer 21 vtg'!$Z$43</f>
        <v>0</v>
      </c>
      <c r="O28" s="15">
        <f>'Deelnemer 21 vtg'!$Z$44</f>
        <v>0</v>
      </c>
      <c r="P28" s="15">
        <f>'Deelnemer 21 vtg'!$Z$46</f>
        <v>0</v>
      </c>
      <c r="Q28" s="15">
        <f>'Deelnemer 21 vtg'!$Z$47</f>
        <v>0</v>
      </c>
      <c r="S28" s="341" t="str">
        <f t="shared" si="0"/>
        <v/>
      </c>
    </row>
    <row r="29" spans="2:19" ht="16.5" customHeight="1" x14ac:dyDescent="0.3">
      <c r="B29" s="103">
        <v>22</v>
      </c>
      <c r="C29" s="8" t="str">
        <f>IF('Deelnemer 22 vtg'!$C$6="Ja", "Penvoerder", "Deelnemer 22")</f>
        <v>Deelnemer 22</v>
      </c>
      <c r="D29" s="71" t="str">
        <f>IF('Deelnemer 22 vtg'!$C$7&gt;0,'Deelnemer 22 vtg'!$C$7,"")</f>
        <v/>
      </c>
      <c r="E29" s="72"/>
      <c r="F29" s="13" t="str">
        <f t="shared" si="1"/>
        <v/>
      </c>
      <c r="G29" s="15">
        <f>'Deelnemer 22 vtg'!$D$42</f>
        <v>0</v>
      </c>
      <c r="H29" s="15">
        <f>'Deelnemer 22 vtg'!$D$43</f>
        <v>0</v>
      </c>
      <c r="I29" s="15">
        <f>'Deelnemer 22 vtg'!$D$44</f>
        <v>0</v>
      </c>
      <c r="J29" s="14">
        <f>'Deelnemer 22 vtg'!$D$46</f>
        <v>0</v>
      </c>
      <c r="K29" s="14">
        <f>'Deelnemer 22 vtg'!$D$47</f>
        <v>0</v>
      </c>
      <c r="L29" s="4"/>
      <c r="M29" s="15">
        <f>'Deelnemer 22 vtg'!$Z$42</f>
        <v>0</v>
      </c>
      <c r="N29" s="15">
        <f>'Deelnemer 22 vtg'!$Z$43</f>
        <v>0</v>
      </c>
      <c r="O29" s="15">
        <f>'Deelnemer 22 vtg'!$Z$44</f>
        <v>0</v>
      </c>
      <c r="P29" s="15">
        <f>'Deelnemer 22 vtg'!$Z$46</f>
        <v>0</v>
      </c>
      <c r="Q29" s="15">
        <f>'Deelnemer 22 vtg'!$Z$47</f>
        <v>0</v>
      </c>
      <c r="S29" s="341" t="str">
        <f t="shared" si="0"/>
        <v/>
      </c>
    </row>
    <row r="30" spans="2:19" ht="16.5" customHeight="1" x14ac:dyDescent="0.3">
      <c r="B30" s="103">
        <v>23</v>
      </c>
      <c r="C30" s="8" t="str">
        <f>IF('Deelnemer 23 vtg'!$C$6="Ja", "Penvoerder", "Deelnemer 23")</f>
        <v>Deelnemer 23</v>
      </c>
      <c r="D30" s="71" t="str">
        <f>IF('Deelnemer 23 vtg'!$C$7&gt;0,'Deelnemer 23 vtg'!$C$7,"")</f>
        <v/>
      </c>
      <c r="E30" s="72"/>
      <c r="F30" s="13" t="str">
        <f t="shared" si="1"/>
        <v/>
      </c>
      <c r="G30" s="15">
        <f>'Deelnemer 23 vtg'!$D$42</f>
        <v>0</v>
      </c>
      <c r="H30" s="15">
        <f>'Deelnemer 23 vtg'!$D$43</f>
        <v>0</v>
      </c>
      <c r="I30" s="15">
        <f>'Deelnemer 23 vtg'!$D$44</f>
        <v>0</v>
      </c>
      <c r="J30" s="14">
        <f>'Deelnemer 23 vtg'!$D$46</f>
        <v>0</v>
      </c>
      <c r="K30" s="14">
        <f>'Deelnemer 23 vtg'!$D$47</f>
        <v>0</v>
      </c>
      <c r="L30" s="4"/>
      <c r="M30" s="15">
        <f>'Deelnemer 23 vtg'!$Z$42</f>
        <v>0</v>
      </c>
      <c r="N30" s="15">
        <f>'Deelnemer 23 vtg'!$Z$43</f>
        <v>0</v>
      </c>
      <c r="O30" s="15">
        <f>'Deelnemer 23 vtg'!$Z$44</f>
        <v>0</v>
      </c>
      <c r="P30" s="15">
        <f>'Deelnemer 23 vtg'!$Z$46</f>
        <v>0</v>
      </c>
      <c r="Q30" s="15">
        <f>'Deelnemer 23 vtg'!$Z$47</f>
        <v>0</v>
      </c>
      <c r="S30" s="341" t="str">
        <f t="shared" si="0"/>
        <v/>
      </c>
    </row>
    <row r="31" spans="2:19" ht="16.5" customHeight="1" x14ac:dyDescent="0.3">
      <c r="B31" s="103">
        <v>24</v>
      </c>
      <c r="C31" s="8" t="str">
        <f>IF('Deelnemer 24 vtg'!$C$6="Ja", "Penvoerder", "Deelnemer 24")</f>
        <v>Deelnemer 24</v>
      </c>
      <c r="D31" s="71" t="str">
        <f>IF('Deelnemer 24 vtg'!$C$7&gt;0,'Deelnemer 24 vtg'!$C$7,"")</f>
        <v/>
      </c>
      <c r="E31" s="72"/>
      <c r="F31" s="13" t="str">
        <f t="shared" si="1"/>
        <v/>
      </c>
      <c r="G31" s="15">
        <f>'Deelnemer 24 vtg'!$D$42</f>
        <v>0</v>
      </c>
      <c r="H31" s="15">
        <f>'Deelnemer 24 vtg'!$D$43</f>
        <v>0</v>
      </c>
      <c r="I31" s="15">
        <f>'Deelnemer 24 vtg'!$D$44</f>
        <v>0</v>
      </c>
      <c r="J31" s="14">
        <f>'Deelnemer 24 vtg'!$D$46</f>
        <v>0</v>
      </c>
      <c r="K31" s="14">
        <f>'Deelnemer 24 vtg'!$D$47</f>
        <v>0</v>
      </c>
      <c r="L31" s="4"/>
      <c r="M31" s="15">
        <f>'Deelnemer 24 vtg'!$Z$42</f>
        <v>0</v>
      </c>
      <c r="N31" s="15">
        <f>'Deelnemer 24 vtg'!$Z$43</f>
        <v>0</v>
      </c>
      <c r="O31" s="15">
        <f>'Deelnemer 24 vtg'!$Z$44</f>
        <v>0</v>
      </c>
      <c r="P31" s="15">
        <f>'Deelnemer 24 vtg'!$Z$46</f>
        <v>0</v>
      </c>
      <c r="Q31" s="15">
        <f>'Deelnemer 24 vtg'!$Z$47</f>
        <v>0</v>
      </c>
      <c r="S31" s="341" t="str">
        <f t="shared" si="0"/>
        <v/>
      </c>
    </row>
    <row r="32" spans="2:19" ht="16.5" customHeight="1" x14ac:dyDescent="0.3">
      <c r="B32" s="103">
        <v>25</v>
      </c>
      <c r="C32" s="8" t="str">
        <f>IF('Deelnemer 25 vtg'!$C$6="Ja", "Penvoerder", "Deelnemer 25")</f>
        <v>Deelnemer 25</v>
      </c>
      <c r="D32" s="71" t="str">
        <f>IF('Deelnemer 25 vtg'!$C$7&gt;0,'Deelnemer 25 vtg'!$C$7,"")</f>
        <v/>
      </c>
      <c r="E32" s="72"/>
      <c r="F32" s="13" t="str">
        <f t="shared" si="1"/>
        <v/>
      </c>
      <c r="G32" s="15">
        <f>'Deelnemer 25 vtg'!$D$42</f>
        <v>0</v>
      </c>
      <c r="H32" s="15">
        <f>'Deelnemer 25 vtg'!$D$43</f>
        <v>0</v>
      </c>
      <c r="I32" s="15">
        <f>'Deelnemer 25 vtg'!$D$44</f>
        <v>0</v>
      </c>
      <c r="J32" s="14">
        <f>'Deelnemer 25 vtg'!$D$46</f>
        <v>0</v>
      </c>
      <c r="K32" s="14">
        <f>'Deelnemer 25 vtg'!$D$47</f>
        <v>0</v>
      </c>
      <c r="L32" s="4"/>
      <c r="M32" s="15">
        <f>'Deelnemer 25 vtg'!$Z$42</f>
        <v>0</v>
      </c>
      <c r="N32" s="15">
        <f>'Deelnemer 25 vtg'!$Z$43</f>
        <v>0</v>
      </c>
      <c r="O32" s="15">
        <f>'Deelnemer 25 vtg'!$Z$44</f>
        <v>0</v>
      </c>
      <c r="P32" s="15">
        <f>'Deelnemer 25 vtg'!$Z$46</f>
        <v>0</v>
      </c>
      <c r="Q32" s="15">
        <f>'Deelnemer 25 vtg'!$Z$47</f>
        <v>0</v>
      </c>
      <c r="S32" s="341" t="str">
        <f t="shared" si="0"/>
        <v/>
      </c>
    </row>
    <row r="33" spans="2:19" ht="16.5" customHeight="1" x14ac:dyDescent="0.3">
      <c r="B33" s="103"/>
      <c r="C33" s="8" t="str">
        <f>IF('Deelnemer 26 tankstation'!D7="nee","Deelnemer 26","Penvoerder")</f>
        <v>Deelnemer 26</v>
      </c>
      <c r="D33" s="306" t="str">
        <f>IF('Deelnemer 26 tankstation'!D8&gt;0,'Deelnemer 26 tankstation'!D8,"")</f>
        <v/>
      </c>
      <c r="E33" s="72"/>
      <c r="F33" s="13" t="str">
        <f>IF(D33="", "", "Mobiele waterstofopslag tankstation")</f>
        <v/>
      </c>
      <c r="G33" s="15">
        <f ca="1">'Deelnemer 26 tankstation'!$R$31</f>
        <v>0</v>
      </c>
      <c r="H33" s="15">
        <f ca="1">'Deelnemer 26 tankstation'!$I$31</f>
        <v>0</v>
      </c>
      <c r="I33" s="15">
        <f>'Deelnemer 26 tankstation'!$J$31</f>
        <v>0</v>
      </c>
      <c r="J33" s="14">
        <f>'Deelnemer 26 tankstation'!$E$33</f>
        <v>0</v>
      </c>
      <c r="K33" s="14">
        <f ca="1">'Deelnemer 26 tankstation'!$E$34</f>
        <v>0</v>
      </c>
      <c r="L33" s="4"/>
      <c r="M33" s="15">
        <f ca="1">'Deelnemer 26 tankstation'!$R$31</f>
        <v>0</v>
      </c>
      <c r="N33" s="15">
        <f ca="1">'Deelnemer 26 tankstation'!$S$31</f>
        <v>0</v>
      </c>
      <c r="O33" s="15">
        <f ca="1">'Deelnemer 26 tankstation'!$V$31</f>
        <v>0</v>
      </c>
      <c r="P33" s="15">
        <f>'Deelnemer 26 tankstation'!$Q$33</f>
        <v>0</v>
      </c>
      <c r="Q33" s="15">
        <f ca="1">'Deelnemer 26 tankstation'!$Q$34</f>
        <v>0</v>
      </c>
      <c r="S33" s="341"/>
    </row>
    <row r="34" spans="2:19" ht="16.5" customHeight="1" x14ac:dyDescent="0.3">
      <c r="B34" s="103"/>
      <c r="C34" s="271"/>
      <c r="D34" s="271"/>
      <c r="E34" s="271"/>
      <c r="F34" s="270" t="s">
        <v>162</v>
      </c>
      <c r="G34" s="12">
        <f ca="1">SUM(G8:G33)</f>
        <v>0</v>
      </c>
      <c r="H34" s="12">
        <f t="shared" ref="H34:I34" ca="1" si="3">SUM(H8:H33)</f>
        <v>0</v>
      </c>
      <c r="I34" s="12">
        <f t="shared" si="3"/>
        <v>0</v>
      </c>
      <c r="J34" s="12">
        <f>SUM(J8:J33)</f>
        <v>0</v>
      </c>
      <c r="K34" s="12">
        <f ca="1">SUM(K8:K33)</f>
        <v>0</v>
      </c>
      <c r="L34" s="4"/>
      <c r="M34" s="12">
        <f ca="1">SUM(M8:M33)</f>
        <v>0</v>
      </c>
      <c r="N34" s="12">
        <f ca="1">SUM(N8:N33)</f>
        <v>0</v>
      </c>
      <c r="O34" s="12">
        <f ca="1">SUM(O8:O33)</f>
        <v>0</v>
      </c>
      <c r="P34" s="12">
        <f t="shared" ref="P34" si="4">SUM(P8:P32)</f>
        <v>0</v>
      </c>
      <c r="Q34" s="12">
        <f ca="1">SUM(Q8:Q33)</f>
        <v>0</v>
      </c>
      <c r="S34" s="341" t="str">
        <f>IF($O$35="","",SUM(S9:S32))</f>
        <v/>
      </c>
    </row>
    <row r="35" spans="2:19" ht="16.5" customHeight="1" x14ac:dyDescent="0.3">
      <c r="C35" s="4"/>
      <c r="D35" s="4"/>
      <c r="E35" s="4"/>
      <c r="F35" s="4"/>
      <c r="H35" s="280"/>
      <c r="L35" s="4"/>
      <c r="N35" s="340" t="str">
        <f>IF(O35="","","correctiefactor toepassen")</f>
        <v/>
      </c>
      <c r="O35" s="341" t="str">
        <f>IF(SUM(O9:O32)&gt;O41,O41/SUM(O9:O32),"")</f>
        <v/>
      </c>
    </row>
    <row r="36" spans="2:19" s="33" customFormat="1" ht="16.5" customHeight="1" x14ac:dyDescent="0.3">
      <c r="B36" s="30"/>
      <c r="C36" s="4"/>
      <c r="D36" s="4"/>
      <c r="E36" s="4"/>
      <c r="F36" s="4"/>
      <c r="G36" s="87"/>
      <c r="H36" s="144"/>
      <c r="I36" s="34"/>
      <c r="J36" s="87"/>
      <c r="K36" s="87"/>
      <c r="L36" s="4"/>
      <c r="M36" s="32"/>
      <c r="N36" s="32"/>
      <c r="O36" s="32"/>
    </row>
    <row r="37" spans="2:19" s="33" customFormat="1" ht="16.5" customHeight="1" x14ac:dyDescent="0.3">
      <c r="B37" s="30"/>
      <c r="C37" s="23" t="s">
        <v>163</v>
      </c>
      <c r="D37" s="4"/>
      <c r="E37" s="4"/>
      <c r="F37" s="4"/>
      <c r="G37" s="87"/>
      <c r="H37" s="87"/>
      <c r="I37" s="87"/>
      <c r="J37" s="87"/>
      <c r="K37" s="87"/>
      <c r="L37" s="4"/>
      <c r="M37" s="23" t="s">
        <v>163</v>
      </c>
      <c r="N37" s="4"/>
      <c r="O37" s="4"/>
    </row>
    <row r="38" spans="2:19" s="33" customFormat="1" ht="16.5" customHeight="1" x14ac:dyDescent="0.3">
      <c r="B38" s="30"/>
      <c r="C38" s="278" t="s">
        <v>164</v>
      </c>
      <c r="D38" s="97"/>
      <c r="E38" s="15">
        <f ca="1">MIN(IF('Deelnemer 1 tankstation'!F23="Ja",4000000,3000000),H8+H33)</f>
        <v>0</v>
      </c>
      <c r="F38" s="4"/>
      <c r="G38" s="87"/>
      <c r="H38" s="87"/>
      <c r="I38" s="87"/>
      <c r="J38" s="87"/>
      <c r="K38" s="87"/>
      <c r="L38" s="4"/>
      <c r="M38" s="655" t="s">
        <v>165</v>
      </c>
      <c r="N38" s="656"/>
      <c r="O38" s="15">
        <f ca="1">MIN(IF('Deelnemer 1 tankstation'!F23="Ja",4000000,3000000),N8+N33)</f>
        <v>0</v>
      </c>
    </row>
    <row r="39" spans="2:19" s="33" customFormat="1" ht="16.5" customHeight="1" x14ac:dyDescent="0.3">
      <c r="B39" s="30"/>
      <c r="C39" s="278" t="s">
        <v>166</v>
      </c>
      <c r="D39" s="97"/>
      <c r="E39" s="15">
        <f>I8+I33</f>
        <v>0</v>
      </c>
      <c r="F39" s="85" t="str">
        <f ca="1">IF(E39&gt;E38,"Let op! De gevraagde subsidie is hoger dan de totale maximale subsidie voor het waterstoftankstation","")</f>
        <v/>
      </c>
      <c r="H39" s="344"/>
      <c r="I39" s="87"/>
      <c r="J39" s="87"/>
      <c r="K39" s="87"/>
      <c r="L39" s="4"/>
      <c r="M39" s="101" t="s">
        <v>167</v>
      </c>
      <c r="N39" s="97"/>
      <c r="O39" s="15">
        <f ca="1">O8+O33</f>
        <v>0</v>
      </c>
      <c r="P39" s="339" t="str">
        <f ca="1">IF(O39&gt;O38,"Let op! De gevraagde subsidie is hoger dan de totale maximale subsidie voor het waterstoftankstation","")</f>
        <v/>
      </c>
    </row>
    <row r="40" spans="2:19" ht="16.5" customHeight="1" x14ac:dyDescent="0.3">
      <c r="C40" s="278"/>
      <c r="D40" s="97"/>
      <c r="E40" s="15"/>
      <c r="F40" s="28"/>
      <c r="G40" s="35"/>
      <c r="H40" s="35"/>
      <c r="I40" s="35"/>
      <c r="J40" s="35"/>
      <c r="K40" s="35"/>
      <c r="L40" s="10"/>
      <c r="M40" s="101"/>
      <c r="N40" s="97"/>
      <c r="O40" s="15"/>
      <c r="Q40" s="338"/>
    </row>
    <row r="41" spans="2:19" ht="16.5" customHeight="1" x14ac:dyDescent="0.3">
      <c r="C41" s="278" t="s">
        <v>168</v>
      </c>
      <c r="D41" s="97"/>
      <c r="E41" s="15">
        <f>MIN('Deelnemer 1 tankstation'!F16*4000,SUM(H9:H32),8000000)</f>
        <v>0</v>
      </c>
      <c r="F41" s="28"/>
      <c r="G41" s="35"/>
      <c r="H41" s="35"/>
      <c r="I41" s="35"/>
      <c r="J41" s="35"/>
      <c r="K41" s="281"/>
      <c r="L41" s="10"/>
      <c r="M41" s="278" t="s">
        <v>168</v>
      </c>
      <c r="N41" s="97"/>
      <c r="O41" s="15">
        <f>MIN('Deelnemer 1 tankstation'!F16*4000,SUM(N9:N32),8000000)</f>
        <v>0</v>
      </c>
    </row>
    <row r="42" spans="2:19" ht="16.5" customHeight="1" x14ac:dyDescent="0.3">
      <c r="C42" s="278" t="s">
        <v>169</v>
      </c>
      <c r="D42" s="97"/>
      <c r="E42" s="15">
        <f>IFERROR(SUM(I9:I32),"")</f>
        <v>0</v>
      </c>
      <c r="F42" s="85" t="str">
        <f>IF(E42&gt;E41,"Let op! De gevraagde subsidie is hoger dan de totale maximale subsidie voor voertuigen &amp; werktuigen","")</f>
        <v/>
      </c>
      <c r="G42" s="35"/>
      <c r="H42" s="35"/>
      <c r="I42" s="35"/>
      <c r="J42" s="35"/>
      <c r="K42" s="281"/>
      <c r="L42" s="10"/>
      <c r="M42" s="101" t="s">
        <v>169</v>
      </c>
      <c r="N42" s="97"/>
      <c r="O42" s="15">
        <f>IFERROR(SUM(O9:O32),"")</f>
        <v>0</v>
      </c>
      <c r="P42" s="339" t="str">
        <f>IF(O42&gt;O41,"Let op! De gevraagde subsidie is hoger dan de totale maximale subsidie voor voertuigen &amp; werktuigen","")</f>
        <v/>
      </c>
    </row>
    <row r="43" spans="2:19" ht="16.5" customHeight="1" x14ac:dyDescent="0.3">
      <c r="C43" s="100"/>
      <c r="D43" s="35"/>
      <c r="E43" s="35"/>
      <c r="F43" s="28"/>
      <c r="G43" s="35"/>
      <c r="H43" s="35"/>
      <c r="I43" s="35"/>
      <c r="J43" s="35"/>
      <c r="K43" s="35"/>
      <c r="L43" s="10"/>
    </row>
    <row r="44" spans="2:19" s="31" customFormat="1" ht="16.5" customHeight="1" x14ac:dyDescent="0.3">
      <c r="B44" s="30"/>
      <c r="C44" s="10"/>
      <c r="D44" s="28"/>
      <c r="E44" s="28"/>
      <c r="F44" s="28"/>
      <c r="G44" s="28"/>
      <c r="H44" s="28"/>
      <c r="I44" s="28"/>
      <c r="J44" s="28"/>
      <c r="K44" s="28"/>
      <c r="L44" s="10"/>
    </row>
    <row r="45" spans="2:19" s="30" customFormat="1" ht="16.5" customHeight="1" x14ac:dyDescent="0.3">
      <c r="C45" s="23" t="s">
        <v>170</v>
      </c>
      <c r="D45" s="4"/>
      <c r="E45" s="4"/>
      <c r="F45" s="4"/>
      <c r="G45" s="4"/>
      <c r="H45" s="4"/>
      <c r="I45" s="4"/>
      <c r="J45" s="4"/>
      <c r="K45" s="4"/>
      <c r="L45" s="4"/>
    </row>
    <row r="46" spans="2:19" ht="30" customHeight="1" x14ac:dyDescent="0.3">
      <c r="C46" s="88" t="s">
        <v>171</v>
      </c>
      <c r="D46" s="89"/>
      <c r="E46" s="90"/>
      <c r="F46" s="660" t="s">
        <v>172</v>
      </c>
      <c r="G46" s="660"/>
      <c r="H46" s="26" t="s">
        <v>173</v>
      </c>
      <c r="I46" s="660" t="s">
        <v>174</v>
      </c>
      <c r="J46" s="660"/>
      <c r="K46" s="4"/>
      <c r="L46" s="4"/>
    </row>
    <row r="47" spans="2:19" ht="16.5" customHeight="1" x14ac:dyDescent="0.3">
      <c r="C47" s="81" t="str">
        <f>'Categorie H2 Vtg.'!B5</f>
        <v xml:space="preserve">M1, rolstoeltoegankelijk en meer dan 4 zitplaatsen </v>
      </c>
      <c r="D47" s="82"/>
      <c r="E47" s="83"/>
      <c r="F47" s="659">
        <f>SUM('Deelnemer 2 vtg:Deelnemer 25 vtg'!D64)</f>
        <v>0</v>
      </c>
      <c r="G47" s="659"/>
      <c r="H47" s="16">
        <v>3.5</v>
      </c>
      <c r="I47" s="658">
        <f t="shared" ref="I47" si="5">F47*H47</f>
        <v>0</v>
      </c>
      <c r="J47" s="658"/>
      <c r="K47" s="31"/>
    </row>
    <row r="48" spans="2:19" ht="16.5" customHeight="1" x14ac:dyDescent="0.3">
      <c r="C48" s="81" t="str">
        <f>'Categorie H2 Vtg.'!B6</f>
        <v xml:space="preserve">M2, emissievrij licht waterstofvoertuig </v>
      </c>
      <c r="D48" s="82"/>
      <c r="E48" s="83"/>
      <c r="F48" s="659">
        <f>SUM('Deelnemer 2 vtg:Deelnemer 25 vtg'!D65)</f>
        <v>0</v>
      </c>
      <c r="G48" s="659"/>
      <c r="H48" s="16">
        <v>6.6</v>
      </c>
      <c r="I48" s="658">
        <f t="shared" ref="I48:I57" si="6">F48*H48</f>
        <v>0</v>
      </c>
      <c r="J48" s="658"/>
      <c r="K48" s="31"/>
    </row>
    <row r="49" spans="2:12" ht="16.5" customHeight="1" x14ac:dyDescent="0.3">
      <c r="C49" s="81" t="str">
        <f>'Categorie H2 Vtg.'!B7</f>
        <v>M3, emissievrij zwaar waterstofvoertuig (brandstofcel)</v>
      </c>
      <c r="D49" s="80"/>
      <c r="E49" s="70"/>
      <c r="F49" s="659">
        <f>SUM('Deelnemer 2 vtg:Deelnemer 25 vtg'!D66)</f>
        <v>0</v>
      </c>
      <c r="G49" s="659"/>
      <c r="H49" s="16">
        <v>21</v>
      </c>
      <c r="I49" s="658">
        <f t="shared" si="6"/>
        <v>0</v>
      </c>
      <c r="J49" s="658"/>
      <c r="K49" s="31"/>
    </row>
    <row r="50" spans="2:12" ht="16.5" customHeight="1" x14ac:dyDescent="0.3">
      <c r="C50" s="81" t="str">
        <f>'Categorie H2 Vtg.'!B8</f>
        <v xml:space="preserve">M3, emissievrij zwaar waterstofvoertuig (waterstofverbrandingsmotor) </v>
      </c>
      <c r="D50" s="80"/>
      <c r="E50" s="70"/>
      <c r="F50" s="659">
        <f>SUM('Deelnemer 2 vtg:Deelnemer 25 vtg'!D67)</f>
        <v>0</v>
      </c>
      <c r="G50" s="659"/>
      <c r="H50" s="16">
        <v>21</v>
      </c>
      <c r="I50" s="658">
        <f t="shared" si="6"/>
        <v>0</v>
      </c>
      <c r="J50" s="658"/>
      <c r="K50" s="31"/>
    </row>
    <row r="51" spans="2:12" ht="16.5" customHeight="1" x14ac:dyDescent="0.3">
      <c r="C51" s="81" t="str">
        <f>'Categorie H2 Vtg.'!B9</f>
        <v>N1, emissievrij licht waterstofvoertuig</v>
      </c>
      <c r="D51" s="80"/>
      <c r="E51" s="70"/>
      <c r="F51" s="659">
        <f>SUM('Deelnemer 2 vtg:Deelnemer 25 vtg'!D68)</f>
        <v>0</v>
      </c>
      <c r="G51" s="659"/>
      <c r="H51" s="16">
        <v>3</v>
      </c>
      <c r="I51" s="658">
        <f t="shared" si="6"/>
        <v>0</v>
      </c>
      <c r="J51" s="658"/>
      <c r="K51" s="31"/>
    </row>
    <row r="52" spans="2:12" ht="16.5" customHeight="1" x14ac:dyDescent="0.3">
      <c r="C52" s="81" t="str">
        <f>'Categorie H2 Vtg.'!B10</f>
        <v>N2, emissievrij zwaar waterstofvoertuig (brandstofcel)</v>
      </c>
      <c r="D52" s="80"/>
      <c r="E52" s="70"/>
      <c r="F52" s="659">
        <f>SUM('Deelnemer 2 vtg:Deelnemer 25 vtg'!D69)</f>
        <v>0</v>
      </c>
      <c r="G52" s="659"/>
      <c r="H52" s="16">
        <v>8.1999999999999993</v>
      </c>
      <c r="I52" s="658">
        <f t="shared" si="6"/>
        <v>0</v>
      </c>
      <c r="J52" s="658"/>
      <c r="K52" s="31"/>
    </row>
    <row r="53" spans="2:12" ht="16.5" customHeight="1" x14ac:dyDescent="0.3">
      <c r="C53" s="81" t="str">
        <f>'Categorie H2 Vtg.'!B11</f>
        <v>N2, emissievrij zwaar waterstofvoertuig (waterstofverbrandingsmotor)</v>
      </c>
      <c r="D53" s="80"/>
      <c r="E53" s="70"/>
      <c r="F53" s="659">
        <f>SUM('Deelnemer 2 vtg:Deelnemer 25 vtg'!D70)</f>
        <v>0</v>
      </c>
      <c r="G53" s="659"/>
      <c r="H53" s="16">
        <v>8.1999999999999993</v>
      </c>
      <c r="I53" s="658">
        <f t="shared" si="6"/>
        <v>0</v>
      </c>
      <c r="J53" s="658"/>
      <c r="K53" s="31"/>
    </row>
    <row r="54" spans="2:12" ht="16.5" customHeight="1" x14ac:dyDescent="0.3">
      <c r="C54" s="81" t="str">
        <f>'Categorie H2 Vtg.'!B12</f>
        <v>N3, emissievrij zwaar waterstofvoertuig &lt; 30.000 kg (brandstofcel)</v>
      </c>
      <c r="D54" s="80"/>
      <c r="E54" s="70"/>
      <c r="F54" s="659">
        <f>SUM('Deelnemer 2 vtg:Deelnemer 25 vtg'!D71)</f>
        <v>0</v>
      </c>
      <c r="G54" s="659"/>
      <c r="H54" s="16">
        <v>15</v>
      </c>
      <c r="I54" s="658">
        <f t="shared" si="6"/>
        <v>0</v>
      </c>
      <c r="J54" s="658"/>
      <c r="K54" s="31"/>
    </row>
    <row r="55" spans="2:12" ht="16.5" customHeight="1" x14ac:dyDescent="0.3">
      <c r="C55" s="81" t="str">
        <f>'Categorie H2 Vtg.'!B13</f>
        <v>N3, emissievrij zwaar waterstofvoertuig &lt; 30.000kg (waterstofverbrandingsmotor)</v>
      </c>
      <c r="D55" s="80"/>
      <c r="E55" s="70"/>
      <c r="F55" s="659">
        <f>SUM('Deelnemer 2 vtg:Deelnemer 25 vtg'!D72)</f>
        <v>0</v>
      </c>
      <c r="G55" s="659"/>
      <c r="H55" s="16">
        <v>15</v>
      </c>
      <c r="I55" s="658">
        <f t="shared" si="6"/>
        <v>0</v>
      </c>
      <c r="J55" s="658"/>
      <c r="K55" s="31"/>
    </row>
    <row r="56" spans="2:12" ht="16.5" customHeight="1" x14ac:dyDescent="0.3">
      <c r="C56" s="81" t="str">
        <f>'Categorie H2 Vtg.'!B14</f>
        <v>N3, emissievrij zwaar waterstofvoertuig ≥ 30.000kg (brandstofcel)</v>
      </c>
      <c r="D56" s="80"/>
      <c r="E56" s="70"/>
      <c r="F56" s="659">
        <f>SUM('Deelnemer 2 vtg:Deelnemer 25 vtg'!D73)</f>
        <v>0</v>
      </c>
      <c r="G56" s="659"/>
      <c r="H56" s="16">
        <v>25</v>
      </c>
      <c r="I56" s="658">
        <f t="shared" si="6"/>
        <v>0</v>
      </c>
      <c r="J56" s="658"/>
      <c r="K56" s="31"/>
    </row>
    <row r="57" spans="2:12" ht="16.5" customHeight="1" x14ac:dyDescent="0.3">
      <c r="C57" s="81" t="str">
        <f>'Categorie H2 Vtg.'!B15</f>
        <v>N3, emissievrij zwaar waterstofvoertuig ≥ 30.000 kg (waterstofverbrandingsmotor)</v>
      </c>
      <c r="D57" s="80"/>
      <c r="E57" s="70"/>
      <c r="F57" s="659">
        <f>SUM('Deelnemer 2 vtg:Deelnemer 25 vtg'!D74)</f>
        <v>0</v>
      </c>
      <c r="G57" s="659"/>
      <c r="H57" s="16">
        <v>25</v>
      </c>
      <c r="I57" s="658">
        <f t="shared" si="6"/>
        <v>0</v>
      </c>
      <c r="J57" s="658"/>
      <c r="K57" s="30"/>
    </row>
    <row r="58" spans="2:12" ht="16.5" customHeight="1" x14ac:dyDescent="0.3">
      <c r="C58" s="81" t="str">
        <f>'Categorie H2 Vtg.'!B16</f>
        <v>emissievrije overslagmachine (brandstofcel)</v>
      </c>
      <c r="D58" s="80"/>
      <c r="E58" s="70"/>
      <c r="F58" s="659">
        <f>SUM('Deelnemer 2 vtg:Deelnemer 25 vtg'!D75)</f>
        <v>0</v>
      </c>
      <c r="G58" s="659"/>
      <c r="H58" s="16">
        <v>10</v>
      </c>
      <c r="I58" s="658">
        <f t="shared" ref="I58:I62" si="7">F58*H58</f>
        <v>0</v>
      </c>
      <c r="J58" s="658"/>
      <c r="K58" s="30"/>
    </row>
    <row r="59" spans="2:12" ht="16.5" customHeight="1" x14ac:dyDescent="0.3">
      <c r="C59" s="81" t="str">
        <f>'Categorie H2 Vtg.'!B17</f>
        <v>emissievrije vorkheftruck (brandstofcel)</v>
      </c>
      <c r="D59" s="80"/>
      <c r="E59" s="70"/>
      <c r="F59" s="659">
        <f>SUM('Deelnemer 2 vtg:Deelnemer 25 vtg'!D76)</f>
        <v>0</v>
      </c>
      <c r="G59" s="659"/>
      <c r="H59" s="16">
        <v>20</v>
      </c>
      <c r="I59" s="658">
        <f t="shared" si="7"/>
        <v>0</v>
      </c>
      <c r="J59" s="658"/>
      <c r="K59" s="30"/>
    </row>
    <row r="60" spans="2:12" ht="16.5" customHeight="1" x14ac:dyDescent="0.3">
      <c r="C60" s="81" t="str">
        <f>'Categorie H2 Vtg.'!B18</f>
        <v>emissievrije verreiker (brandstofcel)</v>
      </c>
      <c r="D60" s="80"/>
      <c r="E60" s="70"/>
      <c r="F60" s="659">
        <f>SUM('Deelnemer 2 vtg:Deelnemer 25 vtg'!D77)</f>
        <v>0</v>
      </c>
      <c r="G60" s="659"/>
      <c r="H60" s="16">
        <v>10</v>
      </c>
      <c r="I60" s="658">
        <f t="shared" si="7"/>
        <v>0</v>
      </c>
      <c r="J60" s="658"/>
      <c r="K60" s="30"/>
    </row>
    <row r="61" spans="2:12" ht="16.5" customHeight="1" x14ac:dyDescent="0.3">
      <c r="C61" s="81" t="str">
        <f>'Categorie H2 Vtg.'!B19</f>
        <v>emissievrije pushbacktruck (brandstofcel)</v>
      </c>
      <c r="D61" s="80"/>
      <c r="E61" s="70"/>
      <c r="F61" s="659">
        <f>SUM('Deelnemer 2 vtg:Deelnemer 25 vtg'!D78)</f>
        <v>0</v>
      </c>
      <c r="G61" s="659"/>
      <c r="H61" s="16">
        <v>40</v>
      </c>
      <c r="I61" s="658">
        <f t="shared" si="7"/>
        <v>0</v>
      </c>
      <c r="J61" s="658"/>
      <c r="K61" s="30"/>
    </row>
    <row r="62" spans="2:12" ht="16.5" customHeight="1" x14ac:dyDescent="0.3">
      <c r="C62" s="81" t="str">
        <f>'Categorie H2 Vtg.'!B20</f>
        <v>emissievrije terminaltrekker (brandstofcel)</v>
      </c>
      <c r="D62" s="80"/>
      <c r="E62" s="70"/>
      <c r="F62" s="659">
        <f>SUM('Deelnemer 2 vtg:Deelnemer 25 vtg'!D79)</f>
        <v>0</v>
      </c>
      <c r="G62" s="659"/>
      <c r="H62" s="16">
        <v>30</v>
      </c>
      <c r="I62" s="658">
        <f t="shared" si="7"/>
        <v>0</v>
      </c>
      <c r="J62" s="658"/>
      <c r="K62" s="30"/>
    </row>
    <row r="63" spans="2:12" s="31" customFormat="1" ht="16.5" customHeight="1" x14ac:dyDescent="0.3">
      <c r="B63" s="30"/>
      <c r="C63" s="6"/>
      <c r="D63" s="6"/>
      <c r="E63" s="6"/>
      <c r="F63" s="5"/>
      <c r="H63" s="18"/>
      <c r="I63" s="661"/>
      <c r="J63" s="661"/>
      <c r="K63" s="30"/>
      <c r="L63" s="30"/>
    </row>
    <row r="64" spans="2:12" s="31" customFormat="1" ht="16.5" customHeight="1" x14ac:dyDescent="0.3">
      <c r="B64" s="30"/>
      <c r="C64" s="6"/>
      <c r="D64" s="6"/>
      <c r="E64" s="6"/>
      <c r="F64" s="5"/>
      <c r="G64" s="18"/>
      <c r="H64" s="91"/>
      <c r="L64" s="30"/>
    </row>
    <row r="65" spans="2:12" s="31" customFormat="1" ht="16.5" customHeight="1" x14ac:dyDescent="0.3">
      <c r="B65" s="30"/>
      <c r="C65" s="297" t="s">
        <v>175</v>
      </c>
      <c r="F65" s="5"/>
      <c r="H65" s="5"/>
      <c r="I65" s="19"/>
      <c r="L65" s="30"/>
    </row>
    <row r="66" spans="2:12" ht="16.5" customHeight="1" x14ac:dyDescent="0.3">
      <c r="C66" s="69" t="s">
        <v>176</v>
      </c>
      <c r="D66" s="70"/>
      <c r="E66" s="79">
        <f>SUM(F47:G62)</f>
        <v>0</v>
      </c>
      <c r="F66" s="92"/>
      <c r="G66" s="7"/>
      <c r="H66" s="91"/>
      <c r="I66" s="31"/>
      <c r="J66" s="31"/>
      <c r="K66" s="31"/>
    </row>
    <row r="67" spans="2:12" ht="16.5" customHeight="1" x14ac:dyDescent="0.3">
      <c r="C67" s="93" t="s">
        <v>177</v>
      </c>
      <c r="D67" s="93"/>
      <c r="E67" s="253">
        <v>300</v>
      </c>
      <c r="F67" s="95"/>
      <c r="G67" s="7"/>
      <c r="H67" s="96"/>
      <c r="I67" s="31"/>
      <c r="J67" s="31"/>
      <c r="K67" s="31"/>
    </row>
    <row r="68" spans="2:12" ht="16.5" customHeight="1" x14ac:dyDescent="0.3">
      <c r="C68" s="666" t="s">
        <v>178</v>
      </c>
      <c r="D68" s="667"/>
      <c r="E68" s="94">
        <f>SUM($I$47:$J$62)</f>
        <v>0</v>
      </c>
      <c r="G68" s="19" t="str">
        <f>IFERROR(IF(E68&lt;E67,"Let op! Uw aanvraag komt (nog) niet in aanmerking voor subsidie, nog niet voldaan aan de minimale basisafname", ""),"")</f>
        <v>Let op! Uw aanvraag komt (nog) niet in aanmerking voor subsidie, nog niet voldaan aan de minimale basisafname</v>
      </c>
      <c r="H68" s="91"/>
      <c r="I68" s="31"/>
      <c r="J68" s="31"/>
      <c r="K68" s="31"/>
    </row>
    <row r="69" spans="2:12" ht="28.95" customHeight="1" x14ac:dyDescent="0.3">
      <c r="C69" s="651" t="s">
        <v>179</v>
      </c>
      <c r="D69" s="652"/>
      <c r="E69" s="253">
        <f>E68*50%</f>
        <v>0</v>
      </c>
      <c r="F69" s="31"/>
      <c r="G69" s="31"/>
      <c r="H69" s="19" t="str">
        <f>IFERROR(IF(E67&lt;50%,"Uw aanvraag komt niet in aanmerking voor subsidie", ""),"")</f>
        <v/>
      </c>
      <c r="I69" s="19"/>
      <c r="J69" s="31"/>
      <c r="K69" s="31"/>
    </row>
    <row r="70" spans="2:12" s="31" customFormat="1" ht="31.95" customHeight="1" x14ac:dyDescent="0.3">
      <c r="B70" s="30"/>
      <c r="C70" s="653" t="s">
        <v>180</v>
      </c>
      <c r="D70" s="654"/>
      <c r="E70" s="253">
        <f>IFERROR(($I$49+$I$50+$I$52+$I$53+$I$54+$I$55+$I$56+$I$57),"")</f>
        <v>0</v>
      </c>
      <c r="F70" s="286">
        <f>IF(E70&gt;0,E70/E68, 0)</f>
        <v>0</v>
      </c>
      <c r="G70" s="19" t="str">
        <f>IFERROR(IF(E70&lt;E69,"Let op! Uw aanvraag komt (nog) niet in aanmerking voor subsidie, er is nog niet voldaan aan de dekkening van 50% basisafname door zware wegvoertuigen", ""),"")</f>
        <v/>
      </c>
      <c r="H70" s="19"/>
      <c r="I70" s="19"/>
      <c r="L70" s="30"/>
    </row>
    <row r="71" spans="2:12" ht="16.5" customHeight="1" x14ac:dyDescent="0.3">
      <c r="C71" s="36"/>
      <c r="D71" s="35"/>
      <c r="E71" s="35"/>
      <c r="F71" s="35"/>
      <c r="G71" s="35"/>
      <c r="H71" s="35"/>
      <c r="I71" s="35"/>
    </row>
    <row r="73" spans="2:12" s="31" customFormat="1" ht="16.5" customHeight="1" x14ac:dyDescent="0.3">
      <c r="B73" s="30"/>
      <c r="C73" s="10"/>
      <c r="D73" s="28"/>
      <c r="E73" s="28"/>
      <c r="F73" s="28"/>
      <c r="G73" s="28"/>
      <c r="H73" s="28"/>
      <c r="I73" s="28"/>
      <c r="L73" s="30"/>
    </row>
    <row r="74" spans="2:12" s="30" customFormat="1" ht="19.5" customHeight="1" x14ac:dyDescent="0.3">
      <c r="C74" s="98" t="s">
        <v>181</v>
      </c>
      <c r="D74" s="4"/>
      <c r="E74" s="4"/>
      <c r="F74" s="4"/>
      <c r="G74" s="4"/>
      <c r="H74" s="4"/>
      <c r="I74" s="4"/>
    </row>
    <row r="75" spans="2:12" ht="16.5" customHeight="1" x14ac:dyDescent="0.3">
      <c r="C75" s="662" t="s">
        <v>182</v>
      </c>
      <c r="D75" s="663"/>
      <c r="E75" s="20">
        <f>ROUND(SUM(E76:E81),2)</f>
        <v>0</v>
      </c>
      <c r="G75" s="30"/>
      <c r="H75" s="31"/>
      <c r="I75" s="31"/>
      <c r="J75" s="31"/>
      <c r="K75" s="31"/>
    </row>
    <row r="76" spans="2:12" ht="16.5" customHeight="1" x14ac:dyDescent="0.3">
      <c r="C76" s="664" t="s">
        <v>111</v>
      </c>
      <c r="D76" s="665"/>
      <c r="E76" s="21">
        <f>IFERROR(70-(70*((('Deelnemer 1 tankstation'!L130)/('Deelnemer 1 tankstation'!$F$16*'Deelnemer 1 tankstation'!$F$29))/20/100)),0)</f>
        <v>0</v>
      </c>
      <c r="F76" s="22"/>
      <c r="G76" s="30"/>
      <c r="H76" s="31"/>
      <c r="I76" s="31"/>
      <c r="J76" s="31"/>
      <c r="K76" s="31"/>
    </row>
    <row r="77" spans="2:12" ht="16.5" customHeight="1" x14ac:dyDescent="0.3">
      <c r="C77" s="666" t="s">
        <v>96</v>
      </c>
      <c r="D77" s="667"/>
      <c r="E77" s="21">
        <f>IF('Deelnemer 1 tankstation'!$F$17&gt;=2000,5,IF('Deelnemer 1 tankstation'!$F$17&gt;=1500,3,IF('Deelnemer 1 tankstation'!$F$17&gt;=1000,1,0)))</f>
        <v>0</v>
      </c>
      <c r="F77" s="25"/>
      <c r="G77" s="30"/>
      <c r="H77" s="31"/>
      <c r="I77" s="31"/>
      <c r="J77" s="31"/>
      <c r="K77" s="31"/>
    </row>
    <row r="78" spans="2:12" ht="16.5" customHeight="1" x14ac:dyDescent="0.3">
      <c r="C78" s="666" t="s">
        <v>183</v>
      </c>
      <c r="D78" s="667"/>
      <c r="E78" s="21">
        <f>IF('Deelnemer 1 tankstation'!$F$30&gt;=3,5,IF('Deelnemer 1 tankstation'!$F$30=2,0,0))</f>
        <v>0</v>
      </c>
      <c r="F78" s="25"/>
      <c r="G78" s="30"/>
      <c r="H78" s="31"/>
      <c r="I78" s="31"/>
      <c r="J78" s="31"/>
      <c r="K78" s="31"/>
    </row>
    <row r="79" spans="2:12" ht="16.5" customHeight="1" x14ac:dyDescent="0.3">
      <c r="C79" s="666" t="s">
        <v>184</v>
      </c>
      <c r="D79" s="667"/>
      <c r="E79" s="21">
        <f>IF('Deelnemer 1 tankstation'!$F$18="aanvraag ingediend",1,IF('Deelnemer 1 tankstation'!$F$18="verleend",5,IF('Deelnemer 1 tankstation'!$F$18="onherroepelijk",10,0)))</f>
        <v>0</v>
      </c>
      <c r="F79" s="25"/>
      <c r="G79" s="30"/>
      <c r="H79" s="31"/>
      <c r="I79" s="31"/>
      <c r="J79" s="31"/>
      <c r="K79" s="31"/>
    </row>
    <row r="80" spans="2:12" ht="16.5" customHeight="1" x14ac:dyDescent="0.3">
      <c r="C80" s="104" t="s">
        <v>185</v>
      </c>
      <c r="D80" s="37"/>
      <c r="E80" s="21">
        <f>IF('Deelnemer 1 tankstation'!$F$19="ja",10,0)</f>
        <v>0</v>
      </c>
      <c r="F80" s="25"/>
      <c r="G80" s="30"/>
      <c r="H80" s="31"/>
      <c r="I80" s="31"/>
      <c r="J80" s="31"/>
      <c r="K80" s="31"/>
    </row>
    <row r="81" spans="2:12" ht="16.5" customHeight="1" x14ac:dyDescent="0.3">
      <c r="C81" s="666" t="s">
        <v>186</v>
      </c>
      <c r="D81" s="667"/>
      <c r="E81" s="21">
        <f>IF('Deelnemer 1 tankstation'!$F$20="ja",5,0)</f>
        <v>0</v>
      </c>
      <c r="F81" s="25"/>
      <c r="G81" s="30"/>
      <c r="H81" s="31"/>
      <c r="I81" s="31"/>
      <c r="J81" s="31"/>
      <c r="K81" s="31"/>
    </row>
    <row r="82" spans="2:12" s="31" customFormat="1" ht="16.5" customHeight="1" x14ac:dyDescent="0.3">
      <c r="B82" s="30"/>
      <c r="C82" s="22"/>
      <c r="D82" s="22"/>
      <c r="E82" s="22"/>
      <c r="F82" s="22"/>
      <c r="G82" s="30"/>
      <c r="L82" s="30"/>
    </row>
    <row r="83" spans="2:12" ht="16.5" customHeight="1" x14ac:dyDescent="0.3">
      <c r="C83" s="662" t="s">
        <v>187</v>
      </c>
      <c r="D83" s="663"/>
      <c r="E83" s="20">
        <f>ROUND(IFERROR(100-((E42/E41)*100),0),2)</f>
        <v>0</v>
      </c>
      <c r="F83" s="301" t="str">
        <f>IF(E42&gt;E41,"Let op! De gevraagde subsidie voor voertuigen &amp; werktuigen is hoger dan de maximale subsidie* daarvoor; dit beinvloedt uw score negatief ","")</f>
        <v/>
      </c>
      <c r="G83" s="30"/>
      <c r="H83" s="31"/>
      <c r="I83" s="31"/>
      <c r="J83" s="31"/>
      <c r="K83" s="31"/>
    </row>
    <row r="84" spans="2:12" s="31" customFormat="1" ht="16.5" customHeight="1" x14ac:dyDescent="0.3">
      <c r="B84" s="30"/>
      <c r="C84" s="4"/>
      <c r="D84" s="4"/>
      <c r="E84" s="4"/>
      <c r="F84" s="27" t="str">
        <f>IF(E42&gt;E41,"*: De maximale subsidie voor de voertuigen &amp; werktuigen is de laagste van 8 mln., de dagcapaciteit van het tankstation * 4000 en de som van de maximale subsidie per voertuig &amp; werktuig","")</f>
        <v/>
      </c>
      <c r="G84" s="5"/>
      <c r="L84" s="30"/>
    </row>
    <row r="85" spans="2:12" ht="16.5" customHeight="1" x14ac:dyDescent="0.3">
      <c r="C85" s="662" t="s">
        <v>188</v>
      </c>
      <c r="D85" s="663"/>
      <c r="E85" s="20">
        <f>IFERROR(E75+E83,"")</f>
        <v>0</v>
      </c>
      <c r="F85" s="22"/>
      <c r="G85" s="30"/>
      <c r="H85" s="31"/>
      <c r="I85" s="31"/>
      <c r="J85" s="31"/>
      <c r="K85" s="31"/>
    </row>
    <row r="86" spans="2:12" s="31" customFormat="1" ht="16.5" customHeight="1" x14ac:dyDescent="0.3">
      <c r="B86" s="30"/>
      <c r="C86" s="23"/>
      <c r="D86" s="23"/>
      <c r="E86" s="23"/>
      <c r="F86" s="24"/>
      <c r="G86" s="99"/>
      <c r="L86" s="30"/>
    </row>
    <row r="87" spans="2:12" ht="15" customHeight="1" x14ac:dyDescent="0.3">
      <c r="C87" s="33" t="s">
        <v>189</v>
      </c>
      <c r="F87" s="31"/>
      <c r="G87" s="31"/>
      <c r="H87" s="31"/>
      <c r="I87" s="31"/>
      <c r="J87" s="31"/>
      <c r="K87" s="31"/>
    </row>
    <row r="88" spans="2:12" ht="15" customHeight="1" x14ac:dyDescent="0.3">
      <c r="C88" s="33" t="s">
        <v>190</v>
      </c>
    </row>
  </sheetData>
  <sheetProtection algorithmName="SHA-512" hashValue="afhtsf6/yWpt1JMRvyXQPsZbVVo1jXmxqYc3BXG4eLXcYGfbDhLbOfjfUir70XtVTkCHCvkMRDrGbpwWkZ3rfQ==" saltValue="G09aIHBQlkzz4WtPyDwwOg==" spinCount="100000" sheet="1" selectLockedCells="1"/>
  <mergeCells count="49">
    <mergeCell ref="C68:D68"/>
    <mergeCell ref="F61:G61"/>
    <mergeCell ref="F57:G57"/>
    <mergeCell ref="D7:E7"/>
    <mergeCell ref="F46:G46"/>
    <mergeCell ref="F47:G47"/>
    <mergeCell ref="F48:G48"/>
    <mergeCell ref="F49:G49"/>
    <mergeCell ref="F50:G50"/>
    <mergeCell ref="F51:G51"/>
    <mergeCell ref="F52:G52"/>
    <mergeCell ref="F53:G53"/>
    <mergeCell ref="F54:G54"/>
    <mergeCell ref="F55:G55"/>
    <mergeCell ref="C85:D85"/>
    <mergeCell ref="C75:D75"/>
    <mergeCell ref="C76:D76"/>
    <mergeCell ref="C77:D77"/>
    <mergeCell ref="C78:D78"/>
    <mergeCell ref="C79:D79"/>
    <mergeCell ref="C81:D81"/>
    <mergeCell ref="C83:D83"/>
    <mergeCell ref="I50:J50"/>
    <mergeCell ref="I51:J51"/>
    <mergeCell ref="I63:J63"/>
    <mergeCell ref="I58:J58"/>
    <mergeCell ref="F59:G59"/>
    <mergeCell ref="I59:J59"/>
    <mergeCell ref="F60:G60"/>
    <mergeCell ref="I60:J60"/>
    <mergeCell ref="F58:G58"/>
    <mergeCell ref="I52:J52"/>
    <mergeCell ref="I53:J53"/>
    <mergeCell ref="C69:D69"/>
    <mergeCell ref="C70:D70"/>
    <mergeCell ref="M38:N38"/>
    <mergeCell ref="M5:Q5"/>
    <mergeCell ref="I61:J61"/>
    <mergeCell ref="F62:G62"/>
    <mergeCell ref="I62:J62"/>
    <mergeCell ref="F56:G56"/>
    <mergeCell ref="I46:J46"/>
    <mergeCell ref="I47:J47"/>
    <mergeCell ref="I48:J48"/>
    <mergeCell ref="I54:J54"/>
    <mergeCell ref="I55:J55"/>
    <mergeCell ref="I56:J56"/>
    <mergeCell ref="I57:J57"/>
    <mergeCell ref="I49:J49"/>
  </mergeCells>
  <conditionalFormatting sqref="E67">
    <cfRule type="cellIs" dxfId="72" priority="1" operator="lessThan">
      <formula>0.5</formula>
    </cfRule>
  </conditionalFormatting>
  <pageMargins left="0.70866141732283472" right="0.70866141732283472" top="0.74803149606299213" bottom="0.74803149606299213" header="0" footer="0"/>
  <pageSetup paperSize="9" scale="60" orientation="landscape"/>
  <headerFooter>
    <oddFooter>&amp;L_x000D_#000000 Intern gebruik_x000D_&amp;1#&amp;"Calibri"&amp;10&amp;K000000 Intern gebruik</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8">
    <tabColor theme="8" tint="0.79998168889431442"/>
  </sheetPr>
  <dimension ref="B10:N38"/>
  <sheetViews>
    <sheetView showGridLines="0" zoomScaleNormal="100" workbookViewId="0">
      <selection activeCell="B20" sqref="B20:N20"/>
    </sheetView>
  </sheetViews>
  <sheetFormatPr defaultColWidth="14.44140625" defaultRowHeight="15" customHeight="1" x14ac:dyDescent="0.3"/>
  <cols>
    <col min="1" max="1" width="2.44140625" style="115" customWidth="1"/>
    <col min="2" max="2" width="4.44140625" style="115" customWidth="1"/>
    <col min="3" max="3" width="9.109375" style="115" customWidth="1"/>
    <col min="4" max="7" width="9.6640625" style="115" customWidth="1"/>
    <col min="8" max="8" width="11.44140625" style="115" customWidth="1"/>
    <col min="9" max="14" width="9.6640625" style="115" customWidth="1"/>
    <col min="15" max="18" width="9.109375" style="115" customWidth="1"/>
    <col min="19" max="26" width="8.44140625" style="115" customWidth="1"/>
    <col min="27" max="16384" width="14.44140625" style="115"/>
  </cols>
  <sheetData>
    <row r="10" spans="2:14" ht="24" customHeight="1" x14ac:dyDescent="0.3">
      <c r="B10" s="223" t="str">
        <f>'Toelichting '!B10</f>
        <v>Subsidieregeling Mobiliteit in Waterstof 2026</v>
      </c>
      <c r="C10" s="156"/>
      <c r="D10" s="156"/>
      <c r="E10" s="156"/>
      <c r="F10" s="156"/>
      <c r="G10" s="156"/>
      <c r="H10" s="156"/>
      <c r="I10" s="156"/>
      <c r="J10" s="156"/>
      <c r="K10" s="156"/>
      <c r="L10" s="156"/>
      <c r="M10" s="156"/>
      <c r="N10" s="156"/>
    </row>
    <row r="11" spans="2:14" ht="24" customHeight="1" x14ac:dyDescent="0.3">
      <c r="B11" s="224" t="s">
        <v>191</v>
      </c>
      <c r="C11" s="156"/>
      <c r="D11" s="156"/>
      <c r="E11" s="156"/>
      <c r="F11" s="156"/>
      <c r="G11" s="156"/>
      <c r="H11" s="156"/>
      <c r="I11" s="156"/>
      <c r="J11" s="156"/>
      <c r="K11" s="156"/>
      <c r="L11" s="156"/>
      <c r="M11" s="156"/>
      <c r="N11" s="156"/>
    </row>
    <row r="12" spans="2:14" ht="15" customHeight="1" x14ac:dyDescent="0.3">
      <c r="B12" s="156"/>
      <c r="C12" s="156"/>
      <c r="D12" s="156"/>
      <c r="E12" s="156"/>
      <c r="F12" s="156"/>
      <c r="G12" s="156"/>
      <c r="H12" s="156"/>
      <c r="I12" s="156"/>
      <c r="J12" s="156"/>
      <c r="K12" s="156"/>
      <c r="L12" s="156"/>
      <c r="M12" s="156"/>
      <c r="N12" s="156"/>
    </row>
    <row r="13" spans="2:14" ht="15" customHeight="1" x14ac:dyDescent="0.3">
      <c r="B13" s="225" t="s">
        <v>192</v>
      </c>
      <c r="C13" s="226"/>
      <c r="D13" s="226"/>
      <c r="E13" s="226"/>
      <c r="F13" s="226"/>
      <c r="G13" s="226"/>
      <c r="H13" s="226"/>
      <c r="I13" s="226"/>
      <c r="J13" s="226"/>
      <c r="K13" s="226"/>
      <c r="L13" s="226"/>
      <c r="M13" s="226"/>
      <c r="N13" s="226"/>
    </row>
    <row r="14" spans="2:14" ht="100.95" customHeight="1" x14ac:dyDescent="0.3">
      <c r="B14" s="672" t="s">
        <v>193</v>
      </c>
      <c r="C14" s="673"/>
      <c r="D14" s="673"/>
      <c r="E14" s="673"/>
      <c r="F14" s="673"/>
      <c r="G14" s="673"/>
      <c r="H14" s="673"/>
      <c r="I14" s="673"/>
      <c r="J14" s="673"/>
      <c r="K14" s="673"/>
      <c r="L14" s="673"/>
      <c r="M14" s="673"/>
      <c r="N14" s="673"/>
    </row>
    <row r="15" spans="2:14" ht="15" customHeight="1" x14ac:dyDescent="0.3">
      <c r="B15" s="225" t="s">
        <v>365</v>
      </c>
      <c r="C15" s="226"/>
      <c r="D15" s="226"/>
      <c r="E15" s="226"/>
      <c r="F15" s="226"/>
      <c r="G15" s="226"/>
      <c r="H15" s="226"/>
      <c r="I15" s="226"/>
      <c r="J15" s="226"/>
      <c r="K15" s="226"/>
      <c r="L15" s="226"/>
      <c r="M15" s="226"/>
      <c r="N15" s="226"/>
    </row>
    <row r="16" spans="2:14" ht="69" customHeight="1" x14ac:dyDescent="0.3">
      <c r="B16" s="668" t="s">
        <v>366</v>
      </c>
      <c r="C16" s="668"/>
      <c r="D16" s="668"/>
      <c r="E16" s="668"/>
      <c r="F16" s="668"/>
      <c r="G16" s="668"/>
      <c r="H16" s="668"/>
      <c r="I16" s="668"/>
      <c r="J16" s="668"/>
      <c r="K16" s="668"/>
      <c r="L16" s="668"/>
      <c r="M16" s="668"/>
      <c r="N16" s="668"/>
    </row>
    <row r="17" spans="2:14" ht="15" customHeight="1" x14ac:dyDescent="0.3">
      <c r="B17" s="225" t="s">
        <v>194</v>
      </c>
      <c r="C17" s="226"/>
      <c r="D17" s="226"/>
      <c r="E17" s="226"/>
      <c r="F17" s="226"/>
      <c r="G17" s="226"/>
      <c r="H17" s="226"/>
      <c r="I17" s="226"/>
      <c r="J17" s="226"/>
      <c r="K17" s="226"/>
      <c r="L17" s="226"/>
      <c r="M17" s="226"/>
      <c r="N17" s="226"/>
    </row>
    <row r="18" spans="2:14" ht="43.95" customHeight="1" x14ac:dyDescent="0.3">
      <c r="B18" s="668" t="s">
        <v>195</v>
      </c>
      <c r="C18" s="668"/>
      <c r="D18" s="668"/>
      <c r="E18" s="668"/>
      <c r="F18" s="668"/>
      <c r="G18" s="668"/>
      <c r="H18" s="668"/>
      <c r="I18" s="668"/>
      <c r="J18" s="668"/>
      <c r="K18" s="668"/>
      <c r="L18" s="668"/>
      <c r="M18" s="668"/>
      <c r="N18" s="668"/>
    </row>
    <row r="19" spans="2:14" ht="15" customHeight="1" x14ac:dyDescent="0.3">
      <c r="B19" s="225" t="s">
        <v>196</v>
      </c>
      <c r="C19" s="226"/>
      <c r="D19" s="226"/>
      <c r="E19" s="226"/>
      <c r="F19" s="226"/>
      <c r="G19" s="226"/>
      <c r="H19" s="226"/>
      <c r="I19" s="226"/>
      <c r="J19" s="226"/>
      <c r="K19" s="226"/>
      <c r="L19" s="226"/>
      <c r="M19" s="226"/>
      <c r="N19" s="226"/>
    </row>
    <row r="20" spans="2:14" ht="39.75" customHeight="1" x14ac:dyDescent="0.3">
      <c r="B20" s="668" t="s">
        <v>197</v>
      </c>
      <c r="C20" s="668"/>
      <c r="D20" s="668"/>
      <c r="E20" s="668"/>
      <c r="F20" s="668"/>
      <c r="G20" s="668"/>
      <c r="H20" s="668"/>
      <c r="I20" s="668"/>
      <c r="J20" s="668"/>
      <c r="K20" s="668"/>
      <c r="L20" s="668"/>
      <c r="M20" s="668"/>
      <c r="N20" s="668"/>
    </row>
    <row r="21" spans="2:14" ht="15" customHeight="1" x14ac:dyDescent="0.3">
      <c r="B21" s="225" t="s">
        <v>198</v>
      </c>
      <c r="C21" s="226"/>
      <c r="D21" s="226"/>
      <c r="E21" s="226"/>
      <c r="F21" s="226"/>
      <c r="G21" s="226"/>
      <c r="H21" s="226"/>
      <c r="I21" s="226"/>
      <c r="J21" s="226"/>
      <c r="K21" s="226"/>
      <c r="L21" s="226"/>
      <c r="M21" s="226"/>
      <c r="N21" s="226"/>
    </row>
    <row r="22" spans="2:14" s="116" customFormat="1" ht="32.25" customHeight="1" x14ac:dyDescent="0.3">
      <c r="B22" s="668" t="s">
        <v>199</v>
      </c>
      <c r="C22" s="668"/>
      <c r="D22" s="668"/>
      <c r="E22" s="668"/>
      <c r="F22" s="668"/>
      <c r="G22" s="668"/>
      <c r="H22" s="668"/>
      <c r="I22" s="668"/>
      <c r="J22" s="668"/>
      <c r="K22" s="668"/>
      <c r="L22" s="668"/>
      <c r="M22" s="668"/>
      <c r="N22" s="668"/>
    </row>
    <row r="23" spans="2:14" ht="15" customHeight="1" x14ac:dyDescent="0.3">
      <c r="B23" s="156"/>
      <c r="C23" s="156"/>
      <c r="D23" s="156"/>
      <c r="E23" s="156"/>
      <c r="F23" s="156"/>
      <c r="G23" s="156"/>
      <c r="H23" s="156"/>
      <c r="I23" s="156"/>
      <c r="J23" s="156"/>
      <c r="K23" s="156"/>
      <c r="L23" s="156"/>
      <c r="M23" s="156"/>
      <c r="N23" s="156"/>
    </row>
    <row r="24" spans="2:14" ht="15" customHeight="1" x14ac:dyDescent="0.3">
      <c r="B24" s="225" t="s">
        <v>200</v>
      </c>
      <c r="C24" s="226"/>
      <c r="D24" s="226"/>
      <c r="E24" s="226"/>
      <c r="F24" s="226"/>
      <c r="G24" s="226"/>
      <c r="H24" s="226"/>
      <c r="I24" s="226"/>
      <c r="J24" s="226"/>
      <c r="K24" s="226"/>
      <c r="L24" s="226"/>
      <c r="M24" s="226"/>
      <c r="N24" s="226"/>
    </row>
    <row r="25" spans="2:14" ht="18" customHeight="1" x14ac:dyDescent="0.3">
      <c r="B25" s="672" t="s">
        <v>201</v>
      </c>
      <c r="C25" s="673"/>
      <c r="D25" s="673"/>
      <c r="E25" s="673"/>
      <c r="F25" s="673"/>
      <c r="G25" s="673"/>
      <c r="H25" s="673"/>
      <c r="I25" s="673"/>
      <c r="J25" s="673"/>
      <c r="K25" s="673"/>
      <c r="L25" s="673"/>
      <c r="M25" s="673"/>
      <c r="N25" s="673"/>
    </row>
    <row r="26" spans="2:14" ht="15" customHeight="1" x14ac:dyDescent="0.3">
      <c r="B26" s="118"/>
      <c r="C26" s="131"/>
      <c r="D26" s="131"/>
      <c r="E26" s="131"/>
      <c r="F26" s="131"/>
      <c r="G26" s="131"/>
      <c r="H26" s="131"/>
      <c r="I26" s="131"/>
      <c r="J26" s="131"/>
      <c r="K26" s="131"/>
      <c r="L26" s="131"/>
      <c r="M26" s="131"/>
      <c r="N26" s="131"/>
    </row>
    <row r="27" spans="2:14" ht="15" customHeight="1" x14ac:dyDescent="0.3">
      <c r="B27" s="225" t="s">
        <v>202</v>
      </c>
      <c r="C27" s="226"/>
      <c r="D27" s="226"/>
      <c r="E27" s="226"/>
      <c r="F27" s="226"/>
      <c r="G27" s="226"/>
      <c r="H27" s="226"/>
      <c r="I27" s="226"/>
      <c r="J27" s="226"/>
      <c r="K27" s="226"/>
      <c r="L27" s="226"/>
      <c r="M27" s="226"/>
      <c r="N27" s="226"/>
    </row>
    <row r="28" spans="2:14" ht="43.2" customHeight="1" x14ac:dyDescent="0.3">
      <c r="B28" s="668" t="s">
        <v>203</v>
      </c>
      <c r="C28" s="671"/>
      <c r="D28" s="671"/>
      <c r="E28" s="671"/>
      <c r="F28" s="671"/>
      <c r="G28" s="671"/>
      <c r="H28" s="671"/>
      <c r="I28" s="671"/>
      <c r="J28" s="671"/>
      <c r="K28" s="671"/>
      <c r="L28" s="671"/>
      <c r="M28" s="671"/>
      <c r="N28" s="671"/>
    </row>
    <row r="29" spans="2:14" ht="15" customHeight="1" x14ac:dyDescent="0.3">
      <c r="B29" s="225" t="s">
        <v>204</v>
      </c>
      <c r="C29" s="226"/>
      <c r="D29" s="226"/>
      <c r="E29" s="226"/>
      <c r="F29" s="226"/>
      <c r="G29" s="226"/>
      <c r="H29" s="226"/>
      <c r="I29" s="226"/>
      <c r="J29" s="226"/>
      <c r="K29" s="226"/>
      <c r="L29" s="226"/>
      <c r="M29" s="226"/>
      <c r="N29" s="226"/>
    </row>
    <row r="30" spans="2:14" ht="93.75" customHeight="1" x14ac:dyDescent="0.3">
      <c r="B30" s="668" t="s">
        <v>205</v>
      </c>
      <c r="C30" s="668"/>
      <c r="D30" s="668"/>
      <c r="E30" s="668"/>
      <c r="F30" s="668"/>
      <c r="G30" s="668"/>
      <c r="H30" s="668"/>
      <c r="I30" s="668"/>
      <c r="J30" s="668"/>
      <c r="K30" s="668"/>
      <c r="L30" s="668"/>
      <c r="M30" s="668"/>
      <c r="N30" s="668"/>
    </row>
    <row r="31" spans="2:14" ht="15" customHeight="1" x14ac:dyDescent="0.3">
      <c r="B31" s="227" t="s">
        <v>206</v>
      </c>
      <c r="C31" s="228"/>
      <c r="D31" s="228"/>
      <c r="E31" s="228"/>
      <c r="F31" s="228"/>
      <c r="G31" s="228"/>
      <c r="H31" s="228"/>
      <c r="I31" s="228"/>
      <c r="J31" s="228"/>
      <c r="K31" s="228"/>
      <c r="L31" s="228"/>
      <c r="M31" s="228"/>
      <c r="N31" s="228"/>
    </row>
    <row r="32" spans="2:14" ht="15" customHeight="1" x14ac:dyDescent="0.3">
      <c r="B32" s="229"/>
      <c r="C32" s="230" t="s">
        <v>207</v>
      </c>
      <c r="D32" s="228"/>
      <c r="E32" s="228"/>
      <c r="F32" s="228"/>
      <c r="G32" s="228"/>
      <c r="H32" s="228"/>
      <c r="I32" s="228"/>
      <c r="J32" s="228"/>
      <c r="K32" s="228"/>
      <c r="L32" s="228"/>
      <c r="M32" s="228"/>
      <c r="N32" s="228"/>
    </row>
    <row r="33" spans="2:14" ht="15" customHeight="1" x14ac:dyDescent="0.3">
      <c r="B33" s="228"/>
      <c r="C33" s="230" t="s">
        <v>208</v>
      </c>
      <c r="D33" s="228"/>
      <c r="E33" s="228"/>
      <c r="F33" s="228"/>
      <c r="G33" s="228"/>
      <c r="H33" s="228"/>
      <c r="I33" s="228"/>
      <c r="J33" s="228"/>
      <c r="K33" s="228"/>
      <c r="L33" s="228"/>
      <c r="M33" s="228"/>
      <c r="N33" s="228"/>
    </row>
    <row r="34" spans="2:14" ht="15" customHeight="1" x14ac:dyDescent="0.3">
      <c r="B34" s="228"/>
      <c r="C34" s="230" t="s">
        <v>209</v>
      </c>
      <c r="D34" s="228"/>
      <c r="E34" s="228"/>
      <c r="F34" s="228"/>
      <c r="G34" s="228"/>
      <c r="H34" s="228"/>
      <c r="I34" s="228"/>
      <c r="J34" s="228"/>
      <c r="K34" s="228"/>
      <c r="L34" s="228"/>
      <c r="M34" s="228"/>
      <c r="N34" s="228"/>
    </row>
    <row r="35" spans="2:14" ht="63" customHeight="1" x14ac:dyDescent="0.3">
      <c r="B35" s="228"/>
      <c r="C35" s="669" t="s">
        <v>210</v>
      </c>
      <c r="D35" s="670"/>
      <c r="E35" s="670"/>
      <c r="F35" s="670"/>
      <c r="G35" s="670"/>
      <c r="H35" s="670"/>
      <c r="I35" s="670"/>
      <c r="J35" s="670"/>
      <c r="K35" s="670"/>
      <c r="L35" s="670"/>
      <c r="M35" s="670"/>
      <c r="N35" s="670"/>
    </row>
    <row r="36" spans="2:14" ht="25.5" customHeight="1" x14ac:dyDescent="0.3">
      <c r="B36" s="156"/>
      <c r="C36" s="230" t="s">
        <v>211</v>
      </c>
      <c r="D36" s="156"/>
      <c r="E36" s="156"/>
      <c r="F36" s="156"/>
      <c r="G36" s="156"/>
      <c r="H36" s="156"/>
      <c r="I36" s="156"/>
      <c r="J36" s="156"/>
      <c r="K36" s="156"/>
      <c r="L36" s="156"/>
      <c r="M36" s="156"/>
      <c r="N36" s="156"/>
    </row>
    <row r="37" spans="2:14" ht="15" customHeight="1" x14ac:dyDescent="0.3">
      <c r="B37" s="225" t="s">
        <v>367</v>
      </c>
      <c r="C37" s="226"/>
      <c r="D37" s="226"/>
      <c r="E37" s="226"/>
      <c r="F37" s="226"/>
      <c r="G37" s="226"/>
      <c r="H37" s="226"/>
      <c r="I37" s="226"/>
      <c r="J37" s="226"/>
      <c r="K37" s="226"/>
      <c r="L37" s="226"/>
      <c r="M37" s="226"/>
      <c r="N37" s="226"/>
    </row>
    <row r="38" spans="2:14" ht="62.25" customHeight="1" x14ac:dyDescent="0.3">
      <c r="B38" s="668" t="s">
        <v>381</v>
      </c>
      <c r="C38" s="668"/>
      <c r="D38" s="668"/>
      <c r="E38" s="668"/>
      <c r="F38" s="668"/>
      <c r="G38" s="668"/>
      <c r="H38" s="668"/>
      <c r="I38" s="668"/>
      <c r="J38" s="668"/>
      <c r="K38" s="668"/>
      <c r="L38" s="668"/>
      <c r="M38" s="668"/>
      <c r="N38" s="668"/>
    </row>
  </sheetData>
  <sheetProtection algorithmName="SHA-512" hashValue="kmkRvg5Z4uvRY4dk+zvsBlHUW0tAmA5Pra7igNJ4UFoDBkG5eU+AcLHrBEqdk83DWC/z3s9bpCt8KdhS6z1gqQ==" saltValue="zF5fnoxJp17hb79pJm1Dpw==" spinCount="100000" sheet="1" objects="1" scenarios="1"/>
  <mergeCells count="10">
    <mergeCell ref="B38:N38"/>
    <mergeCell ref="B30:N30"/>
    <mergeCell ref="C35:N35"/>
    <mergeCell ref="B28:N28"/>
    <mergeCell ref="B14:N14"/>
    <mergeCell ref="B18:N18"/>
    <mergeCell ref="B20:N20"/>
    <mergeCell ref="B22:N22"/>
    <mergeCell ref="B25:N25"/>
    <mergeCell ref="B16:N16"/>
  </mergeCells>
  <pageMargins left="0.23622047244094491" right="0.23622047244094491" top="0.23622047244094491" bottom="0.23622047244094491" header="0" footer="0"/>
  <pageSetup paperSize="9" scale="80" orientation="portrait" r:id="rId1"/>
  <headerFooter>
    <oddFooter>&amp;L_x000D_&amp;1#&amp;"Calibri"&amp;10&amp;K000000 Intern gebruik</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3C630-EF7A-44F5-84D1-93690A8F53F6}">
  <sheetPr codeName="Blad9">
    <tabColor rgb="FFFFFF00"/>
  </sheetPr>
  <dimension ref="B1:AB156"/>
  <sheetViews>
    <sheetView showGridLines="0" topLeftCell="A20" zoomScale="80" zoomScaleNormal="80" workbookViewId="0">
      <selection activeCell="L42" sqref="L42"/>
    </sheetView>
  </sheetViews>
  <sheetFormatPr defaultColWidth="14.44140625" defaultRowHeight="15" customHeight="1" x14ac:dyDescent="0.3"/>
  <cols>
    <col min="1" max="1" width="3.44140625" style="50" customWidth="1"/>
    <col min="2" max="2" width="3.44140625" style="49" customWidth="1"/>
    <col min="3" max="3" width="15.44140625" style="48" customWidth="1"/>
    <col min="4" max="4" width="20.6640625" style="50" customWidth="1"/>
    <col min="5" max="5" width="32.6640625" style="50" customWidth="1"/>
    <col min="6" max="6" width="20.44140625" style="50" customWidth="1"/>
    <col min="7" max="7" width="29.88671875" style="50" customWidth="1"/>
    <col min="8" max="8" width="25.6640625" style="50" customWidth="1"/>
    <col min="9" max="9" width="24.33203125" style="105" customWidth="1"/>
    <col min="10" max="10" width="21.33203125" style="105" customWidth="1"/>
    <col min="11" max="11" width="20.33203125" style="105" customWidth="1"/>
    <col min="12" max="12" width="25.33203125" style="105" customWidth="1"/>
    <col min="13" max="13" width="19.6640625" style="105" customWidth="1"/>
    <col min="14" max="15" width="17.6640625" style="50" customWidth="1"/>
    <col min="16" max="16" width="26.33203125" style="49" customWidth="1"/>
    <col min="17" max="17" width="34" style="50" hidden="1" customWidth="1"/>
    <col min="18" max="18" width="20.44140625" style="105" hidden="1" customWidth="1"/>
    <col min="19" max="19" width="45.44140625" style="105" hidden="1" customWidth="1"/>
    <col min="20" max="20" width="31.44140625" style="105" hidden="1" customWidth="1"/>
    <col min="21" max="21" width="23.44140625" style="50" hidden="1" customWidth="1"/>
    <col min="22" max="23" width="24.88671875" style="50" hidden="1" customWidth="1"/>
    <col min="24" max="24" width="17.88671875" style="50" hidden="1" customWidth="1"/>
    <col min="25" max="25" width="9.109375" style="50" hidden="1" customWidth="1"/>
    <col min="26" max="26" width="12.109375" style="50" hidden="1" customWidth="1"/>
    <col min="27" max="27" width="9.109375" style="50" hidden="1" customWidth="1"/>
    <col min="28" max="28" width="16.44140625" style="50" hidden="1" customWidth="1"/>
    <col min="29" max="30" width="9.109375" style="50" customWidth="1"/>
    <col min="31" max="16384" width="14.44140625" style="50"/>
  </cols>
  <sheetData>
    <row r="1" spans="2:20" ht="24" customHeight="1" x14ac:dyDescent="0.3">
      <c r="B1" s="50"/>
      <c r="C1" s="42"/>
      <c r="D1" s="42"/>
      <c r="E1" s="42"/>
      <c r="F1" s="42"/>
      <c r="G1" s="42"/>
      <c r="H1" s="42"/>
      <c r="I1" s="43"/>
      <c r="J1" s="43"/>
      <c r="K1" s="43"/>
      <c r="L1" s="43"/>
      <c r="M1" s="43"/>
      <c r="N1" s="49"/>
    </row>
    <row r="2" spans="2:20" ht="24" customHeight="1" x14ac:dyDescent="0.3">
      <c r="C2" s="232" t="s">
        <v>212</v>
      </c>
      <c r="D2" s="44"/>
      <c r="E2" s="44"/>
      <c r="F2" s="44"/>
      <c r="G2" s="44"/>
      <c r="H2" s="44"/>
      <c r="I2" s="45"/>
      <c r="J2" s="43"/>
      <c r="K2" s="43"/>
      <c r="L2" s="43"/>
      <c r="M2" s="43"/>
      <c r="N2" s="49"/>
    </row>
    <row r="3" spans="2:20" ht="24" customHeight="1" x14ac:dyDescent="0.3">
      <c r="C3" s="232" t="s">
        <v>213</v>
      </c>
      <c r="D3" s="44"/>
      <c r="E3" s="44"/>
      <c r="F3" s="44"/>
      <c r="G3" s="44"/>
      <c r="H3" s="44"/>
      <c r="I3" s="45"/>
      <c r="J3" s="43"/>
      <c r="K3" s="43"/>
      <c r="L3" s="43"/>
      <c r="M3" s="43"/>
      <c r="N3" s="49"/>
    </row>
    <row r="4" spans="2:20" ht="24" customHeight="1" thickBot="1" x14ac:dyDescent="0.35">
      <c r="C4" s="42"/>
      <c r="D4" s="44"/>
      <c r="E4" s="44"/>
      <c r="F4" s="44"/>
      <c r="G4" s="44"/>
      <c r="H4" s="44"/>
      <c r="I4" s="45"/>
      <c r="J4" s="43"/>
      <c r="K4" s="43"/>
      <c r="L4" s="43"/>
      <c r="M4" s="43"/>
      <c r="N4" s="49"/>
    </row>
    <row r="5" spans="2:20" ht="17.25" customHeight="1" x14ac:dyDescent="0.3">
      <c r="B5" s="345"/>
      <c r="C5" s="346" t="s">
        <v>214</v>
      </c>
      <c r="D5" s="347"/>
      <c r="E5" s="347"/>
      <c r="F5" s="348"/>
      <c r="G5" s="348"/>
      <c r="H5" s="348"/>
      <c r="I5" s="349"/>
      <c r="J5" s="350"/>
      <c r="K5" s="43"/>
      <c r="L5" s="43"/>
      <c r="M5" s="43"/>
      <c r="N5" s="49"/>
    </row>
    <row r="6" spans="2:20" ht="16.5" customHeight="1" x14ac:dyDescent="0.3">
      <c r="B6" s="351"/>
      <c r="C6" s="352" t="s">
        <v>121</v>
      </c>
      <c r="D6" s="680"/>
      <c r="E6" s="681"/>
      <c r="F6" s="684" t="s">
        <v>348</v>
      </c>
      <c r="G6" s="684"/>
      <c r="H6" s="684"/>
      <c r="I6" s="684"/>
      <c r="J6" s="685"/>
      <c r="K6" s="43"/>
      <c r="L6" s="43"/>
      <c r="M6" s="43"/>
      <c r="N6" s="49"/>
    </row>
    <row r="7" spans="2:20" ht="19.5" customHeight="1" x14ac:dyDescent="0.3">
      <c r="B7" s="351"/>
      <c r="C7" s="353" t="s">
        <v>122</v>
      </c>
      <c r="D7" s="682" t="s">
        <v>215</v>
      </c>
      <c r="E7" s="683"/>
      <c r="F7" s="684"/>
      <c r="G7" s="684"/>
      <c r="H7" s="684"/>
      <c r="I7" s="684"/>
      <c r="J7" s="685"/>
      <c r="K7" s="43"/>
      <c r="L7" s="43"/>
      <c r="M7" s="43"/>
      <c r="N7" s="49"/>
    </row>
    <row r="8" spans="2:20" ht="16.5" customHeight="1" x14ac:dyDescent="0.3">
      <c r="B8" s="351"/>
      <c r="C8" s="53" t="s">
        <v>216</v>
      </c>
      <c r="D8" s="678"/>
      <c r="E8" s="679"/>
      <c r="F8" s="684"/>
      <c r="G8" s="684"/>
      <c r="H8" s="684"/>
      <c r="I8" s="684"/>
      <c r="J8" s="685"/>
      <c r="K8" s="43"/>
      <c r="L8" s="43"/>
      <c r="M8" s="43"/>
      <c r="N8" s="49"/>
    </row>
    <row r="9" spans="2:20" s="48" customFormat="1" ht="16.5" customHeight="1" x14ac:dyDescent="0.3">
      <c r="B9" s="354"/>
      <c r="C9" s="355" t="s">
        <v>217</v>
      </c>
      <c r="D9" s="678"/>
      <c r="E9" s="679"/>
      <c r="F9" s="684"/>
      <c r="G9" s="684"/>
      <c r="H9" s="684"/>
      <c r="I9" s="684"/>
      <c r="J9" s="685"/>
      <c r="K9" s="42"/>
      <c r="L9" s="42"/>
      <c r="M9" s="42"/>
      <c r="N9" s="42"/>
      <c r="P9" s="42"/>
      <c r="R9" s="105"/>
      <c r="S9" s="105"/>
      <c r="T9" s="105"/>
    </row>
    <row r="10" spans="2:20" ht="16.5" customHeight="1" x14ac:dyDescent="0.3">
      <c r="B10" s="351"/>
      <c r="C10" s="356" t="str">
        <f>IF((D9-D8)/365.25&gt;3,"De looptijd is langer dan 3 jaar","")</f>
        <v/>
      </c>
      <c r="E10" s="44"/>
      <c r="F10" s="684"/>
      <c r="G10" s="684"/>
      <c r="H10" s="684"/>
      <c r="I10" s="684"/>
      <c r="J10" s="685"/>
      <c r="K10" s="49"/>
      <c r="L10" s="49"/>
      <c r="M10" s="49"/>
      <c r="N10" s="49"/>
    </row>
    <row r="11" spans="2:20" s="49" customFormat="1" ht="16.5" customHeight="1" x14ac:dyDescent="0.3">
      <c r="B11" s="351"/>
      <c r="C11" s="46" t="s">
        <v>218</v>
      </c>
      <c r="D11" s="44"/>
      <c r="E11" s="52"/>
      <c r="F11" s="684"/>
      <c r="G11" s="684"/>
      <c r="H11" s="684"/>
      <c r="I11" s="684"/>
      <c r="J11" s="685"/>
      <c r="O11" s="50"/>
      <c r="R11" s="43"/>
      <c r="S11" s="43"/>
      <c r="T11" s="43"/>
    </row>
    <row r="12" spans="2:20" s="49" customFormat="1" ht="16.5" customHeight="1" x14ac:dyDescent="0.3">
      <c r="B12" s="351"/>
      <c r="C12" s="47" t="s">
        <v>219</v>
      </c>
      <c r="D12" s="73"/>
      <c r="F12" s="357"/>
      <c r="G12" s="357"/>
      <c r="I12" s="45"/>
      <c r="J12" s="358"/>
      <c r="O12" s="50"/>
      <c r="R12" s="43"/>
      <c r="S12" s="43"/>
      <c r="T12" s="43"/>
    </row>
    <row r="13" spans="2:20" ht="16.5" customHeight="1" x14ac:dyDescent="0.3">
      <c r="B13" s="351"/>
      <c r="C13" s="47" t="s">
        <v>125</v>
      </c>
      <c r="D13" s="73"/>
      <c r="E13" s="302" t="str">
        <f>IFERROR(IF(AND(D6&lt;#REF!,D6&gt;0),"Het project mag niet gestart zijn voor indiening van de aanvraag, anders komt u niet in aanmerking voor subsidie",""),"")</f>
        <v/>
      </c>
      <c r="F13" s="359"/>
      <c r="G13" s="359"/>
      <c r="H13" s="49"/>
      <c r="I13" s="43"/>
      <c r="J13" s="358"/>
      <c r="K13" s="49"/>
      <c r="L13" s="49"/>
      <c r="M13" s="49"/>
      <c r="N13" s="49"/>
    </row>
    <row r="14" spans="2:20" ht="16.5" customHeight="1" x14ac:dyDescent="0.3">
      <c r="B14" s="351"/>
      <c r="C14" s="50"/>
      <c r="E14" s="677" t="str">
        <f>IFERROR(IF(D7-D6&gt;=(365*3),"Het project moet binnen 36 maanden uitgevoerd worden, anders komt u niet in aanmerking voor subsidie",""),"")</f>
        <v/>
      </c>
      <c r="F14" s="677"/>
      <c r="G14" s="677"/>
      <c r="H14" s="677"/>
      <c r="I14" s="303"/>
      <c r="J14" s="358"/>
      <c r="K14" s="49"/>
      <c r="L14" s="49"/>
      <c r="M14" s="49"/>
      <c r="N14" s="49"/>
    </row>
    <row r="15" spans="2:20" ht="16.5" customHeight="1" x14ac:dyDescent="0.3">
      <c r="B15" s="351"/>
      <c r="C15" s="51" t="s">
        <v>221</v>
      </c>
      <c r="D15" s="44"/>
      <c r="E15" s="44"/>
      <c r="F15" s="692"/>
      <c r="G15" s="692"/>
      <c r="H15" s="304"/>
      <c r="J15" s="360"/>
    </row>
    <row r="16" spans="2:20" ht="16.5" customHeight="1" x14ac:dyDescent="0.3">
      <c r="B16" s="351"/>
      <c r="C16" s="693" t="s">
        <v>222</v>
      </c>
      <c r="D16" s="693"/>
      <c r="E16" s="693"/>
      <c r="F16" s="676"/>
      <c r="G16" s="676"/>
      <c r="H16" s="245" t="str">
        <f>IF(AND(F16&lt;&gt;"",F16&lt;1000),"Als dagcapaciteit niet minstens 1000 kg bedraagt, komt het project niet voor subsidie in aanmerking","")</f>
        <v/>
      </c>
      <c r="J16" s="360"/>
    </row>
    <row r="17" spans="2:20" ht="16.5" customHeight="1" x14ac:dyDescent="0.3">
      <c r="B17" s="351"/>
      <c r="C17" s="694" t="s">
        <v>223</v>
      </c>
      <c r="D17" s="694"/>
      <c r="E17" s="694"/>
      <c r="F17" s="676"/>
      <c r="G17" s="676"/>
      <c r="H17" s="245" t="str">
        <f>IF(AND(F17&lt;&gt;"",F17&lt;1000),"Als opschaalbaarheid niet minstens 1000 kg bedraagt, komt het project niet voor subsidie in aanmerking","")</f>
        <v/>
      </c>
      <c r="J17" s="360"/>
    </row>
    <row r="18" spans="2:20" ht="16.5" customHeight="1" x14ac:dyDescent="0.3">
      <c r="B18" s="351"/>
      <c r="C18" s="53" t="s">
        <v>224</v>
      </c>
      <c r="D18" s="54"/>
      <c r="E18" s="361"/>
      <c r="F18" s="676"/>
      <c r="G18" s="676"/>
      <c r="H18" s="245"/>
      <c r="J18" s="360"/>
    </row>
    <row r="19" spans="2:20" ht="16.5" customHeight="1" x14ac:dyDescent="0.3">
      <c r="B19" s="351"/>
      <c r="C19" s="53" t="s">
        <v>225</v>
      </c>
      <c r="D19" s="54"/>
      <c r="E19" s="361"/>
      <c r="F19" s="676"/>
      <c r="G19" s="676"/>
      <c r="H19" s="245"/>
      <c r="J19" s="360"/>
    </row>
    <row r="20" spans="2:20" ht="16.5" customHeight="1" x14ac:dyDescent="0.3">
      <c r="B20" s="351"/>
      <c r="C20" s="53" t="s">
        <v>226</v>
      </c>
      <c r="D20" s="54"/>
      <c r="E20" s="361"/>
      <c r="F20" s="676"/>
      <c r="G20" s="676"/>
      <c r="H20" s="245"/>
      <c r="J20" s="360"/>
    </row>
    <row r="21" spans="2:20" s="49" customFormat="1" ht="16.5" customHeight="1" x14ac:dyDescent="0.3">
      <c r="B21" s="351"/>
      <c r="C21" s="44"/>
      <c r="D21" s="44"/>
      <c r="E21" s="44"/>
      <c r="F21" s="44"/>
      <c r="G21" s="44"/>
      <c r="H21" s="52"/>
      <c r="I21" s="45"/>
      <c r="J21" s="362"/>
      <c r="K21" s="45"/>
      <c r="L21" s="45"/>
      <c r="M21" s="45"/>
      <c r="N21" s="44"/>
      <c r="O21" s="48"/>
      <c r="R21" s="43"/>
      <c r="S21" s="43"/>
      <c r="T21" s="43"/>
    </row>
    <row r="22" spans="2:20" s="49" customFormat="1" ht="16.5" customHeight="1" x14ac:dyDescent="0.3">
      <c r="B22" s="351"/>
      <c r="C22" s="51" t="s">
        <v>227</v>
      </c>
      <c r="D22" s="44"/>
      <c r="E22" s="44"/>
      <c r="F22" s="44"/>
      <c r="G22" s="44"/>
      <c r="H22" s="52"/>
      <c r="I22" s="45"/>
      <c r="J22" s="362"/>
      <c r="K22" s="45"/>
      <c r="L22" s="45"/>
      <c r="M22" s="45"/>
      <c r="N22" s="44"/>
      <c r="O22" s="48"/>
      <c r="R22" s="43"/>
      <c r="S22" s="43"/>
      <c r="T22" s="43"/>
    </row>
    <row r="23" spans="2:20" ht="31.2" customHeight="1" x14ac:dyDescent="0.3">
      <c r="B23" s="351"/>
      <c r="C23" s="693" t="s">
        <v>228</v>
      </c>
      <c r="D23" s="693"/>
      <c r="E23" s="693"/>
      <c r="F23" s="695"/>
      <c r="G23" s="676"/>
      <c r="J23" s="360"/>
    </row>
    <row r="24" spans="2:20" ht="23.7" customHeight="1" x14ac:dyDescent="0.3">
      <c r="B24" s="351"/>
      <c r="C24" s="698" t="s">
        <v>229</v>
      </c>
      <c r="D24" s="698"/>
      <c r="E24" s="698"/>
      <c r="F24" s="605" t="b">
        <v>0</v>
      </c>
      <c r="G24" s="322"/>
      <c r="J24" s="360"/>
    </row>
    <row r="25" spans="2:20" ht="23.7" customHeight="1" x14ac:dyDescent="0.3">
      <c r="B25" s="351"/>
      <c r="C25" s="698"/>
      <c r="D25" s="698"/>
      <c r="E25" s="698"/>
      <c r="F25" s="605" t="b">
        <v>0</v>
      </c>
      <c r="G25" s="241"/>
      <c r="J25" s="360"/>
    </row>
    <row r="26" spans="2:20" ht="23.7" customHeight="1" x14ac:dyDescent="0.3">
      <c r="B26" s="351"/>
      <c r="C26" s="698"/>
      <c r="D26" s="698"/>
      <c r="E26" s="698"/>
      <c r="F26" s="605" t="b">
        <v>0</v>
      </c>
      <c r="G26" s="323"/>
      <c r="J26" s="360"/>
    </row>
    <row r="27" spans="2:20" ht="16.5" customHeight="1" x14ac:dyDescent="0.3">
      <c r="B27" s="351"/>
      <c r="C27" s="363"/>
      <c r="D27" s="364"/>
      <c r="E27" s="364"/>
      <c r="F27" s="364"/>
      <c r="G27" s="364"/>
      <c r="H27" s="363"/>
      <c r="I27" s="365"/>
      <c r="J27" s="366"/>
      <c r="K27" s="367"/>
      <c r="L27" s="367"/>
      <c r="M27" s="367"/>
      <c r="N27" s="368"/>
      <c r="O27" s="369"/>
      <c r="P27" s="363"/>
    </row>
    <row r="28" spans="2:20" ht="16.5" customHeight="1" x14ac:dyDescent="0.3">
      <c r="B28" s="351"/>
      <c r="C28" s="51" t="s">
        <v>233</v>
      </c>
      <c r="D28" s="364"/>
      <c r="E28" s="364"/>
      <c r="F28" s="364"/>
      <c r="G28" s="364"/>
      <c r="H28" s="363"/>
      <c r="I28" s="365"/>
      <c r="J28" s="366"/>
      <c r="K28" s="367"/>
      <c r="L28" s="367"/>
      <c r="M28" s="367"/>
      <c r="N28" s="368"/>
      <c r="O28" s="369"/>
      <c r="P28" s="363"/>
    </row>
    <row r="29" spans="2:20" ht="29.25" customHeight="1" x14ac:dyDescent="0.3">
      <c r="B29" s="351"/>
      <c r="C29" s="629" t="s">
        <v>97</v>
      </c>
      <c r="D29" s="629"/>
      <c r="E29" s="629"/>
      <c r="F29" s="676"/>
      <c r="G29" s="676"/>
      <c r="H29" s="363"/>
      <c r="I29" s="365"/>
      <c r="J29" s="366"/>
      <c r="K29" s="367"/>
      <c r="L29" s="367"/>
      <c r="M29" s="367"/>
      <c r="N29" s="368"/>
      <c r="O29" s="369"/>
      <c r="P29" s="363"/>
    </row>
    <row r="30" spans="2:20" ht="28.95" customHeight="1" x14ac:dyDescent="0.3">
      <c r="B30" s="351"/>
      <c r="C30" s="638" t="s">
        <v>98</v>
      </c>
      <c r="D30" s="638"/>
      <c r="E30" s="638"/>
      <c r="F30" s="676"/>
      <c r="G30" s="676"/>
      <c r="H30" s="245" t="str">
        <f>IF(AND(F30&lt;2),"Er moeten minstens twee onafhankelijk werkende tankpunten zijn, geschikt voor wegvervoer, om het project voor subsidie in aanmerking te kunnen laten komen","")</f>
        <v>Er moeten minstens twee onafhankelijk werkende tankpunten zijn, geschikt voor wegvervoer, om het project voor subsidie in aanmerking te kunnen laten komen</v>
      </c>
      <c r="J30" s="360"/>
    </row>
    <row r="31" spans="2:20" ht="31.2" customHeight="1" x14ac:dyDescent="0.3">
      <c r="B31" s="351"/>
      <c r="C31" s="638" t="s">
        <v>234</v>
      </c>
      <c r="D31" s="638"/>
      <c r="E31" s="638"/>
      <c r="F31" s="676"/>
      <c r="G31" s="676"/>
      <c r="H31" s="363"/>
      <c r="I31" s="365"/>
      <c r="J31" s="366"/>
      <c r="K31" s="367"/>
      <c r="L31" s="367"/>
      <c r="M31" s="367"/>
      <c r="N31" s="368"/>
      <c r="O31" s="369"/>
      <c r="P31" s="363"/>
    </row>
    <row r="32" spans="2:20" ht="16.5" customHeight="1" thickBot="1" x14ac:dyDescent="0.35">
      <c r="B32" s="370"/>
      <c r="C32" s="371"/>
      <c r="D32" s="372"/>
      <c r="E32" s="372"/>
      <c r="F32" s="372"/>
      <c r="G32" s="372"/>
      <c r="H32" s="371"/>
      <c r="I32" s="373"/>
      <c r="J32" s="374"/>
      <c r="K32" s="367"/>
      <c r="L32" s="367"/>
      <c r="M32" s="367"/>
      <c r="N32" s="368"/>
      <c r="O32" s="369"/>
      <c r="P32" s="363"/>
    </row>
    <row r="33" spans="3:28" ht="16.5" customHeight="1" x14ac:dyDescent="0.3">
      <c r="C33" s="363"/>
      <c r="D33" s="364"/>
      <c r="E33" s="364"/>
      <c r="F33" s="364"/>
      <c r="G33" s="364"/>
      <c r="H33" s="363"/>
      <c r="I33" s="365"/>
      <c r="J33" s="367"/>
      <c r="K33" s="367"/>
      <c r="L33" s="367"/>
      <c r="M33" s="367"/>
      <c r="N33" s="368"/>
      <c r="O33" s="369"/>
      <c r="P33" s="363"/>
    </row>
    <row r="34" spans="3:28" ht="16.5" customHeight="1" x14ac:dyDescent="0.3">
      <c r="C34" s="46" t="s">
        <v>235</v>
      </c>
      <c r="D34" s="42"/>
      <c r="E34" s="42"/>
      <c r="F34" s="42"/>
      <c r="G34" s="42"/>
      <c r="H34" s="42"/>
      <c r="I34" s="43"/>
      <c r="J34" s="43"/>
      <c r="K34" s="43"/>
      <c r="L34" s="43"/>
      <c r="M34" s="43"/>
      <c r="N34" s="42"/>
      <c r="O34" s="48"/>
      <c r="P34" s="42"/>
      <c r="Q34" s="42"/>
      <c r="R34" s="43"/>
      <c r="T34" s="43"/>
    </row>
    <row r="35" spans="3:28" ht="16.5" customHeight="1" x14ac:dyDescent="0.3">
      <c r="C35" s="42" t="s">
        <v>236</v>
      </c>
      <c r="D35" s="42"/>
      <c r="E35" s="42"/>
      <c r="F35" s="42"/>
      <c r="G35" s="42"/>
      <c r="H35" s="42"/>
      <c r="I35" s="43"/>
      <c r="J35" s="43"/>
      <c r="K35" s="43"/>
      <c r="L35" s="43"/>
      <c r="M35" s="43"/>
      <c r="N35" s="42"/>
      <c r="O35" s="48"/>
      <c r="P35" s="42"/>
    </row>
    <row r="36" spans="3:28" ht="16.5" customHeight="1" x14ac:dyDescent="0.3">
      <c r="C36" s="46"/>
      <c r="D36" s="42"/>
      <c r="E36" s="42"/>
      <c r="F36" s="42"/>
      <c r="G36" s="42"/>
      <c r="H36" s="42"/>
      <c r="I36" s="43"/>
      <c r="J36" s="43"/>
      <c r="K36" s="43"/>
      <c r="L36" s="43"/>
      <c r="M36" s="43"/>
      <c r="N36" s="42"/>
      <c r="O36" s="48"/>
      <c r="P36" s="42"/>
      <c r="Q36" s="657" t="s">
        <v>152</v>
      </c>
      <c r="R36" s="657"/>
      <c r="S36" s="657"/>
      <c r="T36" s="674"/>
      <c r="U36" s="674"/>
      <c r="V36" s="674"/>
      <c r="W36" s="674"/>
      <c r="X36" s="674"/>
      <c r="Y36" s="674"/>
      <c r="Z36" s="674"/>
      <c r="AA36" s="674"/>
      <c r="AB36" s="674"/>
    </row>
    <row r="37" spans="3:28" ht="16.5" customHeight="1" x14ac:dyDescent="0.3">
      <c r="C37" s="59" t="s">
        <v>30</v>
      </c>
      <c r="D37" s="375"/>
      <c r="E37" s="375"/>
      <c r="F37" s="375"/>
      <c r="G37" s="375"/>
      <c r="H37" s="60"/>
      <c r="I37" s="61"/>
      <c r="J37" s="61"/>
      <c r="K37" s="61"/>
      <c r="L37" s="61"/>
      <c r="M37" s="49"/>
      <c r="N37" s="42"/>
      <c r="O37" s="48"/>
      <c r="P37" s="42"/>
      <c r="Q37" s="60"/>
      <c r="R37" s="109"/>
    </row>
    <row r="38" spans="3:28" ht="16.5" customHeight="1" x14ac:dyDescent="0.3">
      <c r="C38" s="696" t="s">
        <v>237</v>
      </c>
      <c r="D38" s="696"/>
      <c r="E38" s="696"/>
      <c r="F38" s="696"/>
      <c r="G38" s="696"/>
      <c r="H38" s="696" t="s">
        <v>238</v>
      </c>
      <c r="I38" s="696"/>
      <c r="J38" s="696"/>
      <c r="K38" s="699"/>
      <c r="L38" s="243" t="s">
        <v>239</v>
      </c>
      <c r="M38" s="62" t="s">
        <v>240</v>
      </c>
      <c r="N38" s="42"/>
      <c r="O38" s="48"/>
      <c r="P38" s="42"/>
      <c r="Q38" s="62" t="s">
        <v>241</v>
      </c>
      <c r="R38" s="106" t="s">
        <v>242</v>
      </c>
      <c r="S38" s="62" t="s">
        <v>243</v>
      </c>
      <c r="T38" s="245"/>
    </row>
    <row r="39" spans="3:28" ht="16.5" customHeight="1" x14ac:dyDescent="0.3">
      <c r="C39" s="688"/>
      <c r="D39" s="688"/>
      <c r="E39" s="688"/>
      <c r="F39" s="688"/>
      <c r="G39" s="688"/>
      <c r="H39" s="686"/>
      <c r="I39" s="686"/>
      <c r="J39" s="686"/>
      <c r="K39" s="687"/>
      <c r="L39" s="242"/>
      <c r="M39" s="75"/>
      <c r="N39" s="245" t="str">
        <f t="shared" ref="N39:N70" si="0">IF(AND(M39&gt;0, L39=""), "Fout: kies nog een type modaliteit voor deze kostensoort", "")</f>
        <v/>
      </c>
      <c r="O39" s="245"/>
      <c r="P39" s="42"/>
      <c r="Q39" s="117"/>
      <c r="R39" s="107">
        <f t="shared" ref="R39:R45" si="1">IF(Q39&gt;0,M39-Q39,M39)</f>
        <v>0</v>
      </c>
      <c r="S39" s="117" t="s">
        <v>347</v>
      </c>
      <c r="T39" s="376" t="str">
        <f>IF(AND(S39&lt;1,Q39&gt;0),"Vul de toelichting in","")</f>
        <v/>
      </c>
    </row>
    <row r="40" spans="3:28" ht="16.5" customHeight="1" x14ac:dyDescent="0.3">
      <c r="C40" s="688"/>
      <c r="D40" s="688"/>
      <c r="E40" s="688"/>
      <c r="F40" s="688"/>
      <c r="G40" s="688"/>
      <c r="H40" s="686"/>
      <c r="I40" s="686"/>
      <c r="J40" s="686"/>
      <c r="K40" s="687"/>
      <c r="L40" s="242" t="s">
        <v>244</v>
      </c>
      <c r="M40" s="75"/>
      <c r="N40" s="245" t="str">
        <f t="shared" si="0"/>
        <v/>
      </c>
      <c r="O40" s="245"/>
      <c r="P40" s="42"/>
      <c r="Q40" s="117"/>
      <c r="R40" s="107">
        <f t="shared" si="1"/>
        <v>0</v>
      </c>
      <c r="S40" s="117"/>
      <c r="T40" s="376" t="str">
        <f t="shared" ref="T40:T45" si="2">IF(AND(S40&lt;1,Q40&gt;0),"Vul de toelichting in","")</f>
        <v/>
      </c>
    </row>
    <row r="41" spans="3:28" ht="16.5" customHeight="1" x14ac:dyDescent="0.3">
      <c r="C41" s="688"/>
      <c r="D41" s="688"/>
      <c r="E41" s="688"/>
      <c r="F41" s="688"/>
      <c r="G41" s="688"/>
      <c r="H41" s="686"/>
      <c r="I41" s="686"/>
      <c r="J41" s="686"/>
      <c r="K41" s="687"/>
      <c r="L41" s="242"/>
      <c r="M41" s="75"/>
      <c r="N41" s="245" t="str">
        <f t="shared" si="0"/>
        <v/>
      </c>
      <c r="O41" s="245"/>
      <c r="P41" s="42"/>
      <c r="Q41" s="117"/>
      <c r="R41" s="107">
        <f t="shared" si="1"/>
        <v>0</v>
      </c>
      <c r="S41" s="117"/>
      <c r="T41" s="376" t="str">
        <f t="shared" si="2"/>
        <v/>
      </c>
    </row>
    <row r="42" spans="3:28" ht="16.5" customHeight="1" x14ac:dyDescent="0.3">
      <c r="C42" s="688"/>
      <c r="D42" s="688"/>
      <c r="E42" s="688"/>
      <c r="F42" s="688"/>
      <c r="G42" s="688"/>
      <c r="H42" s="686"/>
      <c r="I42" s="686"/>
      <c r="J42" s="686"/>
      <c r="K42" s="687"/>
      <c r="L42" s="242"/>
      <c r="M42" s="75"/>
      <c r="N42" s="245" t="str">
        <f t="shared" si="0"/>
        <v/>
      </c>
      <c r="O42" s="245"/>
      <c r="P42" s="42"/>
      <c r="Q42" s="117"/>
      <c r="R42" s="107">
        <f t="shared" si="1"/>
        <v>0</v>
      </c>
      <c r="S42" s="117"/>
      <c r="T42" s="376" t="str">
        <f t="shared" si="2"/>
        <v/>
      </c>
    </row>
    <row r="43" spans="3:28" ht="16.5" customHeight="1" x14ac:dyDescent="0.3">
      <c r="C43" s="688"/>
      <c r="D43" s="688"/>
      <c r="E43" s="688"/>
      <c r="F43" s="688"/>
      <c r="G43" s="688"/>
      <c r="H43" s="686"/>
      <c r="I43" s="686"/>
      <c r="J43" s="686"/>
      <c r="K43" s="687"/>
      <c r="L43" s="242"/>
      <c r="M43" s="75"/>
      <c r="N43" s="245" t="str">
        <f t="shared" si="0"/>
        <v/>
      </c>
      <c r="O43" s="245"/>
      <c r="P43" s="42"/>
      <c r="Q43" s="117"/>
      <c r="R43" s="107">
        <f t="shared" si="1"/>
        <v>0</v>
      </c>
      <c r="S43" s="117"/>
      <c r="T43" s="376" t="str">
        <f t="shared" si="2"/>
        <v/>
      </c>
    </row>
    <row r="44" spans="3:28" ht="16.5" customHeight="1" x14ac:dyDescent="0.3">
      <c r="C44" s="688"/>
      <c r="D44" s="688"/>
      <c r="E44" s="688"/>
      <c r="F44" s="688"/>
      <c r="G44" s="688"/>
      <c r="H44" s="686"/>
      <c r="I44" s="686"/>
      <c r="J44" s="686"/>
      <c r="K44" s="687"/>
      <c r="L44" s="242"/>
      <c r="M44" s="75"/>
      <c r="N44" s="245" t="str">
        <f t="shared" si="0"/>
        <v/>
      </c>
      <c r="O44" s="245"/>
      <c r="P44" s="42"/>
      <c r="Q44" s="117"/>
      <c r="R44" s="107">
        <f t="shared" si="1"/>
        <v>0</v>
      </c>
      <c r="S44" s="117"/>
      <c r="T44" s="376" t="str">
        <f t="shared" si="2"/>
        <v/>
      </c>
    </row>
    <row r="45" spans="3:28" ht="16.5" customHeight="1" x14ac:dyDescent="0.3">
      <c r="C45" s="688"/>
      <c r="D45" s="688"/>
      <c r="E45" s="688"/>
      <c r="F45" s="688"/>
      <c r="G45" s="688"/>
      <c r="H45" s="686"/>
      <c r="I45" s="686"/>
      <c r="J45" s="686"/>
      <c r="K45" s="687"/>
      <c r="L45" s="242"/>
      <c r="M45" s="75"/>
      <c r="N45" s="245" t="str">
        <f t="shared" si="0"/>
        <v/>
      </c>
      <c r="O45" s="245"/>
      <c r="P45" s="42"/>
      <c r="Q45" s="117"/>
      <c r="R45" s="107">
        <f t="shared" si="1"/>
        <v>0</v>
      </c>
      <c r="S45" s="117"/>
      <c r="T45" s="376" t="str">
        <f t="shared" si="2"/>
        <v/>
      </c>
    </row>
    <row r="46" spans="3:28" ht="16.5" customHeight="1" x14ac:dyDescent="0.3">
      <c r="C46" s="63"/>
      <c r="D46" s="64"/>
      <c r="E46" s="64"/>
      <c r="F46" s="64"/>
      <c r="G46" s="64"/>
      <c r="H46" s="65"/>
      <c r="I46" s="61"/>
      <c r="J46" s="61"/>
      <c r="L46" s="108" t="s">
        <v>245</v>
      </c>
      <c r="M46" s="68">
        <f>SUM(M39:M45)</f>
        <v>0</v>
      </c>
      <c r="N46" s="245" t="str">
        <f t="shared" si="0"/>
        <v/>
      </c>
      <c r="O46" s="245"/>
      <c r="P46" s="42"/>
      <c r="Q46" s="377">
        <f>SUM(Q39:Q45)</f>
        <v>0</v>
      </c>
      <c r="R46" s="107">
        <f>SUM(R39:R45)</f>
        <v>0</v>
      </c>
      <c r="S46" s="377"/>
      <c r="T46" s="245"/>
    </row>
    <row r="47" spans="3:28" ht="16.5" customHeight="1" x14ac:dyDescent="0.3">
      <c r="C47" s="63"/>
      <c r="D47" s="64"/>
      <c r="E47" s="64"/>
      <c r="F47" s="64"/>
      <c r="G47" s="64"/>
      <c r="H47" s="65"/>
      <c r="I47" s="61"/>
      <c r="J47" s="61"/>
      <c r="K47" s="108"/>
      <c r="L47" s="108"/>
      <c r="M47" s="236"/>
      <c r="N47" s="245" t="str">
        <f t="shared" si="0"/>
        <v/>
      </c>
      <c r="O47" s="245"/>
      <c r="P47" s="42"/>
      <c r="Q47" s="248"/>
      <c r="R47" s="248"/>
      <c r="S47" s="248"/>
      <c r="T47" s="245"/>
    </row>
    <row r="48" spans="3:28" ht="16.5" customHeight="1" x14ac:dyDescent="0.3">
      <c r="C48" s="59" t="s">
        <v>368</v>
      </c>
      <c r="D48" s="67"/>
      <c r="E48" s="67"/>
      <c r="F48" s="67"/>
      <c r="G48" s="67"/>
      <c r="H48" s="60"/>
      <c r="I48" s="61"/>
      <c r="J48" s="61"/>
      <c r="K48" s="61"/>
      <c r="L48" s="61"/>
      <c r="M48" s="49"/>
      <c r="N48" s="245" t="str">
        <f t="shared" ref="N48:N57" si="3">IF(AND(M48&gt;0, L48=""), "Fout: kies nog een type modaliteit voor deze kostensoort", "")</f>
        <v/>
      </c>
      <c r="O48" s="245"/>
      <c r="P48" s="42"/>
      <c r="Q48" s="109"/>
      <c r="S48" s="109"/>
      <c r="T48" s="245"/>
    </row>
    <row r="49" spans="3:20" ht="16.5" customHeight="1" x14ac:dyDescent="0.3">
      <c r="C49" s="696" t="s">
        <v>237</v>
      </c>
      <c r="D49" s="696"/>
      <c r="E49" s="696"/>
      <c r="F49" s="696"/>
      <c r="G49" s="696"/>
      <c r="H49" s="696" t="s">
        <v>238</v>
      </c>
      <c r="I49" s="696"/>
      <c r="J49" s="696"/>
      <c r="K49" s="699"/>
      <c r="L49" s="243" t="s">
        <v>239</v>
      </c>
      <c r="M49" s="62" t="s">
        <v>240</v>
      </c>
      <c r="N49" s="245" t="str">
        <f t="shared" si="3"/>
        <v/>
      </c>
      <c r="O49" s="245"/>
      <c r="P49" s="42"/>
      <c r="Q49" s="62" t="s">
        <v>241</v>
      </c>
      <c r="R49" s="106" t="s">
        <v>242</v>
      </c>
      <c r="S49" s="62" t="s">
        <v>243</v>
      </c>
      <c r="T49" s="245"/>
    </row>
    <row r="50" spans="3:20" ht="16.5" customHeight="1" x14ac:dyDescent="0.3">
      <c r="C50" s="688"/>
      <c r="D50" s="688"/>
      <c r="E50" s="688"/>
      <c r="F50" s="688"/>
      <c r="G50" s="688"/>
      <c r="H50" s="686"/>
      <c r="I50" s="686"/>
      <c r="J50" s="686"/>
      <c r="K50" s="687"/>
      <c r="L50" s="242"/>
      <c r="M50" s="75"/>
      <c r="N50" s="245" t="str">
        <f t="shared" si="3"/>
        <v/>
      </c>
      <c r="O50" s="245"/>
      <c r="P50" s="42"/>
      <c r="Q50" s="117"/>
      <c r="R50" s="107">
        <f t="shared" ref="R50:R56" si="4">IF(Q50&gt;0,M50-Q50,M50)</f>
        <v>0</v>
      </c>
      <c r="S50" s="117"/>
      <c r="T50" s="376" t="str">
        <f>IF(AND(S50&lt;1,Q50&gt;0),"Vul de toelichting in","")</f>
        <v/>
      </c>
    </row>
    <row r="51" spans="3:20" ht="16.5" customHeight="1" x14ac:dyDescent="0.3">
      <c r="C51" s="688"/>
      <c r="D51" s="688"/>
      <c r="E51" s="688"/>
      <c r="F51" s="688"/>
      <c r="G51" s="688"/>
      <c r="H51" s="686"/>
      <c r="I51" s="686"/>
      <c r="J51" s="686"/>
      <c r="K51" s="687"/>
      <c r="L51" s="242"/>
      <c r="M51" s="75"/>
      <c r="N51" s="245" t="str">
        <f t="shared" si="3"/>
        <v/>
      </c>
      <c r="O51" s="245"/>
      <c r="P51" s="42"/>
      <c r="Q51" s="117"/>
      <c r="R51" s="107">
        <f t="shared" si="4"/>
        <v>0</v>
      </c>
      <c r="S51" s="117"/>
      <c r="T51" s="376" t="str">
        <f t="shared" ref="T51:T56" si="5">IF(AND(S51&lt;1,Q51&gt;0),"Vul de toelichting in","")</f>
        <v/>
      </c>
    </row>
    <row r="52" spans="3:20" ht="16.5" customHeight="1" x14ac:dyDescent="0.3">
      <c r="C52" s="688"/>
      <c r="D52" s="688"/>
      <c r="E52" s="688"/>
      <c r="F52" s="688"/>
      <c r="G52" s="688"/>
      <c r="H52" s="686"/>
      <c r="I52" s="686"/>
      <c r="J52" s="686"/>
      <c r="K52" s="687"/>
      <c r="L52" s="242"/>
      <c r="M52" s="75"/>
      <c r="N52" s="245" t="str">
        <f t="shared" si="3"/>
        <v/>
      </c>
      <c r="O52" s="245"/>
      <c r="P52" s="42"/>
      <c r="Q52" s="117"/>
      <c r="R52" s="107">
        <f t="shared" si="4"/>
        <v>0</v>
      </c>
      <c r="S52" s="117"/>
      <c r="T52" s="376" t="str">
        <f t="shared" si="5"/>
        <v/>
      </c>
    </row>
    <row r="53" spans="3:20" ht="16.5" customHeight="1" x14ac:dyDescent="0.3">
      <c r="C53" s="688"/>
      <c r="D53" s="688"/>
      <c r="E53" s="688"/>
      <c r="F53" s="688"/>
      <c r="G53" s="688"/>
      <c r="H53" s="686"/>
      <c r="I53" s="686"/>
      <c r="J53" s="686"/>
      <c r="K53" s="687"/>
      <c r="L53" s="242"/>
      <c r="M53" s="75"/>
      <c r="N53" s="245" t="str">
        <f t="shared" si="3"/>
        <v/>
      </c>
      <c r="O53" s="245"/>
      <c r="P53" s="42"/>
      <c r="Q53" s="117"/>
      <c r="R53" s="107">
        <f t="shared" si="4"/>
        <v>0</v>
      </c>
      <c r="S53" s="117"/>
      <c r="T53" s="376" t="str">
        <f t="shared" si="5"/>
        <v/>
      </c>
    </row>
    <row r="54" spans="3:20" ht="16.5" customHeight="1" x14ac:dyDescent="0.3">
      <c r="C54" s="688"/>
      <c r="D54" s="688"/>
      <c r="E54" s="688"/>
      <c r="F54" s="688"/>
      <c r="G54" s="688"/>
      <c r="H54" s="686"/>
      <c r="I54" s="686"/>
      <c r="J54" s="686"/>
      <c r="K54" s="687"/>
      <c r="L54" s="242"/>
      <c r="M54" s="75"/>
      <c r="N54" s="245" t="str">
        <f t="shared" si="3"/>
        <v/>
      </c>
      <c r="O54" s="245"/>
      <c r="P54" s="42"/>
      <c r="Q54" s="117"/>
      <c r="R54" s="107">
        <f t="shared" si="4"/>
        <v>0</v>
      </c>
      <c r="S54" s="117"/>
      <c r="T54" s="376" t="str">
        <f t="shared" si="5"/>
        <v/>
      </c>
    </row>
    <row r="55" spans="3:20" ht="16.5" customHeight="1" x14ac:dyDescent="0.3">
      <c r="C55" s="688"/>
      <c r="D55" s="688"/>
      <c r="E55" s="688"/>
      <c r="F55" s="688"/>
      <c r="G55" s="688"/>
      <c r="H55" s="686"/>
      <c r="I55" s="686"/>
      <c r="J55" s="686"/>
      <c r="K55" s="687"/>
      <c r="L55" s="242"/>
      <c r="M55" s="75"/>
      <c r="N55" s="245" t="str">
        <f t="shared" si="3"/>
        <v/>
      </c>
      <c r="O55" s="245"/>
      <c r="P55" s="42"/>
      <c r="Q55" s="117"/>
      <c r="R55" s="107">
        <f t="shared" si="4"/>
        <v>0</v>
      </c>
      <c r="S55" s="117"/>
      <c r="T55" s="376" t="str">
        <f t="shared" si="5"/>
        <v/>
      </c>
    </row>
    <row r="56" spans="3:20" ht="16.5" customHeight="1" x14ac:dyDescent="0.3">
      <c r="C56" s="688"/>
      <c r="D56" s="688"/>
      <c r="E56" s="688"/>
      <c r="F56" s="688"/>
      <c r="G56" s="688"/>
      <c r="H56" s="686"/>
      <c r="I56" s="686"/>
      <c r="J56" s="686"/>
      <c r="K56" s="687"/>
      <c r="L56" s="242"/>
      <c r="M56" s="75"/>
      <c r="N56" s="245" t="str">
        <f t="shared" si="3"/>
        <v/>
      </c>
      <c r="O56" s="245"/>
      <c r="P56" s="42"/>
      <c r="Q56" s="117"/>
      <c r="R56" s="107">
        <f t="shared" si="4"/>
        <v>0</v>
      </c>
      <c r="S56" s="117"/>
      <c r="T56" s="376" t="str">
        <f t="shared" si="5"/>
        <v/>
      </c>
    </row>
    <row r="57" spans="3:20" ht="16.5" customHeight="1" x14ac:dyDescent="0.3">
      <c r="C57" s="63"/>
      <c r="D57" s="52"/>
      <c r="E57" s="52"/>
      <c r="F57" s="52"/>
      <c r="G57" s="52"/>
      <c r="H57" s="65"/>
      <c r="I57" s="61"/>
      <c r="J57" s="61"/>
      <c r="K57" s="108"/>
      <c r="L57" s="108" t="s">
        <v>245</v>
      </c>
      <c r="M57" s="68">
        <f>SUM(M50:M56)</f>
        <v>0</v>
      </c>
      <c r="N57" s="245" t="str">
        <f t="shared" si="3"/>
        <v/>
      </c>
      <c r="O57" s="245"/>
      <c r="P57" s="42"/>
      <c r="Q57" s="68">
        <f>SUM(Q50:Q56)</f>
        <v>0</v>
      </c>
      <c r="R57" s="107">
        <f>SUM(R50:R56)</f>
        <v>0</v>
      </c>
      <c r="S57" s="78"/>
      <c r="T57" s="245"/>
    </row>
    <row r="58" spans="3:20" s="49" customFormat="1" ht="16.5" customHeight="1" x14ac:dyDescent="0.3">
      <c r="C58" s="52"/>
      <c r="D58" s="52"/>
      <c r="E58" s="52"/>
      <c r="F58" s="52"/>
      <c r="G58" s="52"/>
      <c r="H58" s="65"/>
      <c r="I58" s="61"/>
      <c r="J58" s="61"/>
      <c r="K58" s="61"/>
      <c r="L58" s="61"/>
      <c r="M58" s="66"/>
      <c r="N58" s="245" t="str">
        <f>IF(AND(M58&gt;0, L58=""), "Fout: kies nog een type modaliteit voor deze kostensoort", "")</f>
        <v/>
      </c>
      <c r="O58" s="245"/>
      <c r="P58" s="42"/>
      <c r="Q58" s="66"/>
      <c r="R58" s="43"/>
      <c r="S58" s="66"/>
      <c r="T58" s="245"/>
    </row>
    <row r="59" spans="3:20" ht="16.5" customHeight="1" x14ac:dyDescent="0.3">
      <c r="C59" s="59" t="s">
        <v>246</v>
      </c>
      <c r="D59" s="67"/>
      <c r="E59" s="67"/>
      <c r="F59" s="67"/>
      <c r="G59" s="67"/>
      <c r="H59" s="60"/>
      <c r="I59" s="61"/>
      <c r="J59" s="61"/>
      <c r="K59" s="61"/>
      <c r="L59" s="61"/>
      <c r="M59" s="49"/>
      <c r="N59" s="245" t="str">
        <f t="shared" si="0"/>
        <v/>
      </c>
      <c r="O59" s="245"/>
      <c r="P59" s="42"/>
      <c r="Q59" s="109"/>
      <c r="S59" s="109"/>
      <c r="T59" s="245"/>
    </row>
    <row r="60" spans="3:20" ht="16.5" customHeight="1" x14ac:dyDescent="0.3">
      <c r="C60" s="696" t="s">
        <v>237</v>
      </c>
      <c r="D60" s="696"/>
      <c r="E60" s="696"/>
      <c r="F60" s="696"/>
      <c r="G60" s="696"/>
      <c r="H60" s="696" t="str">
        <f>H38</f>
        <v xml:space="preserve">Naam document (bijlage) </v>
      </c>
      <c r="I60" s="696"/>
      <c r="J60" s="696"/>
      <c r="K60" s="699"/>
      <c r="L60" s="243" t="s">
        <v>239</v>
      </c>
      <c r="M60" s="62" t="s">
        <v>240</v>
      </c>
      <c r="N60" s="245" t="str">
        <f t="shared" si="0"/>
        <v/>
      </c>
      <c r="O60" s="245"/>
      <c r="P60" s="42"/>
      <c r="Q60" s="62" t="s">
        <v>241</v>
      </c>
      <c r="R60" s="106" t="s">
        <v>242</v>
      </c>
      <c r="S60" s="62" t="s">
        <v>243</v>
      </c>
      <c r="T60" s="245"/>
    </row>
    <row r="61" spans="3:20" ht="16.5" customHeight="1" x14ac:dyDescent="0.3">
      <c r="C61" s="688"/>
      <c r="D61" s="688"/>
      <c r="E61" s="688"/>
      <c r="F61" s="688"/>
      <c r="G61" s="688"/>
      <c r="H61" s="686"/>
      <c r="I61" s="686"/>
      <c r="J61" s="686"/>
      <c r="K61" s="687"/>
      <c r="L61" s="242"/>
      <c r="M61" s="75"/>
      <c r="N61" s="245" t="str">
        <f t="shared" si="0"/>
        <v/>
      </c>
      <c r="O61" s="245"/>
      <c r="P61" s="42"/>
      <c r="Q61" s="117"/>
      <c r="R61" s="107">
        <f t="shared" ref="R61:R67" si="6">IF(Q61&gt;0,M61-Q61,M61)</f>
        <v>0</v>
      </c>
      <c r="S61" s="117"/>
      <c r="T61" s="376" t="str">
        <f>IF(AND(S61&lt;1,Q61&gt;0),"Vul de toelichting in","")</f>
        <v/>
      </c>
    </row>
    <row r="62" spans="3:20" ht="16.5" customHeight="1" x14ac:dyDescent="0.3">
      <c r="C62" s="688"/>
      <c r="D62" s="688"/>
      <c r="E62" s="688"/>
      <c r="F62" s="688"/>
      <c r="G62" s="688"/>
      <c r="H62" s="686"/>
      <c r="I62" s="686"/>
      <c r="J62" s="686"/>
      <c r="K62" s="687"/>
      <c r="L62" s="242"/>
      <c r="M62" s="75"/>
      <c r="N62" s="245" t="str">
        <f t="shared" si="0"/>
        <v/>
      </c>
      <c r="O62" s="245"/>
      <c r="P62" s="42"/>
      <c r="Q62" s="117"/>
      <c r="R62" s="107">
        <f t="shared" si="6"/>
        <v>0</v>
      </c>
      <c r="S62" s="117"/>
      <c r="T62" s="376" t="str">
        <f t="shared" ref="T62:T67" si="7">IF(AND(S62&lt;1,Q62&gt;0),"Vul de toelichting in","")</f>
        <v/>
      </c>
    </row>
    <row r="63" spans="3:20" ht="16.5" customHeight="1" x14ac:dyDescent="0.3">
      <c r="C63" s="688"/>
      <c r="D63" s="688"/>
      <c r="E63" s="688"/>
      <c r="F63" s="688"/>
      <c r="G63" s="688"/>
      <c r="H63" s="686"/>
      <c r="I63" s="686"/>
      <c r="J63" s="686"/>
      <c r="K63" s="687"/>
      <c r="L63" s="242"/>
      <c r="M63" s="75"/>
      <c r="N63" s="245" t="str">
        <f t="shared" si="0"/>
        <v/>
      </c>
      <c r="O63" s="245"/>
      <c r="P63" s="42"/>
      <c r="Q63" s="117"/>
      <c r="R63" s="107">
        <f t="shared" si="6"/>
        <v>0</v>
      </c>
      <c r="S63" s="117"/>
      <c r="T63" s="376" t="str">
        <f t="shared" si="7"/>
        <v/>
      </c>
    </row>
    <row r="64" spans="3:20" ht="16.5" customHeight="1" x14ac:dyDescent="0.3">
      <c r="C64" s="688"/>
      <c r="D64" s="688"/>
      <c r="E64" s="688"/>
      <c r="F64" s="688"/>
      <c r="G64" s="688"/>
      <c r="H64" s="686"/>
      <c r="I64" s="686"/>
      <c r="J64" s="686"/>
      <c r="K64" s="687"/>
      <c r="L64" s="242"/>
      <c r="M64" s="75"/>
      <c r="N64" s="245" t="str">
        <f t="shared" si="0"/>
        <v/>
      </c>
      <c r="O64" s="245"/>
      <c r="P64" s="42"/>
      <c r="Q64" s="117"/>
      <c r="R64" s="107">
        <f t="shared" si="6"/>
        <v>0</v>
      </c>
      <c r="S64" s="117"/>
      <c r="T64" s="376" t="str">
        <f t="shared" si="7"/>
        <v/>
      </c>
    </row>
    <row r="65" spans="3:20" ht="16.5" customHeight="1" x14ac:dyDescent="0.3">
      <c r="C65" s="688"/>
      <c r="D65" s="688"/>
      <c r="E65" s="688"/>
      <c r="F65" s="688"/>
      <c r="G65" s="688"/>
      <c r="H65" s="686"/>
      <c r="I65" s="686"/>
      <c r="J65" s="686"/>
      <c r="K65" s="687"/>
      <c r="L65" s="242"/>
      <c r="M65" s="75"/>
      <c r="N65" s="245" t="str">
        <f t="shared" si="0"/>
        <v/>
      </c>
      <c r="O65" s="245"/>
      <c r="P65" s="42"/>
      <c r="Q65" s="117"/>
      <c r="R65" s="107">
        <f t="shared" si="6"/>
        <v>0</v>
      </c>
      <c r="S65" s="117"/>
      <c r="T65" s="376" t="str">
        <f t="shared" si="7"/>
        <v/>
      </c>
    </row>
    <row r="66" spans="3:20" ht="16.5" customHeight="1" x14ac:dyDescent="0.3">
      <c r="C66" s="688"/>
      <c r="D66" s="688"/>
      <c r="E66" s="688"/>
      <c r="F66" s="688"/>
      <c r="G66" s="688"/>
      <c r="H66" s="686"/>
      <c r="I66" s="686"/>
      <c r="J66" s="686"/>
      <c r="K66" s="687"/>
      <c r="L66" s="242"/>
      <c r="M66" s="75"/>
      <c r="N66" s="245" t="str">
        <f t="shared" si="0"/>
        <v/>
      </c>
      <c r="O66" s="245"/>
      <c r="P66" s="42"/>
      <c r="Q66" s="117"/>
      <c r="R66" s="107">
        <f t="shared" si="6"/>
        <v>0</v>
      </c>
      <c r="S66" s="117"/>
      <c r="T66" s="376" t="str">
        <f t="shared" si="7"/>
        <v/>
      </c>
    </row>
    <row r="67" spans="3:20" ht="16.5" customHeight="1" x14ac:dyDescent="0.3">
      <c r="C67" s="688"/>
      <c r="D67" s="688"/>
      <c r="E67" s="688"/>
      <c r="F67" s="688"/>
      <c r="G67" s="688"/>
      <c r="H67" s="686"/>
      <c r="I67" s="686"/>
      <c r="J67" s="686"/>
      <c r="K67" s="687"/>
      <c r="L67" s="242"/>
      <c r="M67" s="75"/>
      <c r="N67" s="245" t="str">
        <f t="shared" si="0"/>
        <v/>
      </c>
      <c r="O67" s="245"/>
      <c r="P67" s="42"/>
      <c r="Q67" s="117"/>
      <c r="R67" s="107">
        <f t="shared" si="6"/>
        <v>0</v>
      </c>
      <c r="S67" s="117"/>
      <c r="T67" s="376" t="str">
        <f t="shared" si="7"/>
        <v/>
      </c>
    </row>
    <row r="68" spans="3:20" ht="16.5" customHeight="1" x14ac:dyDescent="0.3">
      <c r="C68" s="63"/>
      <c r="D68" s="52"/>
      <c r="E68" s="52"/>
      <c r="F68" s="52"/>
      <c r="G68" s="52"/>
      <c r="H68" s="65"/>
      <c r="I68" s="61"/>
      <c r="J68" s="61"/>
      <c r="L68" s="108" t="str">
        <f>L46</f>
        <v>Subtotaal</v>
      </c>
      <c r="M68" s="68">
        <f>SUM(M61:M67)</f>
        <v>0</v>
      </c>
      <c r="N68" s="245" t="str">
        <f t="shared" si="0"/>
        <v/>
      </c>
      <c r="O68" s="245"/>
      <c r="P68" s="42"/>
      <c r="Q68" s="68">
        <f>SUM(Q61:Q67)</f>
        <v>0</v>
      </c>
      <c r="R68" s="107">
        <f>SUM(R61:R67)</f>
        <v>0</v>
      </c>
      <c r="S68" s="78"/>
      <c r="T68" s="245"/>
    </row>
    <row r="69" spans="3:20" s="49" customFormat="1" ht="16.2" customHeight="1" x14ac:dyDescent="0.3">
      <c r="C69" s="52"/>
      <c r="D69" s="52"/>
      <c r="E69" s="52"/>
      <c r="F69" s="52"/>
      <c r="G69" s="52"/>
      <c r="H69" s="65"/>
      <c r="I69" s="61"/>
      <c r="J69" s="61"/>
      <c r="K69" s="61"/>
      <c r="L69" s="61"/>
      <c r="M69" s="66"/>
      <c r="N69" s="245" t="str">
        <f t="shared" si="0"/>
        <v/>
      </c>
      <c r="O69" s="245"/>
      <c r="P69" s="42"/>
      <c r="Q69" s="66"/>
      <c r="R69" s="43"/>
      <c r="S69" s="66"/>
      <c r="T69" s="245"/>
    </row>
    <row r="70" spans="3:20" ht="16.5" customHeight="1" x14ac:dyDescent="0.3">
      <c r="C70" s="59" t="s">
        <v>36</v>
      </c>
      <c r="D70" s="375"/>
      <c r="E70" s="375"/>
      <c r="F70" s="375"/>
      <c r="G70" s="375"/>
      <c r="H70" s="60"/>
      <c r="I70" s="61"/>
      <c r="J70" s="61"/>
      <c r="K70" s="61"/>
      <c r="L70" s="61"/>
      <c r="N70" s="245" t="str">
        <f t="shared" si="0"/>
        <v/>
      </c>
      <c r="O70" s="245"/>
      <c r="P70" s="42"/>
      <c r="Q70" s="109"/>
      <c r="S70" s="109"/>
      <c r="T70" s="245"/>
    </row>
    <row r="71" spans="3:20" ht="16.5" customHeight="1" x14ac:dyDescent="0.3">
      <c r="C71" s="696" t="s">
        <v>237</v>
      </c>
      <c r="D71" s="696"/>
      <c r="E71" s="696"/>
      <c r="F71" s="696"/>
      <c r="G71" s="696"/>
      <c r="H71" s="696" t="str">
        <f>H60</f>
        <v xml:space="preserve">Naam document (bijlage) </v>
      </c>
      <c r="I71" s="696"/>
      <c r="J71" s="696"/>
      <c r="K71" s="699"/>
      <c r="L71" s="243" t="s">
        <v>239</v>
      </c>
      <c r="M71" s="62" t="s">
        <v>240</v>
      </c>
      <c r="N71" s="245" t="str">
        <f t="shared" ref="N71:N102" si="8">IF(AND(M71&gt;0, L71=""), "Fout: kies nog een type modaliteit voor deze kostensoort", "")</f>
        <v/>
      </c>
      <c r="O71" s="245"/>
      <c r="P71" s="42"/>
      <c r="Q71" s="62" t="s">
        <v>241</v>
      </c>
      <c r="R71" s="106" t="s">
        <v>242</v>
      </c>
      <c r="S71" s="62" t="s">
        <v>243</v>
      </c>
      <c r="T71" s="245"/>
    </row>
    <row r="72" spans="3:20" ht="16.5" customHeight="1" x14ac:dyDescent="0.3">
      <c r="C72" s="688"/>
      <c r="D72" s="688"/>
      <c r="E72" s="688"/>
      <c r="F72" s="688"/>
      <c r="G72" s="688"/>
      <c r="H72" s="686"/>
      <c r="I72" s="686"/>
      <c r="J72" s="686"/>
      <c r="K72" s="687"/>
      <c r="L72" s="242"/>
      <c r="M72" s="75"/>
      <c r="N72" s="245" t="str">
        <f t="shared" si="8"/>
        <v/>
      </c>
      <c r="O72" s="245"/>
      <c r="P72" s="42"/>
      <c r="Q72" s="378"/>
      <c r="R72" s="107">
        <f t="shared" ref="R72:R78" si="9">IF(Q72&gt;0,M72-Q72,M72)</f>
        <v>0</v>
      </c>
      <c r="S72" s="378"/>
      <c r="T72" s="376" t="str">
        <f t="shared" ref="T72:T78" si="10">IF(AND(S72&lt;1,Q72&gt;0),"Vul de toelichting in","")</f>
        <v/>
      </c>
    </row>
    <row r="73" spans="3:20" ht="16.5" customHeight="1" x14ac:dyDescent="0.3">
      <c r="C73" s="688"/>
      <c r="D73" s="688"/>
      <c r="E73" s="688"/>
      <c r="F73" s="688"/>
      <c r="G73" s="688"/>
      <c r="H73" s="686"/>
      <c r="I73" s="686"/>
      <c r="J73" s="686"/>
      <c r="K73" s="687"/>
      <c r="L73" s="242"/>
      <c r="M73" s="75"/>
      <c r="N73" s="245" t="str">
        <f t="shared" si="8"/>
        <v/>
      </c>
      <c r="O73" s="245"/>
      <c r="P73" s="42"/>
      <c r="Q73" s="117"/>
      <c r="R73" s="107">
        <f t="shared" si="9"/>
        <v>0</v>
      </c>
      <c r="S73" s="117"/>
      <c r="T73" s="376" t="str">
        <f t="shared" si="10"/>
        <v/>
      </c>
    </row>
    <row r="74" spans="3:20" ht="16.5" customHeight="1" x14ac:dyDescent="0.3">
      <c r="C74" s="688"/>
      <c r="D74" s="688"/>
      <c r="E74" s="688"/>
      <c r="F74" s="688"/>
      <c r="G74" s="688"/>
      <c r="H74" s="686"/>
      <c r="I74" s="686"/>
      <c r="J74" s="686"/>
      <c r="K74" s="687"/>
      <c r="L74" s="242"/>
      <c r="M74" s="75"/>
      <c r="N74" s="245" t="str">
        <f t="shared" si="8"/>
        <v/>
      </c>
      <c r="O74" s="245"/>
      <c r="P74" s="42"/>
      <c r="Q74" s="117"/>
      <c r="R74" s="107">
        <f t="shared" si="9"/>
        <v>0</v>
      </c>
      <c r="S74" s="117"/>
      <c r="T74" s="376" t="str">
        <f t="shared" si="10"/>
        <v/>
      </c>
    </row>
    <row r="75" spans="3:20" ht="16.5" customHeight="1" x14ac:dyDescent="0.3">
      <c r="C75" s="688"/>
      <c r="D75" s="688"/>
      <c r="E75" s="688"/>
      <c r="F75" s="688"/>
      <c r="G75" s="688"/>
      <c r="H75" s="686"/>
      <c r="I75" s="686"/>
      <c r="J75" s="686"/>
      <c r="K75" s="687"/>
      <c r="L75" s="242"/>
      <c r="M75" s="75"/>
      <c r="N75" s="245" t="str">
        <f t="shared" si="8"/>
        <v/>
      </c>
      <c r="O75" s="245"/>
      <c r="P75" s="42"/>
      <c r="Q75" s="117"/>
      <c r="R75" s="107">
        <f t="shared" si="9"/>
        <v>0</v>
      </c>
      <c r="S75" s="117"/>
      <c r="T75" s="376" t="str">
        <f t="shared" si="10"/>
        <v/>
      </c>
    </row>
    <row r="76" spans="3:20" ht="16.5" customHeight="1" x14ac:dyDescent="0.3">
      <c r="C76" s="688"/>
      <c r="D76" s="688"/>
      <c r="E76" s="688"/>
      <c r="F76" s="688"/>
      <c r="G76" s="688"/>
      <c r="H76" s="686"/>
      <c r="I76" s="686"/>
      <c r="J76" s="686"/>
      <c r="K76" s="687"/>
      <c r="L76" s="242"/>
      <c r="M76" s="75"/>
      <c r="N76" s="245" t="str">
        <f t="shared" si="8"/>
        <v/>
      </c>
      <c r="O76" s="245"/>
      <c r="P76" s="42"/>
      <c r="Q76" s="117"/>
      <c r="R76" s="107">
        <f t="shared" si="9"/>
        <v>0</v>
      </c>
      <c r="S76" s="117"/>
      <c r="T76" s="376" t="str">
        <f t="shared" si="10"/>
        <v/>
      </c>
    </row>
    <row r="77" spans="3:20" ht="16.5" customHeight="1" x14ac:dyDescent="0.3">
      <c r="C77" s="688"/>
      <c r="D77" s="688"/>
      <c r="E77" s="688"/>
      <c r="F77" s="688"/>
      <c r="G77" s="688"/>
      <c r="H77" s="686"/>
      <c r="I77" s="686"/>
      <c r="J77" s="686"/>
      <c r="K77" s="687"/>
      <c r="L77" s="242"/>
      <c r="M77" s="75"/>
      <c r="N77" s="245" t="str">
        <f t="shared" si="8"/>
        <v/>
      </c>
      <c r="O77" s="245"/>
      <c r="P77" s="42"/>
      <c r="Q77" s="117"/>
      <c r="R77" s="107">
        <f t="shared" si="9"/>
        <v>0</v>
      </c>
      <c r="S77" s="117"/>
      <c r="T77" s="376" t="str">
        <f t="shared" si="10"/>
        <v/>
      </c>
    </row>
    <row r="78" spans="3:20" ht="16.5" customHeight="1" x14ac:dyDescent="0.3">
      <c r="C78" s="688"/>
      <c r="D78" s="688"/>
      <c r="E78" s="688"/>
      <c r="F78" s="688"/>
      <c r="G78" s="688"/>
      <c r="H78" s="686"/>
      <c r="I78" s="686"/>
      <c r="J78" s="686"/>
      <c r="K78" s="687"/>
      <c r="L78" s="242"/>
      <c r="M78" s="75"/>
      <c r="N78" s="245" t="str">
        <f t="shared" si="8"/>
        <v/>
      </c>
      <c r="O78" s="245"/>
      <c r="P78" s="42"/>
      <c r="Q78" s="379"/>
      <c r="R78" s="107">
        <f t="shared" si="9"/>
        <v>0</v>
      </c>
      <c r="S78" s="379"/>
      <c r="T78" s="376" t="str">
        <f t="shared" si="10"/>
        <v/>
      </c>
    </row>
    <row r="79" spans="3:20" ht="16.5" customHeight="1" x14ac:dyDescent="0.3">
      <c r="C79" s="63"/>
      <c r="D79" s="52"/>
      <c r="E79" s="52"/>
      <c r="F79" s="52"/>
      <c r="G79" s="52"/>
      <c r="H79" s="65"/>
      <c r="I79" s="61"/>
      <c r="J79" s="61"/>
      <c r="L79" s="108" t="str">
        <f>L68</f>
        <v>Subtotaal</v>
      </c>
      <c r="M79" s="68">
        <f>SUM(M72:M78)</f>
        <v>0</v>
      </c>
      <c r="N79" s="245" t="str">
        <f t="shared" si="8"/>
        <v/>
      </c>
      <c r="O79" s="245"/>
      <c r="P79" s="42"/>
      <c r="Q79" s="68">
        <f>SUM(Q72:Q78)</f>
        <v>0</v>
      </c>
      <c r="R79" s="107">
        <f>SUM(R72:R78)</f>
        <v>0</v>
      </c>
      <c r="S79" s="78"/>
      <c r="T79" s="245"/>
    </row>
    <row r="80" spans="3:20" s="49" customFormat="1" ht="16.5" customHeight="1" x14ac:dyDescent="0.3">
      <c r="C80" s="52"/>
      <c r="D80" s="52"/>
      <c r="E80" s="52"/>
      <c r="F80" s="52"/>
      <c r="G80" s="52"/>
      <c r="H80" s="65"/>
      <c r="I80" s="61"/>
      <c r="J80" s="61"/>
      <c r="K80" s="61"/>
      <c r="L80" s="61"/>
      <c r="M80" s="66"/>
      <c r="N80" s="245" t="str">
        <f t="shared" si="8"/>
        <v/>
      </c>
      <c r="O80" s="245"/>
      <c r="P80" s="42"/>
      <c r="Q80" s="66"/>
      <c r="R80" s="43"/>
      <c r="S80" s="66"/>
      <c r="T80" s="245"/>
    </row>
    <row r="81" spans="3:20" ht="16.5" customHeight="1" x14ac:dyDescent="0.3">
      <c r="C81" s="59" t="s">
        <v>38</v>
      </c>
      <c r="D81" s="59"/>
      <c r="E81" s="59"/>
      <c r="F81" s="59"/>
      <c r="G81" s="59"/>
      <c r="H81" s="60"/>
      <c r="I81" s="61"/>
      <c r="J81" s="61"/>
      <c r="K81" s="61"/>
      <c r="L81" s="61"/>
      <c r="M81" s="49"/>
      <c r="N81" s="245" t="str">
        <f t="shared" si="8"/>
        <v/>
      </c>
      <c r="O81" s="245"/>
      <c r="P81" s="42"/>
      <c r="Q81" s="109"/>
      <c r="S81" s="109"/>
      <c r="T81" s="245"/>
    </row>
    <row r="82" spans="3:20" ht="16.5" customHeight="1" x14ac:dyDescent="0.3">
      <c r="C82" s="696" t="s">
        <v>237</v>
      </c>
      <c r="D82" s="696"/>
      <c r="E82" s="696"/>
      <c r="F82" s="696"/>
      <c r="G82" s="696"/>
      <c r="H82" s="696" t="str">
        <f>H71</f>
        <v xml:space="preserve">Naam document (bijlage) </v>
      </c>
      <c r="I82" s="696"/>
      <c r="J82" s="696"/>
      <c r="K82" s="699"/>
      <c r="L82" s="243" t="s">
        <v>239</v>
      </c>
      <c r="M82" s="62" t="s">
        <v>240</v>
      </c>
      <c r="N82" s="245" t="str">
        <f t="shared" si="8"/>
        <v/>
      </c>
      <c r="O82" s="245"/>
      <c r="P82" s="42"/>
      <c r="Q82" s="62" t="s">
        <v>241</v>
      </c>
      <c r="R82" s="106" t="s">
        <v>242</v>
      </c>
      <c r="S82" s="62" t="s">
        <v>243</v>
      </c>
      <c r="T82" s="245"/>
    </row>
    <row r="83" spans="3:20" ht="16.5" customHeight="1" x14ac:dyDescent="0.3">
      <c r="C83" s="688"/>
      <c r="D83" s="688"/>
      <c r="E83" s="688"/>
      <c r="F83" s="688"/>
      <c r="G83" s="688"/>
      <c r="H83" s="686"/>
      <c r="I83" s="686"/>
      <c r="J83" s="686"/>
      <c r="K83" s="687"/>
      <c r="L83" s="242"/>
      <c r="M83" s="75"/>
      <c r="N83" s="245" t="str">
        <f t="shared" si="8"/>
        <v/>
      </c>
      <c r="O83" s="245"/>
      <c r="P83" s="42"/>
      <c r="Q83" s="117"/>
      <c r="R83" s="107">
        <f t="shared" ref="R83:R89" si="11">IF(Q83&gt;0,M83-Q83,M83)</f>
        <v>0</v>
      </c>
      <c r="S83" s="117"/>
      <c r="T83" s="376" t="str">
        <f t="shared" ref="T83:T89" si="12">IF(AND(S83&lt;1,Q83&gt;0),"Vul de toelichting in","")</f>
        <v/>
      </c>
    </row>
    <row r="84" spans="3:20" ht="16.5" customHeight="1" x14ac:dyDescent="0.3">
      <c r="C84" s="688"/>
      <c r="D84" s="688"/>
      <c r="E84" s="688"/>
      <c r="F84" s="688"/>
      <c r="G84" s="688"/>
      <c r="H84" s="686"/>
      <c r="I84" s="686"/>
      <c r="J84" s="686"/>
      <c r="K84" s="687"/>
      <c r="L84" s="242"/>
      <c r="M84" s="75"/>
      <c r="N84" s="245" t="str">
        <f t="shared" si="8"/>
        <v/>
      </c>
      <c r="O84" s="245"/>
      <c r="P84" s="42"/>
      <c r="Q84" s="117"/>
      <c r="R84" s="107">
        <f t="shared" si="11"/>
        <v>0</v>
      </c>
      <c r="S84" s="117"/>
      <c r="T84" s="376" t="str">
        <f t="shared" si="12"/>
        <v/>
      </c>
    </row>
    <row r="85" spans="3:20" ht="16.5" customHeight="1" x14ac:dyDescent="0.3">
      <c r="C85" s="688"/>
      <c r="D85" s="688"/>
      <c r="E85" s="688"/>
      <c r="F85" s="688"/>
      <c r="G85" s="688"/>
      <c r="H85" s="686"/>
      <c r="I85" s="686"/>
      <c r="J85" s="686"/>
      <c r="K85" s="687"/>
      <c r="L85" s="242"/>
      <c r="M85" s="75"/>
      <c r="N85" s="245" t="str">
        <f t="shared" si="8"/>
        <v/>
      </c>
      <c r="O85" s="245"/>
      <c r="P85" s="42"/>
      <c r="Q85" s="117"/>
      <c r="R85" s="107">
        <f t="shared" si="11"/>
        <v>0</v>
      </c>
      <c r="S85" s="117"/>
      <c r="T85" s="376" t="str">
        <f t="shared" si="12"/>
        <v/>
      </c>
    </row>
    <row r="86" spans="3:20" ht="16.5" customHeight="1" x14ac:dyDescent="0.3">
      <c r="C86" s="688"/>
      <c r="D86" s="688"/>
      <c r="E86" s="688"/>
      <c r="F86" s="688"/>
      <c r="G86" s="688"/>
      <c r="H86" s="686"/>
      <c r="I86" s="686"/>
      <c r="J86" s="686"/>
      <c r="K86" s="687"/>
      <c r="L86" s="242"/>
      <c r="M86" s="75"/>
      <c r="N86" s="245" t="str">
        <f t="shared" si="8"/>
        <v/>
      </c>
      <c r="O86" s="245"/>
      <c r="P86" s="42"/>
      <c r="Q86" s="117"/>
      <c r="R86" s="107">
        <f t="shared" si="11"/>
        <v>0</v>
      </c>
      <c r="S86" s="117"/>
      <c r="T86" s="376" t="str">
        <f t="shared" si="12"/>
        <v/>
      </c>
    </row>
    <row r="87" spans="3:20" ht="16.5" customHeight="1" x14ac:dyDescent="0.3">
      <c r="C87" s="688"/>
      <c r="D87" s="688"/>
      <c r="E87" s="688"/>
      <c r="F87" s="688"/>
      <c r="G87" s="688"/>
      <c r="H87" s="686"/>
      <c r="I87" s="686"/>
      <c r="J87" s="686"/>
      <c r="K87" s="687"/>
      <c r="L87" s="242"/>
      <c r="M87" s="75"/>
      <c r="N87" s="245" t="str">
        <f t="shared" si="8"/>
        <v/>
      </c>
      <c r="O87" s="245"/>
      <c r="P87" s="42"/>
      <c r="Q87" s="117"/>
      <c r="R87" s="107">
        <f t="shared" si="11"/>
        <v>0</v>
      </c>
      <c r="S87" s="117"/>
      <c r="T87" s="376" t="str">
        <f t="shared" si="12"/>
        <v/>
      </c>
    </row>
    <row r="88" spans="3:20" ht="16.5" customHeight="1" x14ac:dyDescent="0.3">
      <c r="C88" s="688"/>
      <c r="D88" s="688"/>
      <c r="E88" s="688"/>
      <c r="F88" s="688"/>
      <c r="G88" s="688"/>
      <c r="H88" s="686"/>
      <c r="I88" s="686"/>
      <c r="J88" s="686"/>
      <c r="K88" s="687"/>
      <c r="L88" s="242"/>
      <c r="M88" s="75"/>
      <c r="N88" s="245" t="str">
        <f t="shared" si="8"/>
        <v/>
      </c>
      <c r="O88" s="245"/>
      <c r="P88" s="42"/>
      <c r="Q88" s="117"/>
      <c r="R88" s="107">
        <f t="shared" si="11"/>
        <v>0</v>
      </c>
      <c r="S88" s="117"/>
      <c r="T88" s="376" t="str">
        <f t="shared" si="12"/>
        <v/>
      </c>
    </row>
    <row r="89" spans="3:20" ht="16.5" customHeight="1" x14ac:dyDescent="0.3">
      <c r="C89" s="688"/>
      <c r="D89" s="688"/>
      <c r="E89" s="688"/>
      <c r="F89" s="688"/>
      <c r="G89" s="688"/>
      <c r="H89" s="686"/>
      <c r="I89" s="686"/>
      <c r="J89" s="686"/>
      <c r="K89" s="687"/>
      <c r="L89" s="242"/>
      <c r="M89" s="75"/>
      <c r="N89" s="245" t="str">
        <f t="shared" si="8"/>
        <v/>
      </c>
      <c r="O89" s="245"/>
      <c r="P89" s="42"/>
      <c r="Q89" s="117"/>
      <c r="R89" s="107">
        <f t="shared" si="11"/>
        <v>0</v>
      </c>
      <c r="S89" s="117"/>
      <c r="T89" s="376" t="str">
        <f t="shared" si="12"/>
        <v/>
      </c>
    </row>
    <row r="90" spans="3:20" ht="16.5" customHeight="1" x14ac:dyDescent="0.3">
      <c r="C90" s="63"/>
      <c r="D90" s="52"/>
      <c r="E90" s="52"/>
      <c r="F90" s="52"/>
      <c r="G90" s="52"/>
      <c r="H90" s="65"/>
      <c r="I90" s="61"/>
      <c r="J90" s="61"/>
      <c r="L90" s="108" t="str">
        <f>L79</f>
        <v>Subtotaal</v>
      </c>
      <c r="M90" s="68">
        <f>SUM(M83:M89)</f>
        <v>0</v>
      </c>
      <c r="N90" s="245" t="str">
        <f t="shared" si="8"/>
        <v/>
      </c>
      <c r="O90" s="245"/>
      <c r="P90" s="42"/>
      <c r="Q90" s="68">
        <f>SUM(Q83:Q89)</f>
        <v>0</v>
      </c>
      <c r="R90" s="107">
        <f>SUM(R83:R89)</f>
        <v>0</v>
      </c>
      <c r="S90" s="78"/>
      <c r="T90" s="245"/>
    </row>
    <row r="91" spans="3:20" s="49" customFormat="1" ht="16.5" customHeight="1" x14ac:dyDescent="0.3">
      <c r="C91" s="52"/>
      <c r="D91" s="52"/>
      <c r="E91" s="52"/>
      <c r="F91" s="52"/>
      <c r="G91" s="52"/>
      <c r="H91" s="65"/>
      <c r="I91" s="61"/>
      <c r="J91" s="61"/>
      <c r="K91" s="61"/>
      <c r="L91" s="61"/>
      <c r="M91" s="66"/>
      <c r="N91" s="245" t="str">
        <f t="shared" si="8"/>
        <v/>
      </c>
      <c r="O91" s="245"/>
      <c r="P91" s="42"/>
      <c r="Q91" s="66"/>
      <c r="R91" s="43"/>
      <c r="S91" s="66"/>
      <c r="T91" s="245"/>
    </row>
    <row r="92" spans="3:20" ht="16.5" customHeight="1" x14ac:dyDescent="0.3">
      <c r="C92" s="59" t="s">
        <v>40</v>
      </c>
      <c r="D92" s="59"/>
      <c r="E92" s="59"/>
      <c r="F92" s="59"/>
      <c r="G92" s="59"/>
      <c r="H92" s="60"/>
      <c r="I92" s="61"/>
      <c r="J92" s="61"/>
      <c r="K92" s="61"/>
      <c r="L92" s="61"/>
      <c r="M92" s="49"/>
      <c r="N92" s="245" t="str">
        <f t="shared" si="8"/>
        <v/>
      </c>
      <c r="O92" s="245"/>
      <c r="P92" s="42"/>
      <c r="Q92" s="109"/>
      <c r="S92" s="109"/>
      <c r="T92" s="245"/>
    </row>
    <row r="93" spans="3:20" ht="16.5" customHeight="1" x14ac:dyDescent="0.3">
      <c r="C93" s="696" t="s">
        <v>237</v>
      </c>
      <c r="D93" s="696"/>
      <c r="E93" s="696"/>
      <c r="F93" s="696"/>
      <c r="G93" s="696"/>
      <c r="H93" s="696" t="str">
        <f>H82</f>
        <v xml:space="preserve">Naam document (bijlage) </v>
      </c>
      <c r="I93" s="696"/>
      <c r="J93" s="696"/>
      <c r="K93" s="699"/>
      <c r="L93" s="243" t="s">
        <v>239</v>
      </c>
      <c r="M93" s="62" t="s">
        <v>240</v>
      </c>
      <c r="N93" s="245" t="str">
        <f t="shared" si="8"/>
        <v/>
      </c>
      <c r="O93" s="245"/>
      <c r="P93" s="42"/>
      <c r="Q93" s="62" t="s">
        <v>241</v>
      </c>
      <c r="R93" s="106" t="s">
        <v>242</v>
      </c>
      <c r="S93" s="62" t="s">
        <v>243</v>
      </c>
      <c r="T93" s="245"/>
    </row>
    <row r="94" spans="3:20" ht="16.5" customHeight="1" x14ac:dyDescent="0.3">
      <c r="C94" s="688"/>
      <c r="D94" s="688"/>
      <c r="E94" s="688"/>
      <c r="F94" s="688"/>
      <c r="G94" s="688"/>
      <c r="H94" s="686"/>
      <c r="I94" s="686"/>
      <c r="J94" s="686"/>
      <c r="K94" s="687"/>
      <c r="L94" s="242"/>
      <c r="M94" s="75"/>
      <c r="N94" s="245" t="str">
        <f t="shared" si="8"/>
        <v/>
      </c>
      <c r="O94" s="245"/>
      <c r="P94" s="42"/>
      <c r="Q94" s="117"/>
      <c r="R94" s="107">
        <f t="shared" ref="R94:R100" si="13">IF(Q94&gt;0,M94-Q94,M94)</f>
        <v>0</v>
      </c>
      <c r="S94" s="117"/>
      <c r="T94" s="376" t="str">
        <f t="shared" ref="T94:T100" si="14">IF(AND(S94&lt;1,Q94&gt;0),"Vul de toelichting in","")</f>
        <v/>
      </c>
    </row>
    <row r="95" spans="3:20" ht="16.5" customHeight="1" x14ac:dyDescent="0.3">
      <c r="C95" s="688"/>
      <c r="D95" s="688"/>
      <c r="E95" s="688"/>
      <c r="F95" s="688"/>
      <c r="G95" s="688"/>
      <c r="H95" s="686"/>
      <c r="I95" s="686"/>
      <c r="J95" s="686"/>
      <c r="K95" s="687"/>
      <c r="L95" s="242"/>
      <c r="M95" s="75"/>
      <c r="N95" s="245" t="str">
        <f t="shared" si="8"/>
        <v/>
      </c>
      <c r="O95" s="245"/>
      <c r="P95" s="42"/>
      <c r="Q95" s="117"/>
      <c r="R95" s="107">
        <f t="shared" si="13"/>
        <v>0</v>
      </c>
      <c r="S95" s="117"/>
      <c r="T95" s="376" t="str">
        <f t="shared" si="14"/>
        <v/>
      </c>
    </row>
    <row r="96" spans="3:20" ht="16.5" customHeight="1" x14ac:dyDescent="0.3">
      <c r="C96" s="688"/>
      <c r="D96" s="688"/>
      <c r="E96" s="688"/>
      <c r="F96" s="688"/>
      <c r="G96" s="688"/>
      <c r="H96" s="686"/>
      <c r="I96" s="686"/>
      <c r="J96" s="686"/>
      <c r="K96" s="687"/>
      <c r="L96" s="242"/>
      <c r="M96" s="75"/>
      <c r="N96" s="245" t="str">
        <f t="shared" si="8"/>
        <v/>
      </c>
      <c r="O96" s="245"/>
      <c r="P96" s="42"/>
      <c r="Q96" s="117"/>
      <c r="R96" s="107">
        <f t="shared" si="13"/>
        <v>0</v>
      </c>
      <c r="S96" s="117"/>
      <c r="T96" s="376" t="str">
        <f t="shared" si="14"/>
        <v/>
      </c>
    </row>
    <row r="97" spans="3:20" ht="16.5" customHeight="1" x14ac:dyDescent="0.3">
      <c r="C97" s="688"/>
      <c r="D97" s="688"/>
      <c r="E97" s="688"/>
      <c r="F97" s="688"/>
      <c r="G97" s="688"/>
      <c r="H97" s="686"/>
      <c r="I97" s="686"/>
      <c r="J97" s="686"/>
      <c r="K97" s="687"/>
      <c r="L97" s="242"/>
      <c r="M97" s="75"/>
      <c r="N97" s="245" t="str">
        <f t="shared" si="8"/>
        <v/>
      </c>
      <c r="O97" s="245"/>
      <c r="P97" s="42"/>
      <c r="Q97" s="117"/>
      <c r="R97" s="107">
        <f t="shared" si="13"/>
        <v>0</v>
      </c>
      <c r="S97" s="117"/>
      <c r="T97" s="376" t="str">
        <f t="shared" si="14"/>
        <v/>
      </c>
    </row>
    <row r="98" spans="3:20" ht="16.5" customHeight="1" x14ac:dyDescent="0.3">
      <c r="C98" s="688"/>
      <c r="D98" s="688"/>
      <c r="E98" s="688"/>
      <c r="F98" s="688"/>
      <c r="G98" s="688"/>
      <c r="H98" s="686"/>
      <c r="I98" s="686"/>
      <c r="J98" s="686"/>
      <c r="K98" s="687"/>
      <c r="L98" s="242"/>
      <c r="M98" s="75"/>
      <c r="N98" s="245" t="str">
        <f t="shared" si="8"/>
        <v/>
      </c>
      <c r="O98" s="245"/>
      <c r="P98" s="42"/>
      <c r="Q98" s="117"/>
      <c r="R98" s="107">
        <f t="shared" si="13"/>
        <v>0</v>
      </c>
      <c r="S98" s="117"/>
      <c r="T98" s="376" t="str">
        <f t="shared" si="14"/>
        <v/>
      </c>
    </row>
    <row r="99" spans="3:20" ht="16.5" customHeight="1" x14ac:dyDescent="0.3">
      <c r="C99" s="688" t="s">
        <v>247</v>
      </c>
      <c r="D99" s="688"/>
      <c r="E99" s="688"/>
      <c r="F99" s="688"/>
      <c r="G99" s="688"/>
      <c r="H99" s="686"/>
      <c r="I99" s="686"/>
      <c r="J99" s="686"/>
      <c r="K99" s="687"/>
      <c r="L99" s="242"/>
      <c r="M99" s="75"/>
      <c r="N99" s="245" t="str">
        <f t="shared" si="8"/>
        <v/>
      </c>
      <c r="O99" s="245"/>
      <c r="P99" s="42"/>
      <c r="Q99" s="117"/>
      <c r="R99" s="107">
        <f t="shared" si="13"/>
        <v>0</v>
      </c>
      <c r="S99" s="117"/>
      <c r="T99" s="376" t="str">
        <f t="shared" si="14"/>
        <v/>
      </c>
    </row>
    <row r="100" spans="3:20" ht="16.5" customHeight="1" x14ac:dyDescent="0.3">
      <c r="C100" s="688"/>
      <c r="D100" s="688"/>
      <c r="E100" s="688"/>
      <c r="F100" s="688"/>
      <c r="G100" s="688"/>
      <c r="H100" s="686"/>
      <c r="I100" s="686"/>
      <c r="J100" s="686"/>
      <c r="K100" s="687"/>
      <c r="L100" s="242"/>
      <c r="M100" s="75"/>
      <c r="N100" s="245" t="str">
        <f t="shared" si="8"/>
        <v/>
      </c>
      <c r="O100" s="245"/>
      <c r="P100" s="42"/>
      <c r="Q100" s="117"/>
      <c r="R100" s="107">
        <f t="shared" si="13"/>
        <v>0</v>
      </c>
      <c r="S100" s="117"/>
      <c r="T100" s="376" t="str">
        <f t="shared" si="14"/>
        <v/>
      </c>
    </row>
    <row r="101" spans="3:20" ht="16.5" customHeight="1" x14ac:dyDescent="0.3">
      <c r="C101" s="63"/>
      <c r="D101" s="52"/>
      <c r="E101" s="52"/>
      <c r="F101" s="52"/>
      <c r="G101" s="52"/>
      <c r="H101" s="65"/>
      <c r="I101" s="61"/>
      <c r="J101" s="61"/>
      <c r="L101" s="108" t="str">
        <f>L90</f>
        <v>Subtotaal</v>
      </c>
      <c r="M101" s="68">
        <f>SUM(M94:M100)</f>
        <v>0</v>
      </c>
      <c r="N101" s="245" t="str">
        <f t="shared" si="8"/>
        <v/>
      </c>
      <c r="O101" s="245"/>
      <c r="P101" s="42"/>
      <c r="Q101" s="68">
        <f>SUM(Q94:Q100)</f>
        <v>0</v>
      </c>
      <c r="R101" s="107">
        <f>SUM(R94:R100)</f>
        <v>0</v>
      </c>
      <c r="S101" s="78"/>
      <c r="T101" s="245"/>
    </row>
    <row r="102" spans="3:20" s="49" customFormat="1" ht="16.5" customHeight="1" x14ac:dyDescent="0.3">
      <c r="C102" s="52"/>
      <c r="D102" s="52"/>
      <c r="E102" s="52"/>
      <c r="F102" s="52"/>
      <c r="G102" s="52"/>
      <c r="H102" s="65"/>
      <c r="I102" s="61"/>
      <c r="J102" s="61"/>
      <c r="K102" s="61"/>
      <c r="L102" s="61"/>
      <c r="M102" s="66"/>
      <c r="N102" s="245" t="str">
        <f t="shared" si="8"/>
        <v/>
      </c>
      <c r="O102" s="245"/>
      <c r="P102" s="42"/>
      <c r="Q102" s="66"/>
      <c r="R102" s="43"/>
      <c r="S102" s="66"/>
      <c r="T102" s="245"/>
    </row>
    <row r="103" spans="3:20" ht="16.5" customHeight="1" x14ac:dyDescent="0.3">
      <c r="C103" s="59" t="s">
        <v>42</v>
      </c>
      <c r="D103" s="375"/>
      <c r="E103" s="375"/>
      <c r="F103" s="375"/>
      <c r="G103" s="375"/>
      <c r="H103" s="60"/>
      <c r="I103" s="61"/>
      <c r="J103" s="61"/>
      <c r="K103" s="61"/>
      <c r="L103" s="61"/>
      <c r="M103" s="49"/>
      <c r="N103" s="245" t="str">
        <f t="shared" ref="N103:N122" si="15">IF(AND(M103&gt;0, L103=""), "Fout: kies nog een type modaliteit voor deze kostensoort", "")</f>
        <v/>
      </c>
      <c r="O103" s="245"/>
      <c r="P103" s="42"/>
      <c r="Q103" s="66"/>
      <c r="S103" s="66"/>
      <c r="T103" s="245"/>
    </row>
    <row r="104" spans="3:20" ht="16.5" customHeight="1" x14ac:dyDescent="0.3">
      <c r="C104" s="696" t="s">
        <v>237</v>
      </c>
      <c r="D104" s="696"/>
      <c r="E104" s="696"/>
      <c r="F104" s="696"/>
      <c r="G104" s="696"/>
      <c r="H104" s="696" t="str">
        <f>H93</f>
        <v xml:space="preserve">Naam document (bijlage) </v>
      </c>
      <c r="I104" s="696"/>
      <c r="J104" s="696"/>
      <c r="K104" s="699"/>
      <c r="L104" s="243" t="s">
        <v>239</v>
      </c>
      <c r="M104" s="62" t="s">
        <v>240</v>
      </c>
      <c r="N104" s="245" t="str">
        <f t="shared" si="15"/>
        <v/>
      </c>
      <c r="O104" s="245"/>
      <c r="P104" s="42"/>
      <c r="Q104" s="62" t="s">
        <v>241</v>
      </c>
      <c r="R104" s="106" t="s">
        <v>242</v>
      </c>
      <c r="S104" s="62" t="s">
        <v>243</v>
      </c>
      <c r="T104" s="245"/>
    </row>
    <row r="105" spans="3:20" ht="16.5" customHeight="1" x14ac:dyDescent="0.3">
      <c r="C105" s="688"/>
      <c r="D105" s="688"/>
      <c r="E105" s="688"/>
      <c r="F105" s="688"/>
      <c r="G105" s="688"/>
      <c r="H105" s="686"/>
      <c r="I105" s="686"/>
      <c r="J105" s="686"/>
      <c r="K105" s="687"/>
      <c r="L105" s="242" t="s">
        <v>244</v>
      </c>
      <c r="M105" s="75"/>
      <c r="N105" s="245" t="str">
        <f t="shared" si="15"/>
        <v/>
      </c>
      <c r="O105" s="245"/>
      <c r="P105" s="42"/>
      <c r="Q105" s="117"/>
      <c r="R105" s="107">
        <f t="shared" ref="R105:R111" si="16">IF(Q105&gt;0,M105-Q105,M105)</f>
        <v>0</v>
      </c>
      <c r="S105" s="117"/>
      <c r="T105" s="376" t="str">
        <f t="shared" ref="T105:T111" si="17">IF(AND(S105&lt;1,Q105&gt;0),"Vul de toelichting in","")</f>
        <v/>
      </c>
    </row>
    <row r="106" spans="3:20" ht="16.5" customHeight="1" x14ac:dyDescent="0.3">
      <c r="C106" s="688"/>
      <c r="D106" s="688"/>
      <c r="E106" s="688"/>
      <c r="F106" s="688"/>
      <c r="G106" s="688"/>
      <c r="H106" s="686"/>
      <c r="I106" s="686"/>
      <c r="J106" s="686"/>
      <c r="K106" s="687"/>
      <c r="L106" s="242"/>
      <c r="M106" s="75"/>
      <c r="N106" s="245" t="str">
        <f t="shared" si="15"/>
        <v/>
      </c>
      <c r="O106" s="245"/>
      <c r="P106" s="42"/>
      <c r="Q106" s="117"/>
      <c r="R106" s="107">
        <f t="shared" si="16"/>
        <v>0</v>
      </c>
      <c r="S106" s="117"/>
      <c r="T106" s="376" t="str">
        <f t="shared" si="17"/>
        <v/>
      </c>
    </row>
    <row r="107" spans="3:20" ht="16.5" customHeight="1" x14ac:dyDescent="0.3">
      <c r="C107" s="688"/>
      <c r="D107" s="688"/>
      <c r="E107" s="688"/>
      <c r="F107" s="688"/>
      <c r="G107" s="688"/>
      <c r="H107" s="686"/>
      <c r="I107" s="686"/>
      <c r="J107" s="686"/>
      <c r="K107" s="687"/>
      <c r="L107" s="242"/>
      <c r="M107" s="75"/>
      <c r="N107" s="245" t="str">
        <f t="shared" si="15"/>
        <v/>
      </c>
      <c r="O107" s="245"/>
      <c r="P107" s="42"/>
      <c r="Q107" s="117"/>
      <c r="R107" s="107">
        <f t="shared" si="16"/>
        <v>0</v>
      </c>
      <c r="S107" s="117"/>
      <c r="T107" s="376" t="str">
        <f t="shared" si="17"/>
        <v/>
      </c>
    </row>
    <row r="108" spans="3:20" ht="16.5" customHeight="1" x14ac:dyDescent="0.3">
      <c r="C108" s="688"/>
      <c r="D108" s="688"/>
      <c r="E108" s="688"/>
      <c r="F108" s="688"/>
      <c r="G108" s="688"/>
      <c r="H108" s="686"/>
      <c r="I108" s="686"/>
      <c r="J108" s="686"/>
      <c r="K108" s="687"/>
      <c r="L108" s="242"/>
      <c r="M108" s="75"/>
      <c r="N108" s="245" t="str">
        <f t="shared" si="15"/>
        <v/>
      </c>
      <c r="O108" s="245"/>
      <c r="P108" s="42"/>
      <c r="Q108" s="117"/>
      <c r="R108" s="107">
        <f t="shared" si="16"/>
        <v>0</v>
      </c>
      <c r="S108" s="117"/>
      <c r="T108" s="376" t="str">
        <f t="shared" si="17"/>
        <v/>
      </c>
    </row>
    <row r="109" spans="3:20" ht="16.5" customHeight="1" x14ac:dyDescent="0.3">
      <c r="C109" s="688"/>
      <c r="D109" s="688"/>
      <c r="E109" s="688"/>
      <c r="F109" s="688"/>
      <c r="G109" s="688"/>
      <c r="H109" s="686"/>
      <c r="I109" s="686"/>
      <c r="J109" s="686"/>
      <c r="K109" s="687"/>
      <c r="L109" s="242"/>
      <c r="M109" s="75"/>
      <c r="N109" s="245" t="str">
        <f t="shared" si="15"/>
        <v/>
      </c>
      <c r="O109" s="245"/>
      <c r="P109" s="42"/>
      <c r="Q109" s="117"/>
      <c r="R109" s="107">
        <f t="shared" si="16"/>
        <v>0</v>
      </c>
      <c r="S109" s="117"/>
      <c r="T109" s="376" t="str">
        <f t="shared" si="17"/>
        <v/>
      </c>
    </row>
    <row r="110" spans="3:20" ht="16.5" customHeight="1" x14ac:dyDescent="0.3">
      <c r="C110" s="688"/>
      <c r="D110" s="688"/>
      <c r="E110" s="688"/>
      <c r="F110" s="688"/>
      <c r="G110" s="688"/>
      <c r="H110" s="686"/>
      <c r="I110" s="686"/>
      <c r="J110" s="686"/>
      <c r="K110" s="687"/>
      <c r="L110" s="242"/>
      <c r="M110" s="75"/>
      <c r="N110" s="245" t="str">
        <f t="shared" si="15"/>
        <v/>
      </c>
      <c r="O110" s="245"/>
      <c r="P110" s="42"/>
      <c r="Q110" s="117"/>
      <c r="R110" s="107">
        <f t="shared" si="16"/>
        <v>0</v>
      </c>
      <c r="S110" s="117"/>
      <c r="T110" s="376" t="str">
        <f t="shared" si="17"/>
        <v/>
      </c>
    </row>
    <row r="111" spans="3:20" ht="16.5" customHeight="1" x14ac:dyDescent="0.3">
      <c r="C111" s="688"/>
      <c r="D111" s="688"/>
      <c r="E111" s="688"/>
      <c r="F111" s="688"/>
      <c r="G111" s="688"/>
      <c r="H111" s="686"/>
      <c r="I111" s="686"/>
      <c r="J111" s="686"/>
      <c r="K111" s="687"/>
      <c r="L111" s="242"/>
      <c r="M111" s="75"/>
      <c r="N111" s="245" t="str">
        <f t="shared" si="15"/>
        <v/>
      </c>
      <c r="O111" s="245"/>
      <c r="P111" s="42"/>
      <c r="Q111" s="117"/>
      <c r="R111" s="107">
        <f t="shared" si="16"/>
        <v>0</v>
      </c>
      <c r="S111" s="117"/>
      <c r="T111" s="376" t="str">
        <f t="shared" si="17"/>
        <v/>
      </c>
    </row>
    <row r="112" spans="3:20" ht="16.5" customHeight="1" x14ac:dyDescent="0.3">
      <c r="C112" s="59"/>
      <c r="D112" s="52"/>
      <c r="E112" s="52"/>
      <c r="F112" s="52"/>
      <c r="G112" s="52"/>
      <c r="H112" s="65"/>
      <c r="I112" s="380"/>
      <c r="J112" s="380"/>
      <c r="L112" s="108" t="str">
        <f>L101</f>
        <v>Subtotaal</v>
      </c>
      <c r="M112" s="68">
        <f>SUM(M105:M111)</f>
        <v>0</v>
      </c>
      <c r="N112" s="245" t="str">
        <f t="shared" si="15"/>
        <v/>
      </c>
      <c r="O112" s="245"/>
      <c r="P112" s="42"/>
      <c r="Q112" s="68">
        <f>SUM(Q105:Q111)</f>
        <v>0</v>
      </c>
      <c r="R112" s="381">
        <f>SUM(R105:R111)</f>
        <v>0</v>
      </c>
      <c r="S112" s="68"/>
      <c r="T112" s="245"/>
    </row>
    <row r="113" spans="2:28" ht="16.5" customHeight="1" x14ac:dyDescent="0.3">
      <c r="C113" s="59"/>
      <c r="D113" s="52"/>
      <c r="E113" s="52"/>
      <c r="F113" s="52"/>
      <c r="G113" s="52"/>
      <c r="H113" s="65"/>
      <c r="I113" s="380"/>
      <c r="J113" s="380"/>
      <c r="K113" s="380"/>
      <c r="L113" s="380"/>
      <c r="M113" s="66"/>
      <c r="N113" s="245" t="str">
        <f t="shared" si="15"/>
        <v/>
      </c>
      <c r="O113" s="245"/>
      <c r="P113" s="42"/>
      <c r="Q113" s="66"/>
      <c r="S113" s="66"/>
      <c r="T113" s="245"/>
    </row>
    <row r="114" spans="2:28" ht="16.5" customHeight="1" x14ac:dyDescent="0.3">
      <c r="C114" s="59" t="s">
        <v>248</v>
      </c>
      <c r="D114" s="52"/>
      <c r="E114" s="52"/>
      <c r="F114" s="52"/>
      <c r="G114" s="52"/>
      <c r="H114" s="65"/>
      <c r="I114" s="380"/>
      <c r="J114" s="380"/>
      <c r="K114" s="380"/>
      <c r="L114" s="380"/>
      <c r="M114" s="66"/>
      <c r="N114" s="245" t="str">
        <f t="shared" si="15"/>
        <v/>
      </c>
      <c r="O114" s="245"/>
      <c r="P114" s="42"/>
      <c r="Q114" s="66"/>
      <c r="S114" s="66"/>
      <c r="T114" s="245"/>
    </row>
    <row r="115" spans="2:28" s="105" customFormat="1" ht="49.5" customHeight="1" x14ac:dyDescent="0.3">
      <c r="B115" s="43"/>
      <c r="C115" s="696" t="s">
        <v>249</v>
      </c>
      <c r="D115" s="696"/>
      <c r="E115" s="696" t="s">
        <v>250</v>
      </c>
      <c r="F115" s="696"/>
      <c r="G115" s="696"/>
      <c r="H115" s="305" t="s">
        <v>251</v>
      </c>
      <c r="I115" s="62" t="s">
        <v>252</v>
      </c>
      <c r="J115" s="382" t="s">
        <v>253</v>
      </c>
      <c r="K115" s="382" t="s">
        <v>254</v>
      </c>
      <c r="L115" s="243" t="s">
        <v>239</v>
      </c>
      <c r="M115" s="68" t="s">
        <v>240</v>
      </c>
      <c r="N115" s="245" t="str">
        <f t="shared" si="15"/>
        <v/>
      </c>
      <c r="O115" s="245"/>
      <c r="P115" s="43"/>
      <c r="Q115" s="62" t="s">
        <v>241</v>
      </c>
      <c r="R115" s="106" t="s">
        <v>242</v>
      </c>
      <c r="S115" s="62" t="s">
        <v>243</v>
      </c>
      <c r="T115" s="245"/>
    </row>
    <row r="116" spans="2:28" ht="16.5" customHeight="1" x14ac:dyDescent="0.3">
      <c r="C116" s="688"/>
      <c r="D116" s="688"/>
      <c r="E116" s="688"/>
      <c r="F116" s="688"/>
      <c r="G116" s="688"/>
      <c r="H116" s="74"/>
      <c r="I116" s="76"/>
      <c r="J116" s="76"/>
      <c r="K116" s="77"/>
      <c r="L116" s="246"/>
      <c r="M116" s="78">
        <f t="shared" ref="M116:M122" si="18">IFERROR(I116*(J116/(K116*52)),0)</f>
        <v>0</v>
      </c>
      <c r="N116" s="245" t="str">
        <f t="shared" si="15"/>
        <v/>
      </c>
      <c r="O116" s="245"/>
      <c r="P116" s="42"/>
      <c r="Q116" s="117"/>
      <c r="R116" s="107">
        <f t="shared" ref="R116:R122" si="19">IF(Q116&gt;0,M116-Q116,M116)</f>
        <v>0</v>
      </c>
      <c r="S116" s="117"/>
      <c r="T116" s="245"/>
    </row>
    <row r="117" spans="2:28" ht="16.5" customHeight="1" x14ac:dyDescent="0.3">
      <c r="C117" s="688"/>
      <c r="D117" s="688"/>
      <c r="E117" s="688"/>
      <c r="F117" s="688"/>
      <c r="G117" s="688"/>
      <c r="H117" s="74"/>
      <c r="I117" s="76"/>
      <c r="J117" s="76"/>
      <c r="K117" s="76"/>
      <c r="L117" s="246"/>
      <c r="M117" s="78">
        <f t="shared" si="18"/>
        <v>0</v>
      </c>
      <c r="N117" s="245" t="str">
        <f t="shared" si="15"/>
        <v/>
      </c>
      <c r="O117" s="245"/>
      <c r="P117" s="42"/>
      <c r="Q117" s="117"/>
      <c r="R117" s="107">
        <f t="shared" si="19"/>
        <v>0</v>
      </c>
      <c r="S117" s="117"/>
      <c r="T117" s="245"/>
    </row>
    <row r="118" spans="2:28" ht="16.5" customHeight="1" x14ac:dyDescent="0.3">
      <c r="C118" s="688"/>
      <c r="D118" s="688"/>
      <c r="E118" s="688"/>
      <c r="F118" s="688"/>
      <c r="G118" s="688"/>
      <c r="H118" s="74"/>
      <c r="I118" s="76"/>
      <c r="J118" s="76"/>
      <c r="K118" s="76"/>
      <c r="L118" s="246"/>
      <c r="M118" s="78">
        <f t="shared" si="18"/>
        <v>0</v>
      </c>
      <c r="N118" s="245" t="str">
        <f t="shared" si="15"/>
        <v/>
      </c>
      <c r="O118" s="245"/>
      <c r="P118" s="42"/>
      <c r="Q118" s="117"/>
      <c r="R118" s="107">
        <f t="shared" si="19"/>
        <v>0</v>
      </c>
      <c r="S118" s="117"/>
      <c r="T118" s="245"/>
    </row>
    <row r="119" spans="2:28" ht="16.5" customHeight="1" x14ac:dyDescent="0.3">
      <c r="C119" s="688"/>
      <c r="D119" s="688"/>
      <c r="E119" s="688"/>
      <c r="F119" s="688"/>
      <c r="G119" s="688"/>
      <c r="H119" s="74"/>
      <c r="I119" s="76"/>
      <c r="J119" s="76"/>
      <c r="K119" s="76"/>
      <c r="L119" s="246"/>
      <c r="M119" s="78">
        <f t="shared" si="18"/>
        <v>0</v>
      </c>
      <c r="N119" s="245" t="str">
        <f t="shared" si="15"/>
        <v/>
      </c>
      <c r="O119" s="245"/>
      <c r="P119" s="42"/>
      <c r="Q119" s="117"/>
      <c r="R119" s="107">
        <f t="shared" si="19"/>
        <v>0</v>
      </c>
      <c r="S119" s="117"/>
      <c r="T119" s="245"/>
    </row>
    <row r="120" spans="2:28" ht="16.5" customHeight="1" x14ac:dyDescent="0.3">
      <c r="C120" s="688"/>
      <c r="D120" s="688"/>
      <c r="E120" s="688"/>
      <c r="F120" s="688"/>
      <c r="G120" s="688"/>
      <c r="H120" s="74"/>
      <c r="I120" s="76"/>
      <c r="J120" s="76"/>
      <c r="K120" s="76"/>
      <c r="L120" s="246"/>
      <c r="M120" s="78">
        <f t="shared" si="18"/>
        <v>0</v>
      </c>
      <c r="N120" s="245" t="str">
        <f t="shared" si="15"/>
        <v/>
      </c>
      <c r="O120" s="245"/>
      <c r="P120" s="42"/>
      <c r="Q120" s="117"/>
      <c r="R120" s="107">
        <f t="shared" si="19"/>
        <v>0</v>
      </c>
      <c r="S120" s="117"/>
      <c r="T120" s="245"/>
    </row>
    <row r="121" spans="2:28" ht="16.5" customHeight="1" x14ac:dyDescent="0.3">
      <c r="C121" s="688"/>
      <c r="D121" s="688"/>
      <c r="E121" s="688"/>
      <c r="F121" s="688"/>
      <c r="G121" s="688"/>
      <c r="H121" s="74"/>
      <c r="I121" s="76"/>
      <c r="J121" s="76"/>
      <c r="K121" s="76"/>
      <c r="L121" s="246"/>
      <c r="M121" s="78">
        <f t="shared" si="18"/>
        <v>0</v>
      </c>
      <c r="N121" s="245" t="str">
        <f t="shared" si="15"/>
        <v/>
      </c>
      <c r="O121" s="245"/>
      <c r="P121" s="42"/>
      <c r="Q121" s="117"/>
      <c r="R121" s="107">
        <f t="shared" si="19"/>
        <v>0</v>
      </c>
      <c r="S121" s="117"/>
      <c r="T121" s="245"/>
    </row>
    <row r="122" spans="2:28" ht="16.5" customHeight="1" x14ac:dyDescent="0.3">
      <c r="C122" s="688"/>
      <c r="D122" s="688"/>
      <c r="E122" s="688"/>
      <c r="F122" s="688"/>
      <c r="G122" s="688"/>
      <c r="H122" s="74"/>
      <c r="I122" s="76"/>
      <c r="J122" s="76"/>
      <c r="K122" s="76"/>
      <c r="L122" s="246"/>
      <c r="M122" s="78">
        <f t="shared" si="18"/>
        <v>0</v>
      </c>
      <c r="N122" s="245" t="str">
        <f t="shared" si="15"/>
        <v/>
      </c>
      <c r="O122" s="245"/>
      <c r="P122" s="42"/>
      <c r="Q122" s="117"/>
      <c r="R122" s="107">
        <f t="shared" si="19"/>
        <v>0</v>
      </c>
      <c r="S122" s="117"/>
      <c r="T122" s="245"/>
    </row>
    <row r="123" spans="2:28" s="49" customFormat="1" ht="16.5" customHeight="1" x14ac:dyDescent="0.3">
      <c r="C123" s="42"/>
      <c r="D123" s="42"/>
      <c r="E123" s="42"/>
      <c r="F123" s="42"/>
      <c r="G123" s="42"/>
      <c r="H123" s="42"/>
      <c r="I123" s="43"/>
      <c r="J123" s="43"/>
      <c r="L123" s="108" t="str">
        <f>L112</f>
        <v>Subtotaal</v>
      </c>
      <c r="M123" s="68">
        <f>SUM(M116:M122)</f>
        <v>0</v>
      </c>
      <c r="N123" s="42"/>
      <c r="O123" s="48"/>
      <c r="P123" s="42"/>
      <c r="Q123" s="381">
        <f>SUM(Q116:Q122)</f>
        <v>0</v>
      </c>
      <c r="R123" s="381">
        <f>SUM(R116:R122)</f>
        <v>0</v>
      </c>
      <c r="S123" s="381"/>
    </row>
    <row r="124" spans="2:28" ht="16.5" customHeight="1" x14ac:dyDescent="0.3"/>
    <row r="125" spans="2:28" ht="47.25" customHeight="1" x14ac:dyDescent="0.3">
      <c r="C125" s="51" t="s">
        <v>255</v>
      </c>
      <c r="D125" s="44"/>
      <c r="E125" s="44"/>
      <c r="F125" s="383" t="s">
        <v>249</v>
      </c>
      <c r="G125" s="106" t="s">
        <v>335</v>
      </c>
      <c r="H125" s="273" t="s">
        <v>256</v>
      </c>
      <c r="I125" s="273" t="s">
        <v>336</v>
      </c>
      <c r="J125" s="273" t="s">
        <v>337</v>
      </c>
      <c r="K125" s="273" t="s">
        <v>378</v>
      </c>
      <c r="L125" s="273" t="s">
        <v>349</v>
      </c>
      <c r="M125" s="273" t="s">
        <v>358</v>
      </c>
      <c r="O125" s="384"/>
      <c r="P125" s="259"/>
      <c r="Q125" s="68" t="s">
        <v>258</v>
      </c>
      <c r="R125" s="261" t="s">
        <v>259</v>
      </c>
      <c r="S125" s="296" t="s">
        <v>260</v>
      </c>
      <c r="T125" s="305" t="s">
        <v>370</v>
      </c>
      <c r="U125" s="305" t="s">
        <v>371</v>
      </c>
      <c r="V125" s="305" t="s">
        <v>374</v>
      </c>
      <c r="W125" s="305" t="s">
        <v>373</v>
      </c>
      <c r="X125" s="305" t="s">
        <v>364</v>
      </c>
      <c r="Z125" s="273" t="s">
        <v>354</v>
      </c>
      <c r="AB125" s="273" t="s">
        <v>359</v>
      </c>
    </row>
    <row r="126" spans="2:28" ht="16.5" customHeight="1" x14ac:dyDescent="0.3">
      <c r="C126" s="697" t="s">
        <v>261</v>
      </c>
      <c r="D126" s="697"/>
      <c r="E126" s="262" t="s">
        <v>25</v>
      </c>
      <c r="F126" s="78">
        <f ca="1">SUMIF($L$38:$M$122,E126,$M$38:$M$122)</f>
        <v>0</v>
      </c>
      <c r="G126" s="78"/>
      <c r="H126" s="78">
        <f ca="1">F126</f>
        <v>0</v>
      </c>
      <c r="I126" s="255">
        <f ca="1">IF(H126*40%&gt;$I$130,$I$130,H126*0.4)</f>
        <v>0</v>
      </c>
      <c r="J126" s="244"/>
      <c r="K126" s="255">
        <f>IF(ISBLANK('Deelnemer 26 tankstation'!J27),0,'Deelnemer 26 tankstation'!J27)</f>
        <v>0</v>
      </c>
      <c r="L126" s="255">
        <f t="shared" ref="L126:L129" si="20">IF(SUM(J126,K126)&gt;0, SUM(J126,K126), 0)</f>
        <v>0</v>
      </c>
      <c r="M126" s="386">
        <f ca="1">IF(H126&gt;0,J126/H126,0)</f>
        <v>0</v>
      </c>
      <c r="O126" s="387"/>
      <c r="P126" s="260" t="str">
        <f>E126</f>
        <v>Wegvervoer</v>
      </c>
      <c r="Q126" s="78">
        <f ca="1">SUMIF($L$39:$M$122,P126,$Q$39:$Q$122)</f>
        <v>0</v>
      </c>
      <c r="R126" s="78">
        <f ca="1">H126-Q126</f>
        <v>0</v>
      </c>
      <c r="S126" s="78">
        <f ca="1">IF(R126*40%&gt;$S$130,$S$130,R126*0.4)</f>
        <v>0</v>
      </c>
      <c r="T126" s="388">
        <f ca="1">IF($S$130=0.4*$R$130,R126*M126,(J126/$J$130)*MIN($J$130,$S$130))</f>
        <v>0</v>
      </c>
      <c r="U126" s="117"/>
      <c r="V126" s="389">
        <f ca="1">IF(U126="",T126,U126)</f>
        <v>0</v>
      </c>
      <c r="W126" s="389">
        <f ca="1">'Deelnemer 26 tankstation'!V27</f>
        <v>0</v>
      </c>
      <c r="X126" s="377">
        <f ca="1">IF(U126="",T126,U126)+IF(W126="",V126,W126)</f>
        <v>0</v>
      </c>
      <c r="Z126" s="386">
        <f>IF(J126&gt;0,J126/$J$130,0)</f>
        <v>0</v>
      </c>
      <c r="AB126" s="386">
        <f>IF(SUM(J126,K126),(J126+K126)/(H126+'Deelnemer 26 tankstation'!H27),0)</f>
        <v>0</v>
      </c>
    </row>
    <row r="127" spans="2:28" ht="16.5" customHeight="1" x14ac:dyDescent="0.3">
      <c r="C127" s="697"/>
      <c r="D127" s="697"/>
      <c r="E127" s="260" t="s">
        <v>230</v>
      </c>
      <c r="F127" s="56">
        <f ca="1">SUMIF($L$38:$M$122,E127,$M$38:$M$122)</f>
        <v>0</v>
      </c>
      <c r="G127" s="56"/>
      <c r="H127" s="56">
        <f ca="1">F127</f>
        <v>0</v>
      </c>
      <c r="I127" s="255">
        <f ca="1">IF(H127*40%&gt;$I$130,$I$130,H127*0.4)</f>
        <v>0</v>
      </c>
      <c r="J127" s="244"/>
      <c r="K127" s="255">
        <f>IF(ISBLANK('Deelnemer 26 tankstation'!J28),0,'Deelnemer 26 tankstation'!J28)</f>
        <v>0</v>
      </c>
      <c r="L127" s="255">
        <f t="shared" si="20"/>
        <v>0</v>
      </c>
      <c r="M127" s="386">
        <f ca="1">IF(H127&gt;0,J127/H127,0)</f>
        <v>0</v>
      </c>
      <c r="O127" s="387"/>
      <c r="P127" s="260" t="str">
        <f>E127</f>
        <v>Spoorvervoer</v>
      </c>
      <c r="Q127" s="78">
        <f ca="1">SUMIF($L$39:$M$122,P127,$Q$39:$Q$122)</f>
        <v>0</v>
      </c>
      <c r="R127" s="78">
        <f ca="1">H127-Q127</f>
        <v>0</v>
      </c>
      <c r="S127" s="78">
        <f t="shared" ref="S127:S129" ca="1" si="21">IF(R127*40%&gt;$S$130,$S$130,R127*0.4)</f>
        <v>0</v>
      </c>
      <c r="T127" s="388">
        <f ca="1">IF($S$130=0.4*$R$130,R127*M127,(J127/$J$130)*MIN($J$130,$S$130))</f>
        <v>0</v>
      </c>
      <c r="U127" s="117"/>
      <c r="V127" s="389">
        <f t="shared" ref="V127:V129" ca="1" si="22">IF(U127="",T127,U127)</f>
        <v>0</v>
      </c>
      <c r="W127" s="389">
        <f ca="1">'Deelnemer 26 tankstation'!V28</f>
        <v>0</v>
      </c>
      <c r="X127" s="377">
        <f ca="1">IF(U127="",T127,U127)+IF(W127="",V127,W127)</f>
        <v>0</v>
      </c>
      <c r="Z127" s="386">
        <f>IF(J127&gt;0,J127/$J$130,0)</f>
        <v>0</v>
      </c>
      <c r="AB127" s="386">
        <f>IF(SUM(J127,K127),(J127+K127)/(H127+'Deelnemer 26 tankstation'!H28),0)</f>
        <v>0</v>
      </c>
    </row>
    <row r="128" spans="2:28" ht="16.5" customHeight="1" x14ac:dyDescent="0.3">
      <c r="C128" s="697"/>
      <c r="D128" s="697"/>
      <c r="E128" s="260" t="s">
        <v>231</v>
      </c>
      <c r="F128" s="56">
        <f ca="1">SUMIF($L$38:$M$122,E128,$M$38:$M$122)</f>
        <v>0</v>
      </c>
      <c r="G128" s="244"/>
      <c r="H128" s="56">
        <f ca="1">IF(G128&gt;0, F128-G128, F128)</f>
        <v>0</v>
      </c>
      <c r="I128" s="255">
        <f ca="1">IF(H128*40%&gt;$I$130,$I$130,H128*0.4)</f>
        <v>0</v>
      </c>
      <c r="J128" s="244"/>
      <c r="K128" s="255">
        <f>IF(ISBLANK('Deelnemer 26 tankstation'!J29),0,'Deelnemer 26 tankstation'!J29)</f>
        <v>0</v>
      </c>
      <c r="L128" s="255">
        <f>IF(SUM(J128,K128)&gt;0, SUM(J128,K128), 0)</f>
        <v>0</v>
      </c>
      <c r="M128" s="386">
        <f ca="1">IF(H128&gt;0,J128/H128,0)</f>
        <v>0</v>
      </c>
      <c r="O128" s="387"/>
      <c r="P128" s="260" t="str">
        <f>E128</f>
        <v>Vervoer over de binnenwateren</v>
      </c>
      <c r="Q128" s="78">
        <f ca="1">SUMIF($L$39:$M$122,P128,$Q$39:$Q$122)</f>
        <v>0</v>
      </c>
      <c r="R128" s="78">
        <f ca="1">H128-Q128</f>
        <v>0</v>
      </c>
      <c r="S128" s="78">
        <f t="shared" ca="1" si="21"/>
        <v>0</v>
      </c>
      <c r="T128" s="388">
        <f ca="1">IF($S$130=0.4*$R$130,R128*M128,(J128/$J$130)*MIN($J$130,$S$130))</f>
        <v>0</v>
      </c>
      <c r="U128" s="117"/>
      <c r="V128" s="389">
        <f t="shared" ca="1" si="22"/>
        <v>0</v>
      </c>
      <c r="W128" s="389">
        <f ca="1">'Deelnemer 26 tankstation'!V29</f>
        <v>0</v>
      </c>
      <c r="X128" s="377">
        <f ca="1">IF(U128="",T128,U128)+IF(W128="",V128,W128)</f>
        <v>0</v>
      </c>
      <c r="Z128" s="386">
        <f>IF(J128&gt;0,J128/$J$130,0)</f>
        <v>0</v>
      </c>
      <c r="AB128" s="386">
        <f>IF(SUM(J128,K128),(J128+K128)/(H128+'Deelnemer 26 tankstation'!H29),0)</f>
        <v>0</v>
      </c>
    </row>
    <row r="129" spans="2:28" ht="16.5" customHeight="1" x14ac:dyDescent="0.3">
      <c r="C129" s="697"/>
      <c r="D129" s="697"/>
      <c r="E129" s="260" t="s">
        <v>232</v>
      </c>
      <c r="F129" s="56">
        <f ca="1">SUMIF($L$38:$M$122,E129,$M$38:$M$122)</f>
        <v>0</v>
      </c>
      <c r="G129" s="56"/>
      <c r="H129" s="56">
        <f ca="1">F129</f>
        <v>0</v>
      </c>
      <c r="I129" s="255">
        <f ca="1">IF(H129*40%&gt;$I$130,$I$130,H129*0.4)</f>
        <v>0</v>
      </c>
      <c r="J129" s="244"/>
      <c r="K129" s="255">
        <f>IF(ISBLANK('Deelnemer 26 tankstation'!J30),0,'Deelnemer 26 tankstation'!J30)</f>
        <v>0</v>
      </c>
      <c r="L129" s="255">
        <f t="shared" si="20"/>
        <v>0</v>
      </c>
      <c r="M129" s="386">
        <f ca="1">IF(H129&gt;0,J129/H129,0)</f>
        <v>0</v>
      </c>
      <c r="O129" s="387"/>
      <c r="P129" s="260" t="str">
        <f>E129</f>
        <v>Zeevervoer</v>
      </c>
      <c r="Q129" s="78">
        <f ca="1">SUMIF($L$39:$M$122,P129,$Q$39:$Q$122)</f>
        <v>0</v>
      </c>
      <c r="R129" s="78">
        <f ca="1">H129-Q129</f>
        <v>0</v>
      </c>
      <c r="S129" s="78">
        <f t="shared" ca="1" si="21"/>
        <v>0</v>
      </c>
      <c r="T129" s="388">
        <f ca="1">IF($S$130=0.4*$R$130,R129*M129,(J129/$J$130)*MIN($J$130,$S$130))</f>
        <v>0</v>
      </c>
      <c r="U129" s="117"/>
      <c r="V129" s="389">
        <f t="shared" ca="1" si="22"/>
        <v>0</v>
      </c>
      <c r="W129" s="389">
        <f ca="1">'Deelnemer 26 tankstation'!V30</f>
        <v>0</v>
      </c>
      <c r="X129" s="377">
        <f ca="1">IF(U129="",T129,U129)+IF(W129="",V129,W129)</f>
        <v>0</v>
      </c>
      <c r="Z129" s="386">
        <f>IF(J129&gt;0,J129/$J$130,0)</f>
        <v>0</v>
      </c>
      <c r="AB129" s="386">
        <f>IF(SUM(J129,K129),(J129+K129)/(H129+'Deelnemer 26 tankstation'!H30),0)</f>
        <v>0</v>
      </c>
    </row>
    <row r="130" spans="2:28" ht="16.5" customHeight="1" x14ac:dyDescent="0.3">
      <c r="C130" s="702" t="s">
        <v>162</v>
      </c>
      <c r="D130" s="702"/>
      <c r="E130" s="702"/>
      <c r="F130" s="249">
        <f>M46+M57+M68+M79+M90+M101+M123+M112</f>
        <v>0</v>
      </c>
      <c r="G130" s="249"/>
      <c r="H130" s="249">
        <f ca="1">SUM(H126:H129)</f>
        <v>0</v>
      </c>
      <c r="I130" s="256">
        <f ca="1">MIN(IF(F23="Ja",4000000,3000000), 0.4*H130)</f>
        <v>0</v>
      </c>
      <c r="J130" s="249">
        <f>SUM(J126:J129)</f>
        <v>0</v>
      </c>
      <c r="K130" s="256">
        <f>SUM(K126:K129)</f>
        <v>0</v>
      </c>
      <c r="L130" s="256">
        <f>SUM(L126:L129)</f>
        <v>0</v>
      </c>
      <c r="M130" s="386">
        <f ca="1">IF(H130&gt;0,J130/H130,0)</f>
        <v>0</v>
      </c>
      <c r="O130" s="387"/>
      <c r="P130" s="390" t="s">
        <v>162</v>
      </c>
      <c r="Q130" s="264">
        <f ca="1">SUM(Q126:Q129)</f>
        <v>0</v>
      </c>
      <c r="R130" s="264">
        <f ca="1">SUM(R126:R129)</f>
        <v>0</v>
      </c>
      <c r="S130" s="296">
        <f ca="1">MIN(IF(F23="Ja",4000000,3000000), 0.4*R130)</f>
        <v>0</v>
      </c>
      <c r="T130" s="334">
        <f ca="1">SUM(T126:T129)</f>
        <v>0</v>
      </c>
      <c r="U130" s="377">
        <f>SUM(U126:U129)</f>
        <v>0</v>
      </c>
      <c r="V130" s="337">
        <f ca="1">SUM(V126:V129)</f>
        <v>0</v>
      </c>
      <c r="W130" s="391">
        <f ca="1">'Deelnemer 26 tankstation'!V31</f>
        <v>0</v>
      </c>
      <c r="X130" s="392">
        <f ca="1">SUM(X126:X129)</f>
        <v>0</v>
      </c>
      <c r="Y130" s="393"/>
      <c r="Z130" s="394">
        <f>IF(J130&gt;0,J130/$J$130,0)</f>
        <v>0</v>
      </c>
      <c r="AA130" s="393"/>
      <c r="AB130" s="394">
        <f>IF(SUM(J130,K130),(J130+K130)/(H130+'Deelnemer 26 tankstation'!H31),0)</f>
        <v>0</v>
      </c>
    </row>
    <row r="131" spans="2:28" ht="16.5" customHeight="1" x14ac:dyDescent="0.3">
      <c r="G131" s="108"/>
      <c r="H131" s="257"/>
      <c r="J131" s="675" t="str">
        <f ca="1">IF(J130&gt;I130,"Let op! U vraagt meer subsidie aan dan de maximale subsidie","")</f>
        <v/>
      </c>
      <c r="K131" s="675"/>
      <c r="L131" s="675"/>
      <c r="P131" s="48"/>
      <c r="Q131" s="395"/>
      <c r="R131" s="396"/>
      <c r="S131" s="395"/>
      <c r="T131" s="700" t="s">
        <v>375</v>
      </c>
      <c r="W131" s="245" t="str">
        <f ca="1">IF(SUM(W126:W129)&gt;W130,"N.B.: de toe te kennen subsidie voor tankstation en tubetrailers is meer dan het maximum!","")</f>
        <v/>
      </c>
      <c r="X131" s="343" t="str">
        <f ca="1">IF(X130&gt;MIN(IF(F23="Ja",4000000,3000000), 0.4*(R130+'Deelnemer 26 tankstation'!R31),J130+'Deelnemer 26 tankstation'!J31,T130+'Deelnemer 26 tankstation'!T31),"De totale toe te kennen subsidie is te hoog","")</f>
        <v/>
      </c>
    </row>
    <row r="132" spans="2:28" ht="16.5" customHeight="1" x14ac:dyDescent="0.3">
      <c r="C132" s="93" t="s">
        <v>262</v>
      </c>
      <c r="D132" s="58"/>
      <c r="E132" s="244"/>
      <c r="J132" s="397" t="str">
        <f ca="1">IF(($J$130+K130)&gt;(MIN(IF(F23="Ja",4000000,3000000), 0.4*(H130+'Deelnemer 26 tankstation'!H31))),"Let op! Voor tankstation en mobiele waterstofopslagen samen wordt meer subsidie gevraagd dan de maximale subsidie","")</f>
        <v/>
      </c>
      <c r="K132" s="397"/>
      <c r="L132" s="397"/>
      <c r="Q132" s="93" t="s">
        <v>263</v>
      </c>
      <c r="R132" s="385">
        <f>E132</f>
        <v>0</v>
      </c>
      <c r="S132" s="398"/>
      <c r="T132" s="700"/>
    </row>
    <row r="133" spans="2:28" ht="16.5" customHeight="1" x14ac:dyDescent="0.3">
      <c r="C133" s="53" t="s">
        <v>158</v>
      </c>
      <c r="D133" s="54"/>
      <c r="E133" s="57">
        <f>F130-J130-E132</f>
        <v>0</v>
      </c>
      <c r="Q133" s="53" t="s">
        <v>158</v>
      </c>
      <c r="R133" s="57">
        <f ca="1">R130-V130-R132</f>
        <v>0</v>
      </c>
      <c r="T133" s="700"/>
    </row>
    <row r="134" spans="2:28" ht="16.5" customHeight="1" x14ac:dyDescent="0.3">
      <c r="P134" s="48"/>
      <c r="Q134" s="248"/>
      <c r="R134" s="265"/>
      <c r="S134" s="248"/>
      <c r="T134" s="700"/>
      <c r="X134" s="326"/>
    </row>
    <row r="135" spans="2:28" ht="16.5" hidden="1" customHeight="1" x14ac:dyDescent="0.3">
      <c r="C135" s="399"/>
      <c r="T135" s="700"/>
    </row>
    <row r="136" spans="2:28" ht="16.5" hidden="1" customHeight="1" x14ac:dyDescent="0.3">
      <c r="C136" s="59" t="s">
        <v>331</v>
      </c>
      <c r="D136" s="67"/>
      <c r="E136" s="67"/>
      <c r="F136" s="67"/>
      <c r="G136" s="67"/>
      <c r="H136" s="60"/>
      <c r="I136" s="61"/>
      <c r="J136" s="61"/>
      <c r="K136" s="61"/>
      <c r="L136" s="61"/>
      <c r="M136" s="49"/>
      <c r="O136" s="49"/>
      <c r="P136" s="393" t="s">
        <v>363</v>
      </c>
      <c r="S136" s="45"/>
      <c r="T136" s="50"/>
    </row>
    <row r="137" spans="2:28" ht="15" hidden="1" customHeight="1" x14ac:dyDescent="0.3">
      <c r="C137" s="696" t="s">
        <v>237</v>
      </c>
      <c r="D137" s="696"/>
      <c r="E137" s="696"/>
      <c r="F137" s="696"/>
      <c r="G137" s="696"/>
      <c r="H137" s="696" t="s">
        <v>238</v>
      </c>
      <c r="I137" s="696"/>
      <c r="J137" s="696"/>
      <c r="K137" s="699"/>
      <c r="L137" s="243" t="s">
        <v>239</v>
      </c>
      <c r="M137" s="62" t="s">
        <v>240</v>
      </c>
      <c r="O137" s="49"/>
      <c r="P137" s="62" t="s">
        <v>241</v>
      </c>
      <c r="Q137" s="106" t="s">
        <v>242</v>
      </c>
      <c r="R137" s="62" t="s">
        <v>243</v>
      </c>
      <c r="T137" s="50"/>
    </row>
    <row r="138" spans="2:28" ht="15" hidden="1" customHeight="1" x14ac:dyDescent="0.3">
      <c r="C138" s="689" t="str">
        <f>IF(ISBLANK('Deelnemer 26 tankstation'!C16),"",'Deelnemer 26 tankstation'!C16)</f>
        <v/>
      </c>
      <c r="D138" s="689"/>
      <c r="E138" s="689"/>
      <c r="F138" s="689"/>
      <c r="G138" s="689"/>
      <c r="H138" s="690" t="str">
        <f>IF(ISBLANK('Deelnemer 26 tankstation'!H16),"",'Deelnemer 26 tankstation'!H16)</f>
        <v/>
      </c>
      <c r="I138" s="690"/>
      <c r="J138" s="690"/>
      <c r="K138" s="691"/>
      <c r="L138" s="400" t="str">
        <f>IF(ISBLANK('Deelnemer 26 tankstation'!L16),"",'Deelnemer 26 tankstation'!L16)</f>
        <v/>
      </c>
      <c r="M138" s="78" t="str">
        <f>IF(ISBLANK('Deelnemer 26 tankstation'!M16),"",'Deelnemer 26 tankstation'!M16)</f>
        <v/>
      </c>
      <c r="O138" s="49"/>
      <c r="P138" s="78" t="str">
        <f>IF(ISBLANK('Deelnemer 26 tankstation'!P16),"",'Deelnemer 26 tankstation'!P16)</f>
        <v/>
      </c>
      <c r="Q138" s="107">
        <f>'Deelnemer 26 tankstation'!Q16</f>
        <v>0</v>
      </c>
      <c r="R138" s="78" t="str">
        <f>IF(ISBLANK('Deelnemer 26 tankstation'!R16),"",'Deelnemer 26 tankstation'!R16)</f>
        <v/>
      </c>
      <c r="T138" s="50"/>
    </row>
    <row r="139" spans="2:28" ht="15" hidden="1" customHeight="1" x14ac:dyDescent="0.3">
      <c r="C139" s="689" t="str">
        <f>IF(ISBLANK('Deelnemer 26 tankstation'!C17),"",'Deelnemer 26 tankstation'!C17)</f>
        <v/>
      </c>
      <c r="D139" s="689"/>
      <c r="E139" s="689"/>
      <c r="F139" s="689"/>
      <c r="G139" s="689"/>
      <c r="H139" s="690" t="str">
        <f>IF(ISBLANK('Deelnemer 26 tankstation'!H17),"",'Deelnemer 26 tankstation'!H17)</f>
        <v/>
      </c>
      <c r="I139" s="690"/>
      <c r="J139" s="690"/>
      <c r="K139" s="691"/>
      <c r="L139" s="400" t="str">
        <f>IF(ISBLANK('Deelnemer 26 tankstation'!L17),"",'Deelnemer 26 tankstation'!L17)</f>
        <v/>
      </c>
      <c r="M139" s="78" t="str">
        <f>IF(ISBLANK('Deelnemer 26 tankstation'!M17),"",'Deelnemer 26 tankstation'!M17)</f>
        <v/>
      </c>
      <c r="O139" s="49"/>
      <c r="P139" s="78" t="str">
        <f>IF(ISBLANK('Deelnemer 26 tankstation'!P17),"",'Deelnemer 26 tankstation'!P17)</f>
        <v/>
      </c>
      <c r="Q139" s="107">
        <f>'Deelnemer 26 tankstation'!Q17</f>
        <v>0</v>
      </c>
      <c r="R139" s="78" t="str">
        <f>IF(ISBLANK('Deelnemer 26 tankstation'!R17),"",'Deelnemer 26 tankstation'!R17)</f>
        <v/>
      </c>
      <c r="T139" s="50"/>
    </row>
    <row r="140" spans="2:28" ht="15" hidden="1" customHeight="1" x14ac:dyDescent="0.3">
      <c r="C140" s="689" t="str">
        <f>IF(ISBLANK('Deelnemer 26 tankstation'!C18),"",'Deelnemer 26 tankstation'!C18)</f>
        <v/>
      </c>
      <c r="D140" s="689"/>
      <c r="E140" s="689"/>
      <c r="F140" s="689"/>
      <c r="G140" s="689"/>
      <c r="H140" s="690" t="str">
        <f>IF(ISBLANK('Deelnemer 26 tankstation'!H18),"",'Deelnemer 26 tankstation'!H18)</f>
        <v/>
      </c>
      <c r="I140" s="690"/>
      <c r="J140" s="690"/>
      <c r="K140" s="691"/>
      <c r="L140" s="400" t="str">
        <f>IF(ISBLANK('Deelnemer 26 tankstation'!L18),"",'Deelnemer 26 tankstation'!L18)</f>
        <v/>
      </c>
      <c r="M140" s="78" t="str">
        <f>IF(ISBLANK('Deelnemer 26 tankstation'!M18),"",'Deelnemer 26 tankstation'!M18)</f>
        <v/>
      </c>
      <c r="O140" s="49"/>
      <c r="P140" s="78" t="str">
        <f>IF(ISBLANK('Deelnemer 26 tankstation'!P18),"",'Deelnemer 26 tankstation'!P18)</f>
        <v/>
      </c>
      <c r="Q140" s="107">
        <f>'Deelnemer 26 tankstation'!Q18</f>
        <v>0</v>
      </c>
      <c r="R140" s="78" t="str">
        <f>IF(ISBLANK('Deelnemer 26 tankstation'!R18),"",'Deelnemer 26 tankstation'!R18)</f>
        <v/>
      </c>
      <c r="T140" s="50"/>
    </row>
    <row r="141" spans="2:28" ht="15" hidden="1" customHeight="1" x14ac:dyDescent="0.3">
      <c r="B141" s="239"/>
      <c r="C141" s="689" t="str">
        <f>IF(ISBLANK('Deelnemer 26 tankstation'!C19),"",'Deelnemer 26 tankstation'!C19)</f>
        <v/>
      </c>
      <c r="D141" s="689"/>
      <c r="E141" s="689"/>
      <c r="F141" s="689"/>
      <c r="G141" s="689"/>
      <c r="H141" s="690" t="str">
        <f>IF(ISBLANK('Deelnemer 26 tankstation'!H19),"",'Deelnemer 26 tankstation'!H19)</f>
        <v/>
      </c>
      <c r="I141" s="690"/>
      <c r="J141" s="690"/>
      <c r="K141" s="691"/>
      <c r="L141" s="400" t="str">
        <f>IF(ISBLANK('Deelnemer 26 tankstation'!L19),"",'Deelnemer 26 tankstation'!L19)</f>
        <v/>
      </c>
      <c r="M141" s="78" t="str">
        <f>IF(ISBLANK('Deelnemer 26 tankstation'!M19),"",'Deelnemer 26 tankstation'!M19)</f>
        <v/>
      </c>
      <c r="O141" s="49"/>
      <c r="P141" s="78" t="str">
        <f>IF(ISBLANK('Deelnemer 26 tankstation'!P19),"",'Deelnemer 26 tankstation'!P19)</f>
        <v/>
      </c>
      <c r="Q141" s="107">
        <f>'Deelnemer 26 tankstation'!Q19</f>
        <v>0</v>
      </c>
      <c r="R141" s="78" t="str">
        <f>IF(ISBLANK('Deelnemer 26 tankstation'!R19),"",'Deelnemer 26 tankstation'!R19)</f>
        <v/>
      </c>
      <c r="T141" s="50"/>
    </row>
    <row r="142" spans="2:28" ht="15" hidden="1" customHeight="1" x14ac:dyDescent="0.3">
      <c r="B142" s="239"/>
      <c r="C142" s="689" t="str">
        <f>IF(ISBLANK('Deelnemer 26 tankstation'!C20),"",'Deelnemer 26 tankstation'!C20)</f>
        <v/>
      </c>
      <c r="D142" s="689"/>
      <c r="E142" s="689"/>
      <c r="F142" s="689"/>
      <c r="G142" s="689"/>
      <c r="H142" s="690" t="str">
        <f>IF(ISBLANK('Deelnemer 26 tankstation'!H20),"",'Deelnemer 26 tankstation'!H20)</f>
        <v/>
      </c>
      <c r="I142" s="690"/>
      <c r="J142" s="690"/>
      <c r="K142" s="691"/>
      <c r="L142" s="400" t="str">
        <f>IF(ISBLANK('Deelnemer 26 tankstation'!L20),"",'Deelnemer 26 tankstation'!L20)</f>
        <v/>
      </c>
      <c r="M142" s="78" t="str">
        <f>IF(ISBLANK('Deelnemer 26 tankstation'!M20),"",'Deelnemer 26 tankstation'!M20)</f>
        <v/>
      </c>
      <c r="O142" s="49"/>
      <c r="P142" s="78" t="str">
        <f>IF(ISBLANK('Deelnemer 26 tankstation'!P20),"",'Deelnemer 26 tankstation'!P20)</f>
        <v/>
      </c>
      <c r="Q142" s="107">
        <f>'Deelnemer 26 tankstation'!Q20</f>
        <v>0</v>
      </c>
      <c r="R142" s="78" t="str">
        <f>IF(ISBLANK('Deelnemer 26 tankstation'!R20),"",'Deelnemer 26 tankstation'!R20)</f>
        <v/>
      </c>
      <c r="T142" s="50"/>
    </row>
    <row r="143" spans="2:28" ht="15" hidden="1" customHeight="1" x14ac:dyDescent="0.3">
      <c r="C143" s="689" t="str">
        <f>IF(ISBLANK('Deelnemer 26 tankstation'!C21),"",'Deelnemer 26 tankstation'!C21)</f>
        <v/>
      </c>
      <c r="D143" s="689"/>
      <c r="E143" s="689"/>
      <c r="F143" s="689"/>
      <c r="G143" s="689"/>
      <c r="H143" s="690" t="str">
        <f>IF(ISBLANK('Deelnemer 26 tankstation'!H21),"",'Deelnemer 26 tankstation'!H21)</f>
        <v/>
      </c>
      <c r="I143" s="690"/>
      <c r="J143" s="690"/>
      <c r="K143" s="691"/>
      <c r="L143" s="400" t="str">
        <f>IF(ISBLANK('Deelnemer 26 tankstation'!L21),"",'Deelnemer 26 tankstation'!L21)</f>
        <v/>
      </c>
      <c r="M143" s="78" t="str">
        <f>IF(ISBLANK('Deelnemer 26 tankstation'!M21),"",'Deelnemer 26 tankstation'!M21)</f>
        <v/>
      </c>
      <c r="O143" s="49"/>
      <c r="P143" s="78" t="str">
        <f>IF(ISBLANK('Deelnemer 26 tankstation'!P21),"",'Deelnemer 26 tankstation'!P21)</f>
        <v/>
      </c>
      <c r="Q143" s="107">
        <f>'Deelnemer 26 tankstation'!Q21</f>
        <v>0</v>
      </c>
      <c r="R143" s="78" t="str">
        <f>IF(ISBLANK('Deelnemer 26 tankstation'!R21),"",'Deelnemer 26 tankstation'!R21)</f>
        <v/>
      </c>
      <c r="T143" s="50"/>
    </row>
    <row r="144" spans="2:28" ht="15" hidden="1" customHeight="1" x14ac:dyDescent="0.3">
      <c r="C144" s="689" t="str">
        <f>IF(ISBLANK('Deelnemer 26 tankstation'!C22),"",'Deelnemer 26 tankstation'!C22)</f>
        <v/>
      </c>
      <c r="D144" s="689"/>
      <c r="E144" s="689"/>
      <c r="F144" s="689"/>
      <c r="G144" s="689"/>
      <c r="H144" s="690" t="str">
        <f>IF(ISBLANK('Deelnemer 26 tankstation'!H22),"",'Deelnemer 26 tankstation'!H22)</f>
        <v/>
      </c>
      <c r="I144" s="690"/>
      <c r="J144" s="690"/>
      <c r="K144" s="691"/>
      <c r="L144" s="400" t="str">
        <f>IF(ISBLANK('Deelnemer 26 tankstation'!L22),"",'Deelnemer 26 tankstation'!L22)</f>
        <v/>
      </c>
      <c r="M144" s="78" t="str">
        <f>IF(ISBLANK('Deelnemer 26 tankstation'!M22),"",'Deelnemer 26 tankstation'!M22)</f>
        <v/>
      </c>
      <c r="O144" s="49"/>
      <c r="P144" s="78" t="str">
        <f>IF(ISBLANK('Deelnemer 26 tankstation'!P22),"",'Deelnemer 26 tankstation'!P22)</f>
        <v/>
      </c>
      <c r="Q144" s="107">
        <f>'Deelnemer 26 tankstation'!Q22</f>
        <v>0</v>
      </c>
      <c r="R144" s="78" t="str">
        <f>IF(ISBLANK('Deelnemer 26 tankstation'!R22),"",'Deelnemer 26 tankstation'!R22)</f>
        <v/>
      </c>
      <c r="T144" s="50"/>
    </row>
    <row r="145" spans="3:24" ht="15" hidden="1" customHeight="1" x14ac:dyDescent="0.3">
      <c r="C145" s="63"/>
      <c r="D145" s="52"/>
      <c r="E145" s="52"/>
      <c r="F145" s="52"/>
      <c r="G145" s="52"/>
      <c r="H145" s="65"/>
      <c r="I145" s="61"/>
      <c r="J145" s="61"/>
      <c r="K145" s="108"/>
      <c r="L145" s="108" t="s">
        <v>245</v>
      </c>
      <c r="M145" s="68">
        <f>SUM(M138:M144)</f>
        <v>0</v>
      </c>
      <c r="O145" s="49"/>
      <c r="P145" s="68">
        <f>SUM(P138:P144)</f>
        <v>0</v>
      </c>
      <c r="Q145" s="107">
        <f>SUM(Q138:Q144)</f>
        <v>0</v>
      </c>
      <c r="R145" s="78"/>
      <c r="T145" s="50"/>
    </row>
    <row r="146" spans="3:24" ht="15" customHeight="1" x14ac:dyDescent="0.3">
      <c r="X146" s="326"/>
    </row>
    <row r="147" spans="3:24" ht="15" customHeight="1" x14ac:dyDescent="0.3">
      <c r="C147" s="51" t="s">
        <v>264</v>
      </c>
      <c r="S147" s="248"/>
      <c r="X147" s="326"/>
    </row>
    <row r="148" spans="3:24" ht="15" customHeight="1" x14ac:dyDescent="0.3">
      <c r="C148" s="51" t="s">
        <v>265</v>
      </c>
      <c r="R148" s="248"/>
      <c r="S148" s="248"/>
      <c r="T148" s="248"/>
      <c r="X148" s="326"/>
    </row>
    <row r="149" spans="3:24" ht="15" customHeight="1" x14ac:dyDescent="0.3">
      <c r="C149" s="51" t="s">
        <v>343</v>
      </c>
      <c r="R149" s="248"/>
      <c r="S149" s="248"/>
    </row>
    <row r="150" spans="3:24" ht="15" customHeight="1" x14ac:dyDescent="0.3">
      <c r="C150" s="401" t="s">
        <v>266</v>
      </c>
    </row>
    <row r="151" spans="3:24" ht="15" customHeight="1" x14ac:dyDescent="0.3">
      <c r="C151" s="268" t="s">
        <v>344</v>
      </c>
    </row>
    <row r="152" spans="3:24" ht="15" customHeight="1" x14ac:dyDescent="0.3">
      <c r="C152" s="701" t="s">
        <v>355</v>
      </c>
      <c r="D152" s="701"/>
      <c r="E152" s="701"/>
      <c r="F152" s="701"/>
      <c r="G152" s="701"/>
      <c r="H152" s="701"/>
      <c r="I152" s="701"/>
      <c r="J152" s="701"/>
      <c r="K152" s="701"/>
    </row>
    <row r="153" spans="3:24" ht="15" customHeight="1" x14ac:dyDescent="0.3">
      <c r="C153" s="701"/>
      <c r="D153" s="701"/>
      <c r="E153" s="701"/>
      <c r="F153" s="701"/>
      <c r="G153" s="701"/>
      <c r="H153" s="701"/>
      <c r="I153" s="701"/>
      <c r="J153" s="701"/>
      <c r="K153" s="701"/>
    </row>
    <row r="154" spans="3:24" ht="15" customHeight="1" x14ac:dyDescent="0.3">
      <c r="C154" s="269" t="s">
        <v>350</v>
      </c>
    </row>
    <row r="155" spans="3:24" ht="15" customHeight="1" x14ac:dyDescent="0.3">
      <c r="C155" s="198" t="s">
        <v>267</v>
      </c>
    </row>
    <row r="156" spans="3:24" ht="15" customHeight="1" x14ac:dyDescent="0.3">
      <c r="C156" s="198" t="s">
        <v>351</v>
      </c>
    </row>
  </sheetData>
  <sheetProtection sheet="1" selectLockedCells="1"/>
  <mergeCells count="176">
    <mergeCell ref="T131:T135"/>
    <mergeCell ref="C152:K153"/>
    <mergeCell ref="C49:G49"/>
    <mergeCell ref="H49:K49"/>
    <mergeCell ref="C50:G50"/>
    <mergeCell ref="H50:K50"/>
    <mergeCell ref="C51:G51"/>
    <mergeCell ref="H51:K51"/>
    <mergeCell ref="C52:G52"/>
    <mergeCell ref="H52:K52"/>
    <mergeCell ref="C53:G53"/>
    <mergeCell ref="H53:K53"/>
    <mergeCell ref="H55:K55"/>
    <mergeCell ref="C56:G56"/>
    <mergeCell ref="H56:K56"/>
    <mergeCell ref="C108:G108"/>
    <mergeCell ref="H108:K108"/>
    <mergeCell ref="C130:E130"/>
    <mergeCell ref="C109:G109"/>
    <mergeCell ref="H109:K109"/>
    <mergeCell ref="C110:G110"/>
    <mergeCell ref="H110:K110"/>
    <mergeCell ref="C111:G111"/>
    <mergeCell ref="H111:K111"/>
    <mergeCell ref="E122:G122"/>
    <mergeCell ref="C115:D115"/>
    <mergeCell ref="C120:D120"/>
    <mergeCell ref="C121:D121"/>
    <mergeCell ref="C122:D122"/>
    <mergeCell ref="E118:G118"/>
    <mergeCell ref="E119:G119"/>
    <mergeCell ref="C118:D118"/>
    <mergeCell ref="C119:D119"/>
    <mergeCell ref="C104:G104"/>
    <mergeCell ref="H104:K104"/>
    <mergeCell ref="C106:G106"/>
    <mergeCell ref="E120:G120"/>
    <mergeCell ref="E121:G121"/>
    <mergeCell ref="E115:G115"/>
    <mergeCell ref="E116:G116"/>
    <mergeCell ref="E117:G117"/>
    <mergeCell ref="C116:D116"/>
    <mergeCell ref="C117:D117"/>
    <mergeCell ref="H106:K106"/>
    <mergeCell ref="C107:G107"/>
    <mergeCell ref="H107:K107"/>
    <mergeCell ref="C93:G93"/>
    <mergeCell ref="H93:K93"/>
    <mergeCell ref="C97:G97"/>
    <mergeCell ref="H97:K97"/>
    <mergeCell ref="C98:G98"/>
    <mergeCell ref="H98:K98"/>
    <mergeCell ref="C99:G99"/>
    <mergeCell ref="H99:K99"/>
    <mergeCell ref="C100:G100"/>
    <mergeCell ref="H100:K100"/>
    <mergeCell ref="C144:G144"/>
    <mergeCell ref="H144:K144"/>
    <mergeCell ref="C76:G76"/>
    <mergeCell ref="H76:K76"/>
    <mergeCell ref="C77:G77"/>
    <mergeCell ref="H77:K77"/>
    <mergeCell ref="H74:K74"/>
    <mergeCell ref="C75:G75"/>
    <mergeCell ref="H75:K75"/>
    <mergeCell ref="C87:G87"/>
    <mergeCell ref="H87:K87"/>
    <mergeCell ref="C82:G82"/>
    <mergeCell ref="H82:K82"/>
    <mergeCell ref="C83:G83"/>
    <mergeCell ref="H83:K83"/>
    <mergeCell ref="C84:G84"/>
    <mergeCell ref="H84:K84"/>
    <mergeCell ref="C94:G94"/>
    <mergeCell ref="H94:K94"/>
    <mergeCell ref="C105:G105"/>
    <mergeCell ref="H105:K105"/>
    <mergeCell ref="C95:G95"/>
    <mergeCell ref="H95:K95"/>
    <mergeCell ref="C96:G96"/>
    <mergeCell ref="C43:G43"/>
    <mergeCell ref="C54:G54"/>
    <mergeCell ref="H54:K54"/>
    <mergeCell ref="C55:G55"/>
    <mergeCell ref="C78:G78"/>
    <mergeCell ref="H78:K78"/>
    <mergeCell ref="C143:G143"/>
    <mergeCell ref="H143:K143"/>
    <mergeCell ref="F30:G30"/>
    <mergeCell ref="C85:G85"/>
    <mergeCell ref="H85:K85"/>
    <mergeCell ref="C86:G86"/>
    <mergeCell ref="H86:K86"/>
    <mergeCell ref="C61:G61"/>
    <mergeCell ref="H61:K61"/>
    <mergeCell ref="C60:G60"/>
    <mergeCell ref="H60:K60"/>
    <mergeCell ref="C67:G67"/>
    <mergeCell ref="H67:K67"/>
    <mergeCell ref="H96:K96"/>
    <mergeCell ref="C88:G88"/>
    <mergeCell ref="H88:K88"/>
    <mergeCell ref="C89:G89"/>
    <mergeCell ref="H89:K89"/>
    <mergeCell ref="C140:G140"/>
    <mergeCell ref="H140:K140"/>
    <mergeCell ref="C141:G141"/>
    <mergeCell ref="H141:K141"/>
    <mergeCell ref="C29:E29"/>
    <mergeCell ref="F29:G29"/>
    <mergeCell ref="C71:G71"/>
    <mergeCell ref="H71:K71"/>
    <mergeCell ref="C72:G72"/>
    <mergeCell ref="H72:K72"/>
    <mergeCell ref="C73:G73"/>
    <mergeCell ref="H73:K73"/>
    <mergeCell ref="C74:G74"/>
    <mergeCell ref="C38:G38"/>
    <mergeCell ref="H38:K38"/>
    <mergeCell ref="C39:G39"/>
    <mergeCell ref="H39:K39"/>
    <mergeCell ref="H137:K137"/>
    <mergeCell ref="C138:G138"/>
    <mergeCell ref="H138:K138"/>
    <mergeCell ref="C139:G139"/>
    <mergeCell ref="H139:K139"/>
    <mergeCell ref="C45:G45"/>
    <mergeCell ref="H45:K45"/>
    <mergeCell ref="C142:G142"/>
    <mergeCell ref="H142:K142"/>
    <mergeCell ref="F15:G15"/>
    <mergeCell ref="C40:G40"/>
    <mergeCell ref="H40:K40"/>
    <mergeCell ref="C16:E16"/>
    <mergeCell ref="C17:E17"/>
    <mergeCell ref="C30:E30"/>
    <mergeCell ref="C23:E23"/>
    <mergeCell ref="F16:G16"/>
    <mergeCell ref="F17:G17"/>
    <mergeCell ref="F18:G18"/>
    <mergeCell ref="F20:G20"/>
    <mergeCell ref="F23:G23"/>
    <mergeCell ref="H43:K43"/>
    <mergeCell ref="C137:G137"/>
    <mergeCell ref="C126:D129"/>
    <mergeCell ref="F19:G19"/>
    <mergeCell ref="C24:E26"/>
    <mergeCell ref="C44:G44"/>
    <mergeCell ref="H44:K44"/>
    <mergeCell ref="C64:G64"/>
    <mergeCell ref="H64:K64"/>
    <mergeCell ref="C65:G65"/>
    <mergeCell ref="T36:V36"/>
    <mergeCell ref="W36:Y36"/>
    <mergeCell ref="Z36:AB36"/>
    <mergeCell ref="J131:L131"/>
    <mergeCell ref="C31:E31"/>
    <mergeCell ref="F31:G31"/>
    <mergeCell ref="E14:H14"/>
    <mergeCell ref="D9:E9"/>
    <mergeCell ref="D6:E6"/>
    <mergeCell ref="D7:E7"/>
    <mergeCell ref="D8:E8"/>
    <mergeCell ref="F6:J11"/>
    <mergeCell ref="H65:K65"/>
    <mergeCell ref="C66:G66"/>
    <mergeCell ref="H66:K66"/>
    <mergeCell ref="C62:G62"/>
    <mergeCell ref="H62:K62"/>
    <mergeCell ref="C63:G63"/>
    <mergeCell ref="H63:K63"/>
    <mergeCell ref="Q36:S36"/>
    <mergeCell ref="C41:G41"/>
    <mergeCell ref="H41:K41"/>
    <mergeCell ref="C42:G42"/>
    <mergeCell ref="H42:K42"/>
  </mergeCells>
  <dataValidations count="3">
    <dataValidation type="list" allowBlank="1" showErrorMessage="1" sqref="D12 F19:F20 F23" xr:uid="{9ADB5FCF-59AD-475A-AA49-400BDB045E2F}">
      <formula1>"Ja,Nee"</formula1>
    </dataValidation>
    <dataValidation allowBlank="1" showErrorMessage="1" sqref="H21:H22 F29:F31" xr:uid="{D8F76FC3-C818-466E-976E-66C9E4F4C074}"/>
    <dataValidation type="list" allowBlank="1" showErrorMessage="1" sqref="F18" xr:uid="{26DC90B3-9E51-49E9-815B-9E4FB9091A9E}">
      <formula1>"Aanvraag ingediend,Verleend,Onherroepelijk"</formula1>
    </dataValidation>
  </dataValidations>
  <pageMargins left="0.70866141732283472" right="0.70866141732283472" top="0.74803149606299213" bottom="0.74803149606299213" header="0" footer="0"/>
  <pageSetup paperSize="9" scale="60" orientation="landscape" r:id="rId1"/>
  <headerFooter>
    <oddFooter>&amp;L_x000D_#000000 Intern gebruik_x000D_&amp;1#&amp;"Calibri"&amp;10&amp;K000000 Intern gebruik</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0934C7E-BF8B-4FC5-9817-AD0F6DA51E46}">
          <x14:formula1>
            <xm:f>'Categorie H2 Vtg.'!$B$35:$B$41</xm:f>
          </x14:formula1>
          <xm:sqref>C116:D122</xm:sqref>
        </x14:dataValidation>
        <x14:dataValidation type="list" allowBlank="1" showInputMessage="1" showErrorMessage="1" xr:uid="{EF4C5232-81ED-B742-8996-32D9C49C7897}">
          <x14:formula1>
            <xm:f>'Categorie H2 Vtg.'!$B$25:$B$28</xm:f>
          </x14:formula1>
          <xm:sqref>L72:L78 L105:L111 L50:L56 L61:L67 L39:L45 L83:L89 L94:L100 L116:L122 L138:L144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9774C2455D2B4CA163FDA0D4BF1547" ma:contentTypeVersion="12" ma:contentTypeDescription="Een nieuw document maken." ma:contentTypeScope="" ma:versionID="c4f2573e3ccafdb0521167a5ceb8a2dc">
  <xsd:schema xmlns:xsd="http://www.w3.org/2001/XMLSchema" xmlns:xs="http://www.w3.org/2001/XMLSchema" xmlns:p="http://schemas.microsoft.com/office/2006/metadata/properties" xmlns:ns2="7e6e0621-483e-444b-a682-4f186124e13a" xmlns:ns3="ac65d0cd-abeb-4c99-a43f-c686042536f6" targetNamespace="http://schemas.microsoft.com/office/2006/metadata/properties" ma:root="true" ma:fieldsID="79c63ca386a39db91f0f58f146abb321" ns2:_="" ns3:_="">
    <xsd:import namespace="7e6e0621-483e-444b-a682-4f186124e13a"/>
    <xsd:import namespace="ac65d0cd-abeb-4c99-a43f-c686042536f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e0621-483e-444b-a682-4f186124e1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65d0cd-abeb-4c99-a43f-c686042536f6"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14" nillable="true" ma:displayName="Taxonomy Catch All Column" ma:hidden="true" ma:list="{9663ea6b-974c-4ff1-a67c-5ed2136360c7}" ma:internalName="TaxCatchAll" ma:showField="CatchAllData" ma:web="ac65d0cd-abeb-4c99-a43f-c686042536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e6e0621-483e-444b-a682-4f186124e13a">
      <Terms xmlns="http://schemas.microsoft.com/office/infopath/2007/PartnerControls"/>
    </lcf76f155ced4ddcb4097134ff3c332f>
    <TaxCatchAll xmlns="ac65d0cd-abeb-4c99-a43f-c686042536f6" xsi:nil="true"/>
  </documentManagement>
</p:properties>
</file>

<file path=customXml/itemProps1.xml><?xml version="1.0" encoding="utf-8"?>
<ds:datastoreItem xmlns:ds="http://schemas.openxmlformats.org/officeDocument/2006/customXml" ds:itemID="{BBE7DE68-B522-48E6-99BD-FF98602BF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e0621-483e-444b-a682-4f186124e13a"/>
    <ds:schemaRef ds:uri="ac65d0cd-abeb-4c99-a43f-c686042536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023349-D912-4C56-BCEF-C4D64B5D87A0}">
  <ds:schemaRefs>
    <ds:schemaRef ds:uri="http://schemas.microsoft.com/sharepoint/v3/contenttype/forms"/>
  </ds:schemaRefs>
</ds:datastoreItem>
</file>

<file path=customXml/itemProps3.xml><?xml version="1.0" encoding="utf-8"?>
<ds:datastoreItem xmlns:ds="http://schemas.openxmlformats.org/officeDocument/2006/customXml" ds:itemID="{35AB65D9-5DD7-4220-B126-61F367A89189}">
  <ds:schemaRefs>
    <ds:schemaRef ds:uri="http://purl.org/dc/elements/1.1/"/>
    <ds:schemaRef ds:uri="http://schemas.openxmlformats.org/package/2006/metadata/core-properties"/>
    <ds:schemaRef ds:uri="http://schemas.microsoft.com/office/infopath/2007/PartnerControls"/>
    <ds:schemaRef ds:uri="http://schemas.microsoft.com/office/2006/documentManagement/types"/>
    <ds:schemaRef ds:uri="http://schemas.microsoft.com/office/2006/metadata/properties"/>
    <ds:schemaRef ds:uri="http://purl.org/dc/dcmitype/"/>
    <ds:schemaRef ds:uri="ac65d0cd-abeb-4c99-a43f-c686042536f6"/>
    <ds:schemaRef ds:uri="7e6e0621-483e-444b-a682-4f186124e13a"/>
    <ds:schemaRef ds:uri="http://www.w3.org/XML/1998/namespace"/>
    <ds:schemaRef ds:uri="http://purl.org/dc/terms/"/>
  </ds:schemaRefs>
</ds:datastoreItem>
</file>

<file path=docMetadata/LabelInfo.xml><?xml version="1.0" encoding="utf-8"?>
<clbl:labelList xmlns:clbl="http://schemas.microsoft.com/office/2020/mipLabelMetadata">
  <clbl:label id="{681dcdd7-3e43-49fb-ac1e-2321f7e63421}" enabled="1" method="Standard" siteId="{1321633e-f6b9-44e2-a44f-59b9d264ec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34</vt:i4>
      </vt:variant>
      <vt:variant>
        <vt:lpstr>Benoemde bereiken</vt:lpstr>
      </vt:variant>
      <vt:variant>
        <vt:i4>1</vt:i4>
      </vt:variant>
    </vt:vector>
  </HeadingPairs>
  <TitlesOfParts>
    <vt:vector size="35" baseType="lpstr">
      <vt:lpstr>Categorie H2 Vtg.</vt:lpstr>
      <vt:lpstr>Voorblad</vt:lpstr>
      <vt:lpstr>Toelichting </vt:lpstr>
      <vt:lpstr>Score</vt:lpstr>
      <vt:lpstr>Overzicht - Voertuigen </vt:lpstr>
      <vt:lpstr>Subsidieberekening</vt:lpstr>
      <vt:lpstr>Totaaloverzicht</vt:lpstr>
      <vt:lpstr>Uitleg posten tankstation</vt:lpstr>
      <vt:lpstr>Deelnemer 1 tankstation</vt:lpstr>
      <vt:lpstr>Deelnemer 2 vtg</vt:lpstr>
      <vt:lpstr>Deelnemer 3 vtg</vt:lpstr>
      <vt:lpstr>Deelnemer 4 vtg</vt:lpstr>
      <vt:lpstr>Deelnemer 5 vtg</vt:lpstr>
      <vt:lpstr>Deelnemer 6 vtg</vt:lpstr>
      <vt:lpstr>Deelnemer 7 vtg</vt:lpstr>
      <vt:lpstr>Deelnemer 8 vtg</vt:lpstr>
      <vt:lpstr>Deelnemer 9 vtg</vt:lpstr>
      <vt:lpstr>Deelnemer 10 vtg</vt:lpstr>
      <vt:lpstr>Deelnemer 11 vtg</vt:lpstr>
      <vt:lpstr>Deelnemer 12 vtg</vt:lpstr>
      <vt:lpstr>Deelnemer 13 vtg</vt:lpstr>
      <vt:lpstr>Deelnemer 14 vtg</vt:lpstr>
      <vt:lpstr>Deelnemer 15 vtg</vt:lpstr>
      <vt:lpstr>Deelnemer 16 vtg</vt:lpstr>
      <vt:lpstr>Deelnemer 17 vtg</vt:lpstr>
      <vt:lpstr>Deelnemer 18 vtg</vt:lpstr>
      <vt:lpstr>Deelnemer 19 vtg</vt:lpstr>
      <vt:lpstr>Deelnemer 20 vtg</vt:lpstr>
      <vt:lpstr>Deelnemer 21 vtg</vt:lpstr>
      <vt:lpstr>Deelnemer 22 vtg</vt:lpstr>
      <vt:lpstr>Deelnemer 23 vtg</vt:lpstr>
      <vt:lpstr>Deelnemer 24 vtg</vt:lpstr>
      <vt:lpstr>Deelnemer 25 vtg</vt:lpstr>
      <vt:lpstr>Deelnemer 26 tankstation</vt:lpstr>
      <vt:lpstr>Subsidieberekening!Afdrukbereik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RVO</dc:creator>
  <cp:keywords/>
  <dc:description/>
  <cp:lastModifiedBy>Toetenel, S.A. (Sabina)</cp:lastModifiedBy>
  <cp:revision/>
  <dcterms:created xsi:type="dcterms:W3CDTF">2024-04-17T15:40:26Z</dcterms:created>
  <dcterms:modified xsi:type="dcterms:W3CDTF">2026-02-19T10:54:19Z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0x010100C59774C2455D2B4CA163FDA0D4BF1547</vt:lpwstr>
  </property>
  <property fmtid="{D5CDD505-2E9C-101B-9397-08002B2CF9AE}" pid="3" name="MediaServiceImageTags">
    <vt:lpwstr/>
  </property>
</Properties>
</file>