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T:\rvo\NP_CDE\Energie Innovatie\Uitvoering\57 Demonstratieprojecten Energie Innovatie (DEI)\DEI-project 2026 FCFS\Basisdocumenten\Ontwikkeling tools\"/>
    </mc:Choice>
  </mc:AlternateContent>
  <xr:revisionPtr revIDLastSave="0" documentId="13_ncr:1_{EACB37A0-8860-42F1-9F7F-659F93406805}" xr6:coauthVersionLast="47" xr6:coauthVersionMax="47" xr10:uidLastSave="{00000000-0000-0000-0000-000000000000}"/>
  <workbookProtection workbookAlgorithmName="SHA-512" workbookHashValue="oY6NOzw1bIOed6sWWcr6wBmxz8TnznhRwoXYjuby1F1dcKoPhbqYyUiXv/qVZuBKxHgBr+XW0t+cLI7jPsvT4w==" workbookSaltValue="CzTZUtp0ByZcEW/EpfGv9Q==" workbookSpinCount="100000" lockStructure="1"/>
  <bookViews>
    <workbookView xWindow="-120" yWindow="-120" windowWidth="51840" windowHeight="21240" tabRatio="731" firstSheet="2" activeTab="2" xr2:uid="{7238A4A3-3E41-4D9E-B620-B517A45EB873}"/>
  </bookViews>
  <sheets>
    <sheet name="Versie" sheetId="1" state="hidden" r:id="rId1"/>
    <sheet name="Datasheet" sheetId="2" state="hidden" r:id="rId2"/>
    <sheet name="Toelichting" sheetId="3" r:id="rId3"/>
    <sheet name="Energie , overige thema's" sheetId="4" r:id="rId4"/>
    <sheet name="CCS en Negatieve Emissies" sheetId="7" r:id="rId5"/>
    <sheet name="CCU" sheetId="8" r:id="rId6"/>
    <sheet name="Circulaire Economie" sheetId="6" r:id="rId7"/>
    <sheet name="Bronnen circulaire economie" sheetId="9" r:id="rId8"/>
    <sheet name="CO2 emissiefactoren 2022" sheetId="5" state="hidden" r:id="rId9"/>
  </sheets>
  <definedNames>
    <definedName name="_xlnm.Print_Area" localSheetId="6">'Circulaire Economie'!$A$1:$O$73</definedName>
  </definedNames>
  <calcPr calcId="191029"/>
  <customWorkbookViews>
    <customWorkbookView name="Berka, J.P.A. MSc (Jirka) - Persoonlijke weergave" guid="{468B9859-406B-47B7-B856-34BDC1863CB4}" mergeInterval="0" personalView="1" windowWidth="1720" windowHeight="141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9" i="6" l="1"/>
  <c r="B47" i="8"/>
  <c r="B46" i="7"/>
  <c r="B45" i="4"/>
  <c r="B34" i="3"/>
  <c r="K46" i="6"/>
  <c r="K47" i="6"/>
  <c r="K48" i="6"/>
  <c r="K49" i="6"/>
  <c r="K50" i="6"/>
  <c r="K51" i="6"/>
  <c r="K52" i="6"/>
  <c r="K53" i="6"/>
  <c r="K54" i="6"/>
  <c r="K55" i="6"/>
  <c r="K39" i="6"/>
  <c r="M39" i="6" s="1"/>
  <c r="K38" i="6"/>
  <c r="M38" i="6" s="1"/>
  <c r="K37" i="6"/>
  <c r="M37" i="6" s="1"/>
  <c r="K36" i="6"/>
  <c r="M36" i="6" s="1"/>
  <c r="K35" i="6"/>
  <c r="M35" i="6" s="1"/>
  <c r="K34" i="6"/>
  <c r="M34" i="6" s="1"/>
  <c r="K33" i="6"/>
  <c r="M33" i="6" s="1"/>
  <c r="K32" i="6"/>
  <c r="M32" i="6" s="1"/>
  <c r="K31" i="6"/>
  <c r="M31" i="6" s="1"/>
  <c r="K30" i="6"/>
  <c r="M30" i="6" s="1"/>
  <c r="M41" i="6" s="1"/>
  <c r="C32" i="4"/>
  <c r="C35" i="4"/>
  <c r="M36" i="8"/>
  <c r="M35" i="8"/>
  <c r="M34" i="8"/>
  <c r="M33" i="8"/>
  <c r="M30" i="8"/>
  <c r="M31" i="8"/>
  <c r="M32" i="8"/>
  <c r="K14" i="6"/>
  <c r="K16" i="6"/>
  <c r="E11" i="6"/>
  <c r="K14" i="8"/>
  <c r="K12" i="8"/>
  <c r="E17" i="7"/>
  <c r="K22" i="7"/>
  <c r="K20" i="7"/>
  <c r="K13" i="4"/>
  <c r="K11" i="4"/>
  <c r="E8" i="4"/>
  <c r="E26" i="4"/>
  <c r="E27" i="4"/>
  <c r="E9" i="8"/>
  <c r="D16" i="7"/>
  <c r="D17" i="7"/>
  <c r="D18" i="7"/>
  <c r="D20" i="7"/>
  <c r="D22" i="7"/>
  <c r="D24" i="7"/>
  <c r="M39" i="2"/>
  <c r="L41" i="2"/>
  <c r="L39" i="2"/>
  <c r="M33" i="2"/>
  <c r="B53" i="8"/>
  <c r="B52" i="7"/>
  <c r="B76" i="6"/>
  <c r="M27" i="2"/>
  <c r="K36" i="8"/>
  <c r="K35" i="8"/>
  <c r="K34" i="8"/>
  <c r="K33" i="8"/>
  <c r="K32" i="8"/>
  <c r="K31" i="8"/>
  <c r="K30" i="8"/>
  <c r="K29" i="8"/>
  <c r="M29" i="8" s="1"/>
  <c r="K28" i="8"/>
  <c r="M28" i="8" s="1"/>
  <c r="K27" i="8"/>
  <c r="K21" i="8"/>
  <c r="E21" i="8"/>
  <c r="K18" i="8"/>
  <c r="M18" i="8" s="1"/>
  <c r="K16" i="8"/>
  <c r="E16" i="8"/>
  <c r="D16" i="8"/>
  <c r="E14" i="8"/>
  <c r="M14" i="8" s="1"/>
  <c r="D14" i="8"/>
  <c r="E12" i="8"/>
  <c r="M12" i="8" s="1"/>
  <c r="D12" i="8"/>
  <c r="K10" i="8"/>
  <c r="E10" i="8"/>
  <c r="D10" i="8"/>
  <c r="K9" i="8"/>
  <c r="M9" i="8" s="1"/>
  <c r="D9" i="8"/>
  <c r="K8" i="8"/>
  <c r="E8" i="8"/>
  <c r="D8" i="8"/>
  <c r="C4" i="8"/>
  <c r="K11" i="7"/>
  <c r="M11" i="7" s="1"/>
  <c r="C41" i="7" s="1"/>
  <c r="K9" i="7"/>
  <c r="M9" i="7" s="1"/>
  <c r="K8" i="7"/>
  <c r="K29" i="7"/>
  <c r="E29" i="7"/>
  <c r="K26" i="7"/>
  <c r="M26" i="7" s="1"/>
  <c r="K24" i="7"/>
  <c r="E24" i="7"/>
  <c r="E22" i="7"/>
  <c r="M22" i="7" s="1"/>
  <c r="E20" i="7"/>
  <c r="M20" i="7" s="1"/>
  <c r="K18" i="7"/>
  <c r="E18" i="7"/>
  <c r="K17" i="7"/>
  <c r="M17" i="7" s="1"/>
  <c r="K16" i="7"/>
  <c r="E16" i="7"/>
  <c r="C4" i="7"/>
  <c r="M47" i="6"/>
  <c r="M48" i="6"/>
  <c r="M49" i="6"/>
  <c r="M50" i="6"/>
  <c r="M51" i="6"/>
  <c r="M52" i="6"/>
  <c r="M53" i="6"/>
  <c r="M54" i="6"/>
  <c r="M55" i="6"/>
  <c r="K23" i="6"/>
  <c r="E23" i="6"/>
  <c r="K20" i="6"/>
  <c r="M20" i="6" s="1"/>
  <c r="K18" i="6"/>
  <c r="E18" i="6"/>
  <c r="D18" i="6"/>
  <c r="E16" i="6"/>
  <c r="M16" i="6" s="1"/>
  <c r="D16" i="6"/>
  <c r="E14" i="6"/>
  <c r="M14" i="6" s="1"/>
  <c r="D14" i="6"/>
  <c r="K12" i="6"/>
  <c r="E12" i="6"/>
  <c r="D12" i="6"/>
  <c r="K11" i="6"/>
  <c r="M11" i="6" s="1"/>
  <c r="D11" i="6"/>
  <c r="K10" i="6"/>
  <c r="E10" i="6"/>
  <c r="D10" i="6"/>
  <c r="C4" i="6"/>
  <c r="M46" i="6" l="1"/>
  <c r="M57" i="6" s="1"/>
  <c r="M27" i="8"/>
  <c r="M38" i="8" s="1"/>
  <c r="L33" i="2"/>
  <c r="L35" i="2"/>
  <c r="L29" i="2"/>
  <c r="L27" i="2"/>
  <c r="M8" i="8"/>
  <c r="M10" i="8"/>
  <c r="M16" i="8"/>
  <c r="M21" i="8"/>
  <c r="M8" i="7"/>
  <c r="M16" i="7"/>
  <c r="M18" i="7"/>
  <c r="M24" i="7"/>
  <c r="M29" i="7"/>
  <c r="M32" i="7" s="1"/>
  <c r="C42" i="7" s="1"/>
  <c r="M10" i="6"/>
  <c r="M12" i="6"/>
  <c r="M18" i="6"/>
  <c r="M23" i="6"/>
  <c r="M25" i="6" l="1"/>
  <c r="M62" i="6" s="1"/>
  <c r="M23" i="8"/>
  <c r="M40" i="8"/>
  <c r="C36" i="7"/>
  <c r="C37" i="7" s="1"/>
  <c r="B46" i="8"/>
  <c r="B45" i="7" l="1"/>
  <c r="B42" i="7"/>
  <c r="B37" i="7"/>
  <c r="E37" i="7" l="1"/>
  <c r="C43" i="7"/>
  <c r="C45" i="7" s="1"/>
  <c r="C48" i="7" s="1"/>
  <c r="C38" i="7"/>
  <c r="K30" i="4"/>
  <c r="M30" i="4" s="1"/>
  <c r="C4" i="4"/>
  <c r="K28" i="4"/>
  <c r="E28" i="4"/>
  <c r="D28" i="4"/>
  <c r="E11" i="4"/>
  <c r="D11" i="4"/>
  <c r="I34" i="4"/>
  <c r="M21" i="2"/>
  <c r="L23" i="2" s="1"/>
  <c r="L21" i="2"/>
  <c r="K27" i="4"/>
  <c r="K26" i="4"/>
  <c r="D27" i="4"/>
  <c r="D26" i="4"/>
  <c r="M28" i="4" l="1"/>
  <c r="M27" i="4"/>
  <c r="M26" i="4"/>
  <c r="E34" i="4"/>
  <c r="K34" i="4" l="1"/>
  <c r="M34" i="4" s="1"/>
  <c r="E7" i="4" l="1"/>
  <c r="K9" i="4"/>
  <c r="K8" i="4"/>
  <c r="D9" i="4"/>
  <c r="D8" i="4"/>
  <c r="D7" i="4"/>
  <c r="E9" i="4"/>
  <c r="M9" i="4" s="1"/>
  <c r="M8" i="4"/>
  <c r="K20" i="4"/>
  <c r="M11" i="4"/>
  <c r="D15" i="4"/>
  <c r="D13" i="4"/>
  <c r="E20" i="4" l="1"/>
  <c r="E15" i="4"/>
  <c r="E13" i="4"/>
  <c r="K17" i="4"/>
  <c r="M17" i="4" s="1"/>
  <c r="K15" i="4"/>
  <c r="K7" i="4"/>
  <c r="L53" i="5"/>
  <c r="L47" i="5"/>
  <c r="L41" i="5"/>
  <c r="L40" i="5"/>
  <c r="M20" i="4" l="1"/>
  <c r="M15" i="4"/>
  <c r="M13" i="4"/>
  <c r="M7" i="4"/>
  <c r="M38" i="4" s="1"/>
  <c r="B44" i="4" s="1"/>
  <c r="C41" i="4" l="1"/>
  <c r="C42" i="4"/>
  <c r="C44" i="4" s="1"/>
  <c r="C47" i="4"/>
  <c r="B41" i="4"/>
  <c r="B43" i="8"/>
  <c r="C43" i="8"/>
  <c r="C44" i="8"/>
  <c r="C46" i="8"/>
  <c r="C49" i="8"/>
  <c r="B68" i="6"/>
  <c r="C65" i="6" l="1"/>
  <c r="C66" i="6" s="1"/>
  <c r="C68" i="6" s="1"/>
  <c r="C71" i="6" s="1"/>
  <c r="B65" i="6"/>
</calcChain>
</file>

<file path=xl/sharedStrings.xml><?xml version="1.0" encoding="utf-8"?>
<sst xmlns="http://schemas.openxmlformats.org/spreadsheetml/2006/main" count="1605" uniqueCount="610">
  <si>
    <t>CO2 reductie rekenmodel</t>
  </si>
  <si>
    <t>Versie</t>
  </si>
  <si>
    <t>Datum</t>
  </si>
  <si>
    <t>Dit Data sheet omvat de uitgangspunten, omrekeningsfactoren en procesdata</t>
  </si>
  <si>
    <t>CO2-emissiefactor referentieparkmethode2</t>
  </si>
  <si>
    <t>-</t>
  </si>
  <si>
    <t>kg CO2/kWh</t>
  </si>
  <si>
    <t>Categorie</t>
  </si>
  <si>
    <t>Eenheid</t>
  </si>
  <si>
    <t>Kg CO2/eenheid (WTW)</t>
  </si>
  <si>
    <t>Kg CO2/eenheid (TTW)</t>
  </si>
  <si>
    <t>Kg CO2/eenheid (WTT)</t>
  </si>
  <si>
    <t>Bron</t>
  </si>
  <si>
    <t>Toelichting</t>
  </si>
  <si>
    <t>Datum laatste wijziging</t>
  </si>
  <si>
    <r>
      <rPr>
        <b/>
        <sz val="9"/>
        <color theme="1"/>
        <rFont val="Verdana"/>
        <family val="2"/>
      </rPr>
      <t>CO</t>
    </r>
    <r>
      <rPr>
        <b/>
        <vertAlign val="subscript"/>
        <sz val="9"/>
        <color theme="1"/>
        <rFont val="Verdana"/>
        <family val="2"/>
      </rPr>
      <t>2</t>
    </r>
    <r>
      <rPr>
        <b/>
        <sz val="9"/>
        <color theme="1"/>
        <rFont val="Verdana"/>
        <family val="2"/>
      </rPr>
      <t>emissiefactoren 2022</t>
    </r>
    <r>
      <rPr>
        <sz val="11"/>
        <color theme="1"/>
        <rFont val="Calibri"/>
        <family val="2"/>
        <scheme val="minor"/>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</si>
  <si>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Brandstoffen voertuigen en schepen</t>
  </si>
  <si>
    <t>Benzine (E10, 2020 blend)</t>
  </si>
  <si>
    <t>liter</t>
  </si>
  <si>
    <t>[33]</t>
  </si>
  <si>
    <t>Blend met ca 10% benzinevervangers en 90% fossiele benzine. Blend zoals verkocht bij benzinestations.</t>
  </si>
  <si>
    <t>jan '21</t>
  </si>
  <si>
    <t>Benzine (2015-2019 blend)</t>
  </si>
  <si>
    <t>Deze factor is te gebruiken voor de periode 2015-2019 en gaat uit van de gemiddelde marktmix.</t>
  </si>
  <si>
    <t>Benzine (fossiel)</t>
  </si>
  <si>
    <t>Samenstelling benzine vóór bijmenging met biobrandstof.</t>
  </si>
  <si>
    <t>Bio-ethanol</t>
  </si>
  <si>
    <t>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</si>
  <si>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Blend op basis van benzinevervangers gemiddeld (85% volume) en fossiel (15% volume).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</si>
  <si>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Diesel (B7, 2020 blend)</t>
  </si>
  <si>
    <t>Blend met ca 7% biodiesel (FAME) en 93% fossiele diesel. Blend zoals verkocht bij benzinestations.</t>
  </si>
  <si>
    <t>Diesel (2015-2019 blend)</t>
  </si>
  <si>
    <t>Diesel (fossiel)</t>
  </si>
  <si>
    <t>Samenstelling diesel  vóór bijmenging met biobrandstof.</t>
  </si>
  <si>
    <t>Biodiesel (HVO)</t>
  </si>
  <si>
    <t xml:space="preserve">De CO2-emissies tijdens gebruik worden gelijk aan nul gesteld, vanwege het kort-cyclische karakter van de koolstof in deze brandstoffen. Er komt weliswaar CO2 vrij, deze draagt echter niet bij aan de versterking van het broeikaseffect. De emissies bij de productie (WTT) van de brandstof ontstaan door het opwerken van afgewerkte olie en transport. De emissies tijdens het gebruik (TTW) zijn gevolg van vrijkomend methaan tijdens de verbranding. De gepresenteerde emissiefactor geldt alleen voor HVO (Hydrotreated Vegetable Oil) geproduceerd op basis van duurzame grondstoffen, dit is met name UCO (Used Cooking Oils). De CO2-emissie van HVO gemaakt uit niet duurzame grondstoffen ligt hoger. Informeer bij uw leverancier naar de herkomst en duurzaamheid van de brandstof. </t>
  </si>
  <si>
    <t>feb '21</t>
  </si>
  <si>
    <t>Biodiesel (FAME)</t>
  </si>
  <si>
    <t>De CO2 emissies tijdens gebruik worden gelijk aan nul gesteld, vanwege het kort-cyclische karakter van de koolstof in deze brandstoffen. Er komt weliswaar CO2 vrij, echter deze draagt niet bij aan de versterking van het broeikaseffect. De emissies bij de productie (WTT) van de brandstof ontstaan door het opwerken van afgewerkte olie en transport. De emissies tijdens het gebruik (TTW) zijn gevolg van vrijkomend methaan tijdens de verbranding.</t>
  </si>
  <si>
    <t>GTL</t>
  </si>
  <si>
    <t>GTL is een brandstof met een schonere verbranding qua roet en fijnstof en is qua CO2-uitstoot vergelijkbaar met conventionele diesel.</t>
  </si>
  <si>
    <t>CNG (aardgas)</t>
  </si>
  <si>
    <t>kg</t>
  </si>
  <si>
    <t>Bio-CNG (groengas)</t>
  </si>
  <si>
    <t>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</si>
  <si>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LNG</t>
  </si>
  <si>
    <t>Bij gebruik van LNG is er een verschil in de uitstoot per motortype. De vermelde emissiefactor is van toepassing voor wegvervoer. In de scheepvaart wordt 4,307 kgCO2/kg aangehouden voor lean burn of dual fuel motoren en 3,557 kgCO2/kg voor zeeschepen met dual fuel injection motoren.</t>
  </si>
  <si>
    <t>Bio-LNG</t>
  </si>
  <si>
    <t>Bij gebruik van LNG is er een verschil in de uitstoot per motortype. De vermelde emissiefactor is van toepassing voor wegvervoer. In de scheepvaart wordt 2,132 kgCO2/kg aangehouden voor lean burn of dual fuel motoren en 1,338 kgCO2/kg voor zeeschepen met dual fuel injection motoren.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</si>
  <si>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LPG</t>
  </si>
  <si>
    <t>Waterstof grijs</t>
  </si>
  <si>
    <t xml:space="preserve">Het is van groot belang of de waterstof is geproduceerd via aardgasfractionering of via elektrolyse met groene stroom. De laatste is meer in opkomst en wordt gezien als mogelijkheid om windstroom op te slaan. Gerekend is met een energieinhoud van 120 MJ/kg en 104,3 gr CO2/MJ voor grijze waterstof en 9,1 gr CO2/MJ voor groene waterstof. Indien waterstof in liters wordt afgerekend, wordt er ongeveer 90,7gr/liter waterstof getankt. </t>
  </si>
  <si>
    <t>Waterstof groen</t>
  </si>
  <si>
    <t>Marine Diesel Oil (MDO)</t>
  </si>
  <si>
    <t>Mix van Heavy Fuel oil (HFO) en diesel. Verhouding is variabel en niet bekend, het grootste bestanddeel is HFO. Wordt gebruikt door zeeschepen binnen territoriale wateren. Zwavelpercentage is 0,1%. N.B: In de binnenvaart wordt reguliere diesel gebruikt als brandstof. Dit heeft soms een andere kleur en wordt ook wel stookolie genoemd, maar is qua samenstelling gelijk aan diesel.</t>
  </si>
  <si>
    <t>Heavy Fuel Oil (HFO)</t>
  </si>
  <si>
    <t>Brandstof alleen voor gebruik in zeeschepen, buiten territoriale wateren. _x000D_
Ook zware stookolie of residual fuel oil genaamd. Moet verwarmd worden tot 60-80°C om te kunnen gebruiken. Zwavelpercentage is 0,5%.</t>
  </si>
  <si>
    <t>Kerosine (jet A1)</t>
  </si>
  <si>
    <t>Soortelijke massa is 0,8 kg/liter.</t>
  </si>
  <si>
    <t>Brandstoffen energiecentrales en individuele warmteopwekking</t>
  </si>
  <si>
    <t>Stookolie</t>
  </si>
  <si>
    <t>[6]</t>
  </si>
  <si>
    <t>jan '15</t>
  </si>
  <si>
    <t>Ruwe aardolie</t>
  </si>
  <si>
    <t>[1]</t>
  </si>
  <si>
    <t>Orimulsion</t>
  </si>
  <si>
    <t>Aargascondensaat</t>
  </si>
  <si>
    <t>Petroleum</t>
  </si>
  <si>
    <t>Leisteenolie</t>
  </si>
  <si>
    <t>Ethaan</t>
  </si>
  <si>
    <t>Nafta</t>
  </si>
  <si>
    <t>Bitumen</t>
  </si>
  <si>
    <t>Smeerolien</t>
  </si>
  <si>
    <t>Petroleumcokes</t>
  </si>
  <si>
    <t>Raffinaderijgrondstoffen</t>
  </si>
  <si>
    <t>Raffinaderij gas</t>
  </si>
  <si>
    <t>Voor elektriciteitsproductie uit afval, hoogovengas en restgassen uit raffinaderijen en petrochemie wordt verondersteld dat deze wordt opgewekt met een rendement dat gelijk is aan het gemiddelde rendement van het productiepark in Nederland (exclusief deze bronnen). Voor deze bronnen is het lastig de brandstof inzet te verdelen over elektriciteitsproductie en de andere functies die deze centrales hebben.</t>
  </si>
  <si>
    <t>jan '22</t>
  </si>
  <si>
    <t>Chemisch restgas</t>
  </si>
  <si>
    <t>Overige olien</t>
  </si>
  <si>
    <t>Antraciet</t>
  </si>
  <si>
    <t>Cokeskolen</t>
  </si>
  <si>
    <t>Cokeskolen (cokeovens)</t>
  </si>
  <si>
    <t>Cokeskolen (basismetaal)</t>
  </si>
  <si>
    <t>Steenkool</t>
  </si>
  <si>
    <t>Sub-bitumeneuze steenkool</t>
  </si>
  <si>
    <t>Bruinkool</t>
  </si>
  <si>
    <t>Bitumenezue leisteen</t>
  </si>
  <si>
    <t>Turf</t>
  </si>
  <si>
    <t>Steenkool - bruinkoolbriketten</t>
  </si>
  <si>
    <t>Aardgas</t>
  </si>
  <si>
    <t>Nm3</t>
  </si>
  <si>
    <t>[1] en [35]</t>
  </si>
  <si>
    <t>Doordat er steeds meer gas wordt geimporteerd, verandert de voorketenemissie van aardgas. In bron (35) is dit in beeld gebracht en geactualiseerd. 
Indien aardgas onverbrand weglekt, draagt dit ook bij aan het broeikaseffect, vanwege het aanwezige methaan (in G-gas is dat ca 81,3%). Methaan heeft een GWP van 28 (zie koudemiddelen en overige emissies). Indien er 1 m3 aardgas (soortelijk gewicht 0,845 kg/m3) weglekt geeft dit ongeveer 16,16 kg CO2 equivalenten.</t>
  </si>
  <si>
    <t>GJ</t>
  </si>
  <si>
    <t>[35]</t>
  </si>
  <si>
    <t xml:space="preserve">De verbrandingsemissie van aardgas zijn constant, maar de voorketenemissies zijn veranderlijk (bron 35). 
Indien methaan onverbrand weglekt, draagt dit ook bij aan het broeikaseffect (Methaan heeft een GWP van 28, zie koudemiddelen en overige emissies). Indien er 1 Nm3 aardgas (soortelijk gewicht 0,845 kg/m3) weglekt geeft dit ongeveer 16,16 kg CO2 equivalenten.
Nb. Sommige bedrijven krijgen hoog calorisch gas geleverd (H-gas). Op een factuur wordt dit altijd teruggerekend naar Nm3 G-gas. Wij presenteren dan ook alleen de emissiefactor voor G-Gas (methaangehalte 81,3%). 
</t>
  </si>
  <si>
    <t>juli '22</t>
  </si>
  <si>
    <t>Propaan</t>
  </si>
  <si>
    <t>[6] en [2]</t>
  </si>
  <si>
    <t>Groengas (stortgas)</t>
  </si>
  <si>
    <t>De CO2 emissies tijdens gebruik worden gelijk aan nul gesteld vanwege het kort-cyclische karakter van de koolstof in deze brandstoffen. Er komt weliswaar wel CO2 vrij, echter deze draagt niet bij aan de versterking van het broeikaseffect.</t>
  </si>
  <si>
    <t>Groengas (covergisting)</t>
  </si>
  <si>
    <t>[32]</t>
  </si>
  <si>
    <t>jan '20</t>
  </si>
  <si>
    <t>Groengas (GFT-vergisting)</t>
  </si>
  <si>
    <t>Groengas (RWZI-slib)</t>
  </si>
  <si>
    <t>Groengas (gemiddeld)</t>
  </si>
  <si>
    <t>Het berekende gewogen gemiddelde kan gebruikt worden in studies waarbij groengasemissies over een grote groep afnemers berekend moeten worden. Dit gemiddelde is nadrukkelijk niet bruikbaar voor individuele emissieberekeningen. Wanneer in een individueel geval niet bekend is welk groengas er afgenomen wordt, dient gerekend te worden met de ‘worst case’ (mestvergisting/covergisting).</t>
  </si>
  <si>
    <t>Houtige biobrandstoffen uit Nederland</t>
  </si>
  <si>
    <t>Houtchips (NL)</t>
  </si>
  <si>
    <t>kg ds</t>
  </si>
  <si>
    <t>[30]</t>
  </si>
  <si>
    <t xml:space="preserve">De eenheid van de houtige biomassa is kg droge stof. Per kg ds bevat houtige biomassa 19 MJ energie. 
Een kilo biomassa heeft een lager gewicht aan droge stof (ds), vanwege aanwezig vocht. Voor houtchips is het ds-gehalte heel variabel (45-85%), omdat de voorgeschreven vochtigheid van chips voor houtketels verschilt nogal per type/merk ketel (de specificaties bij kleinere ketels geven meestal een laag vochtigheidsgehalte en bij grotere ketels meestal een hoog).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
</t>
  </si>
  <si>
    <t>jan '19</t>
  </si>
  <si>
    <t>Shreds (NL)</t>
  </si>
  <si>
    <t>De eenheid van de houtige biomassa is kg droge stof (ds). Per kg ds bevat houtige biomassa 19 MJ energie. 
Een kilo biomassa heeft een lager gewicht aan droge stof, vanwege aanwezig vocht. Voor shreds is het ds-gehalte gemiddeld 55%.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</si>
  <si>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Pellets uit (droge) industrie reststroom (NL)</t>
  </si>
  <si>
    <t>De eenheid van de houtige biomassa is kg droge stof (ds). Per kg ds bevat houtige biomassa 19 MJ energie. 
Een kilo biomassa heeft een lager gewicht aan droge stof, vanwege aanwezig vocht. Voor pellets uit droge industriereststroom droge industriereststroom is het ds-gehalte gemiddeld  91%.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</si>
  <si>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Pellets uit vers hout (NL)</t>
  </si>
  <si>
    <t>De eenheid van de houtige biomassa is kg droge stof (ds). Per kg ds bevat houtige biomassa 19 MJ energie. 
Een kilo biomassa heeft een lager gewicht aan droge stof, vanwege aanwezig vocht. Voor pellets uit vers hout is het ds-gehalte gemiddeld 91%. Vanwege het droogproces is de emissiefactor aanzienlijk hoger dan de andere biomassa stromen.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</si>
  <si>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Houtblokken (NL)</t>
  </si>
  <si>
    <t>De eenheid van de houtige biomassa is kg droge stof (ds). Per kg ds bevat houtige biomassa 19 MJ energie. 
Een kilo biomassa heeft een lager gewicht aan droge stof, vanwege aanwezig vocht. Voor houtblokken is het ds-gehalte gemiddeld 85%.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 en ovengedroogde houtblokken.</t>
  </si>
  <si>
    <t>Elektriciteit</t>
  </si>
  <si>
    <t>Stroometiket</t>
  </si>
  <si>
    <t>nvt</t>
  </si>
  <si>
    <t>VARIABEL</t>
  </si>
  <si>
    <t>[23]</t>
  </si>
  <si>
    <t xml:space="preserve">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varieren afhankelijk van de mix aan brandstoffen. Dit getal kan preciezer berekend worden, afhankelijk van de geleverde stroom. Op het stroometiket staat ook de herkomst van de geleverde stroom (specifieke energiebron en land van oorsprong). Vermeld dit in rapportages. Bron 23 geeft ook ketenemissiekentallen per elektriciteitssoort. </t>
  </si>
  <si>
    <t>Grijze stroom</t>
  </si>
  <si>
    <t>kWh</t>
  </si>
  <si>
    <t>Deze factor geeft een gemiddelde CO2 emissie van grijze stroom weer, incl. de voorketenemissies. Het gaat om een voor Nederland representatieve stroommix van o.a. kolen, gas en kernenergie. Indien u de CO2 uitstoot t.g.v. de bouw en sloop van de energiecentrale ook wilt meenemen (LCA benadering) dan is deze ca. 1 gram CO2 per kWh (Bron 23).</t>
  </si>
  <si>
    <t>Stroom (onbekend)</t>
  </si>
  <si>
    <t>Deze factor kan alleen worden gebruikt als de bron van uw stroom niet te achterhalen is. Denk hierbij bijvoorbeeld aan een laadpaal voor het opladen van elektrische auto's langs de openbare weg. Gebruik van deze factor dient zo veel mogelijk vermeden te worden. Indien u de CO2 uitstoot t.g.v. de bouw en sloop van de energiecentrale ook wilt meenemen (LCA benadering) dan is deze ca. 5 gram CO2 per kWh (Bron 23).</t>
  </si>
  <si>
    <t>Windkracht</t>
  </si>
  <si>
    <t xml:space="preserve">De uitstoot is 0 indien de Well to Wheel benadering gebruikt wordt. Indien u de CO2 uitstoot t.g.v. de bouw en sloop van windmolens ook wilt meenemen (LCA benadering) dan is deze ca. 14 gram CO2 per kWh (Bron 23).
</t>
  </si>
  <si>
    <t>Waterkracht</t>
  </si>
  <si>
    <t xml:space="preserve">De uitstoot is 0 indien de Well to Wheel benadering gebruikt wordt. Indien u de CO2 uitstoot t.g.v. de bouw en sloop van de waterkrachtcentrale ook wilt meenemen (LCA benadering) dan is deze ca. 4 gram CO2 per kWh (Bron 23).
</t>
  </si>
  <si>
    <t>Zonne-energie</t>
  </si>
  <si>
    <t xml:space="preserve">De uitstoot is 0 indien de Well to Wheel benadering gebruikt wordt. Indien u de CO2 uitstoot t.g.v. de bouw en sloop van de zonnepanelen ook wilt meenemen (LCA benadering) dan is deze ca. 61 gram CO2 per kWh (Bron 23). 
</t>
  </si>
  <si>
    <t>Biomassa</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</si>
  <si>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Energie uit biomassa is volgens CBS afkomstig uit meerdere energie-bronnen: 35% AVI (gft), 31% meestook (hout), 16% decentraal (hout), 3% RWZI slib (biogas), 9% mest (biogas), 5% overig (biogas). Indien u de CO2 uitstoot t.g.v. de bouw en sloop van de energiecentrale ook wilt meenemen (LCA benadering) dan is deze ca. 1 gram CO2 per kWh (Bron 23).</t>
  </si>
  <si>
    <t>Warmtelevering</t>
  </si>
  <si>
    <t>Gemiddelde warmtenetten</t>
  </si>
  <si>
    <t xml:space="preserve">[36] en [25] </t>
  </si>
  <si>
    <t xml:space="preserve">Gemiddelde voor warmte afkomstig uit grootschalige warmtenetten. Desgewenst is de specifieke TTW emissiefactor van uw eigen net te herleiden uit het Duurzaamheidsrapport warmtebedrijven (36). 
Indien er warmte en/of koude wordt geleverd uit een naburige WKO-installatie waarbij u niet zelf in het elektriciteitsgebruik van de WKO voorziet, dan kan met een emissiefactor van ongeveer 24,11 kg/GJ worden gerekend. Hierbij is uitgegaan van een COP van 4,9 en gebruik van de gemiddelde stroommix (0,427 kg/kWh).
</t>
  </si>
  <si>
    <t>Restwarmte zonder bijstook</t>
  </si>
  <si>
    <t>[25]</t>
  </si>
  <si>
    <t xml:space="preserve">Het gaat hierbij om de afname van restwarmte waarbij de klant zelf de pieken opvangt op de momenten dat er geen of onvoldoende restwarmte beschikbaar is. 
</t>
  </si>
  <si>
    <t>mei '16</t>
  </si>
  <si>
    <t>Personenvervoer</t>
  </si>
  <si>
    <t>Auto</t>
  </si>
  <si>
    <t>Brandstofsoort onbekend</t>
  </si>
  <si>
    <t>Gewichtsklasse onbekend</t>
  </si>
  <si>
    <t>voertuigkilometer</t>
  </si>
  <si>
    <t>[9]</t>
  </si>
  <si>
    <t>Uitgegaan is van een middelgrote auto met bouwjaar 2017 of nieuwer en een bijbehorende wegtypeverdeling . Een brandstofmix van 80,3% Benzine, 12,3% Diesel, 1,3% LPG, 0,1% Aardgas/CNG en 6% elektrisch (volledig en plug-in) is aangehouden. De voertuigkilometers kan men om rekenen naar reizigerskilometers door te delen door het aantal inzittenden. Dat kan bij de reizen waar het aantal inzittenden bekend is. De gemiddelde bezettingsgraad van auto's is 1,39 (Bron 2).</t>
  </si>
  <si>
    <t>Benzine</t>
  </si>
  <si>
    <t>Klein</t>
  </si>
  <si>
    <t>Uitgegaan is van een auto met bouwjaar 2017 of nieuwer (met bijbehorende wegtypeverdeling),  rijdend op E10 benzine. Een kleine personenauto op benzine valt in autosegment A en B en heeft doorgaans een massa kleiner dan 950 kg en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1,39 (Bron 2).</t>
  </si>
  <si>
    <t>Middel</t>
  </si>
  <si>
    <t>Uitgegaan is van een auto met bouwjaar 2017 of nieuwer (met bijbehorende wegtypeverdeling), rijdend op E10 benzine. Een middelgrote personenauto op benzine valt in autosegment C en heeft doorgaans een massa tussen de 950 en 1350 kg eneen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t>
  </si>
  <si>
    <t>Groot</t>
  </si>
  <si>
    <t>Uitgegaan is van een auto met bouwjaar 2017 of nieuwer (met bijbehorende wegtypeverdeling), rijdend op E10 benzine De klasse grote auto op benzine valt in autosegment D, E of F en weegt doorgaans meer dan 1350 kg en heeft een motorinhoud &gt; 2,0 L. Het gaat om het praktijkverbruik van de auto’s. De voertuigkilometers kan men om rekenen naar reizigerskilometers door te delen door het aantal inzittenden. Dat kan bij de reizen waar het aantal inzittenden bekend is. De gemiddelde bezettingsgraad van auto's is 1,39 (Bron 2).</t>
  </si>
  <si>
    <t>Hybride</t>
  </si>
  <si>
    <t xml:space="preserve">Uitgegaan is van een middelgrote hybride auto die E10 tankt. Een hybride kan 20 tot 30% zuiniger zijn dan een vergelijkbare auto zonder elektrische ondersteuning. ’
De voertuigkilometers kan men om rekenen naar reizigerskilometers door te delen door het aantal inzittenden. Dat kan bij de reizen waar het aantal inzittenden bekend is. De gemiddelde bezettingsgraad van auto’s is 1,39 (Bron 2).
</t>
  </si>
  <si>
    <t>plug-in hybride</t>
  </si>
  <si>
    <t>Uitgegaan is van een  middelgrote auto met bouwjaar 2017 of nieuwer (met bijbehorende wegtypeverdeling) die E10 tankt en gemiddeld 27% elektrisch rijdt. Een plug in hybride kan tot 40% zuiniger zijn dan een vergelijkbare auto zonder elektrische ondersteuning en accu. Uit metingen aan het praktijkverbruik van hybride auto’s die gebruikt worden als bedrijfvoertuig werd echter een zéér variërend minderverbruik aangetoond. De voertuigkilometers kan men om rekenen naar reizigerskilometers door te delen door het aantal inzittenden. Dat kan bij de reizen waar het aantal inzittenden bekend is. De gemiddelde bezettingsgraad van auto's is 1,39 (Bron 2).</t>
  </si>
  <si>
    <t>Diesel</t>
  </si>
  <si>
    <t>Uitgegaan is van een auto met bouwjaar 2017 of nieuwer (met een bijbehorende wegtypeverdeling), rijdend op B7 diesel. Een kleine personenauto op diesel valt in autosegment A of B en heeft doorgaans een massa van kleiner dan 1050 kg en een motorinhoud van minder dan 1,8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</si>
  <si>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B7 diesel. Een middelgrotepersonenauto op diesel valt in autosegment C heeft doorgaans een massa tussen de 1050 en 1450 kg en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</si>
  <si>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B7 diesel. De klasse grote auto op diesel valt in autosegment D, E of F en weegt doorgaans meer dan 1450 kg met een motorinhoud groter dan 2,2 L. Het gaat om het praktijkverbruik van de auto’s. . De voertuigkilometers kan men om rekenen naar reizigerskilometers door te delen door het aantal inzittenden. Dat kan bij de reizen waar het aantal inzittenden bekend is. De gemiddelde bezettingsgraad van auto's is 1,39 (Bron 2).</t>
  </si>
  <si>
    <t>Uitgegaan is van een middelgrote auto rijdend op B7 diesel.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</si>
  <si>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50% butaan en 50% propaangemiddeld wegtype. Een kleine personenauto op LPG valt in autosegment A of B en heeft doorgaans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t>
  </si>
  <si>
    <t xml:space="preserve">Uitgegaan is van een auto met bouwjaar 2017 of nieuwer (met bijbehorende wegtypeverdeling), rijdend op 50% butaan en 50% propaan . Een middelzware personenauto op LPG valt in autosegment C en heeft doorgaans een massa tussen de 1000 en 1400 kg, en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</si>
  <si>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Aardgas/ CNG</t>
  </si>
  <si>
    <t>Uitgegaan is van een auto met bouwjaar 2017 of nieuwer, met bijbehorende wegtypeverdeling. Een kleine personenauto op CNG valt in autosegment A of B en heeft een massa van kleiner dan 1000 kg en doorgaans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</si>
  <si>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Een middelgrote auto valt in autosegment C en heeft doorgaans een gewicht tussen de 1000 en 1400 kg,.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</si>
  <si>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 met bijbehorende wegtypeverdeling). De klasse grote auto op CNG valt in autosegment D, E of F en heeft doorgaans een massa van meer dan 1400 kg en een motorinhoud van meer dan 2,0 L. Het gaat om het praktijkverbruik van de auto’s. ’De voertuigkilometers kan men om rekenen naar reizigerskilometers door te delen door het aantal inzittenden. Dat kan bij de reizen waar het aantal inzittenden bekend is. De gemiddelde bezettingsgraad van auto’s is 1,39 (Bron 2).</t>
  </si>
  <si>
    <t>Bio-CNG</t>
  </si>
  <si>
    <t>Gemiddeld</t>
  </si>
  <si>
    <t xml:space="preserve">Uitgegaan is van een middelgrote auto met bouwjaar 2017 of nieuwer (met bijbehorende wegtypeverdeling). Een middelgrote auto valt in autosegment C en heeft doorgaans een gewicht tussen de 1000 en 1400 kg. 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1,39 (Bron 2). </t>
  </si>
  <si>
    <t>Bio-ethanol (E85)</t>
  </si>
  <si>
    <t xml:space="preserve">Uitgegaan is van een middelgrote auto met bouwjaar 2017 of nieuwer (met bijbehorende wegtypeverdeling). Een middelgrote auto valt in autosegment C en heeft doorgaans een gewicht tussen de 950 en 1350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1,39 (Bron 2). </t>
  </si>
  <si>
    <t>Biodiesel FAME 100%</t>
  </si>
  <si>
    <t>Uitgegaan is van een middelgrote auto met bouwjaar 2017 of nieuwer (met bijbehorende wegtypeverdeling). Een middelgrote auto valt in autosegment C en heeft doorgaans een gewicht tussen de 1000 en 1400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1,39 (Bron 2).</t>
  </si>
  <si>
    <t>Biodiesel HVO 100%</t>
  </si>
  <si>
    <t xml:space="preserve">Uitgegaan is van een middelgrote auto met bouwjaar 2017 of nieuwer (met bijbehorende wegtypeverdeling. Een middelgrote auto valt in autosegment C en heeft doorgaans een gewicht tussen de 1000 en 1400 kg. De emissiefactor geldt alleen voor HVO (Hydrotreated Vegetable Oil) geproduceerd op basis van duurzame grondstoffen, dit is met name UCO (Used Cooking Oils). De voertuigkilometers kan men om rekenen naar reizigerskilometers door te delen door het aantal inzittenden. Dat kan bij de reizen waar het aantal inzittenden bekend is. De gemiddelde bezettingsgraad van auto's is 1,39 (Bron 2). </t>
  </si>
  <si>
    <t>[13] en [31]</t>
  </si>
  <si>
    <t>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 (Bron 2)</t>
  </si>
  <si>
    <t>Elektrisch</t>
  </si>
  <si>
    <t>Uitgegaan is van een middelgrote auto (autosegment C ) met bouwjaar 2017 of nieuwer, met een bijbehorende wegtypeverdeling. De well-to-tank-emissies van de elektrische auto zijn in deze gebaseerd op de emissies van de grijze stroom (zie elektriciteit). Wordt een specifieke energiebron ingekocht dan dient de emissiefactor van de betreffende elektriciteit te worden gebruikt, vermenigvuldigd met het geschatte verbruik van een middelgrote elektrische auto: 0,1984 kWh/vkm (inclusief 13% laadverlies) De voertuigkilometers kan men om rekenen naar reizigerskilometers door te delen door het aantal inzittenden. Dat kan bij de reizen waar het aantal inzittenden bekend is. De gemiddelde bezettingsgraad van auto's is 1,39 (Bron 2).</t>
  </si>
  <si>
    <t>Gemiddelde stroommix</t>
  </si>
  <si>
    <t>Uitgegaan is van een middelgrote auto (autosegment C )  met bouwjaar 2017 of nieuwer, met een bijbehorende wegtypeverdeling.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verbruik van een elektrische auto: 0,1984 kWh/vkm (inclusief 13% laadverlies). De voertuigkilometers kan men om rekenen naar reizigerskilometers door te delen door het aantal inzittenden. Dat kan bij de reizen waar het aantal inzittenden bekend is. De gemiddelde bezettingsgraad van auto's is 1,39 (Bron 2).</t>
  </si>
  <si>
    <t>Groene stroom</t>
  </si>
  <si>
    <t>Uitgegaan is van een middelgrote auto (autosegment C ) met bouwjaar 2017 of nieuwer, met een bijbehorende wegtypeverdeling. De well-to-tank-emissies van de elektrische auto zijn in deze gebaseerd op de gemiddelde emissies van de groene stroom(zie Bron 9). Wordt een specifieke energiebron ingekocht dan dient de emissiefactor van de betreffende elektriciteit te worden gebruikt, vermenigvuldigd met de geschatte verbruik van een elektrische auto: 0,1984 kWh/vkm (inclusief 13% laadverlies). De voertuigkilometers kan men om rekenen naar reizigerskilometers door te delen door het aantal inzittenden. Dat kan bij de reizen waar het aantal inzittenden bekend is. De gemiddelde bezettingsgraad van auto's is 1,39 (Bron 2).</t>
  </si>
  <si>
    <t>Fiets</t>
  </si>
  <si>
    <t>[2]</t>
  </si>
  <si>
    <t>Indien gebruik wordt gemaakt van groene stroom is de uitstoot 0 gr/km.</t>
  </si>
  <si>
    <t>Minibus (max. 8 personen)</t>
  </si>
  <si>
    <t xml:space="preserve">Het gaat om middelzware bestelbussen, met een leeggewicht van ca. 2000 kg (vergelijkbaar met taxi/belbus) (Bron 2). </t>
  </si>
  <si>
    <t xml:space="preserve">jan '15 </t>
  </si>
  <si>
    <t>Minibus</t>
  </si>
  <si>
    <t>Toeringcar</t>
  </si>
  <si>
    <t>reizigerskilometer</t>
  </si>
  <si>
    <t xml:space="preserve">Deze factor is berekend op basis van een bezettingsgraad van 31,6 (Bron 2). Om emissies terug te rekenen voor personenvervoer dient hiervoor gecorrigeerd te worden. Uitgegaan is van een gemiddeld wegtype. </t>
  </si>
  <si>
    <t>OV algemeen</t>
  </si>
  <si>
    <t>Voertuigtype onbekend</t>
  </si>
  <si>
    <t>[34]</t>
  </si>
  <si>
    <t xml:space="preserve">Berekend op basis van gegevens Duinn (bron 34) en reizigerskilometers zoals gerapporteerd in ODiN 2019 (CBS). </t>
  </si>
  <si>
    <t>Bus, Tram, Metro</t>
  </si>
  <si>
    <t>Berekend op basis van gegevens Duinn (bron 34).</t>
  </si>
  <si>
    <t>Trein</t>
  </si>
  <si>
    <t>Treintype onbekend</t>
  </si>
  <si>
    <t>Berekend op basis van gegevens Duinn (bron 34) en reizigerskilometers zoals gerapporteerd in ODiN 2019 (CBS). Niet geldig voor buitenlandse treinreizen.</t>
  </si>
  <si>
    <t>Trein diesel</t>
  </si>
  <si>
    <t>Uitgaande van data uit OV concessies en gebruik van normale diesel (2015-2019 blend).</t>
  </si>
  <si>
    <t>Trein elektrisch</t>
  </si>
  <si>
    <t>Geldig voor NS, intercity direct en regionale elektrische treinen. OV bedrijven gebruiken 100% groene stroom, waardoor er geen emissies vrijkomen per reizigerskilometer.</t>
  </si>
  <si>
    <t>Trein internationaal</t>
  </si>
  <si>
    <t>[2] en [29]</t>
  </si>
  <si>
    <t>Voorheen HSL genaamd. De HSL in Nederland rijdt nu echter ook op groene stroom. Voor internationale treinen zijn geen recente cijfers bekend. (29). Om de CO2 uitstoot per voertuigkilometer te berekenen dient met de gegeven waarden te corrigeren met een bezetting van 57% (2). De emissiecijfers zijn exclusief voor- en natransport en ook de omrijfactor is buiten beschouwing gelaten.</t>
  </si>
  <si>
    <t>dec '17</t>
  </si>
  <si>
    <t>Bus</t>
  </si>
  <si>
    <t>Bus type onbekend</t>
  </si>
  <si>
    <t>Zoals gerapporteerd in 'Staat van het OV 2019' (CROW). Uitsplitsing WTT en TTW is niet beschikbaar.</t>
  </si>
  <si>
    <t>Bus diesel</t>
  </si>
  <si>
    <t>Uitgaande van gebruik van normale diesel (2015-2019 blend).</t>
  </si>
  <si>
    <t>Bus groengas</t>
  </si>
  <si>
    <t>Uitgaande van gebruik van groengas (Bio-CNG). De meeste busconcessies maken gebruik van groengas, in 2019 gebruikte alleen Haaglanden en Zeeland aardgas als brandstof</t>
  </si>
  <si>
    <t>Bus waterstof</t>
  </si>
  <si>
    <t>Uitgaande van gebruik van grijze waterstof.</t>
  </si>
  <si>
    <t>Bus elektrisch</t>
  </si>
  <si>
    <t>OV bedrijven gebruiken 100% groene stroom, waardoor er geen emissies vrijkomen per reizigerskilometer.</t>
  </si>
  <si>
    <t>Metro</t>
  </si>
  <si>
    <t>Tram</t>
  </si>
  <si>
    <t>Vliegtuig</t>
  </si>
  <si>
    <t>Regionaal</t>
  </si>
  <si>
    <t>&lt; 700 km</t>
  </si>
  <si>
    <t>[37]</t>
  </si>
  <si>
    <t>Voor emissiefactoren per zitplaatsklasse, zie het document van Milieu Centraal bij bronnen (nummer 37). Voor vliegreizen wordt onderscheid gemaakt in afstandsklassen. De emissies voor landen, taxiën en opstijgen vormen bij korte vluchten een aanzienlijk aandeel in het totaal en bij lange vluchten slechts een fractie. In de cijfers zijn ook niet-CO2-effecten opgenomen, die juist bij lange vluchten een groter aandeel vormen. Een wetenschappelijk gefundeerde methode om deze niet CO2-emissies te berekenen ontbreekt nog.  De niet-CO2-emissie wordt bepaald met een gemiddelde ophoogfactor (0,7) over de directe CO2-uitstoot. De pure CO2-emissies zijn gemiddeld ongeveer 50% lager dan de waarden in CO2-equivalenten.</t>
  </si>
  <si>
    <t>Europees</t>
  </si>
  <si>
    <t>700 - 2.500 km</t>
  </si>
  <si>
    <t>Intercontinentaal</t>
  </si>
  <si>
    <t>&gt; 2.500 km</t>
  </si>
  <si>
    <t>Gem. alle afstanden</t>
  </si>
  <si>
    <t>Goederenvervoer</t>
  </si>
  <si>
    <t>Bulk- en stukgoederen</t>
  </si>
  <si>
    <t>Bestelauto</t>
  </si>
  <si>
    <t>&gt; 2 ton</t>
  </si>
  <si>
    <t>tonkilometer</t>
  </si>
  <si>
    <t>[33], tabel 5</t>
  </si>
  <si>
    <t>Laadcapaciteit max. 1,2 ton. Veelal pakketbezorgdiensten.</t>
  </si>
  <si>
    <t>Vrachtwagen</t>
  </si>
  <si>
    <t>vrachtwagen &lt; 10 ton</t>
  </si>
  <si>
    <t>[33], tabel 4</t>
  </si>
  <si>
    <t>De gewichtsklasse geeft de maximaal toegestane voertuigmassa aan (i.e. het gewicht van het voertuig plus het laadvermogen). Betreft mn. vrachtwagens van bezorgdiensten en verhuisbedrijven. Ladingcapaciteit is 3 ton.</t>
  </si>
  <si>
    <t>vrachtwagen 10-20 ton</t>
  </si>
  <si>
    <t>Komt veel voor. De gewichtsklasse geeft de maximaal toegestane voertuigmassa aan (i.e. het gewicht van het voertuig plus het laadvermogen). Ladingcapaciteit is 7,5 ton.</t>
  </si>
  <si>
    <t>vrachtwagen &gt; 20 ton plus aanhanger</t>
  </si>
  <si>
    <t>De gewichtsklasse geeft de maximaal toegestane voertuigmassa aan (i.e. het gewicht van het voertuig plus het laadvermogen). Ladingcapaciteit is 28 ton.</t>
  </si>
  <si>
    <t>zware trekker + oplegger</t>
  </si>
  <si>
    <t>Komt veel voor. Ladingcapaciteit is 29,2 ton.</t>
  </si>
  <si>
    <t>LZV</t>
  </si>
  <si>
    <t>LZV = Lange zware voertuigen. Komen niet in stedelijke gebieden. Ladingcapaciteit 40,8 ton.</t>
  </si>
  <si>
    <t>[33], tabel 16</t>
  </si>
  <si>
    <t>Exclusief voor- en natransport. Lading zwaar, middellange trein.</t>
  </si>
  <si>
    <t>Combinatie</t>
  </si>
  <si>
    <t>Gemiddeld in Nederland. Combinatie van 73% elektrisch en 27% diesel. Exclusief voor- en natransport. Lading zwaar, middellange trein.</t>
  </si>
  <si>
    <t>Binnenvaart</t>
  </si>
  <si>
    <t>Klein, 300-600 ton (Spits-Kempenaar)</t>
  </si>
  <si>
    <t>[33], tabel 24</t>
  </si>
  <si>
    <t>Gemiddelde factor van CEMT en Waal, middelzwaar transport. De gewichtsklasse geeft een range van het maximale laadvermogen. De factor is exclusief voor- en natransport. Nb. Past uw vaartuig niet in de gegeven ranges, raadpleeg dan het brondocument.</t>
  </si>
  <si>
    <t>Gemiddeld, 1500-3000 ton (RHK-groot Rijnschip)</t>
  </si>
  <si>
    <t>Meest voorkomend type. Waal en zwaar transport zijn representatief. De gewichtsklasse geeft een range van het maximale laadvermogen. De factor is exclusief voor- en natransport. Nb. Past uw vaartuig niet in de gegeven ranges, raadpleeg dan het brondocument.</t>
  </si>
  <si>
    <t>Groot, 5000-11000 ton (koppelverband-duwbak)</t>
  </si>
  <si>
    <t>Waal en zwaar transport zijn representatief. De gewichtsklasse geeft een range van het maximale laadvermogen. De factor is exclusief voor- en natransport. Nb. Past uw vaartuig niet in de gegeven ranges, raadpleeg dan het brondocument.</t>
  </si>
  <si>
    <t>Gemiddelde binnenvaart
(RHKschip waal 1.537 ton en groot rijschip waal 3.013 ton)</t>
  </si>
  <si>
    <t>Meest voorkomend type schepen zijn R.H.K (Rijn-Herne-Kanaal) 1.537 ton en Groot Rijnschip 3.013 ton. De factor is exclusief voor- en natransport. Nb. Past uw vaartuig niet in de gegeven ranges, raadpleeg dan het brondocument.</t>
  </si>
  <si>
    <t>Zeevaart</t>
  </si>
  <si>
    <t>Kustvaart</t>
  </si>
  <si>
    <t>[33], tabel 29</t>
  </si>
  <si>
    <t>General cargo, 10-20 dwkt (deadweight tonnage in kiloton); maximaal toegestane massa van brandstof, ballastwater en lading. De factor is exclusief voor- en natransport.</t>
  </si>
  <si>
    <t>Deep Sea</t>
  </si>
  <si>
    <t>Bulkcarrier 35-60 dwkt (deadweight tonnage in kiloton); maximaal toegestane massa van brandstof, ballastwater en lading. De factor is exclusief voor- en natransport.</t>
  </si>
  <si>
    <t>gemiddelde (berekend per tonkm)</t>
  </si>
  <si>
    <t>Gemiddelde is gebaseerd op deep sea, omdat dit representatief is voor het grootste deel van het transport. De factor is exclusief voor- en natransport.</t>
  </si>
  <si>
    <t>Luchtvaart</t>
  </si>
  <si>
    <t>lange afstand</t>
  </si>
  <si>
    <t>[33], tabel 35</t>
  </si>
  <si>
    <t xml:space="preserve">Gemiddelde tussen belly freight en full freight. Lading licht. </t>
  </si>
  <si>
    <t>Containers</t>
  </si>
  <si>
    <t>&gt; 20 ton</t>
  </si>
  <si>
    <t>[33], tabel 7</t>
  </si>
  <si>
    <t>De gewichtsklasse geeft de maximaal toegestane massa aan (i.e. het gewicht van het voertuig plus het laadvermogen). Ladingcapaciteit 1 TEU</t>
  </si>
  <si>
    <t>&gt; 20 ton met aanhanger</t>
  </si>
  <si>
    <t>De gewichtsklasse geeft de maximaal toegestane massa aan (i.e. het gewicht van het voertuig plus het laadvermogen). Ladingcapaciteit 2 TEU.</t>
  </si>
  <si>
    <t>Trekker met oplegger zwaar</t>
  </si>
  <si>
    <t>LZV = Lange zware voertuigen. Komen niet in stedelijke gebieden. Ladingcapaciteit 3 TEU</t>
  </si>
  <si>
    <t>[33], tabel 17</t>
  </si>
  <si>
    <t>Exclusief voor- en natransport. Ladingcapaciteit 90 TEU</t>
  </si>
  <si>
    <t>Gemiddeld in Nederland: combinatie van 73% elektrisch en 27% diesel. Exclusief voor- en natransport. Ladingcapaciteit 90 TEU</t>
  </si>
  <si>
    <t>40 TEU (Neo Kemp)</t>
  </si>
  <si>
    <t>[33], tabel 25</t>
  </si>
  <si>
    <t>Gemiddelde factor van CEMT III en Waal, middelzwaar transport. De factor is exclusief voor- en natransport.</t>
  </si>
  <si>
    <t>96 TEU (Rijn Herne Kanaal)</t>
  </si>
  <si>
    <t>Waal representatief. De factor is exclusief voor- en natransport.</t>
  </si>
  <si>
    <t>208 TEU (Groot Rijnschip)</t>
  </si>
  <si>
    <t>348 TEU (koppelverband)</t>
  </si>
  <si>
    <t xml:space="preserve">Gemiddelde binnenvaart (Groot Rijschip 208 teu) </t>
  </si>
  <si>
    <t>Meest voorkomend is Groot Rijnschip 208 TEU, deze factor kan als gemiddelde worden aangehouden. De factor is exclusief voor- en natransport.</t>
  </si>
  <si>
    <t>[33], tabel 31</t>
  </si>
  <si>
    <t>1.000-2000 TEU. De factor is exclusief voor- en natransport.</t>
  </si>
  <si>
    <t>8.000-12.000 TEU. Middelzwaar transport is representatief. De factor is exclusief voor- en natransport.</t>
  </si>
  <si>
    <t>Gemiddelde</t>
  </si>
  <si>
    <t>Koudemiddelen en overige emissies</t>
  </si>
  <si>
    <t>R22</t>
  </si>
  <si>
    <t>[7]</t>
  </si>
  <si>
    <t>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 Het totale GWP voor een mengsel is berekend via het gewogen gemiddelde van de bestanddelen.</t>
  </si>
  <si>
    <t>R134a</t>
  </si>
  <si>
    <t>R125</t>
  </si>
  <si>
    <t>R143a</t>
  </si>
  <si>
    <t>R32</t>
  </si>
  <si>
    <t>R404a</t>
  </si>
  <si>
    <t>(44% R125; 52% R143a; 4% R134a)</t>
  </si>
  <si>
    <t>R507</t>
  </si>
  <si>
    <t>(50% R143a; 50% R125)</t>
  </si>
  <si>
    <t>R407c</t>
  </si>
  <si>
    <t>(23% R32; 25% R125; 52% R134a)</t>
  </si>
  <si>
    <t>R407F</t>
  </si>
  <si>
    <t>(40% R134a, 30% R125a, 30% R32)</t>
  </si>
  <si>
    <t>R410a</t>
  </si>
  <si>
    <t>(50% R32; 50% R125)</t>
  </si>
  <si>
    <t>R417a</t>
  </si>
  <si>
    <t>(46,6% R125; 50% R134a; 3,4% butaan)</t>
  </si>
  <si>
    <t>R422d</t>
  </si>
  <si>
    <t>(65,1% R125; 31,5% R134a; 3,4% R600a)</t>
  </si>
  <si>
    <t>1234yf</t>
  </si>
  <si>
    <t>1234ze</t>
  </si>
  <si>
    <t>R744 (CO2)</t>
  </si>
  <si>
    <t>R438A</t>
  </si>
  <si>
    <t>(8,5% R-32, 45% R125, 44,2% R134a 1,7% R600, 0,6% R601a)</t>
  </si>
  <si>
    <t>R448A</t>
  </si>
  <si>
    <t>(blend van R32 (26%), R125 (26%), R134a (21%), R1234ze (7%) en R1234yf (20%)</t>
  </si>
  <si>
    <t>R449A</t>
  </si>
  <si>
    <t>(blend van R32 (24,3%), R125 (24,7%), R1234yf (25,3%) and R134a (25,7%))</t>
  </si>
  <si>
    <t>R450A</t>
  </si>
  <si>
    <t>(blend van R134a (42%) en R1234ze (58%)</t>
  </si>
  <si>
    <t>R452A</t>
  </si>
  <si>
    <t>(11% R-32, 59% R125, 30% R1234yf)</t>
  </si>
  <si>
    <t>R452B</t>
  </si>
  <si>
    <t>(blend van R32 (67%), R125 (7%) en R1234yf (26%))</t>
  </si>
  <si>
    <t>R513A</t>
  </si>
  <si>
    <t>(blend van 56% R1234yf and 44% R134a)</t>
  </si>
  <si>
    <t>R290</t>
  </si>
  <si>
    <t>propaan</t>
  </si>
  <si>
    <t>R600</t>
  </si>
  <si>
    <t>butaan</t>
  </si>
  <si>
    <t>R600a</t>
  </si>
  <si>
    <t>isobutaan</t>
  </si>
  <si>
    <t>R601A</t>
  </si>
  <si>
    <t>isopentaan</t>
  </si>
  <si>
    <t>R717</t>
  </si>
  <si>
    <t>ammoniak</t>
  </si>
  <si>
    <t>Methaan</t>
  </si>
  <si>
    <t>CH4</t>
  </si>
  <si>
    <t>De waarden in deze tabel kunnen worden gebruikt om de klimaatschade van lekkend gas in een CO2-inventaris op te nemen. Het aardopwarmingsvermogen (GWP) wordt berekend als het opwarmingsvermogen in een periode van 100 jaar van 1 kg van een gas ten opzichte van 1 kg CO2. Emissies tijdens de productie (WTT) zijn niet bekend en niet meegenomen. Het totale GWP voor een mengsel is berekend via het gewogen gemiddelde van de bestanddelen.</t>
  </si>
  <si>
    <t>Lachgas</t>
  </si>
  <si>
    <t>N2O</t>
  </si>
  <si>
    <t>Bronnen:</t>
  </si>
  <si>
    <r>
      <t xml:space="preserve">1. </t>
    </r>
    <r>
      <rPr>
        <sz val="9"/>
        <color rgb="FFFF0000"/>
        <rFont val="Verdana"/>
        <family val="2"/>
      </rPr>
      <t>RVO, 2021</t>
    </r>
    <r>
      <rPr>
        <sz val="9"/>
        <rFont val="Verdana"/>
        <family val="2"/>
      </rPr>
      <t xml:space="preserve">: Nederlandse lijst Energiedragers en standaard CO2 emissiefactoren
2. CE Delft, 2014. STREAM personenvervoer 2014
3. Vervallen
4. Vervallen
5. Vervallen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Vervallen
9. </t>
    </r>
    <r>
      <rPr>
        <sz val="9"/>
        <color rgb="FFFF0000"/>
        <rFont val="Verdana"/>
        <family val="2"/>
      </rPr>
      <t>Milieu Centraal, 2022. Methodiek CO2 emissiefactoren personenauto's</t>
    </r>
    <r>
      <rPr>
        <sz val="9"/>
        <rFont val="Verdana"/>
        <family val="2"/>
      </rPr>
      <t xml:space="preserve">
10. Vervallen
11. Vervallen
12. Vervallen
13. JRC (2013) [online] http://iet.jrc.ec.europa.eu/about-jec/downloads
14. Vervallen
15. Vervallen
16. Vervallen
17. Vervallen
18. Vervallen
19. Vervallen
20. Vervallen
21. Vervallen
22. Louwen, 2012. Comparison of Life Cycle Greenhouse Gas Emissions of Shale Gas with Conventional Fuels and Renewable Alternatives. Comparing a possible new fossiel fuel with commonly used energy sources in the Netherlands. Universiteit Utrecht, augustus 2012.
23. </t>
    </r>
    <r>
      <rPr>
        <sz val="9"/>
        <color rgb="FFFF0000"/>
        <rFont val="Verdana"/>
        <family val="2"/>
      </rPr>
      <t>CE Delft, 2022. Emissiekentallen elektriciteit.</t>
    </r>
    <r>
      <rPr>
        <sz val="9"/>
        <rFont val="Verdana"/>
        <family val="2"/>
      </rPr>
      <t xml:space="preserve">
24. Vervallen
25. CE Delft, 2016. Ketenemissies warmtelevering - Directe en indirecte CO2-emissies van warmtetechnieken.
26. Vervallen
27. Vervallen</t>
    </r>
  </si>
  <si>
    <r>
      <t xml:space="preserve">28. </t>
    </r>
    <r>
      <rPr>
        <sz val="9"/>
        <color rgb="FFFF0000"/>
        <rFont val="Verdana"/>
        <family val="2"/>
      </rPr>
      <t>Vervallen</t>
    </r>
    <r>
      <rPr>
        <sz val="9"/>
        <rFont val="Verdana"/>
        <family val="2"/>
      </rPr>
      <t xml:space="preserve">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
33. CE Delft, 2020. Stream Goederenvervoer. Versie januari 2021. https://www.ce.nl/publicaties/2549/stream-goederenvervoer-2020
34. Duinn, Rijkswaterstaat, 2021. CO2emissiefactoren openbaar vervoer.
</t>
    </r>
    <r>
      <rPr>
        <sz val="9"/>
        <color rgb="FFFF0000"/>
        <rFont val="Verdana"/>
        <family val="2"/>
      </rPr>
      <t>35. RHDHV,  2021. Broeikasgasemissies aardgasketens. 
36. RVO. Duurzaamheidsrapport warmtebedrijven. https://expertisecentrumwarmte.nl/themas/marktordening+en+financiering/duurzaamheid+van+bestaande+warmtenetten/default.aspx
37. MilieuCentraal, 2022. Emissiefactoren van vliegverkeer in meer detail.</t>
    </r>
  </si>
  <si>
    <t>CO2 emissiefactoren diverse brandstoffen</t>
  </si>
  <si>
    <t>TTW =</t>
  </si>
  <si>
    <t>WTW=</t>
  </si>
  <si>
    <t>Optelsom van productie en gebruik</t>
  </si>
  <si>
    <t>Gebruiker</t>
  </si>
  <si>
    <t>Tank To Wheel</t>
  </si>
  <si>
    <t>Well To Wheel</t>
  </si>
  <si>
    <t>kgCO2/ Nm3 of kg of liter</t>
  </si>
  <si>
    <t>Bestaande situatie</t>
  </si>
  <si>
    <t>Gas :</t>
  </si>
  <si>
    <t>kg CO2</t>
  </si>
  <si>
    <t>Aardgascondensaat</t>
  </si>
  <si>
    <t>TTW</t>
  </si>
  <si>
    <t>WTW</t>
  </si>
  <si>
    <t>Kg CO2/eenheid</t>
  </si>
  <si>
    <t xml:space="preserve">Kg CO2/eenheid </t>
  </si>
  <si>
    <t>Selecteer</t>
  </si>
  <si>
    <t>Referentiepark methode KEV 2022, tabel 23 pagina 226</t>
  </si>
  <si>
    <t>Referentiepark</t>
  </si>
  <si>
    <t>Nieuwe situatie</t>
  </si>
  <si>
    <t>Verschil</t>
  </si>
  <si>
    <t>CO2 (kg)</t>
  </si>
  <si>
    <t>DATA Uitvoer</t>
  </si>
  <si>
    <t>Verbruik / jaar</t>
  </si>
  <si>
    <t>RVO</t>
  </si>
  <si>
    <t>1.0</t>
  </si>
  <si>
    <t>Maak een selectie</t>
  </si>
  <si>
    <t>Vul in!</t>
  </si>
  <si>
    <t>Versiebeheer</t>
  </si>
  <si>
    <t>Legenda</t>
  </si>
  <si>
    <t>Verbruik /jaar</t>
  </si>
  <si>
    <t>Emissie</t>
  </si>
  <si>
    <t xml:space="preserve">Algemeen: </t>
  </si>
  <si>
    <t xml:space="preserve">een keuze maken. </t>
  </si>
  <si>
    <t>Shreds</t>
  </si>
  <si>
    <t>Houtige biobrandstoffen uit NL</t>
  </si>
  <si>
    <t>Veel gebruikte Gassen:</t>
  </si>
  <si>
    <t>Bron emissiefactor:</t>
  </si>
  <si>
    <t>Resultaat</t>
  </si>
  <si>
    <t>Totaal :</t>
  </si>
  <si>
    <t>Totale besparing CO2/jaar</t>
  </si>
  <si>
    <t>Totale toename CO2/jaar</t>
  </si>
  <si>
    <t>ton CO2</t>
  </si>
  <si>
    <t>Gevraagde subsidie:</t>
  </si>
  <si>
    <t>euro</t>
  </si>
  <si>
    <t>euro/ton CO2</t>
  </si>
  <si>
    <t>Lachgas N2O</t>
  </si>
  <si>
    <t>wtw</t>
  </si>
  <si>
    <t>kg (WTW)</t>
  </si>
  <si>
    <t>jaar</t>
  </si>
  <si>
    <t xml:space="preserve">Maximale levenduurperiode voor bereken van de CO2 tbv kosten effectiviteit </t>
  </si>
  <si>
    <t>Kosten CO2</t>
  </si>
  <si>
    <t>Euro/ton</t>
  </si>
  <si>
    <t xml:space="preserve">Let op! Kosteneffectiviteit mag maximaal </t>
  </si>
  <si>
    <t>Vul een brandstof in die niet in de bovenstaande selectie voorkomt</t>
  </si>
  <si>
    <r>
      <t xml:space="preserve">Brandstof niet uit de lijst : </t>
    </r>
    <r>
      <rPr>
        <b/>
        <sz val="11"/>
        <color rgb="FFFF0000"/>
        <rFont val="Calibri"/>
        <family val="2"/>
        <scheme val="minor"/>
      </rPr>
      <t>Vul in!</t>
    </r>
  </si>
  <si>
    <t>Kosteneffectiviteit</t>
  </si>
  <si>
    <t>concept</t>
  </si>
  <si>
    <t>Houtige biobrandstoffen uit NL:</t>
  </si>
  <si>
    <t>Overige brandstof:</t>
  </si>
  <si>
    <t>Elektriciteit:</t>
  </si>
  <si>
    <t>DEI+</t>
  </si>
  <si>
    <t>fbk</t>
  </si>
  <si>
    <t>Wie</t>
  </si>
  <si>
    <t>Opmerking</t>
  </si>
  <si>
    <t>conversie factoren aangepast op verzoek van Freek (groen gas etc)</t>
  </si>
  <si>
    <t>Aantal equivalent vollasturen</t>
  </si>
  <si>
    <t>uur</t>
  </si>
  <si>
    <t>6 thema Hernieuwbare energie ZON</t>
  </si>
  <si>
    <t>Hier geldt minimaal 15kWpiek</t>
  </si>
  <si>
    <t>(conform SDE)</t>
  </si>
  <si>
    <t>Max aantal equivalent vollast uren</t>
  </si>
  <si>
    <t>Home | CO2 emissiefactoren</t>
  </si>
  <si>
    <t>1.1</t>
  </si>
  <si>
    <t>Onderscheid tussen verbruik en productie maken Tabellen aangepast</t>
  </si>
  <si>
    <t>Verbruik</t>
  </si>
  <si>
    <t>Productie</t>
  </si>
  <si>
    <t>Productie / jaar</t>
  </si>
  <si>
    <t>Productie /jaar</t>
  </si>
  <si>
    <r>
      <t xml:space="preserve">Totale CO2 </t>
    </r>
    <r>
      <rPr>
        <b/>
        <sz val="11"/>
        <color rgb="FFFF0000"/>
        <rFont val="Calibri"/>
        <family val="2"/>
        <scheme val="minor"/>
      </rPr>
      <t>toename</t>
    </r>
    <r>
      <rPr>
        <b/>
        <sz val="11"/>
        <color theme="1"/>
        <rFont val="Calibri"/>
        <family val="2"/>
        <scheme val="minor"/>
      </rPr>
      <t xml:space="preserve"> over de opgegeven periode van </t>
    </r>
  </si>
  <si>
    <t>kg CO2/eenheid</t>
  </si>
  <si>
    <t>Concept</t>
  </si>
  <si>
    <t>1.2</t>
  </si>
  <si>
    <t xml:space="preserve">tab  rekenmodel regel 33 toegevoegd in tekst: "Wind" </t>
  </si>
  <si>
    <t>Hernieuwbare elektriciteit</t>
  </si>
  <si>
    <t>kW(Piek)</t>
  </si>
  <si>
    <t>Hernieuwbare elektriciteit &gt; factor</t>
  </si>
  <si>
    <t>Voor DEI+ 2024 geldt de factor van 2030! In 2025 aangepast naar 0,14</t>
  </si>
  <si>
    <t>1.3</t>
  </si>
  <si>
    <t>fsm</t>
  </si>
  <si>
    <t>DEI+ thema Circulaire Economie</t>
  </si>
  <si>
    <t>blad toegevoegd voor CE en elektriciteit naar 0,14</t>
  </si>
  <si>
    <t>Verbruik/ jaar</t>
  </si>
  <si>
    <t>Bronvermelding CO2-voetafdruk</t>
  </si>
  <si>
    <t>kg/jaar</t>
  </si>
  <si>
    <t>primaire grondstof</t>
  </si>
  <si>
    <t>secundaire grondstof</t>
  </si>
  <si>
    <t>Welke reststromen gaat u recyclen of hergebruiken?</t>
  </si>
  <si>
    <t>Hoeveel restmateriaal gaat u jaarlijks in uw project recyclen of hergebruiken (kg/jaar)</t>
  </si>
  <si>
    <t>Er zijn aparte tabbladen voor:</t>
  </si>
  <si>
    <t>Vastlegging / jaar</t>
  </si>
  <si>
    <t>Vastlegging /jaar</t>
  </si>
  <si>
    <t>Atmosferische CO2</t>
  </si>
  <si>
    <t>DEI+ thema CCS &amp; NegEm</t>
  </si>
  <si>
    <t>Resultaat Negatieve emissies</t>
  </si>
  <si>
    <t>Bruto vastlegging CO2/jaar</t>
  </si>
  <si>
    <t>Bruto besparing CO2/jaar</t>
  </si>
  <si>
    <t>Totaal verbruik :</t>
  </si>
  <si>
    <t>Resultaat CCS (fossiel)</t>
  </si>
  <si>
    <t>DEI+ thema CCU</t>
  </si>
  <si>
    <t>Hergebruik CO2</t>
  </si>
  <si>
    <t>Beschrijving gangbare verwerkingsmethode (bijvoorbeeld verbranding, compostering)</t>
  </si>
  <si>
    <t>Beschrijving ingezette primaire of secundaire grondstoffen (Gangbare methode vs. CCU methode)</t>
  </si>
  <si>
    <t>CO2-voetafdruk (kg CO2/kg materiaal)</t>
  </si>
  <si>
    <t>1.4</t>
  </si>
  <si>
    <t>Yvette van Beek</t>
  </si>
  <si>
    <t>tabbladen CCS en CCU toegevoegd</t>
  </si>
  <si>
    <t>Energiebesparing en HE</t>
  </si>
  <si>
    <t>Circulaire Economie</t>
  </si>
  <si>
    <t>CCS en Negatieve Emissies</t>
  </si>
  <si>
    <t>CCU</t>
  </si>
  <si>
    <t>Fred van den Brink</t>
  </si>
  <si>
    <t xml:space="preserve">diverse formule aanpassingen </t>
  </si>
  <si>
    <t>Biogene CO2</t>
  </si>
  <si>
    <t>Kortcyclische CO2</t>
  </si>
  <si>
    <t>Langcyclische CO2</t>
  </si>
  <si>
    <t>Fossiele CO2</t>
  </si>
  <si>
    <t>Vastlegging CO2</t>
  </si>
  <si>
    <t xml:space="preserve">Vul in </t>
  </si>
  <si>
    <t>Totale vastlegging CO2/jaar</t>
  </si>
  <si>
    <t>Verbruik proces</t>
  </si>
  <si>
    <t>Instructies voor de thema's Circulaire Economie, CCS en Negatieve Emissies en CCU vindt u in het werkblad zelf in rood</t>
  </si>
  <si>
    <t xml:space="preserve">Toelichting in CCS tabblad per onderdeel. Foutmelding uit vastlegging onderdeel gehaald. Tekst gewijzigd bij resultaten en hier zelf "totale vastlegging" ingevuld bij B37; Tabblad CCU: toelichting per onderdeel. Verwijzing naar toelichting onder tabblad toelichting. </t>
  </si>
  <si>
    <t>c. CCS en Negatieve Emissies (thema 2.3)</t>
  </si>
  <si>
    <t>d. CCU (thema 2.3)</t>
  </si>
  <si>
    <t>b. Circulaire Economie (thema 2.5 en circulaire projecten uit thema 2.10 vergassing reststromen)</t>
  </si>
  <si>
    <t>a. Energieprojecten en overige thema's, inclusief waterstof</t>
  </si>
  <si>
    <t>Link naar bron</t>
  </si>
  <si>
    <t>Tools incl. database</t>
  </si>
  <si>
    <t>LCA Tools in excel - Sustainability Impact Metrics (ecocostsvalue.com)</t>
  </si>
  <si>
    <t>FOOTPRINTCALC - Free product footprint calculator</t>
  </si>
  <si>
    <t>FOOTPRINTCALC is een gratis excel tool waarmee u de milieu impact van producten kunt berekenen en vergelijken door het opstellen van verschillende scenario's.</t>
  </si>
  <si>
    <t>Literatuurdata</t>
  </si>
  <si>
    <t>CE Delft - CO2 winst kunststof recyclaat</t>
  </si>
  <si>
    <t xml:space="preserve">Materialen en halffabrikaten - Kunststoffen en recyclaat </t>
  </si>
  <si>
    <t>JRC Publications Repository - Greenhouse gas emission intensities of the steel, fertilisers, aluminium and cement industries in the EU and its main trading partners (europa.eu)</t>
  </si>
  <si>
    <t>GHG emissies van de staal, mest, aluminium, en cement industrieën in de EU.</t>
  </si>
  <si>
    <t>EPDs</t>
  </si>
  <si>
    <t>Milieudatabase Milieuverklaringen</t>
  </si>
  <si>
    <t>EPD bouwproducten; bevat CO2 footprint informatie maar vereist expert kennis of softwaretools om info uit te lezen</t>
  </si>
  <si>
    <t>ECO PORTAL - Eco Platform en (eco-platform.org)</t>
  </si>
  <si>
    <t>EPD Library | EPD International (environdec.com)</t>
  </si>
  <si>
    <t>Environdec (EPD operator); bevat naast bouwproducten ook footprint informatie over andere cmmerciele producten, b.v. garens; uitlezen van data vereist expert kennis</t>
  </si>
  <si>
    <t>Database</t>
  </si>
  <si>
    <t>Lijst emissiefactoren | CO2 emissiefactoren</t>
  </si>
  <si>
    <t>CO2 emissiefactoren van energiedragers</t>
  </si>
  <si>
    <t>Distributie &amp; Logistiek - CO2 emissiefactoren Transport &amp; brandstoffen</t>
  </si>
  <si>
    <t>CE Delft - STREAM Goederenvervoer</t>
  </si>
  <si>
    <t>Distributie &amp; Logistiek - CO2 data goederenvervoer</t>
  </si>
  <si>
    <t>CE Delft</t>
  </si>
  <si>
    <t>Einde levensfase - CO2 emissie  afvalverwerkingsroutes</t>
  </si>
  <si>
    <t>Subtotaal verbruik :</t>
  </si>
  <si>
    <t>Aangevuld / aangepast  formules verwijzingen optellingen en vormgeving, cellen beveiligd en onbeveiligd</t>
  </si>
  <si>
    <t xml:space="preserve">Beveiligde versie getest, nog enkele foutmeldingen aangepast in formules. </t>
  </si>
  <si>
    <t>kopie</t>
  </si>
  <si>
    <t>testen van het model, toevoegen waarschuwing 15 kW(piek). Toelichting bijgewerkt in CCS/NegEm. Tekst bij resultaat zwart gemaakt. Waarschuwing NegEm (kan niet hoger dan bruto waarde zijn).</t>
  </si>
  <si>
    <t xml:space="preserve">1.5 </t>
  </si>
  <si>
    <t>beveiligd</t>
  </si>
  <si>
    <t>Freek Smedema</t>
  </si>
  <si>
    <t>beveiligd en tabbladen verborgen</t>
  </si>
  <si>
    <t>1.5</t>
  </si>
  <si>
    <t>Laatste correctie in CCS tabblad wat betreft verwoording en regels in resultaat.</t>
  </si>
  <si>
    <r>
      <t xml:space="preserve">Brandstof niet uit de lijst : </t>
    </r>
    <r>
      <rPr>
        <b/>
        <sz val="11"/>
        <color rgb="FFD52B1E"/>
        <rFont val="Calibri"/>
        <family val="2"/>
        <scheme val="minor"/>
      </rPr>
      <t>Vul in!</t>
    </r>
  </si>
  <si>
    <r>
      <t xml:space="preserve">Rekensheet Energie en overige thema's is opgedeeld in </t>
    </r>
    <r>
      <rPr>
        <b/>
        <sz val="11"/>
        <color rgb="FFD52B1E"/>
        <rFont val="Calibri"/>
        <family val="2"/>
        <scheme val="minor"/>
      </rPr>
      <t>Verbruik</t>
    </r>
    <r>
      <rPr>
        <sz val="11"/>
        <color theme="1"/>
        <rFont val="Calibri"/>
        <family val="2"/>
        <scheme val="minor"/>
      </rPr>
      <t xml:space="preserve"> en </t>
    </r>
    <r>
      <rPr>
        <b/>
        <sz val="11"/>
        <color rgb="FFD52B1E"/>
        <rFont val="Calibri"/>
        <family val="2"/>
        <scheme val="minor"/>
      </rPr>
      <t>Productie</t>
    </r>
  </si>
  <si>
    <t>1.6</t>
  </si>
  <si>
    <t>beveilgd</t>
  </si>
  <si>
    <t>Laatste toets na WCAG-aanpassingen door Wietse Feenstra</t>
  </si>
  <si>
    <t>Verandering in grondstofverbruik (kg/jaar)</t>
  </si>
  <si>
    <t>Wijziging gangbare verwerking (kg/jaar)</t>
  </si>
  <si>
    <r>
      <t>Verandering in CO</t>
    </r>
    <r>
      <rPr>
        <vertAlign val="subscript"/>
        <sz val="11"/>
        <color theme="1"/>
        <rFont val="Calibri"/>
        <family val="2"/>
        <scheme val="minor"/>
      </rPr>
      <t>2</t>
    </r>
    <r>
      <rPr>
        <sz val="11"/>
        <color theme="1"/>
        <rFont val="Calibri"/>
        <family val="2"/>
        <scheme val="minor"/>
      </rPr>
      <t>-uitstoot (kg/jaar)</t>
    </r>
  </si>
  <si>
    <r>
      <t>kg CO</t>
    </r>
    <r>
      <rPr>
        <b/>
        <vertAlign val="subscript"/>
        <sz val="11"/>
        <color theme="1"/>
        <rFont val="Calibri"/>
        <family val="2"/>
        <scheme val="minor"/>
      </rPr>
      <t>2</t>
    </r>
    <r>
      <rPr>
        <b/>
        <sz val="11"/>
        <color theme="1"/>
        <rFont val="Calibri"/>
        <family val="2"/>
        <scheme val="minor"/>
      </rPr>
      <t>/eenheid</t>
    </r>
  </si>
  <si>
    <r>
      <t>CO</t>
    </r>
    <r>
      <rPr>
        <b/>
        <vertAlign val="subscript"/>
        <sz val="11"/>
        <color theme="1"/>
        <rFont val="Calibri"/>
        <family val="2"/>
        <scheme val="minor"/>
      </rPr>
      <t>2</t>
    </r>
    <r>
      <rPr>
        <b/>
        <sz val="11"/>
        <color theme="1"/>
        <rFont val="Calibri"/>
        <family val="2"/>
        <scheme val="minor"/>
      </rPr>
      <t>-voetafdruk van de huidige productiemethode (kg CO</t>
    </r>
    <r>
      <rPr>
        <b/>
        <vertAlign val="subscript"/>
        <sz val="11"/>
        <color theme="1"/>
        <rFont val="Calibri"/>
        <family val="2"/>
        <scheme val="minor"/>
      </rPr>
      <t>2</t>
    </r>
    <r>
      <rPr>
        <b/>
        <sz val="11"/>
        <color theme="1"/>
        <rFont val="Calibri"/>
        <family val="2"/>
        <scheme val="minor"/>
      </rPr>
      <t>/kg materiaal)</t>
    </r>
  </si>
  <si>
    <r>
      <t>Bronvermelding CO</t>
    </r>
    <r>
      <rPr>
        <vertAlign val="subscript"/>
        <sz val="11"/>
        <rFont val="Calibri"/>
        <family val="2"/>
        <scheme val="minor"/>
      </rPr>
      <t>2</t>
    </r>
    <r>
      <rPr>
        <sz val="11"/>
        <rFont val="Calibri"/>
        <family val="2"/>
        <scheme val="minor"/>
      </rPr>
      <t>-voetafdruk: zie tabblad 'bronnen' voor suggesties</t>
    </r>
  </si>
  <si>
    <r>
      <t>CO</t>
    </r>
    <r>
      <rPr>
        <b/>
        <vertAlign val="subscript"/>
        <sz val="11"/>
        <color theme="1"/>
        <rFont val="Calibri"/>
        <family val="2"/>
        <scheme val="minor"/>
      </rPr>
      <t>2</t>
    </r>
    <r>
      <rPr>
        <b/>
        <sz val="11"/>
        <color theme="1"/>
        <rFont val="Calibri"/>
        <family val="2"/>
        <scheme val="minor"/>
      </rPr>
      <t>-voetafdruk van de huidige verwerkingsmethode (kg CO</t>
    </r>
    <r>
      <rPr>
        <b/>
        <vertAlign val="subscript"/>
        <sz val="11"/>
        <color theme="1"/>
        <rFont val="Calibri"/>
        <family val="2"/>
        <scheme val="minor"/>
      </rPr>
      <t>2</t>
    </r>
    <r>
      <rPr>
        <b/>
        <sz val="11"/>
        <color theme="1"/>
        <rFont val="Calibri"/>
        <family val="2"/>
        <scheme val="minor"/>
      </rPr>
      <t>/kg materiaal)</t>
    </r>
  </si>
  <si>
    <r>
      <t>kg CO</t>
    </r>
    <r>
      <rPr>
        <vertAlign val="subscript"/>
        <sz val="11"/>
        <color theme="1"/>
        <rFont val="Calibri"/>
        <family val="2"/>
        <scheme val="minor"/>
      </rPr>
      <t>2</t>
    </r>
  </si>
  <si>
    <r>
      <t>ton CO</t>
    </r>
    <r>
      <rPr>
        <vertAlign val="subscript"/>
        <sz val="11"/>
        <color theme="1"/>
        <rFont val="Calibri"/>
        <family val="2"/>
        <scheme val="minor"/>
      </rPr>
      <t>2</t>
    </r>
  </si>
  <si>
    <r>
      <t>euro/ton CO</t>
    </r>
    <r>
      <rPr>
        <vertAlign val="subscript"/>
        <sz val="11"/>
        <color theme="1"/>
        <rFont val="Calibri"/>
        <family val="2"/>
        <scheme val="minor"/>
      </rPr>
      <t>2</t>
    </r>
  </si>
  <si>
    <t>1.7</t>
  </si>
  <si>
    <t>tabblad circulair ingrijpend aangepast</t>
  </si>
  <si>
    <t>U gebruikt dit rekenmodel om een duidelijke CO2-berekening te genereren op basis van de juiste omrekeningsfactoren</t>
  </si>
  <si>
    <t xml:space="preserve">Gebruik voor uw berekening de emissiefactoren die staan op: </t>
  </si>
  <si>
    <t>U kunt alleen in de geel gemarkeerde cellen getallen invoeren</t>
  </si>
  <si>
    <t>U kunt in de lichtblauw gemarkeerde cellen dmv een 'trekvenster'</t>
  </si>
  <si>
    <t>De eenheid is TTW (Tank-to-Wheel), tenzij anders aangegeven.</t>
  </si>
  <si>
    <t xml:space="preserve">Bij processen kunnen bijstromen ontstaan (productie).  </t>
  </si>
  <si>
    <t>U moet de CO2-uitstoot van die stromen meenemen.</t>
  </si>
  <si>
    <t>Het berekenen van de CO2-uitstoot voor 'Energie en overige thema's' werkt als volgt:</t>
  </si>
  <si>
    <t>Selecteer een gassoort (als dat van toepassing is)</t>
  </si>
  <si>
    <t>Selecteer en houtige brandstof (als dat van toepassing is)</t>
  </si>
  <si>
    <t>Selecteer een brandstof (als dat van toepassing is)</t>
  </si>
  <si>
    <t xml:space="preserve">Vul de verbruikte elektriciteit in die u afneemt van het 'openbare' net </t>
  </si>
  <si>
    <t>De CO2 factor voor DEI+ 2025 is 0,14 KgCO2/kWh</t>
  </si>
  <si>
    <t>Vul het vermogen kW (piek) en het maximaal aantal equivalent vollasturen in die gelden voor het thema 'Hernieuwbare elektriciteit'</t>
  </si>
  <si>
    <t>CO2-berekening</t>
  </si>
  <si>
    <t>Wat is de levensduur van de installatie in jaren? Dit mag maximaal 15 jaar zijn.</t>
  </si>
  <si>
    <t>Houtige biobrandstoffen uit Nederland:</t>
  </si>
  <si>
    <t xml:space="preserve">Uitleg: vul het aandeel kortcyclische en langcyclische CO2 in dat u in uw project vastlegt. </t>
  </si>
  <si>
    <t xml:space="preserve">Uitleg: geef aan wat de voetafdruk is van de gangbare methode voor de grondstoffen van uw proces. Geef vervolgens aan wat de voetafdruk van de grondstoffen in uw nieuwe proces is. </t>
  </si>
  <si>
    <t>Uitleg over het rekenmodel CO2-besparing</t>
  </si>
  <si>
    <t xml:space="preserve">Totale CO2-besparing over de opgegeven periode van </t>
  </si>
  <si>
    <t xml:space="preserve">Uitleg: vul hier het verbruik van het beoogde proces in. Betrek hier alleen het proces dat u gaat opzetten en vergelijk deze met een relevante referentie. </t>
  </si>
  <si>
    <t>Uitleg: vul hier het energievebruik van uw proces in. Betrek hier alle ketenaspecten mee in het geval van negatieve emissies.</t>
  </si>
  <si>
    <t>Informatie</t>
  </si>
  <si>
    <t>1.8</t>
  </si>
  <si>
    <t>Bart van Ham</t>
  </si>
  <si>
    <t>Tekstaanpassingen</t>
  </si>
  <si>
    <t>Tabel 1: Eigen energieverbruik van de aanvrager</t>
  </si>
  <si>
    <t>Tabel 3: reststromen die u gaat inzetten in uw project</t>
  </si>
  <si>
    <t>Uitleg: bereken hier hoeveel energie u gebruikt in uw eigen proces, vóór en na uitvoering van het project waarvoor u subsidie aanvraagt. Als de energievoorziening leidt tot meer CO2-uitstoot, dan is het getal positief en kleurt de cel rood</t>
  </si>
  <si>
    <t>Beschrijving van het gangbare productieproces voor deze grondstoffen (bijvoorbeeld chemisch proces uit aardolie, productie uit erts, etc)</t>
  </si>
  <si>
    <t xml:space="preserve">Uitleg: 
&gt; Bij reststromen gaat het om afval of andere reststromen die nu minder efficiënt worden ingezet.
&gt; Reststromen worden ook wel secundaire grondstoffen genoemd.
&gt; Beschrijf goed:
- welke reststromen u gaat gebruiken;
- hoe deze nu verwerkt worden.;
- hoeveel CO2-uitstoot de huidige verwerking oplevert of bespaart;
- Als de huidige verwerking CO2-uitstoot oplevert, vult u een positief getal in bij CO2-voetafdruk;
- Als de huidige verwerking CO2-uitstoot bespaart dan vult u een negatief getal in bij CO2-voetadruk. Bijvoorbeeld als de reststroom nu wordt verbrand en de warmte nuttig wordt gebruikt. In dat geval vervangt de gangbare verwerkingsmethode mogelijk het gebruik  van fossiele brandstof, zoals aardgas. Door het materiaal als grondstof te gebruiken moet mogelijk ergens anders meer fossiele brandstof worden verbrand. </t>
  </si>
  <si>
    <t>Versie D 1.8-1 december 2025</t>
  </si>
  <si>
    <t>Welke primaire grondstoffen worden door uw project vervangen of verbruikt?</t>
  </si>
  <si>
    <t>Hoeveel primaire grondstoffen worden jaarlijks door uw project vervangen of verbruikt (kg/jaar)?</t>
  </si>
  <si>
    <t xml:space="preserve">Uitleg: 
&gt; Bij primaire grondstoffen gaat het om nieuwe materialen die gemaakt zijn uit bijvoorbeeld aardolie, gesteente of ertsen.
&gt; Hulpstoffen zijn stoffen die u gebruikt om uw product te maken, terwijl ze niet in het eindproduct belanden. Bijvoorbeeld water of katalysatoren. Energie geldt niet als hulpstof en voert u in tabel 1 op. 
&gt; Laat hier zien hoe uw project leidt tot het gebruik van minder primaire grondstoffen of hulpstoffen. Die vermindering kan plaatsvinden in uw eigen bedrijf, maar ook ergens anders in Nederland. Bijvoorbeeld doordat: 
- u zelf bij gelijkblijvende productiecapaciteit minder grondstoffen of hulpstoffen gaat gebruiken.
- u in uw eigen proces primaire grondstoffen vervangt door gerecyclede grondstoffen (secundaire grondstoffen).
- u zelf een reststroom recyclet of een product geschikt maakt voor hergebruik. Hierdoor zijn verderop in de productieketen minder primaire grondstoffen nodig om producten te maken. Bijvoorbeeld: doordat u plastic recyclet, hoeft er ergens anders in Nederland minder schoon plastic gemaakt te worden. Die besparing voert u hier op.
- u een product opnieuw ontwerpt waardoor het geschikt is voor recycling of hergebruik (alleen pilots).
&gt; Als u grondstoffen of hulpstoffen verbruikt in uw proces die niet in het referentieproces verbruikt werden, vult u een negatief getal in in kolum G. Dit geldt dus als een toename van gebruik van primaire grondstoffen of hulpstoffen. 
&gt; Vul ook de CO2-voetafdruk in. Vermeld de bron waar u de CO2-voetafdruk op baseert. Zie tabblad 'bronnen' voor suggesties en enkele voorbeelden van primaire metalen. 
</t>
  </si>
  <si>
    <t>Tabel 2: (verminderen) gebruik van primaire grondstoffen en hulpstoffen</t>
  </si>
  <si>
    <t>Idemat,Tools,Books - Sustainability Impact Metrics</t>
  </si>
  <si>
    <t>De meest recente IDEMAT database is te vinden als "Idemat 2026RevB1.xlsx"</t>
  </si>
  <si>
    <t>IDEMAT is een gratis tool waarin u ecokosten en CO2 impacts kunt vinden. Deze is te vinden als excel sheet onder het tablad "Idemat2026 db (simple)", of als app in de appstore.</t>
  </si>
  <si>
    <t>Sectordata – Metalen</t>
  </si>
  <si>
    <t>Sectordata – Kunststoffen</t>
  </si>
  <si>
    <t>Eco-profiles set • Plastics Europe</t>
  </si>
  <si>
    <t>#steelfacts - worldsteel.org</t>
  </si>
  <si>
    <t>Gratis LCA-data voor gangbare kunststoffen (PE, PP, PET, PVC, etc.), inclusief CO2-voetafdruk van de productie in Europa.</t>
  </si>
  <si>
    <t>Publicatie van de gemiddelde CO2-intensiteit van staalproductie per regio en per productiemethode (hoogovens, elektro-ovens). Gratis beschikbaar.</t>
  </si>
  <si>
    <t>1.9</t>
  </si>
  <si>
    <t>Tijmen Vlogman</t>
  </si>
  <si>
    <t>Tekstaanpassingen CE en bronnen CE, 2 extra bronnen 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</si>
</sst>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00"/>
    <numFmt numFmtId="165" formatCode="_ * #,##0.000_ ;_ * \-#,##0.000_ ;_ * &quot;-&quot;??_ ;_ @_ "/>
    <numFmt numFmtId="166" formatCode="_ * #,##0.0_ ;_ * \-#,##0.0_ ;_ * &quot;-&quot;??_ ;_ @_ "/>
    <numFmt numFmtId="167" formatCode="_ * #,##0_ ;_ * \-#,##0_ ;_ * &quot;-&quot;??_ ;_ @_ "/>
    <numFmt numFmtId="168" formatCode="#,##0.000_ ;\-#,##0.000\ "/>
  </numFmts>
  <fonts count="35" x14ac:knownFonts="1">
    <font>
      <sz val="11"/>
      <color theme="1"/>
      <name val="Calibri"/>
      <family val="2"/>
      <scheme val="minor"/>
    </font>
    <font>
      <b/>
      <sz val="11"/>
      <color theme="1"/>
      <name val="Calibri"/>
      <family val="2"/>
      <scheme val="minor"/>
    </font>
    <font>
      <b/>
      <sz val="20"/>
      <color theme="1"/>
      <name val="Calibri"/>
      <family val="2"/>
      <scheme val="minor"/>
    </font>
    <font>
      <sz val="11"/>
      <color rgb="FF0000FF"/>
      <name val="Calibri"/>
      <family val="2"/>
      <scheme val="minor"/>
    </font>
    <font>
      <b/>
      <sz val="11"/>
      <color rgb="FF0000FF"/>
      <name val="Calibri"/>
      <family val="2"/>
      <scheme val="minor"/>
    </font>
    <font>
      <b/>
      <sz val="9"/>
      <color theme="1"/>
      <name val="Verdana"/>
      <family val="2"/>
    </font>
    <font>
      <b/>
      <vertAlign val="subscript"/>
      <sz val="9"/>
      <color theme="1"/>
      <name val="Verdana"/>
      <family val="2"/>
    </font>
    <font>
      <sz val="9"/>
      <name val="Verdana"/>
      <family val="2"/>
    </font>
    <font>
      <sz val="11"/>
      <color theme="1"/>
      <name val="Calibri"/>
      <family val="2"/>
    </font>
    <font>
      <sz val="9"/>
      <color rgb="FFFF0000"/>
      <name val="Verdana"/>
      <family val="2"/>
    </font>
    <font>
      <b/>
      <sz val="9"/>
      <name val="Verdana"/>
      <family val="2"/>
    </font>
    <font>
      <sz val="11"/>
      <color theme="1"/>
      <name val="Calibri"/>
      <family val="2"/>
      <scheme val="minor"/>
    </font>
    <font>
      <b/>
      <sz val="11"/>
      <color rgb="FFFF0000"/>
      <name val="Calibri"/>
      <family val="2"/>
      <scheme val="minor"/>
    </font>
    <font>
      <b/>
      <i/>
      <sz val="11"/>
      <color rgb="FFFF0000"/>
      <name val="Calibri"/>
      <family val="2"/>
      <scheme val="minor"/>
    </font>
    <font>
      <b/>
      <sz val="12"/>
      <color theme="1"/>
      <name val="Calibri"/>
      <family val="2"/>
      <scheme val="minor"/>
    </font>
    <font>
      <b/>
      <sz val="18"/>
      <color theme="1"/>
      <name val="Calibri"/>
      <family val="2"/>
      <scheme val="minor"/>
    </font>
    <font>
      <b/>
      <sz val="9"/>
      <color theme="1"/>
      <name val="Calibri"/>
      <family val="2"/>
      <scheme val="minor"/>
    </font>
    <font>
      <sz val="8"/>
      <name val="Calibri"/>
      <family val="2"/>
      <scheme val="minor"/>
    </font>
    <font>
      <sz val="8"/>
      <color theme="1"/>
      <name val="Calibri"/>
      <family val="2"/>
      <scheme val="minor"/>
    </font>
    <font>
      <sz val="9"/>
      <color rgb="FFFF0000"/>
      <name val="Calibri"/>
      <family val="2"/>
      <scheme val="minor"/>
    </font>
    <font>
      <sz val="11"/>
      <name val="Calibri"/>
      <family val="2"/>
      <scheme val="minor"/>
    </font>
    <font>
      <b/>
      <sz val="14"/>
      <color theme="1"/>
      <name val="Calibri"/>
      <family val="2"/>
      <scheme val="minor"/>
    </font>
    <font>
      <b/>
      <sz val="10"/>
      <color theme="1"/>
      <name val="Calibri"/>
      <family val="2"/>
      <scheme val="minor"/>
    </font>
    <font>
      <sz val="9"/>
      <color theme="1"/>
      <name val="Verdana"/>
      <family val="2"/>
    </font>
    <font>
      <b/>
      <sz val="11"/>
      <color rgb="FF0070C0"/>
      <name val="Calibri"/>
      <family val="2"/>
      <scheme val="minor"/>
    </font>
    <font>
      <sz val="11"/>
      <color rgb="FFFF0000"/>
      <name val="Calibri"/>
      <family val="2"/>
      <scheme val="minor"/>
    </font>
    <font>
      <b/>
      <sz val="16"/>
      <color theme="1"/>
      <name val="Calibri"/>
      <family val="2"/>
      <scheme val="minor"/>
    </font>
    <font>
      <u/>
      <sz val="11"/>
      <color theme="10"/>
      <name val="Calibri"/>
      <family val="2"/>
      <scheme val="minor"/>
    </font>
    <font>
      <sz val="11"/>
      <color rgb="FFD52B1E"/>
      <name val="Calibri"/>
      <family val="2"/>
      <scheme val="minor"/>
    </font>
    <font>
      <b/>
      <sz val="11"/>
      <name val="Calibri"/>
      <family val="2"/>
      <scheme val="minor"/>
    </font>
    <font>
      <b/>
      <sz val="20"/>
      <color rgb="FF007BC7"/>
      <name val="RijksoverheidSansHeadingTT"/>
      <family val="2"/>
    </font>
    <font>
      <b/>
      <sz val="11"/>
      <color rgb="FFD52B1E"/>
      <name val="Calibri"/>
      <family val="2"/>
      <scheme val="minor"/>
    </font>
    <font>
      <vertAlign val="subscript"/>
      <sz val="11"/>
      <color theme="1"/>
      <name val="Calibri"/>
      <family val="2"/>
      <scheme val="minor"/>
    </font>
    <font>
      <b/>
      <vertAlign val="subscript"/>
      <sz val="11"/>
      <color theme="1"/>
      <name val="Calibri"/>
      <family val="2"/>
      <scheme val="minor"/>
    </font>
    <font>
      <vertAlign val="subscript"/>
      <sz val="11"/>
      <name val="Calibri"/>
      <family val="2"/>
      <scheme val="minor"/>
    </font>
  </fonts>
  <fills count="15">
    <fill>
      <patternFill patternType="none"/>
    </fill>
    <fill>
      <patternFill patternType="gray125"/>
    </fill>
    <fill>
      <patternFill patternType="solid">
        <fgColor rgb="FF89B924"/>
        <bgColor indexed="64"/>
      </patternFill>
    </fill>
    <fill>
      <patternFill patternType="solid">
        <fgColor rgb="FF9BC345"/>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C000"/>
        <bgColor indexed="64"/>
      </patternFill>
    </fill>
    <fill>
      <patternFill patternType="solid">
        <fgColor theme="1"/>
        <bgColor indexed="64"/>
      </patternFill>
    </fill>
    <fill>
      <patternFill patternType="solid">
        <fgColor rgb="FF00B0F0"/>
        <bgColor indexed="64"/>
      </patternFill>
    </fill>
    <fill>
      <patternFill patternType="solid">
        <fgColor theme="7"/>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ck">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43" fontId="11" fillId="0" borderId="0" applyFont="0" applyFill="0" applyBorder="0" applyAlignment="0" applyProtection="0"/>
    <xf numFmtId="0" fontId="27" fillId="0" borderId="0" applyNumberFormat="0" applyFill="0" applyBorder="0" applyAlignment="0" applyProtection="0"/>
  </cellStyleXfs>
  <cellXfs count="330">
    <xf numFmtId="0" fontId="0" fillId="0" borderId="0" xfId="0"/>
    <xf numFmtId="0" fontId="1" fillId="0" borderId="0" xfId="0" applyFont="1"/>
    <xf numFmtId="0" fontId="2" fillId="0" borderId="0" xfId="0" applyFont="1"/>
    <xf numFmtId="0" fontId="0" fillId="0" borderId="1" xfId="0" applyBorder="1"/>
    <xf numFmtId="0" fontId="3" fillId="0" borderId="1" xfId="0" applyFont="1" applyBorder="1"/>
    <xf numFmtId="14" fontId="3" fillId="0" borderId="1" xfId="0" applyNumberFormat="1" applyFont="1" applyBorder="1"/>
    <xf numFmtId="0" fontId="0" fillId="0" borderId="0" xfId="0" applyAlignment="1">
      <alignment wrapText="1"/>
    </xf>
    <xf numFmtId="0" fontId="4" fillId="0" borderId="1" xfId="0" applyFont="1" applyBorder="1"/>
    <xf numFmtId="0" fontId="0" fillId="0" borderId="2" xfId="0" applyBorder="1"/>
    <xf numFmtId="0" fontId="1" fillId="0" borderId="3" xfId="0" applyFont="1" applyBorder="1"/>
    <xf numFmtId="0" fontId="1" fillId="0" borderId="4" xfId="0" applyFont="1" applyBorder="1"/>
    <xf numFmtId="0" fontId="1" fillId="0" borderId="5" xfId="0" applyFont="1" applyBorder="1" applyAlignment="1">
      <alignment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5" fillId="2" borderId="0" xfId="0" applyFont="1" applyFill="1" applyAlignment="1">
      <alignment wrapText="1"/>
    </xf>
    <xf numFmtId="0" fontId="0" fillId="2" borderId="0" xfId="0" applyFill="1"/>
    <xf numFmtId="0" fontId="0" fillId="2" borderId="0" xfId="0" applyFill="1" applyAlignment="1">
      <alignment horizontal="left" wrapText="1"/>
    </xf>
    <xf numFmtId="0" fontId="0" fillId="2" borderId="0" xfId="0" applyFill="1" applyAlignment="1">
      <alignment wrapText="1"/>
    </xf>
    <xf numFmtId="0" fontId="5" fillId="3" borderId="0" xfId="0" applyFont="1" applyFill="1" applyAlignment="1">
      <alignment wrapText="1"/>
    </xf>
    <xf numFmtId="0" fontId="5" fillId="3" borderId="0" xfId="0" applyFont="1" applyFill="1" applyAlignment="1">
      <alignment horizontal="left" wrapText="1"/>
    </xf>
    <xf numFmtId="0" fontId="0" fillId="0" borderId="0" xfId="0" applyAlignment="1">
      <alignment horizontal="left" vertical="center"/>
    </xf>
    <xf numFmtId="0" fontId="7" fillId="0" borderId="0" xfId="0" applyFont="1"/>
    <xf numFmtId="0" fontId="5" fillId="0" borderId="1" xfId="0" applyFont="1" applyBorder="1" applyAlignment="1">
      <alignment wrapText="1"/>
    </xf>
    <xf numFmtId="164" fontId="0" fillId="0" borderId="1" xfId="0" applyNumberFormat="1" applyBorder="1"/>
    <xf numFmtId="0" fontId="0" fillId="0" borderId="1" xfId="0" applyBorder="1" applyAlignment="1">
      <alignment wrapText="1"/>
    </xf>
    <xf numFmtId="164" fontId="0" fillId="0" borderId="1" xfId="0" applyNumberFormat="1" applyBorder="1" applyAlignment="1">
      <alignment wrapText="1"/>
    </xf>
    <xf numFmtId="164" fontId="0" fillId="5" borderId="1" xfId="0" applyNumberFormat="1" applyFill="1" applyBorder="1"/>
    <xf numFmtId="0" fontId="0" fillId="5" borderId="1" xfId="0" applyFill="1" applyBorder="1"/>
    <xf numFmtId="164" fontId="7" fillId="5" borderId="0" xfId="0" applyNumberFormat="1" applyFont="1" applyFill="1"/>
    <xf numFmtId="164" fontId="7" fillId="0" borderId="0" xfId="0" applyNumberFormat="1" applyFont="1"/>
    <xf numFmtId="0" fontId="0" fillId="5" borderId="1" xfId="0" applyFill="1" applyBorder="1" applyAlignment="1">
      <alignment wrapText="1"/>
    </xf>
    <xf numFmtId="0" fontId="7" fillId="5" borderId="1" xfId="0" applyFont="1" applyFill="1" applyBorder="1" applyAlignment="1">
      <alignment wrapText="1"/>
    </xf>
    <xf numFmtId="0" fontId="0" fillId="0" borderId="13" xfId="0" applyBorder="1" applyAlignment="1">
      <alignment horizontal="left"/>
    </xf>
    <xf numFmtId="0" fontId="0" fillId="0" borderId="15" xfId="0" applyBorder="1" applyAlignment="1">
      <alignment horizontal="left"/>
    </xf>
    <xf numFmtId="164" fontId="7" fillId="5" borderId="1" xfId="0" applyNumberFormat="1" applyFont="1" applyFill="1" applyBorder="1"/>
    <xf numFmtId="0" fontId="7" fillId="5" borderId="1" xfId="0" applyFont="1" applyFill="1" applyBorder="1"/>
    <xf numFmtId="2" fontId="0" fillId="5" borderId="1" xfId="0" applyNumberFormat="1" applyFill="1" applyBorder="1" applyAlignment="1">
      <alignment wrapText="1"/>
    </xf>
    <xf numFmtId="0" fontId="5" fillId="4" borderId="1" xfId="0" applyFont="1" applyFill="1" applyBorder="1" applyAlignment="1">
      <alignment wrapText="1"/>
    </xf>
    <xf numFmtId="0" fontId="8" fillId="0" borderId="0" xfId="0" applyFont="1" applyAlignment="1">
      <alignment vertical="center"/>
    </xf>
    <xf numFmtId="0" fontId="7" fillId="0" borderId="1" xfId="0" applyFont="1" applyBorder="1"/>
    <xf numFmtId="0" fontId="7" fillId="0" borderId="0" xfId="0" applyFont="1" applyAlignment="1">
      <alignment wrapText="1"/>
    </xf>
    <xf numFmtId="0" fontId="5" fillId="0" borderId="0" xfId="0" applyFont="1" applyAlignment="1">
      <alignment wrapText="1"/>
    </xf>
    <xf numFmtId="0" fontId="0" fillId="0" borderId="0" xfId="0" applyAlignment="1">
      <alignment vertical="top"/>
    </xf>
    <xf numFmtId="0" fontId="10" fillId="0" borderId="0" xfId="0" applyFont="1" applyAlignment="1">
      <alignment wrapText="1"/>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applyAlignment="1">
      <alignment wrapText="1"/>
    </xf>
    <xf numFmtId="0" fontId="0" fillId="0" borderId="24" xfId="0" applyBorder="1"/>
    <xf numFmtId="0" fontId="0" fillId="0" borderId="25" xfId="0" applyBorder="1"/>
    <xf numFmtId="0" fontId="0" fillId="0" borderId="26" xfId="0" applyBorder="1"/>
    <xf numFmtId="164" fontId="3" fillId="0" borderId="1" xfId="0" applyNumberFormat="1" applyFont="1" applyBorder="1"/>
    <xf numFmtId="164" fontId="3" fillId="5" borderId="1" xfId="0" applyNumberFormat="1" applyFont="1" applyFill="1" applyBorder="1"/>
    <xf numFmtId="164" fontId="3" fillId="0" borderId="0" xfId="0" applyNumberFormat="1" applyFont="1"/>
    <xf numFmtId="0" fontId="0" fillId="0" borderId="13" xfId="0" applyBorder="1"/>
    <xf numFmtId="0" fontId="0" fillId="0" borderId="28" xfId="0" applyBorder="1"/>
    <xf numFmtId="14" fontId="0" fillId="0" borderId="0" xfId="0" applyNumberFormat="1"/>
    <xf numFmtId="0" fontId="4" fillId="5" borderId="6" xfId="0" applyFont="1" applyFill="1" applyBorder="1"/>
    <xf numFmtId="0" fontId="13" fillId="0" borderId="0" xfId="0" applyFont="1"/>
    <xf numFmtId="165" fontId="0" fillId="0" borderId="0" xfId="1" applyNumberFormat="1" applyFont="1"/>
    <xf numFmtId="167" fontId="3" fillId="0" borderId="0" xfId="1" applyNumberFormat="1" applyFont="1"/>
    <xf numFmtId="167" fontId="0" fillId="0" borderId="0" xfId="1" applyNumberFormat="1" applyFont="1"/>
    <xf numFmtId="0" fontId="0" fillId="0" borderId="30" xfId="0" applyBorder="1"/>
    <xf numFmtId="0" fontId="14" fillId="0" borderId="0" xfId="0" applyFont="1"/>
    <xf numFmtId="0" fontId="1" fillId="0" borderId="19" xfId="0" applyFont="1" applyBorder="1"/>
    <xf numFmtId="0" fontId="0" fillId="0" borderId="20" xfId="0" applyBorder="1" applyAlignment="1">
      <alignment wrapText="1"/>
    </xf>
    <xf numFmtId="0" fontId="1" fillId="0" borderId="25" xfId="0" applyFont="1" applyBorder="1"/>
    <xf numFmtId="167" fontId="1" fillId="0" borderId="1" xfId="1" applyNumberFormat="1" applyFont="1" applyBorder="1"/>
    <xf numFmtId="167" fontId="1" fillId="0" borderId="0" xfId="1" applyNumberFormat="1" applyFont="1" applyFill="1" applyBorder="1"/>
    <xf numFmtId="0" fontId="0" fillId="9" borderId="0" xfId="0" applyFill="1"/>
    <xf numFmtId="166" fontId="3" fillId="0" borderId="1" xfId="1" applyNumberFormat="1" applyFont="1" applyBorder="1"/>
    <xf numFmtId="0" fontId="0" fillId="0" borderId="27" xfId="0" applyBorder="1"/>
    <xf numFmtId="0" fontId="1" fillId="0" borderId="32" xfId="0" applyFont="1" applyBorder="1"/>
    <xf numFmtId="0" fontId="1" fillId="0" borderId="33" xfId="0" applyFont="1" applyBorder="1"/>
    <xf numFmtId="0" fontId="1" fillId="0" borderId="34" xfId="0" applyFont="1" applyBorder="1"/>
    <xf numFmtId="0" fontId="17" fillId="7" borderId="35" xfId="0" applyFont="1" applyFill="1" applyBorder="1" applyAlignment="1">
      <alignment horizontal="center" vertical="center" wrapText="1"/>
    </xf>
    <xf numFmtId="0" fontId="1" fillId="0" borderId="28" xfId="0" applyFont="1" applyBorder="1" applyAlignment="1">
      <alignment horizontal="center"/>
    </xf>
    <xf numFmtId="0" fontId="18" fillId="5" borderId="29" xfId="0" applyFont="1" applyFill="1" applyBorder="1" applyAlignment="1">
      <alignment horizontal="center"/>
    </xf>
    <xf numFmtId="0" fontId="15" fillId="11" borderId="28" xfId="0" applyFont="1" applyFill="1" applyBorder="1"/>
    <xf numFmtId="167" fontId="3" fillId="0" borderId="0" xfId="1" applyNumberFormat="1" applyFont="1" applyFill="1" applyBorder="1" applyProtection="1"/>
    <xf numFmtId="165" fontId="0" fillId="0" borderId="0" xfId="1" applyNumberFormat="1" applyFont="1" applyBorder="1" applyProtection="1"/>
    <xf numFmtId="0" fontId="3" fillId="7" borderId="1" xfId="0" applyFont="1" applyFill="1" applyBorder="1" applyAlignment="1">
      <alignment wrapText="1"/>
    </xf>
    <xf numFmtId="0" fontId="5" fillId="0" borderId="21" xfId="0" applyFont="1" applyBorder="1" applyAlignment="1">
      <alignment wrapText="1"/>
    </xf>
    <xf numFmtId="0" fontId="0" fillId="0" borderId="36" xfId="0" applyBorder="1" applyAlignment="1">
      <alignment horizontal="left"/>
    </xf>
    <xf numFmtId="0" fontId="0" fillId="0" borderId="37" xfId="0" applyBorder="1" applyAlignment="1">
      <alignment horizontal="left"/>
    </xf>
    <xf numFmtId="164" fontId="3" fillId="0" borderId="8" xfId="0" applyNumberFormat="1" applyFont="1" applyBorder="1"/>
    <xf numFmtId="164" fontId="0" fillId="0" borderId="36" xfId="0" applyNumberFormat="1" applyBorder="1"/>
    <xf numFmtId="0" fontId="0" fillId="0" borderId="1" xfId="0" applyBorder="1" applyAlignment="1">
      <alignment horizontal="left"/>
    </xf>
    <xf numFmtId="0" fontId="3" fillId="0" borderId="1" xfId="0" applyFont="1" applyBorder="1" applyAlignment="1">
      <alignment wrapText="1"/>
    </xf>
    <xf numFmtId="164" fontId="3" fillId="0" borderId="27" xfId="0" applyNumberFormat="1" applyFont="1" applyBorder="1"/>
    <xf numFmtId="0" fontId="5" fillId="3" borderId="1" xfId="0" applyFont="1" applyFill="1" applyBorder="1" applyAlignment="1">
      <alignment wrapText="1"/>
    </xf>
    <xf numFmtId="0" fontId="7" fillId="0" borderId="1" xfId="0" applyFont="1" applyBorder="1" applyAlignment="1">
      <alignment wrapText="1"/>
    </xf>
    <xf numFmtId="0" fontId="0" fillId="6" borderId="1" xfId="0" applyFill="1" applyBorder="1"/>
    <xf numFmtId="0" fontId="21" fillId="0" borderId="1" xfId="0" applyFont="1" applyBorder="1"/>
    <xf numFmtId="0" fontId="21" fillId="0" borderId="19" xfId="0" applyFont="1" applyBorder="1"/>
    <xf numFmtId="0" fontId="1" fillId="0" borderId="38" xfId="0" applyFont="1" applyBorder="1" applyAlignment="1">
      <alignment wrapText="1"/>
    </xf>
    <xf numFmtId="0" fontId="0" fillId="0" borderId="39" xfId="0" applyBorder="1"/>
    <xf numFmtId="0" fontId="3" fillId="6" borderId="1" xfId="0" applyFont="1" applyFill="1" applyBorder="1"/>
    <xf numFmtId="0" fontId="20" fillId="6" borderId="1" xfId="0" applyFont="1" applyFill="1" applyBorder="1"/>
    <xf numFmtId="0" fontId="22" fillId="0" borderId="0" xfId="0" applyFont="1" applyAlignment="1">
      <alignment wrapText="1"/>
    </xf>
    <xf numFmtId="1" fontId="3" fillId="0" borderId="1" xfId="0" applyNumberFormat="1" applyFont="1" applyBorder="1"/>
    <xf numFmtId="0" fontId="23" fillId="0" borderId="0" xfId="0" applyFont="1" applyAlignment="1">
      <alignment wrapText="1"/>
    </xf>
    <xf numFmtId="0" fontId="3" fillId="5" borderId="28" xfId="0" applyFont="1" applyFill="1" applyBorder="1" applyAlignment="1" applyProtection="1">
      <alignment wrapText="1"/>
      <protection locked="0"/>
    </xf>
    <xf numFmtId="167" fontId="19" fillId="0" borderId="0" xfId="1" applyNumberFormat="1" applyFont="1" applyFill="1" applyBorder="1" applyAlignment="1" applyProtection="1">
      <alignment horizontal="center" wrapText="1"/>
    </xf>
    <xf numFmtId="167" fontId="0" fillId="0" borderId="0" xfId="1" applyNumberFormat="1" applyFont="1" applyFill="1" applyBorder="1" applyProtection="1"/>
    <xf numFmtId="167" fontId="11" fillId="0" borderId="0" xfId="1" applyNumberFormat="1" applyFont="1" applyFill="1" applyBorder="1" applyProtection="1"/>
    <xf numFmtId="0" fontId="0" fillId="0" borderId="43" xfId="0" applyBorder="1"/>
    <xf numFmtId="167" fontId="3" fillId="5" borderId="28" xfId="1" applyNumberFormat="1" applyFont="1" applyFill="1" applyBorder="1" applyAlignment="1" applyProtection="1">
      <alignment wrapText="1"/>
      <protection locked="0"/>
    </xf>
    <xf numFmtId="0" fontId="0" fillId="0" borderId="44" xfId="0" applyBorder="1" applyAlignment="1">
      <alignment wrapText="1"/>
    </xf>
    <xf numFmtId="0" fontId="16" fillId="10" borderId="42" xfId="0" applyFont="1" applyFill="1" applyBorder="1"/>
    <xf numFmtId="0" fontId="16" fillId="10" borderId="29" xfId="0" applyFont="1" applyFill="1" applyBorder="1"/>
    <xf numFmtId="0" fontId="0" fillId="9" borderId="13" xfId="0" applyFill="1" applyBorder="1"/>
    <xf numFmtId="167" fontId="3" fillId="0" borderId="25" xfId="1" applyNumberFormat="1" applyFont="1" applyBorder="1"/>
    <xf numFmtId="167" fontId="3" fillId="0" borderId="0" xfId="1" applyNumberFormat="1" applyFont="1" applyBorder="1"/>
    <xf numFmtId="0" fontId="0" fillId="0" borderId="16" xfId="0" applyBorder="1"/>
    <xf numFmtId="0" fontId="3" fillId="7" borderId="46" xfId="0" applyFont="1" applyFill="1" applyBorder="1" applyAlignment="1" applyProtection="1">
      <alignment wrapText="1"/>
      <protection locked="0"/>
    </xf>
    <xf numFmtId="0" fontId="3" fillId="7" borderId="31" xfId="0" applyFont="1" applyFill="1" applyBorder="1" applyAlignment="1" applyProtection="1">
      <alignment wrapText="1"/>
      <protection locked="0"/>
    </xf>
    <xf numFmtId="0" fontId="3" fillId="7" borderId="28" xfId="0" applyFont="1" applyFill="1" applyBorder="1" applyAlignment="1" applyProtection="1">
      <alignment wrapText="1"/>
      <protection locked="0"/>
    </xf>
    <xf numFmtId="0" fontId="3" fillId="5" borderId="38" xfId="0" applyFont="1" applyFill="1" applyBorder="1" applyProtection="1">
      <protection locked="0"/>
    </xf>
    <xf numFmtId="168" fontId="3" fillId="5" borderId="28" xfId="1" applyNumberFormat="1" applyFont="1" applyFill="1" applyBorder="1" applyProtection="1">
      <protection locked="0"/>
    </xf>
    <xf numFmtId="0" fontId="0" fillId="9" borderId="45" xfId="0" applyFill="1" applyBorder="1"/>
    <xf numFmtId="0" fontId="0" fillId="9" borderId="15" xfId="0" applyFill="1" applyBorder="1"/>
    <xf numFmtId="167" fontId="3" fillId="5" borderId="46" xfId="1" applyNumberFormat="1" applyFont="1" applyFill="1" applyBorder="1" applyProtection="1">
      <protection locked="0"/>
    </xf>
    <xf numFmtId="167" fontId="3" fillId="5" borderId="31" xfId="1" applyNumberFormat="1" applyFont="1" applyFill="1" applyBorder="1" applyProtection="1">
      <protection locked="0"/>
    </xf>
    <xf numFmtId="167" fontId="3" fillId="5" borderId="28" xfId="1" applyNumberFormat="1" applyFont="1" applyFill="1" applyBorder="1" applyProtection="1">
      <protection locked="0"/>
    </xf>
    <xf numFmtId="0" fontId="0" fillId="9" borderId="14" xfId="0" applyFill="1" applyBorder="1"/>
    <xf numFmtId="167" fontId="3" fillId="5" borderId="32" xfId="1" applyNumberFormat="1" applyFont="1" applyFill="1" applyBorder="1" applyProtection="1">
      <protection locked="0"/>
    </xf>
    <xf numFmtId="0" fontId="0" fillId="9" borderId="33" xfId="0" applyFill="1" applyBorder="1"/>
    <xf numFmtId="167" fontId="3" fillId="5" borderId="34" xfId="1" applyNumberFormat="1" applyFont="1" applyFill="1" applyBorder="1" applyProtection="1">
      <protection locked="0"/>
    </xf>
    <xf numFmtId="0" fontId="0" fillId="9" borderId="47" xfId="0" applyFill="1" applyBorder="1"/>
    <xf numFmtId="0" fontId="0" fillId="0" borderId="45" xfId="0" applyBorder="1" applyProtection="1">
      <protection hidden="1"/>
    </xf>
    <xf numFmtId="165" fontId="0" fillId="0" borderId="41" xfId="1" applyNumberFormat="1" applyFont="1" applyBorder="1" applyProtection="1">
      <protection hidden="1"/>
    </xf>
    <xf numFmtId="0" fontId="0" fillId="0" borderId="15" xfId="0" applyBorder="1" applyProtection="1">
      <protection hidden="1"/>
    </xf>
    <xf numFmtId="165" fontId="0" fillId="0" borderId="1" xfId="1" applyNumberFormat="1" applyFont="1" applyBorder="1" applyProtection="1">
      <protection hidden="1"/>
    </xf>
    <xf numFmtId="0" fontId="0" fillId="0" borderId="0" xfId="0" applyProtection="1">
      <protection hidden="1"/>
    </xf>
    <xf numFmtId="165" fontId="0" fillId="0" borderId="0" xfId="1" applyNumberFormat="1" applyFont="1" applyProtection="1">
      <protection hidden="1"/>
    </xf>
    <xf numFmtId="165" fontId="0" fillId="0" borderId="15" xfId="1" applyNumberFormat="1" applyFont="1" applyBorder="1" applyProtection="1">
      <protection hidden="1"/>
    </xf>
    <xf numFmtId="167" fontId="0" fillId="0" borderId="1" xfId="1" applyNumberFormat="1" applyFont="1" applyBorder="1" applyProtection="1">
      <protection hidden="1"/>
    </xf>
    <xf numFmtId="0" fontId="0" fillId="9" borderId="41" xfId="0" applyFill="1" applyBorder="1" applyProtection="1">
      <protection hidden="1"/>
    </xf>
    <xf numFmtId="167" fontId="0" fillId="0" borderId="6" xfId="1" applyNumberFormat="1" applyFont="1" applyBorder="1" applyProtection="1">
      <protection hidden="1"/>
    </xf>
    <xf numFmtId="0" fontId="0" fillId="9" borderId="1" xfId="0" applyFill="1" applyBorder="1" applyProtection="1">
      <protection hidden="1"/>
    </xf>
    <xf numFmtId="167" fontId="0" fillId="0" borderId="0" xfId="1" applyNumberFormat="1" applyFont="1" applyBorder="1" applyProtection="1">
      <protection hidden="1"/>
    </xf>
    <xf numFmtId="0" fontId="0" fillId="9" borderId="0" xfId="0" applyFill="1" applyProtection="1">
      <protection hidden="1"/>
    </xf>
    <xf numFmtId="167" fontId="0" fillId="0" borderId="26" xfId="1" applyNumberFormat="1" applyFont="1" applyBorder="1" applyProtection="1">
      <protection hidden="1"/>
    </xf>
    <xf numFmtId="167" fontId="0" fillId="0" borderId="8" xfId="1" applyNumberFormat="1" applyFont="1" applyBorder="1" applyProtection="1">
      <protection hidden="1"/>
    </xf>
    <xf numFmtId="0" fontId="0" fillId="9" borderId="8" xfId="0" applyFill="1" applyBorder="1" applyProtection="1">
      <protection hidden="1"/>
    </xf>
    <xf numFmtId="167" fontId="0" fillId="0" borderId="9" xfId="1" applyNumberFormat="1" applyFont="1" applyBorder="1" applyProtection="1">
      <protection hidden="1"/>
    </xf>
    <xf numFmtId="167" fontId="1" fillId="8" borderId="28" xfId="1" applyNumberFormat="1" applyFont="1" applyFill="1" applyBorder="1" applyProtection="1">
      <protection hidden="1"/>
    </xf>
    <xf numFmtId="167" fontId="0" fillId="0" borderId="28" xfId="0" applyNumberFormat="1" applyBorder="1" applyAlignment="1" applyProtection="1">
      <alignment wrapText="1"/>
      <protection hidden="1"/>
    </xf>
    <xf numFmtId="167" fontId="0" fillId="0" borderId="31" xfId="0" applyNumberFormat="1" applyBorder="1" applyAlignment="1" applyProtection="1">
      <alignment wrapText="1"/>
      <protection hidden="1"/>
    </xf>
    <xf numFmtId="167" fontId="14" fillId="0" borderId="28" xfId="0" applyNumberFormat="1" applyFont="1" applyBorder="1" applyAlignment="1" applyProtection="1">
      <alignment wrapText="1"/>
      <protection hidden="1"/>
    </xf>
    <xf numFmtId="0" fontId="24" fillId="0" borderId="0" xfId="0" applyFont="1" applyProtection="1">
      <protection hidden="1"/>
    </xf>
    <xf numFmtId="0" fontId="26" fillId="0" borderId="0" xfId="0" applyFont="1"/>
    <xf numFmtId="167" fontId="3" fillId="0" borderId="0" xfId="1" applyNumberFormat="1" applyFont="1" applyFill="1" applyBorder="1" applyProtection="1">
      <protection locked="0"/>
    </xf>
    <xf numFmtId="0" fontId="3" fillId="0" borderId="0" xfId="0" applyFont="1"/>
    <xf numFmtId="168" fontId="3" fillId="0" borderId="0" xfId="1" applyNumberFormat="1" applyFont="1" applyFill="1" applyBorder="1" applyProtection="1"/>
    <xf numFmtId="167" fontId="3" fillId="0" borderId="25" xfId="1" applyNumberFormat="1" applyFont="1" applyFill="1" applyBorder="1" applyProtection="1"/>
    <xf numFmtId="0" fontId="3" fillId="5" borderId="46" xfId="0" applyFont="1" applyFill="1" applyBorder="1" applyAlignment="1" applyProtection="1">
      <alignment wrapText="1"/>
      <protection locked="0"/>
    </xf>
    <xf numFmtId="168" fontId="20" fillId="0" borderId="0" xfId="1" applyNumberFormat="1" applyFont="1" applyFill="1" applyBorder="1" applyProtection="1"/>
    <xf numFmtId="168" fontId="20" fillId="0" borderId="1" xfId="1" applyNumberFormat="1" applyFont="1" applyFill="1" applyBorder="1" applyProtection="1"/>
    <xf numFmtId="0" fontId="20" fillId="0" borderId="15" xfId="0" applyFont="1" applyBorder="1"/>
    <xf numFmtId="0" fontId="0" fillId="0" borderId="10" xfId="0" applyBorder="1"/>
    <xf numFmtId="0" fontId="4" fillId="0" borderId="28" xfId="0" applyFont="1" applyBorder="1"/>
    <xf numFmtId="0" fontId="0" fillId="0" borderId="17" xfId="0" applyBorder="1"/>
    <xf numFmtId="0" fontId="0" fillId="0" borderId="18" xfId="0" applyBorder="1"/>
    <xf numFmtId="0" fontId="0" fillId="0" borderId="48" xfId="0" applyBorder="1"/>
    <xf numFmtId="0" fontId="0" fillId="0" borderId="45" xfId="0" applyBorder="1"/>
    <xf numFmtId="0" fontId="0" fillId="0" borderId="11" xfId="0" applyBorder="1"/>
    <xf numFmtId="0" fontId="0" fillId="0" borderId="12" xfId="0" applyBorder="1"/>
    <xf numFmtId="0" fontId="3" fillId="0" borderId="0" xfId="0" applyFont="1" applyAlignment="1">
      <alignment wrapText="1"/>
    </xf>
    <xf numFmtId="0" fontId="0" fillId="9" borderId="40" xfId="0" applyFill="1" applyBorder="1" applyProtection="1">
      <protection hidden="1"/>
    </xf>
    <xf numFmtId="0" fontId="0" fillId="0" borderId="49" xfId="0" applyBorder="1"/>
    <xf numFmtId="0" fontId="0" fillId="9" borderId="50" xfId="0" applyFill="1" applyBorder="1"/>
    <xf numFmtId="0" fontId="0" fillId="0" borderId="50" xfId="0" applyBorder="1"/>
    <xf numFmtId="0" fontId="0" fillId="0" borderId="41" xfId="0" applyBorder="1"/>
    <xf numFmtId="167" fontId="0" fillId="0" borderId="51" xfId="1" applyNumberFormat="1" applyFont="1" applyBorder="1"/>
    <xf numFmtId="0" fontId="15" fillId="0" borderId="0" xfId="0" applyFont="1"/>
    <xf numFmtId="167" fontId="0" fillId="0" borderId="39" xfId="0" applyNumberFormat="1" applyBorder="1" applyAlignment="1" applyProtection="1">
      <alignment wrapText="1"/>
      <protection hidden="1"/>
    </xf>
    <xf numFmtId="0" fontId="1" fillId="0" borderId="1" xfId="0" applyFont="1" applyBorder="1" applyAlignment="1">
      <alignment wrapText="1"/>
    </xf>
    <xf numFmtId="0" fontId="12" fillId="0" borderId="28" xfId="0" applyFont="1" applyBorder="1"/>
    <xf numFmtId="165" fontId="0" fillId="0" borderId="0" xfId="1" applyNumberFormat="1" applyFont="1" applyFill="1" applyBorder="1"/>
    <xf numFmtId="167" fontId="0" fillId="0" borderId="0" xfId="1" applyNumberFormat="1" applyFont="1" applyFill="1" applyBorder="1" applyProtection="1">
      <protection hidden="1"/>
    </xf>
    <xf numFmtId="167" fontId="3" fillId="0" borderId="0" xfId="1" applyNumberFormat="1" applyFont="1" applyFill="1" applyBorder="1"/>
    <xf numFmtId="0" fontId="0" fillId="9" borderId="1" xfId="0" applyFill="1" applyBorder="1"/>
    <xf numFmtId="0" fontId="25" fillId="0" borderId="0" xfId="0" applyFont="1" applyProtection="1">
      <protection hidden="1"/>
    </xf>
    <xf numFmtId="0" fontId="3" fillId="5" borderId="1" xfId="0" applyFont="1" applyFill="1" applyBorder="1" applyAlignment="1" applyProtection="1">
      <alignment wrapText="1"/>
      <protection locked="0"/>
    </xf>
    <xf numFmtId="165" fontId="0" fillId="0" borderId="0" xfId="1" applyNumberFormat="1" applyFont="1" applyBorder="1" applyProtection="1">
      <protection hidden="1"/>
    </xf>
    <xf numFmtId="0" fontId="0" fillId="9" borderId="52" xfId="0" applyFill="1" applyBorder="1"/>
    <xf numFmtId="0" fontId="1" fillId="0" borderId="53" xfId="0" applyFont="1" applyBorder="1"/>
    <xf numFmtId="167" fontId="0" fillId="0" borderId="1" xfId="1" applyNumberFormat="1" applyFont="1" applyBorder="1"/>
    <xf numFmtId="0" fontId="0" fillId="9" borderId="23" xfId="0" applyFill="1" applyBorder="1"/>
    <xf numFmtId="0" fontId="0" fillId="9" borderId="17" xfId="0" applyFill="1" applyBorder="1" applyProtection="1">
      <protection hidden="1"/>
    </xf>
    <xf numFmtId="0" fontId="0" fillId="9" borderId="14" xfId="0" applyFill="1" applyBorder="1" applyProtection="1">
      <protection hidden="1"/>
    </xf>
    <xf numFmtId="0" fontId="0" fillId="9" borderId="11" xfId="0" applyFill="1" applyBorder="1" applyProtection="1">
      <protection hidden="1"/>
    </xf>
    <xf numFmtId="0" fontId="1" fillId="0" borderId="54" xfId="0" applyFont="1" applyBorder="1"/>
    <xf numFmtId="0" fontId="3" fillId="12" borderId="0" xfId="0" applyFont="1" applyFill="1" applyAlignment="1" applyProtection="1">
      <alignment wrapText="1"/>
      <protection locked="0"/>
    </xf>
    <xf numFmtId="0" fontId="0" fillId="12" borderId="0" xfId="0" applyFill="1"/>
    <xf numFmtId="0" fontId="18" fillId="12" borderId="0" xfId="0" applyFont="1" applyFill="1" applyAlignment="1">
      <alignment horizontal="center"/>
    </xf>
    <xf numFmtId="0" fontId="28" fillId="0" borderId="0" xfId="0" applyFont="1" applyProtection="1">
      <protection hidden="1"/>
    </xf>
    <xf numFmtId="0" fontId="0" fillId="0" borderId="55" xfId="0" applyBorder="1"/>
    <xf numFmtId="0" fontId="1" fillId="0" borderId="56" xfId="0" applyFont="1" applyBorder="1" applyAlignment="1">
      <alignment wrapText="1"/>
    </xf>
    <xf numFmtId="0" fontId="1" fillId="0" borderId="53" xfId="0" applyFont="1" applyBorder="1" applyAlignment="1">
      <alignment wrapText="1"/>
    </xf>
    <xf numFmtId="0" fontId="0" fillId="0" borderId="57" xfId="0" applyBorder="1"/>
    <xf numFmtId="0" fontId="20" fillId="0" borderId="55" xfId="0" applyFont="1" applyBorder="1" applyAlignment="1">
      <alignment wrapText="1"/>
    </xf>
    <xf numFmtId="167" fontId="0" fillId="0" borderId="1" xfId="1" applyNumberFormat="1" applyFont="1" applyBorder="1" applyAlignment="1">
      <alignment wrapText="1"/>
    </xf>
    <xf numFmtId="167" fontId="3" fillId="13" borderId="1" xfId="1" applyNumberFormat="1" applyFont="1" applyFill="1" applyBorder="1" applyProtection="1"/>
    <xf numFmtId="0" fontId="0" fillId="10" borderId="0" xfId="0" applyFill="1"/>
    <xf numFmtId="0" fontId="0" fillId="10" borderId="28" xfId="0" applyFill="1" applyBorder="1"/>
    <xf numFmtId="0" fontId="1" fillId="0" borderId="28" xfId="0" applyFont="1" applyBorder="1" applyAlignment="1">
      <alignment wrapText="1"/>
    </xf>
    <xf numFmtId="0" fontId="18" fillId="0" borderId="0" xfId="0" applyFont="1" applyAlignment="1">
      <alignment horizontal="center"/>
    </xf>
    <xf numFmtId="165" fontId="0" fillId="0" borderId="27" xfId="1" applyNumberFormat="1" applyFont="1" applyBorder="1" applyProtection="1">
      <protection hidden="1"/>
    </xf>
    <xf numFmtId="0" fontId="20" fillId="0" borderId="1" xfId="0" applyFont="1" applyBorder="1" applyAlignment="1" applyProtection="1">
      <alignment wrapText="1"/>
      <protection locked="0"/>
    </xf>
    <xf numFmtId="0" fontId="20" fillId="0" borderId="1" xfId="0" applyFont="1" applyBorder="1" applyAlignment="1">
      <alignment wrapText="1"/>
    </xf>
    <xf numFmtId="0" fontId="20" fillId="0" borderId="27" xfId="0" applyFont="1" applyBorder="1" applyAlignment="1" applyProtection="1">
      <alignment wrapText="1"/>
      <protection locked="0"/>
    </xf>
    <xf numFmtId="0" fontId="20" fillId="0" borderId="0" xfId="0" applyFont="1" applyAlignment="1" applyProtection="1">
      <alignment wrapText="1"/>
      <protection locked="0"/>
    </xf>
    <xf numFmtId="167" fontId="20" fillId="0" borderId="28" xfId="0" applyNumberFormat="1" applyFont="1" applyBorder="1" applyAlignment="1">
      <alignment wrapText="1"/>
    </xf>
    <xf numFmtId="167" fontId="0" fillId="0" borderId="28" xfId="0" applyNumberFormat="1" applyBorder="1" applyAlignment="1">
      <alignment wrapText="1"/>
    </xf>
    <xf numFmtId="165" fontId="0" fillId="0" borderId="0" xfId="1" applyNumberFormat="1" applyFont="1" applyFill="1" applyBorder="1" applyProtection="1">
      <protection hidden="1"/>
    </xf>
    <xf numFmtId="0" fontId="0" fillId="0" borderId="14" xfId="0" applyBorder="1"/>
    <xf numFmtId="0" fontId="0" fillId="0" borderId="15" xfId="0" applyBorder="1"/>
    <xf numFmtId="165" fontId="0" fillId="0" borderId="0" xfId="1" applyNumberFormat="1" applyFont="1" applyFill="1" applyBorder="1" applyProtection="1"/>
    <xf numFmtId="0" fontId="25" fillId="0" borderId="0" xfId="0" applyFont="1"/>
    <xf numFmtId="0" fontId="24" fillId="0" borderId="0" xfId="0" applyFont="1"/>
    <xf numFmtId="167" fontId="3" fillId="0" borderId="25" xfId="1" applyNumberFormat="1" applyFont="1" applyFill="1" applyBorder="1" applyProtection="1">
      <protection hidden="1"/>
    </xf>
    <xf numFmtId="167" fontId="3" fillId="0" borderId="0" xfId="1" applyNumberFormat="1" applyFont="1" applyFill="1" applyBorder="1" applyProtection="1">
      <protection hidden="1"/>
    </xf>
    <xf numFmtId="167" fontId="3" fillId="0" borderId="25" xfId="1" applyNumberFormat="1" applyFont="1" applyBorder="1" applyProtection="1">
      <protection hidden="1"/>
    </xf>
    <xf numFmtId="167" fontId="3" fillId="0" borderId="0" xfId="1" applyNumberFormat="1" applyFont="1" applyBorder="1" applyProtection="1">
      <protection hidden="1"/>
    </xf>
    <xf numFmtId="167" fontId="11" fillId="0" borderId="0" xfId="1" applyNumberFormat="1" applyFont="1" applyFill="1" applyBorder="1" applyProtection="1">
      <protection hidden="1"/>
    </xf>
    <xf numFmtId="167" fontId="20" fillId="0" borderId="31" xfId="1" applyNumberFormat="1" applyFont="1" applyBorder="1" applyAlignment="1" applyProtection="1">
      <alignment wrapText="1"/>
      <protection hidden="1"/>
    </xf>
    <xf numFmtId="0" fontId="0" fillId="0" borderId="1" xfId="0" applyBorder="1" applyProtection="1">
      <protection hidden="1"/>
    </xf>
    <xf numFmtId="0" fontId="0" fillId="5" borderId="55" xfId="0" applyFill="1" applyBorder="1" applyProtection="1">
      <protection locked="0"/>
    </xf>
    <xf numFmtId="0" fontId="0" fillId="0" borderId="13" xfId="0" applyBorder="1" applyProtection="1">
      <protection hidden="1"/>
    </xf>
    <xf numFmtId="165" fontId="3" fillId="5" borderId="1" xfId="1" applyNumberFormat="1" applyFont="1" applyFill="1" applyBorder="1" applyProtection="1">
      <protection locked="0"/>
    </xf>
    <xf numFmtId="0" fontId="3" fillId="5" borderId="55" xfId="0" applyFont="1" applyFill="1" applyBorder="1" applyProtection="1">
      <protection locked="0"/>
    </xf>
    <xf numFmtId="167" fontId="1" fillId="8" borderId="39" xfId="1" applyNumberFormat="1" applyFont="1" applyFill="1" applyBorder="1" applyProtection="1">
      <protection hidden="1"/>
    </xf>
    <xf numFmtId="0" fontId="1" fillId="14" borderId="32" xfId="0" applyFont="1" applyFill="1" applyBorder="1"/>
    <xf numFmtId="0" fontId="1" fillId="14" borderId="34" xfId="0" applyFont="1" applyFill="1" applyBorder="1" applyAlignment="1">
      <alignment wrapText="1"/>
    </xf>
    <xf numFmtId="0" fontId="0" fillId="14" borderId="58" xfId="0" applyFill="1" applyBorder="1"/>
    <xf numFmtId="0" fontId="0" fillId="14" borderId="59" xfId="0" applyFill="1" applyBorder="1" applyAlignment="1">
      <alignment horizontal="left" wrapText="1"/>
    </xf>
    <xf numFmtId="0" fontId="0" fillId="14" borderId="5" xfId="0" applyFill="1" applyBorder="1"/>
    <xf numFmtId="0" fontId="0" fillId="14" borderId="6" xfId="0" applyFill="1" applyBorder="1" applyAlignment="1">
      <alignment wrapText="1"/>
    </xf>
    <xf numFmtId="0" fontId="23" fillId="14" borderId="5" xfId="0" applyFont="1" applyFill="1" applyBorder="1" applyAlignment="1">
      <alignment horizontal="left" wrapText="1"/>
    </xf>
    <xf numFmtId="0" fontId="23" fillId="14" borderId="7" xfId="0" applyFont="1" applyFill="1" applyBorder="1" applyAlignment="1">
      <alignment horizontal="left" wrapText="1"/>
    </xf>
    <xf numFmtId="167" fontId="1" fillId="0" borderId="1" xfId="1" applyNumberFormat="1" applyFont="1" applyBorder="1" applyAlignment="1">
      <alignment horizontal="right" indent="1"/>
    </xf>
    <xf numFmtId="167" fontId="3" fillId="13" borderId="40" xfId="1" applyNumberFormat="1" applyFont="1" applyFill="1" applyBorder="1" applyProtection="1"/>
    <xf numFmtId="167" fontId="0" fillId="0" borderId="40" xfId="1" applyNumberFormat="1" applyFont="1" applyBorder="1" applyProtection="1">
      <protection hidden="1"/>
    </xf>
    <xf numFmtId="165" fontId="0" fillId="0" borderId="1" xfId="1" applyNumberFormat="1" applyFont="1" applyBorder="1" applyProtection="1"/>
    <xf numFmtId="0" fontId="0" fillId="5" borderId="1" xfId="0" applyFill="1" applyBorder="1" applyProtection="1">
      <protection locked="0"/>
    </xf>
    <xf numFmtId="0" fontId="0" fillId="5" borderId="40" xfId="0" applyFill="1" applyBorder="1" applyProtection="1">
      <protection locked="0"/>
    </xf>
    <xf numFmtId="0" fontId="3" fillId="5" borderId="40" xfId="0" applyFont="1" applyFill="1" applyBorder="1" applyAlignment="1" applyProtection="1">
      <alignment wrapText="1"/>
      <protection locked="0"/>
    </xf>
    <xf numFmtId="165" fontId="0" fillId="0" borderId="40" xfId="1" applyNumberFormat="1" applyFont="1" applyBorder="1" applyProtection="1"/>
    <xf numFmtId="0" fontId="0" fillId="5" borderId="60" xfId="0" applyFill="1" applyBorder="1" applyProtection="1">
      <protection locked="0"/>
    </xf>
    <xf numFmtId="43" fontId="3" fillId="5" borderId="1" xfId="1" applyFont="1" applyFill="1" applyBorder="1" applyProtection="1">
      <protection locked="0"/>
    </xf>
    <xf numFmtId="0" fontId="0" fillId="9" borderId="61" xfId="0" applyFill="1" applyBorder="1"/>
    <xf numFmtId="0" fontId="3" fillId="5" borderId="38" xfId="0" applyFont="1" applyFill="1" applyBorder="1" applyAlignment="1" applyProtection="1">
      <alignment wrapText="1"/>
      <protection locked="0"/>
    </xf>
    <xf numFmtId="0" fontId="3" fillId="5" borderId="1" xfId="0" applyFont="1" applyFill="1" applyBorder="1" applyProtection="1">
      <protection locked="0"/>
    </xf>
    <xf numFmtId="168" fontId="3" fillId="5" borderId="1" xfId="1" applyNumberFormat="1" applyFont="1" applyFill="1" applyBorder="1" applyProtection="1">
      <protection locked="0"/>
    </xf>
    <xf numFmtId="0" fontId="0" fillId="9" borderId="41" xfId="0" applyFill="1" applyBorder="1"/>
    <xf numFmtId="0" fontId="0" fillId="9" borderId="62" xfId="0" applyFill="1" applyBorder="1"/>
    <xf numFmtId="0" fontId="3" fillId="5" borderId="62" xfId="0" applyFont="1" applyFill="1" applyBorder="1" applyProtection="1">
      <protection locked="0"/>
    </xf>
    <xf numFmtId="0" fontId="3" fillId="5" borderId="29" xfId="0" applyFont="1" applyFill="1" applyBorder="1" applyAlignment="1" applyProtection="1">
      <alignment wrapText="1"/>
      <protection locked="0"/>
    </xf>
    <xf numFmtId="0" fontId="1" fillId="0" borderId="63" xfId="0" applyFont="1" applyBorder="1"/>
    <xf numFmtId="0" fontId="1" fillId="0" borderId="28" xfId="0" applyFont="1" applyBorder="1"/>
    <xf numFmtId="167" fontId="20" fillId="0" borderId="28" xfId="1" applyNumberFormat="1" applyFont="1" applyFill="1" applyBorder="1" applyProtection="1"/>
    <xf numFmtId="167" fontId="3" fillId="5" borderId="41" xfId="1" applyNumberFormat="1" applyFont="1" applyFill="1" applyBorder="1" applyProtection="1">
      <protection locked="0"/>
    </xf>
    <xf numFmtId="0" fontId="12" fillId="0" borderId="0" xfId="0" applyFont="1" applyProtection="1">
      <protection hidden="1"/>
    </xf>
    <xf numFmtId="0" fontId="29" fillId="0" borderId="1" xfId="0" applyFont="1" applyBorder="1" applyAlignment="1">
      <alignment wrapText="1"/>
    </xf>
    <xf numFmtId="165" fontId="25" fillId="0" borderId="0" xfId="1" applyNumberFormat="1" applyFont="1" applyBorder="1" applyProtection="1"/>
    <xf numFmtId="165" fontId="25" fillId="0" borderId="0" xfId="1" applyNumberFormat="1" applyFont="1"/>
    <xf numFmtId="0" fontId="0" fillId="0" borderId="31" xfId="0" applyBorder="1"/>
    <xf numFmtId="167" fontId="20" fillId="12" borderId="28" xfId="0" applyNumberFormat="1" applyFont="1" applyFill="1" applyBorder="1" applyAlignment="1" applyProtection="1">
      <alignment wrapText="1"/>
      <protection hidden="1"/>
    </xf>
    <xf numFmtId="0" fontId="0" fillId="0" borderId="0" xfId="0" applyAlignment="1">
      <alignment horizontal="left" indent="1"/>
    </xf>
    <xf numFmtId="0" fontId="30" fillId="0" borderId="0" xfId="0" applyFont="1" applyAlignment="1">
      <alignment horizontal="left" indent="1"/>
    </xf>
    <xf numFmtId="0" fontId="28" fillId="0" borderId="28" xfId="0" applyFont="1" applyBorder="1" applyAlignment="1">
      <alignment wrapText="1"/>
    </xf>
    <xf numFmtId="0" fontId="28" fillId="0" borderId="0" xfId="0" applyFont="1" applyAlignment="1">
      <alignment wrapText="1"/>
    </xf>
    <xf numFmtId="167" fontId="1" fillId="0" borderId="0" xfId="1" applyNumberFormat="1" applyFont="1" applyBorder="1" applyAlignment="1">
      <alignment horizontal="right" indent="1"/>
    </xf>
    <xf numFmtId="167" fontId="1" fillId="0" borderId="0" xfId="1" applyNumberFormat="1" applyFont="1" applyFill="1" applyBorder="1" applyProtection="1">
      <protection hidden="1"/>
    </xf>
    <xf numFmtId="0" fontId="1" fillId="0" borderId="61" xfId="0" applyFont="1" applyBorder="1"/>
    <xf numFmtId="0" fontId="15" fillId="0" borderId="1" xfId="0" applyFont="1" applyBorder="1"/>
    <xf numFmtId="0" fontId="29" fillId="0" borderId="56" xfId="0" applyFont="1" applyBorder="1" applyAlignment="1">
      <alignment wrapText="1"/>
    </xf>
    <xf numFmtId="0" fontId="27" fillId="0" borderId="0" xfId="2" applyAlignment="1">
      <alignment horizontal="left" vertical="top" indent="1"/>
    </xf>
    <xf numFmtId="0" fontId="0" fillId="0" borderId="38" xfId="0" applyBorder="1"/>
    <xf numFmtId="0" fontId="0" fillId="0" borderId="62" xfId="0" applyBorder="1"/>
    <xf numFmtId="0" fontId="0" fillId="0" borderId="41" xfId="0" applyBorder="1" applyAlignment="1">
      <alignment wrapText="1"/>
    </xf>
    <xf numFmtId="0" fontId="0" fillId="9" borderId="0" xfId="0" applyFill="1" applyProtection="1">
      <protection locked="0"/>
    </xf>
    <xf numFmtId="0" fontId="0" fillId="9" borderId="33" xfId="0" applyFill="1" applyBorder="1" applyProtection="1">
      <protection hidden="1"/>
    </xf>
    <xf numFmtId="0" fontId="0" fillId="9" borderId="50" xfId="0" applyFill="1" applyBorder="1" applyProtection="1">
      <protection hidden="1"/>
    </xf>
    <xf numFmtId="0" fontId="20" fillId="9" borderId="14" xfId="0" applyFont="1" applyFill="1" applyBorder="1" applyProtection="1">
      <protection hidden="1"/>
    </xf>
    <xf numFmtId="0" fontId="27" fillId="14" borderId="13" xfId="2" applyFill="1" applyBorder="1" applyAlignment="1">
      <alignment horizontal="center" wrapText="1"/>
    </xf>
    <xf numFmtId="0" fontId="27" fillId="14" borderId="15" xfId="2" applyFill="1" applyBorder="1" applyAlignment="1">
      <alignment horizontal="center" wrapText="1"/>
    </xf>
    <xf numFmtId="0" fontId="27" fillId="14" borderId="66" xfId="2" applyFill="1" applyBorder="1" applyAlignment="1">
      <alignment horizontal="center" wrapText="1"/>
    </xf>
    <xf numFmtId="0" fontId="27" fillId="14" borderId="47" xfId="2" applyFill="1" applyBorder="1" applyAlignment="1">
      <alignment horizontal="center" wrapText="1"/>
    </xf>
    <xf numFmtId="0" fontId="27" fillId="14" borderId="64" xfId="2" applyFill="1" applyBorder="1" applyAlignment="1">
      <alignment horizontal="center" wrapText="1"/>
    </xf>
    <xf numFmtId="0" fontId="27" fillId="14" borderId="65" xfId="2" applyFill="1" applyBorder="1" applyAlignment="1">
      <alignment horizontal="center" wrapText="1"/>
    </xf>
    <xf numFmtId="0" fontId="1" fillId="14" borderId="63" xfId="0" applyFont="1" applyFill="1" applyBorder="1" applyAlignment="1">
      <alignment horizontal="center" wrapText="1"/>
    </xf>
    <xf numFmtId="0" fontId="1" fillId="14" borderId="61" xfId="0" applyFont="1" applyFill="1" applyBorder="1" applyAlignment="1">
      <alignment horizontal="center" wrapText="1"/>
    </xf>
    <xf numFmtId="0" fontId="28" fillId="0" borderId="38" xfId="0" applyFont="1" applyBorder="1" applyAlignment="1">
      <alignment horizontal="left" vertical="top" wrapText="1"/>
    </xf>
    <xf numFmtId="0" fontId="0" fillId="0" borderId="62" xfId="0" applyBorder="1" applyAlignment="1">
      <alignment horizontal="left" vertical="top"/>
    </xf>
    <xf numFmtId="0" fontId="0" fillId="0" borderId="39" xfId="0" applyBorder="1" applyAlignment="1">
      <alignment horizontal="left" vertical="top"/>
    </xf>
    <xf numFmtId="0" fontId="28" fillId="0" borderId="19" xfId="0" applyFont="1" applyBorder="1" applyAlignment="1">
      <alignment horizontal="left" vertical="top" wrapText="1"/>
    </xf>
    <xf numFmtId="0" fontId="28" fillId="12" borderId="38" xfId="0" applyFont="1" applyFill="1" applyBorder="1" applyAlignment="1">
      <alignment horizontal="left" vertical="top" wrapText="1"/>
    </xf>
    <xf numFmtId="0" fontId="0" fillId="12" borderId="62" xfId="0" applyFill="1" applyBorder="1" applyAlignment="1">
      <alignment horizontal="left" vertical="top"/>
    </xf>
    <xf numFmtId="0" fontId="0" fillId="12" borderId="39" xfId="0" applyFill="1" applyBorder="1" applyAlignment="1">
      <alignment horizontal="left" vertical="top"/>
    </xf>
    <xf numFmtId="0" fontId="0" fillId="0" borderId="13" xfId="0" applyBorder="1" applyAlignment="1">
      <alignment horizontal="left"/>
    </xf>
    <xf numFmtId="0" fontId="0" fillId="0" borderId="15" xfId="0" applyBorder="1" applyAlignment="1">
      <alignment horizontal="left"/>
    </xf>
    <xf numFmtId="0" fontId="5" fillId="0" borderId="10" xfId="0" applyFont="1" applyBorder="1" applyAlignment="1">
      <alignment horizont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5" fillId="4" borderId="13" xfId="0" applyFont="1" applyFill="1" applyBorder="1" applyAlignment="1">
      <alignment horizontal="left" wrapText="1"/>
    </xf>
    <xf numFmtId="0" fontId="5" fillId="4" borderId="14" xfId="0" applyFont="1" applyFill="1" applyBorder="1" applyAlignment="1">
      <alignment horizontal="left" wrapText="1"/>
    </xf>
    <xf numFmtId="0" fontId="5" fillId="4" borderId="15" xfId="0" applyFont="1" applyFill="1" applyBorder="1" applyAlignment="1">
      <alignment horizontal="left" wrapText="1"/>
    </xf>
    <xf numFmtId="0" fontId="5" fillId="4" borderId="1" xfId="0" applyFont="1" applyFill="1" applyBorder="1" applyAlignment="1">
      <alignment horizontal="left" wrapText="1"/>
    </xf>
    <xf numFmtId="0" fontId="0" fillId="0" borderId="13" xfId="0" applyBorder="1" applyAlignment="1">
      <alignment horizontal="left" wrapText="1"/>
    </xf>
    <xf numFmtId="0" fontId="0" fillId="0" borderId="15" xfId="0" applyBorder="1" applyAlignment="1">
      <alignment horizontal="left"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0" xfId="0" applyFont="1" applyBorder="1" applyAlignment="1">
      <alignment horizontal="left" wrapText="1"/>
    </xf>
    <xf numFmtId="0" fontId="7" fillId="0" borderId="11" xfId="0" applyFont="1" applyBorder="1" applyAlignment="1">
      <alignment horizontal="left" wrapText="1"/>
    </xf>
    <xf numFmtId="0" fontId="7" fillId="0" borderId="12" xfId="0" applyFont="1" applyBorder="1" applyAlignment="1">
      <alignment horizontal="left" wrapText="1"/>
    </xf>
    <xf numFmtId="0" fontId="0" fillId="14" borderId="9" xfId="0" applyFill="1" applyBorder="1" applyAlignment="1">
      <alignment wrapText="1"/>
    </xf>
    <xf numFmtId="0" fontId="27" fillId="14" borderId="10" xfId="2" applyFill="1" applyBorder="1" applyAlignment="1">
      <alignment horizontal="center" wrapText="1"/>
    </xf>
    <xf numFmtId="0" fontId="27" fillId="14" borderId="12" xfId="2" applyFill="1" applyBorder="1" applyAlignment="1">
      <alignment horizontal="center" wrapText="1"/>
    </xf>
  </cellXfs>
  <cellStyles count="3">
    <cellStyle name="Hyperlink" xfId="2" builtinId="8"/>
    <cellStyle name="Komma" xfId="1" builtinId="3"/>
    <cellStyle name="Standaard" xfId="0" builtinId="0"/>
  </cellStyles>
  <dxfs count="74">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0"/>
        </patternFill>
      </fill>
    </dxf>
    <dxf>
      <fill>
        <patternFill>
          <bgColor rgb="FF92D050"/>
        </patternFill>
      </fill>
    </dxf>
    <dxf>
      <fill>
        <patternFill>
          <bgColor rgb="FFFF0000"/>
        </patternFill>
      </fill>
    </dxf>
    <dxf>
      <fill>
        <patternFill>
          <bgColor theme="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D52B1E"/>
      <color rgb="FF007BC7"/>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21577</xdr:colOff>
      <xdr:row>4</xdr:row>
      <xdr:rowOff>163731</xdr:rowOff>
    </xdr:from>
    <xdr:to>
      <xdr:col>11</xdr:col>
      <xdr:colOff>276224</xdr:colOff>
      <xdr:row>12</xdr:row>
      <xdr:rowOff>47624</xdr:rowOff>
    </xdr:to>
    <xdr:pic>
      <xdr:nvPicPr>
        <xdr:cNvPr id="3" name="Afbeelding 2">
          <a:extLst>
            <a:ext uri="{FF2B5EF4-FFF2-40B4-BE49-F238E27FC236}">
              <a16:creationId xmlns:a16="http://schemas.microsoft.com/office/drawing/2014/main" id="{79710753-AE1D-4762-A24E-6FB2B28F8F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93652" y="935256"/>
          <a:ext cx="2364435" cy="1331693"/>
        </a:xfrm>
        <a:prstGeom prst="rect">
          <a:avLst/>
        </a:prstGeom>
      </xdr:spPr>
    </xdr:pic>
    <xdr:clientData/>
  </xdr:twoCellAnchor>
  <xdr:twoCellAnchor editAs="oneCell">
    <xdr:from>
      <xdr:col>6</xdr:col>
      <xdr:colOff>752475</xdr:colOff>
      <xdr:row>0</xdr:row>
      <xdr:rowOff>0</xdr:rowOff>
    </xdr:from>
    <xdr:to>
      <xdr:col>8</xdr:col>
      <xdr:colOff>704850</xdr:colOff>
      <xdr:row>0</xdr:row>
      <xdr:rowOff>1115707</xdr:rowOff>
    </xdr:to>
    <xdr:pic>
      <xdr:nvPicPr>
        <xdr:cNvPr id="2" name="Afbeelding 1">
          <a:extLst>
            <a:ext uri="{FF2B5EF4-FFF2-40B4-BE49-F238E27FC236}">
              <a16:creationId xmlns:a16="http://schemas.microsoft.com/office/drawing/2014/main" id="{7409664B-1032-3A73-AC59-96155A0042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57675" y="0"/>
          <a:ext cx="1924050" cy="1115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9</xdr:col>
      <xdr:colOff>390533</xdr:colOff>
      <xdr:row>2</xdr:row>
      <xdr:rowOff>161925</xdr:rowOff>
    </xdr:to>
    <xdr:pic>
      <xdr:nvPicPr>
        <xdr:cNvPr id="2" name="Afbeelding 1">
          <a:extLst>
            <a:ext uri="{FF2B5EF4-FFF2-40B4-BE49-F238E27FC236}">
              <a16:creationId xmlns:a16="http://schemas.microsoft.com/office/drawing/2014/main" id="{D6EA357E-546D-47F6-B461-A1C7F97EA89B}"/>
            </a:ext>
          </a:extLst>
        </xdr:cNvPr>
        <xdr:cNvPicPr>
          <a:picLocks noChangeAspect="1"/>
        </xdr:cNvPicPr>
      </xdr:nvPicPr>
      <xdr:blipFill rotWithShape="1">
        <a:blip xmlns:r="http://schemas.openxmlformats.org/officeDocument/2006/relationships" r:embed="rId1"/>
        <a:srcRect t="6542" b="11215"/>
        <a:stretch/>
      </xdr:blipFill>
      <xdr:spPr>
        <a:xfrm>
          <a:off x="8490585" y="76200"/>
          <a:ext cx="3055628" cy="8629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www.co2emissiefactoren.n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environdec.com/library" TargetMode="External"/><Relationship Id="rId13" Type="http://schemas.openxmlformats.org/officeDocument/2006/relationships/hyperlink" Target="https://plasticseurope.org/sustainability/circularity/life-cycle-thinking/eco-profiles-set/" TargetMode="External"/><Relationship Id="rId3" Type="http://schemas.openxmlformats.org/officeDocument/2006/relationships/hyperlink" Target="https://ce.nl/wp-content/uploads/2021/03/CE_Delft_190400_Klimaatimpact_afvalverwerkroutes_Nederland_Maart2021_DEF.pdf" TargetMode="External"/><Relationship Id="rId7" Type="http://schemas.openxmlformats.org/officeDocument/2006/relationships/hyperlink" Target="https://www.eco-platform.org/epd-data.html" TargetMode="External"/><Relationship Id="rId12" Type="http://schemas.openxmlformats.org/officeDocument/2006/relationships/hyperlink" Target="https://www.ecocostsvalue.com/data-tools-books/" TargetMode="External"/><Relationship Id="rId2" Type="http://schemas.openxmlformats.org/officeDocument/2006/relationships/hyperlink" Target="https://www.co2emissiefactoren.nl/lijst-emissiefactoren/" TargetMode="External"/><Relationship Id="rId1" Type="http://schemas.openxmlformats.org/officeDocument/2006/relationships/hyperlink" Target="https://www.co2emissiefactoren.nl/lijst-emissiefactoren/" TargetMode="External"/><Relationship Id="rId6" Type="http://schemas.openxmlformats.org/officeDocument/2006/relationships/hyperlink" Target="https://ce.nl/wp-content/uploads/2023/01/CE_Delft_220327_CO2-winst_met_kunststofrecyclaat_DEF.pdf" TargetMode="External"/><Relationship Id="rId11" Type="http://schemas.openxmlformats.org/officeDocument/2006/relationships/hyperlink" Target="https://www.ecocostsvalue.com/data-tools-books/tool-in-excel/" TargetMode="External"/><Relationship Id="rId5" Type="http://schemas.openxmlformats.org/officeDocument/2006/relationships/hyperlink" Target="https://ce.nl/wp-content/uploads/2021/03/CE_Delft_190325_STREAM_Goedervervoer_2020_DEF_Versie2.pdf" TargetMode="External"/><Relationship Id="rId10" Type="http://schemas.openxmlformats.org/officeDocument/2006/relationships/hyperlink" Target="https://footprintcalc.org/" TargetMode="External"/><Relationship Id="rId4" Type="http://schemas.openxmlformats.org/officeDocument/2006/relationships/hyperlink" Target="https://milieudatabase.nl/nl/viewer/?category=category-3" TargetMode="External"/><Relationship Id="rId9" Type="http://schemas.openxmlformats.org/officeDocument/2006/relationships/hyperlink" Target="https://publications.jrc.ec.europa.eu/repository/handle/JRC134682" TargetMode="External"/><Relationship Id="rId14" Type="http://schemas.openxmlformats.org/officeDocument/2006/relationships/hyperlink" Target="https://worldsteel.org/about-steel/facts/steelfacts/"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B82EA-60A8-4692-8077-DF0184FA07D8}">
  <sheetPr codeName="Blad1"/>
  <dimension ref="A1:H30"/>
  <sheetViews>
    <sheetView workbookViewId="0">
      <selection activeCell="B19" sqref="B19"/>
    </sheetView>
  </sheetViews>
  <sheetFormatPr defaultRowHeight="15" x14ac:dyDescent="0.25"/>
  <cols>
    <col min="4" max="4" width="15" customWidth="1"/>
    <col min="5" max="5" width="19.5703125" customWidth="1"/>
    <col min="6" max="6" width="65.7109375" customWidth="1"/>
  </cols>
  <sheetData>
    <row r="1" spans="1:8" ht="26.25" x14ac:dyDescent="0.4">
      <c r="A1" s="2" t="s">
        <v>0</v>
      </c>
      <c r="E1" s="156" t="s">
        <v>433</v>
      </c>
    </row>
    <row r="2" spans="1:8" x14ac:dyDescent="0.25">
      <c r="A2" s="3" t="s">
        <v>400</v>
      </c>
      <c r="B2" s="3"/>
      <c r="C2" s="3"/>
      <c r="D2" s="3" t="s">
        <v>2</v>
      </c>
      <c r="E2" s="3" t="s">
        <v>435</v>
      </c>
      <c r="F2" s="3" t="s">
        <v>436</v>
      </c>
      <c r="G2" s="3"/>
      <c r="H2" s="3"/>
    </row>
    <row r="3" spans="1:8" x14ac:dyDescent="0.25">
      <c r="A3" s="4" t="s">
        <v>1</v>
      </c>
      <c r="B3" s="74" t="s">
        <v>397</v>
      </c>
      <c r="C3" s="4" t="s">
        <v>429</v>
      </c>
      <c r="D3" s="5">
        <v>44991</v>
      </c>
      <c r="E3" s="4" t="s">
        <v>434</v>
      </c>
      <c r="F3" s="4" t="s">
        <v>437</v>
      </c>
      <c r="G3" s="4"/>
      <c r="H3" s="4"/>
    </row>
    <row r="4" spans="1:8" x14ac:dyDescent="0.25">
      <c r="A4" s="4"/>
      <c r="B4" s="74" t="s">
        <v>445</v>
      </c>
      <c r="C4" s="4" t="s">
        <v>453</v>
      </c>
      <c r="D4" s="5">
        <v>44998</v>
      </c>
      <c r="E4" s="4" t="s">
        <v>434</v>
      </c>
      <c r="F4" s="4" t="s">
        <v>446</v>
      </c>
      <c r="G4" s="4"/>
      <c r="H4" s="4"/>
    </row>
    <row r="5" spans="1:8" x14ac:dyDescent="0.25">
      <c r="A5" s="4"/>
      <c r="B5" s="74" t="s">
        <v>454</v>
      </c>
      <c r="C5" s="4" t="s">
        <v>429</v>
      </c>
      <c r="D5" s="5">
        <v>45147</v>
      </c>
      <c r="E5" s="4" t="s">
        <v>434</v>
      </c>
      <c r="F5" s="4" t="s">
        <v>455</v>
      </c>
      <c r="G5" s="4"/>
      <c r="H5" s="4"/>
    </row>
    <row r="6" spans="1:8" x14ac:dyDescent="0.25">
      <c r="A6" s="4"/>
      <c r="B6" s="74" t="s">
        <v>460</v>
      </c>
      <c r="C6" s="4" t="s">
        <v>429</v>
      </c>
      <c r="D6" s="5">
        <v>45638</v>
      </c>
      <c r="E6" s="4" t="s">
        <v>461</v>
      </c>
      <c r="F6" s="4" t="s">
        <v>463</v>
      </c>
      <c r="G6" s="4"/>
      <c r="H6" s="4"/>
    </row>
    <row r="7" spans="1:8" x14ac:dyDescent="0.25">
      <c r="A7" s="4"/>
      <c r="B7" s="74" t="s">
        <v>486</v>
      </c>
      <c r="C7" s="4" t="s">
        <v>429</v>
      </c>
      <c r="D7" s="5">
        <v>45639</v>
      </c>
      <c r="E7" s="4" t="s">
        <v>487</v>
      </c>
      <c r="F7" s="4" t="s">
        <v>488</v>
      </c>
      <c r="G7" s="4"/>
      <c r="H7" s="4"/>
    </row>
    <row r="8" spans="1:8" x14ac:dyDescent="0.25">
      <c r="A8" s="4"/>
      <c r="B8" s="74" t="s">
        <v>486</v>
      </c>
      <c r="C8" s="4" t="s">
        <v>429</v>
      </c>
      <c r="D8" s="5">
        <v>45643</v>
      </c>
      <c r="E8" s="4" t="s">
        <v>493</v>
      </c>
      <c r="F8" s="4" t="s">
        <v>494</v>
      </c>
      <c r="G8" s="4"/>
      <c r="H8" s="4"/>
    </row>
    <row r="9" spans="1:8" ht="85.5" customHeight="1" x14ac:dyDescent="0.25">
      <c r="A9" s="4"/>
      <c r="B9" s="74" t="s">
        <v>486</v>
      </c>
      <c r="C9" s="4" t="s">
        <v>429</v>
      </c>
      <c r="D9" s="5">
        <v>45645</v>
      </c>
      <c r="E9" s="4" t="s">
        <v>487</v>
      </c>
      <c r="F9" s="92" t="s">
        <v>504</v>
      </c>
      <c r="G9" s="4"/>
      <c r="H9" s="4"/>
    </row>
    <row r="10" spans="1:8" ht="30" x14ac:dyDescent="0.25">
      <c r="A10" s="4"/>
      <c r="B10" s="74" t="s">
        <v>486</v>
      </c>
      <c r="C10" s="4" t="s">
        <v>429</v>
      </c>
      <c r="D10" s="5">
        <v>45649</v>
      </c>
      <c r="E10" s="4" t="s">
        <v>493</v>
      </c>
      <c r="F10" s="92" t="s">
        <v>534</v>
      </c>
      <c r="G10" s="4"/>
      <c r="H10" s="4"/>
    </row>
    <row r="11" spans="1:8" ht="30" x14ac:dyDescent="0.25">
      <c r="A11" s="4"/>
      <c r="B11" s="74" t="s">
        <v>486</v>
      </c>
      <c r="C11" s="4" t="s">
        <v>429</v>
      </c>
      <c r="D11" s="5">
        <v>45650</v>
      </c>
      <c r="E11" s="4" t="s">
        <v>493</v>
      </c>
      <c r="F11" s="92" t="s">
        <v>535</v>
      </c>
      <c r="G11" s="4"/>
      <c r="H11" s="4"/>
    </row>
    <row r="12" spans="1:8" ht="45" x14ac:dyDescent="0.25">
      <c r="A12" s="4"/>
      <c r="B12" s="74" t="s">
        <v>486</v>
      </c>
      <c r="C12" s="4" t="s">
        <v>536</v>
      </c>
      <c r="D12" s="5">
        <v>45298</v>
      </c>
      <c r="E12" s="4" t="s">
        <v>487</v>
      </c>
      <c r="F12" s="92" t="s">
        <v>537</v>
      </c>
      <c r="G12" s="4"/>
      <c r="H12" s="4"/>
    </row>
    <row r="13" spans="1:8" x14ac:dyDescent="0.25">
      <c r="A13" s="4"/>
      <c r="B13" s="74" t="s">
        <v>538</v>
      </c>
      <c r="C13" s="4" t="s">
        <v>539</v>
      </c>
      <c r="D13" s="5">
        <v>45300</v>
      </c>
      <c r="E13" s="4" t="s">
        <v>540</v>
      </c>
      <c r="F13" s="92" t="s">
        <v>541</v>
      </c>
      <c r="G13" s="4"/>
      <c r="H13" s="4"/>
    </row>
    <row r="14" spans="1:8" ht="30" x14ac:dyDescent="0.25">
      <c r="A14" s="4"/>
      <c r="B14" s="74" t="s">
        <v>542</v>
      </c>
      <c r="C14" s="4" t="s">
        <v>539</v>
      </c>
      <c r="D14" s="5">
        <v>45666</v>
      </c>
      <c r="E14" s="4" t="s">
        <v>487</v>
      </c>
      <c r="F14" s="92" t="s">
        <v>543</v>
      </c>
      <c r="G14" s="4"/>
      <c r="H14" s="4"/>
    </row>
    <row r="15" spans="1:8" x14ac:dyDescent="0.25">
      <c r="A15" s="4"/>
      <c r="B15" s="74" t="s">
        <v>546</v>
      </c>
      <c r="C15" s="4" t="s">
        <v>547</v>
      </c>
      <c r="D15" s="5">
        <v>45677</v>
      </c>
      <c r="E15" s="4" t="s">
        <v>540</v>
      </c>
      <c r="F15" s="92" t="s">
        <v>548</v>
      </c>
      <c r="G15" s="4"/>
      <c r="H15" s="4"/>
    </row>
    <row r="16" spans="1:8" x14ac:dyDescent="0.25">
      <c r="A16" s="4"/>
      <c r="B16" s="74" t="s">
        <v>559</v>
      </c>
      <c r="C16" s="4" t="s">
        <v>429</v>
      </c>
      <c r="D16" s="5">
        <v>45985</v>
      </c>
      <c r="E16" s="4" t="s">
        <v>540</v>
      </c>
      <c r="F16" s="92" t="s">
        <v>560</v>
      </c>
      <c r="G16" s="4"/>
      <c r="H16" s="4"/>
    </row>
    <row r="17" spans="1:8" x14ac:dyDescent="0.25">
      <c r="A17" s="4"/>
      <c r="B17" s="74" t="s">
        <v>585</v>
      </c>
      <c r="C17" s="4" t="s">
        <v>429</v>
      </c>
      <c r="D17" s="5">
        <v>45994</v>
      </c>
      <c r="E17" s="4" t="s">
        <v>586</v>
      </c>
      <c r="F17" s="92" t="s">
        <v>587</v>
      </c>
      <c r="G17" s="4"/>
      <c r="H17" s="4"/>
    </row>
    <row r="18" spans="1:8" x14ac:dyDescent="0.25">
      <c r="A18" s="4"/>
      <c r="B18" s="74" t="s">
        <v>607</v>
      </c>
      <c r="C18" s="4" t="s">
        <v>429</v>
      </c>
      <c r="D18" s="5">
        <v>46184</v>
      </c>
      <c r="E18" s="4" t="s">
        <v>608</v>
      </c>
      <c r="F18" s="92" t="s">
        <v>609</v>
      </c>
      <c r="G18" s="4"/>
      <c r="H18" s="4"/>
    </row>
    <row r="19" spans="1:8" x14ac:dyDescent="0.25">
      <c r="A19" s="4"/>
      <c r="B19" s="4"/>
      <c r="C19" s="4"/>
      <c r="D19" s="5"/>
      <c r="E19" s="4"/>
      <c r="F19" s="92"/>
      <c r="G19" s="4"/>
      <c r="H19" s="4"/>
    </row>
    <row r="20" spans="1:8" x14ac:dyDescent="0.25">
      <c r="A20" s="4"/>
      <c r="B20" s="4"/>
      <c r="C20" s="4"/>
      <c r="D20" s="5"/>
      <c r="E20" s="4"/>
      <c r="F20" s="92"/>
      <c r="G20" s="4"/>
      <c r="H20" s="4"/>
    </row>
    <row r="21" spans="1:8" x14ac:dyDescent="0.25">
      <c r="A21" s="4"/>
      <c r="B21" s="4"/>
      <c r="C21" s="4"/>
      <c r="D21" s="5"/>
      <c r="E21" s="4"/>
      <c r="F21" s="92"/>
      <c r="G21" s="4"/>
      <c r="H21" s="4"/>
    </row>
    <row r="22" spans="1:8" x14ac:dyDescent="0.25">
      <c r="A22" s="4"/>
      <c r="B22" s="4"/>
      <c r="C22" s="4"/>
      <c r="D22" s="5"/>
      <c r="E22" s="4"/>
      <c r="F22" s="92"/>
      <c r="G22" s="4"/>
      <c r="H22" s="4"/>
    </row>
    <row r="23" spans="1:8" x14ac:dyDescent="0.25">
      <c r="A23" s="4"/>
      <c r="B23" s="4"/>
      <c r="C23" s="4"/>
      <c r="D23" s="5"/>
      <c r="E23" s="4"/>
      <c r="F23" s="92"/>
      <c r="G23" s="4"/>
      <c r="H23" s="4"/>
    </row>
    <row r="24" spans="1:8" x14ac:dyDescent="0.25">
      <c r="A24" s="4"/>
      <c r="B24" s="4"/>
      <c r="C24" s="4"/>
      <c r="D24" s="5"/>
      <c r="E24" s="4"/>
      <c r="F24" s="92"/>
      <c r="G24" s="4"/>
      <c r="H24" s="4"/>
    </row>
    <row r="25" spans="1:8" x14ac:dyDescent="0.25">
      <c r="A25" s="4"/>
      <c r="B25" s="4"/>
      <c r="C25" s="4"/>
      <c r="D25" s="5"/>
      <c r="E25" s="4"/>
      <c r="F25" s="92"/>
      <c r="G25" s="4"/>
      <c r="H25" s="4"/>
    </row>
    <row r="26" spans="1:8" x14ac:dyDescent="0.25">
      <c r="A26" s="4"/>
      <c r="B26" s="4"/>
      <c r="C26" s="4"/>
      <c r="D26" s="5"/>
      <c r="E26" s="4"/>
      <c r="F26" s="92"/>
      <c r="G26" s="4"/>
      <c r="H26" s="4"/>
    </row>
    <row r="27" spans="1:8" x14ac:dyDescent="0.25">
      <c r="A27" s="4"/>
      <c r="B27" s="4"/>
      <c r="C27" s="4"/>
      <c r="D27" s="5"/>
      <c r="E27" s="4"/>
      <c r="F27" s="92"/>
      <c r="G27" s="4"/>
      <c r="H27" s="4"/>
    </row>
    <row r="28" spans="1:8" x14ac:dyDescent="0.25">
      <c r="A28" s="4"/>
      <c r="B28" s="4"/>
      <c r="C28" s="4"/>
      <c r="D28" s="5"/>
      <c r="E28" s="4"/>
      <c r="F28" s="92"/>
      <c r="G28" s="4"/>
      <c r="H28" s="4"/>
    </row>
    <row r="29" spans="1:8" x14ac:dyDescent="0.25">
      <c r="A29" s="4"/>
      <c r="B29" s="4"/>
      <c r="C29" s="4"/>
      <c r="D29" s="5"/>
      <c r="E29" s="4"/>
      <c r="F29" s="92"/>
      <c r="G29" s="4"/>
      <c r="H29" s="4"/>
    </row>
    <row r="30" spans="1:8" x14ac:dyDescent="0.25">
      <c r="D30" s="60"/>
    </row>
  </sheetData>
  <sheetProtection algorithmName="SHA-512" hashValue="wFajoN5x4u6kI8OBEdVY+iSkiCucx7IDMcFK6H+7OIQW19FWMxqZGKbYSszQPrhdoxLUvbY1wbwVgSv41K5SQg==" saltValue="3Frp41yPCEAC0rH23JyUMA==" spinCount="100000" sheet="1" objects="1" scenarios="1"/>
  <customSheetViews>
    <customSheetView guid="{468B9859-406B-47B7-B856-34BDC1863CB4}">
      <selection activeCell="E9" sqref="E9"/>
      <pageMargins left="0.7" right="0.7" top="0.75" bottom="0.75" header="0.3" footer="0.3"/>
      <pageSetup paperSize="9" orientation="portrait" r:id="rId1"/>
      <headerFooter>
        <oddFooter>&amp;L_x000D_&amp;1#&amp;"Calibri"&amp;10&amp;K000000 Intern gebruik</oddFooter>
      </headerFooter>
    </customSheetView>
  </customSheetView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322DB-54DB-4829-9A1C-81C43406CA21}">
  <sheetPr codeName="Blad2">
    <tabColor theme="7" tint="0.39997558519241921"/>
  </sheetPr>
  <dimension ref="A1:R54"/>
  <sheetViews>
    <sheetView workbookViewId="0">
      <selection activeCell="N21" sqref="N21"/>
    </sheetView>
  </sheetViews>
  <sheetFormatPr defaultRowHeight="15" x14ac:dyDescent="0.25"/>
  <cols>
    <col min="1" max="1" width="24.7109375" customWidth="1"/>
    <col min="7" max="7" width="22.28515625" customWidth="1"/>
    <col min="8" max="8" width="12.42578125" customWidth="1"/>
    <col min="9" max="9" width="13.5703125" customWidth="1"/>
    <col min="12" max="12" width="26.5703125" customWidth="1"/>
    <col min="14" max="14" width="32.140625" customWidth="1"/>
  </cols>
  <sheetData>
    <row r="1" spans="1:18" x14ac:dyDescent="0.25">
      <c r="A1" t="s">
        <v>433</v>
      </c>
    </row>
    <row r="2" spans="1:18" x14ac:dyDescent="0.25">
      <c r="A2" t="s">
        <v>3</v>
      </c>
      <c r="L2" s="1" t="s">
        <v>389</v>
      </c>
      <c r="P2" t="s">
        <v>6</v>
      </c>
    </row>
    <row r="3" spans="1:18" ht="15.75" thickBot="1" x14ac:dyDescent="0.3">
      <c r="L3" s="62" t="s">
        <v>459</v>
      </c>
    </row>
    <row r="4" spans="1:18" ht="60" x14ac:dyDescent="0.25">
      <c r="G4" s="27" t="s">
        <v>422</v>
      </c>
      <c r="H4" s="104">
        <v>15</v>
      </c>
      <c r="I4" s="3" t="s">
        <v>421</v>
      </c>
      <c r="L4" s="8"/>
      <c r="M4" s="9">
        <v>2005</v>
      </c>
      <c r="N4" s="9">
        <v>2015</v>
      </c>
      <c r="O4" s="9">
        <v>2020</v>
      </c>
      <c r="P4" s="9">
        <v>2021</v>
      </c>
      <c r="Q4" s="9">
        <v>2025</v>
      </c>
      <c r="R4" s="10">
        <v>2030</v>
      </c>
    </row>
    <row r="5" spans="1:18" ht="30.75" thickBot="1" x14ac:dyDescent="0.3">
      <c r="A5" s="67" t="s">
        <v>372</v>
      </c>
      <c r="G5" s="3" t="s">
        <v>423</v>
      </c>
      <c r="H5" s="4">
        <v>80</v>
      </c>
      <c r="I5" s="3" t="s">
        <v>424</v>
      </c>
      <c r="L5" s="11" t="s">
        <v>4</v>
      </c>
      <c r="M5" s="7">
        <v>0.62</v>
      </c>
      <c r="N5" s="7">
        <v>0.68</v>
      </c>
      <c r="O5" s="7">
        <v>0.42</v>
      </c>
      <c r="P5" s="7" t="s">
        <v>5</v>
      </c>
      <c r="Q5" s="7">
        <v>0.56000000000000005</v>
      </c>
      <c r="R5" s="61">
        <v>0.14000000000000001</v>
      </c>
    </row>
    <row r="6" spans="1:18" ht="35.25" x14ac:dyDescent="0.25">
      <c r="A6" s="47"/>
      <c r="B6" s="94" t="s">
        <v>8</v>
      </c>
      <c r="C6" s="94" t="s">
        <v>386</v>
      </c>
      <c r="D6" s="94" t="s">
        <v>387</v>
      </c>
      <c r="E6" s="86"/>
      <c r="G6" s="105" t="s">
        <v>425</v>
      </c>
      <c r="L6" s="12"/>
      <c r="M6" s="3"/>
      <c r="N6" s="3"/>
      <c r="O6" s="3"/>
      <c r="P6" s="3"/>
      <c r="Q6" s="3"/>
      <c r="R6" s="13"/>
    </row>
    <row r="7" spans="1:18" x14ac:dyDescent="0.25">
      <c r="A7" s="87" t="s">
        <v>383</v>
      </c>
      <c r="B7" s="75" t="s">
        <v>42</v>
      </c>
      <c r="C7" s="57"/>
      <c r="D7" s="93">
        <v>2.8250000000000002</v>
      </c>
      <c r="E7" s="54" t="s">
        <v>384</v>
      </c>
      <c r="L7" s="12" t="s">
        <v>458</v>
      </c>
      <c r="M7" s="3"/>
      <c r="N7" s="3"/>
      <c r="O7" s="3"/>
      <c r="P7" s="3"/>
      <c r="Q7" s="3"/>
      <c r="R7" s="61">
        <v>0.14000000000000001</v>
      </c>
    </row>
    <row r="8" spans="1:18" ht="15.75" thickBot="1" x14ac:dyDescent="0.3">
      <c r="A8" s="87" t="s">
        <v>80</v>
      </c>
      <c r="B8" s="3" t="s">
        <v>42</v>
      </c>
      <c r="C8" s="55"/>
      <c r="D8" s="55">
        <v>2.88</v>
      </c>
      <c r="E8" s="54" t="s">
        <v>384</v>
      </c>
      <c r="L8" s="14"/>
      <c r="M8" s="15"/>
      <c r="N8" s="15"/>
      <c r="O8" s="15"/>
      <c r="P8" s="15"/>
      <c r="Q8" s="15"/>
      <c r="R8" s="16"/>
    </row>
    <row r="9" spans="1:18" ht="15.75" thickBot="1" x14ac:dyDescent="0.3">
      <c r="A9" s="90" t="s">
        <v>17</v>
      </c>
      <c r="B9" s="26" t="s">
        <v>18</v>
      </c>
      <c r="C9" s="3">
        <v>2.7839999999999998</v>
      </c>
      <c r="D9" s="92">
        <v>2.141</v>
      </c>
      <c r="E9" s="54" t="s">
        <v>384</v>
      </c>
      <c r="G9" s="47" t="s">
        <v>373</v>
      </c>
      <c r="H9" s="48" t="s">
        <v>376</v>
      </c>
      <c r="I9" s="49" t="s">
        <v>377</v>
      </c>
    </row>
    <row r="10" spans="1:18" ht="60.75" thickBot="1" x14ac:dyDescent="0.3">
      <c r="A10" s="90" t="s">
        <v>37</v>
      </c>
      <c r="B10" s="26" t="s">
        <v>18</v>
      </c>
      <c r="C10" s="3">
        <v>0.44900000000000001</v>
      </c>
      <c r="D10" s="92">
        <v>3.5000000000000003E-2</v>
      </c>
      <c r="E10" s="54" t="s">
        <v>384</v>
      </c>
      <c r="G10" s="50" t="s">
        <v>374</v>
      </c>
      <c r="H10" s="51" t="s">
        <v>375</v>
      </c>
      <c r="I10" s="52" t="s">
        <v>378</v>
      </c>
      <c r="L10" s="59" t="s">
        <v>394</v>
      </c>
    </row>
    <row r="11" spans="1:18" ht="15.75" thickBot="1" x14ac:dyDescent="0.3">
      <c r="A11" s="90" t="s">
        <v>34</v>
      </c>
      <c r="B11" s="26" t="s">
        <v>18</v>
      </c>
      <c r="C11" s="3">
        <v>0.314</v>
      </c>
      <c r="D11" s="92">
        <v>3.7999999999999999E-2</v>
      </c>
      <c r="E11" s="54" t="s">
        <v>384</v>
      </c>
      <c r="L11" s="66" t="s">
        <v>412</v>
      </c>
    </row>
    <row r="12" spans="1:18" ht="18.75" x14ac:dyDescent="0.3">
      <c r="A12" s="90" t="s">
        <v>26</v>
      </c>
      <c r="B12" s="26" t="s">
        <v>18</v>
      </c>
      <c r="C12" s="3">
        <v>0.55800000000000005</v>
      </c>
      <c r="D12" s="92">
        <v>1.4E-2</v>
      </c>
      <c r="E12" s="54" t="s">
        <v>384</v>
      </c>
      <c r="G12" s="98" t="s">
        <v>408</v>
      </c>
      <c r="H12" s="48"/>
      <c r="I12" s="49"/>
      <c r="L12" s="66" t="s">
        <v>413</v>
      </c>
    </row>
    <row r="13" spans="1:18" ht="15.75" thickBot="1" x14ac:dyDescent="0.3">
      <c r="A13" s="87" t="s">
        <v>71</v>
      </c>
      <c r="B13" s="3" t="s">
        <v>42</v>
      </c>
      <c r="C13" s="55"/>
      <c r="D13" s="55">
        <v>3.3809999999999998</v>
      </c>
      <c r="E13" s="54" t="s">
        <v>384</v>
      </c>
      <c r="G13" s="53"/>
      <c r="H13" t="s">
        <v>379</v>
      </c>
      <c r="I13" s="54"/>
      <c r="L13" s="273" t="s">
        <v>501</v>
      </c>
    </row>
    <row r="14" spans="1:18" x14ac:dyDescent="0.25">
      <c r="A14" s="87" t="s">
        <v>87</v>
      </c>
      <c r="B14" s="3" t="s">
        <v>42</v>
      </c>
      <c r="C14" s="55"/>
      <c r="D14" s="55">
        <v>0.95199999999999996</v>
      </c>
      <c r="E14" s="54" t="s">
        <v>384</v>
      </c>
      <c r="G14" s="96" t="s">
        <v>90</v>
      </c>
      <c r="H14" s="55">
        <v>1.788</v>
      </c>
      <c r="I14" s="3" t="s">
        <v>91</v>
      </c>
      <c r="L14" s="169"/>
      <c r="M14" s="167"/>
      <c r="N14" s="167"/>
      <c r="O14" s="167"/>
      <c r="P14" s="168"/>
    </row>
    <row r="15" spans="1:18" x14ac:dyDescent="0.25">
      <c r="A15" s="87" t="s">
        <v>86</v>
      </c>
      <c r="B15" s="3" t="s">
        <v>42</v>
      </c>
      <c r="C15" s="55"/>
      <c r="D15" s="56">
        <v>2.02</v>
      </c>
      <c r="E15" s="54" t="s">
        <v>384</v>
      </c>
      <c r="G15" s="96" t="s">
        <v>43</v>
      </c>
      <c r="H15" s="55">
        <v>0.13700000000000001</v>
      </c>
      <c r="I15" s="42" t="s">
        <v>42</v>
      </c>
      <c r="L15" s="169" t="s">
        <v>440</v>
      </c>
      <c r="P15" s="170"/>
    </row>
    <row r="16" spans="1:18" ht="15.75" thickBot="1" x14ac:dyDescent="0.3">
      <c r="A16" s="87" t="s">
        <v>78</v>
      </c>
      <c r="B16" s="3" t="s">
        <v>42</v>
      </c>
      <c r="C16" s="55"/>
      <c r="D16" s="55">
        <v>2.7930000000000001</v>
      </c>
      <c r="E16" s="54" t="s">
        <v>384</v>
      </c>
      <c r="G16" s="96" t="s">
        <v>47</v>
      </c>
      <c r="H16" s="4">
        <v>0.17599999999999999</v>
      </c>
      <c r="I16" s="42" t="s">
        <v>42</v>
      </c>
      <c r="L16" s="169" t="s">
        <v>441</v>
      </c>
      <c r="N16">
        <v>15</v>
      </c>
      <c r="P16" s="170"/>
    </row>
    <row r="17" spans="1:16" ht="15.75" thickBot="1" x14ac:dyDescent="0.3">
      <c r="A17" s="87" t="s">
        <v>81</v>
      </c>
      <c r="B17" s="3" t="s">
        <v>42</v>
      </c>
      <c r="C17" s="55"/>
      <c r="D17" s="55">
        <v>2.6880000000000002</v>
      </c>
      <c r="E17" s="54" t="s">
        <v>384</v>
      </c>
      <c r="G17" s="96" t="s">
        <v>102</v>
      </c>
      <c r="H17" s="55">
        <v>0</v>
      </c>
      <c r="I17" s="3" t="s">
        <v>91</v>
      </c>
      <c r="L17" s="169" t="s">
        <v>443</v>
      </c>
      <c r="N17" s="166">
        <v>900</v>
      </c>
      <c r="O17" t="s">
        <v>442</v>
      </c>
      <c r="P17" s="170"/>
    </row>
    <row r="18" spans="1:16" x14ac:dyDescent="0.25">
      <c r="A18" s="87" t="s">
        <v>83</v>
      </c>
      <c r="B18" s="3" t="s">
        <v>42</v>
      </c>
      <c r="C18" s="55"/>
      <c r="D18" s="55">
        <v>2.5680000000000001</v>
      </c>
      <c r="E18" s="54" t="s">
        <v>384</v>
      </c>
      <c r="G18" s="96" t="s">
        <v>107</v>
      </c>
      <c r="H18" s="55">
        <v>0</v>
      </c>
      <c r="I18" s="3" t="s">
        <v>91</v>
      </c>
      <c r="L18" s="165"/>
      <c r="M18" s="171"/>
      <c r="N18" s="171"/>
      <c r="O18" s="171"/>
      <c r="P18" s="172"/>
    </row>
    <row r="19" spans="1:16" ht="15.75" thickBot="1" x14ac:dyDescent="0.3">
      <c r="A19" s="87" t="s">
        <v>82</v>
      </c>
      <c r="B19" s="3" t="s">
        <v>42</v>
      </c>
      <c r="C19" s="55"/>
      <c r="D19" s="55">
        <v>2.7280000000000002</v>
      </c>
      <c r="E19" s="54" t="s">
        <v>384</v>
      </c>
      <c r="G19" s="96" t="s">
        <v>105</v>
      </c>
      <c r="H19" s="55">
        <v>0</v>
      </c>
      <c r="I19" s="3" t="s">
        <v>91</v>
      </c>
    </row>
    <row r="20" spans="1:16" ht="15.75" thickBot="1" x14ac:dyDescent="0.3">
      <c r="A20" s="90" t="s">
        <v>29</v>
      </c>
      <c r="B20" s="26" t="s">
        <v>18</v>
      </c>
      <c r="C20" s="3">
        <v>3.262</v>
      </c>
      <c r="D20" s="92">
        <v>2.4740000000000002</v>
      </c>
      <c r="E20" s="54" t="s">
        <v>384</v>
      </c>
      <c r="G20" s="96" t="s">
        <v>106</v>
      </c>
      <c r="H20" s="55">
        <v>0</v>
      </c>
      <c r="I20" s="3" t="s">
        <v>91</v>
      </c>
      <c r="L20" s="211" t="s">
        <v>489</v>
      </c>
    </row>
    <row r="21" spans="1:16" ht="45.75" thickBot="1" x14ac:dyDescent="0.3">
      <c r="A21" s="87" t="s">
        <v>69</v>
      </c>
      <c r="B21" s="3" t="s">
        <v>42</v>
      </c>
      <c r="C21" s="55"/>
      <c r="D21" s="55">
        <v>2.7839999999999998</v>
      </c>
      <c r="E21" s="54" t="s">
        <v>384</v>
      </c>
      <c r="G21" s="96" t="s">
        <v>100</v>
      </c>
      <c r="H21" s="55">
        <v>0</v>
      </c>
      <c r="I21" s="3" t="s">
        <v>91</v>
      </c>
      <c r="L21" s="99" t="str">
        <f>+N21&amp;$M$21&amp;" jaar"</f>
        <v>Totale CO2-besparing over de opgegeven periode van 0 jaar</v>
      </c>
      <c r="M21" s="183">
        <f>IF('Energie , overige thema''s'!$C$3&gt;$H$4,$H$4,'Energie , overige thema''s'!C3)</f>
        <v>0</v>
      </c>
      <c r="N21" s="212" t="s">
        <v>581</v>
      </c>
    </row>
    <row r="22" spans="1:16" ht="15.75" thickBot="1" x14ac:dyDescent="0.3">
      <c r="A22" s="87" t="s">
        <v>68</v>
      </c>
      <c r="B22" s="3" t="s">
        <v>42</v>
      </c>
      <c r="C22" s="55"/>
      <c r="D22" s="55">
        <v>2.7930000000000001</v>
      </c>
      <c r="E22" s="54" t="s">
        <v>384</v>
      </c>
      <c r="G22" s="102" t="s">
        <v>418</v>
      </c>
      <c r="H22" s="4">
        <v>265</v>
      </c>
      <c r="I22" s="42" t="s">
        <v>420</v>
      </c>
      <c r="N22" s="99"/>
    </row>
    <row r="23" spans="1:16" ht="45.75" thickBot="1" x14ac:dyDescent="0.3">
      <c r="A23" s="87" t="s">
        <v>70</v>
      </c>
      <c r="B23" s="3" t="s">
        <v>42</v>
      </c>
      <c r="C23" s="55"/>
      <c r="D23" s="55">
        <v>3.2250000000000001</v>
      </c>
      <c r="E23" s="54" t="s">
        <v>384</v>
      </c>
      <c r="G23" s="96" t="s">
        <v>45</v>
      </c>
      <c r="H23" s="55">
        <v>2.9449999999999998</v>
      </c>
      <c r="I23" s="42" t="s">
        <v>42</v>
      </c>
      <c r="L23" s="99" t="str">
        <f>+N23&amp;$M$21&amp;" jaar"</f>
        <v>Totale CO2 toename over de opgegeven periode van 0 jaar</v>
      </c>
      <c r="M23" s="58"/>
      <c r="N23" s="212" t="s">
        <v>451</v>
      </c>
    </row>
    <row r="24" spans="1:16" x14ac:dyDescent="0.25">
      <c r="A24" s="87" t="s">
        <v>65</v>
      </c>
      <c r="B24" s="3" t="s">
        <v>42</v>
      </c>
      <c r="C24" s="55"/>
      <c r="D24" s="55">
        <v>2.1179999999999999</v>
      </c>
      <c r="E24" s="54" t="s">
        <v>384</v>
      </c>
      <c r="G24" s="96" t="s">
        <v>49</v>
      </c>
      <c r="H24" s="4">
        <v>1.631</v>
      </c>
      <c r="I24" s="42" t="s">
        <v>18</v>
      </c>
    </row>
    <row r="25" spans="1:16" ht="15.75" thickBot="1" x14ac:dyDescent="0.3">
      <c r="A25" s="87" t="s">
        <v>79</v>
      </c>
      <c r="B25" s="3" t="s">
        <v>42</v>
      </c>
      <c r="C25" s="55"/>
      <c r="D25" s="55">
        <v>2.9470000000000001</v>
      </c>
      <c r="E25" s="54" t="s">
        <v>384</v>
      </c>
      <c r="G25" s="96" t="s">
        <v>98</v>
      </c>
      <c r="H25" s="55">
        <v>1.53</v>
      </c>
      <c r="I25" s="3" t="s">
        <v>91</v>
      </c>
    </row>
    <row r="26" spans="1:16" ht="15.75" thickBot="1" x14ac:dyDescent="0.3">
      <c r="A26" s="87" t="s">
        <v>67</v>
      </c>
      <c r="B26" s="3" t="s">
        <v>42</v>
      </c>
      <c r="C26" s="55"/>
      <c r="D26" s="55">
        <v>3.0990000000000002</v>
      </c>
      <c r="E26" s="54" t="s">
        <v>384</v>
      </c>
      <c r="G26" s="96" t="s">
        <v>50</v>
      </c>
      <c r="H26" s="4">
        <v>0</v>
      </c>
      <c r="I26" s="42" t="s">
        <v>42</v>
      </c>
      <c r="L26" s="211" t="s">
        <v>490</v>
      </c>
    </row>
    <row r="27" spans="1:16" ht="45.75" thickBot="1" x14ac:dyDescent="0.3">
      <c r="A27" s="87" t="s">
        <v>73</v>
      </c>
      <c r="B27" s="3" t="s">
        <v>42</v>
      </c>
      <c r="C27" s="55"/>
      <c r="D27" s="55">
        <v>3.4319999999999999</v>
      </c>
      <c r="E27" s="54" t="s">
        <v>384</v>
      </c>
      <c r="G27" s="96" t="s">
        <v>52</v>
      </c>
      <c r="H27" s="4">
        <v>0</v>
      </c>
      <c r="I27" s="42" t="s">
        <v>42</v>
      </c>
      <c r="L27" s="99" t="str">
        <f>+N27&amp;$M$27&amp;" jaar"</f>
        <v>Totale CO2-besparing over de opgegeven periode van 0 jaar</v>
      </c>
      <c r="M27" s="183">
        <f>IF('Circulaire Economie'!$C$3&gt;$H$4,$H$4,'Circulaire Economie'!C3)</f>
        <v>0</v>
      </c>
      <c r="N27" s="212" t="s">
        <v>581</v>
      </c>
    </row>
    <row r="28" spans="1:16" ht="15.75" thickBot="1" x14ac:dyDescent="0.3">
      <c r="A28" s="87" t="s">
        <v>75</v>
      </c>
      <c r="B28" s="3" t="s">
        <v>42</v>
      </c>
      <c r="C28" s="55"/>
      <c r="D28" s="55">
        <v>2.911</v>
      </c>
      <c r="E28" s="54" t="s">
        <v>384</v>
      </c>
      <c r="G28" s="101"/>
      <c r="H28" s="4"/>
      <c r="I28" s="3"/>
    </row>
    <row r="29" spans="1:16" ht="45.75" thickBot="1" x14ac:dyDescent="0.3">
      <c r="A29" s="87" t="s">
        <v>74</v>
      </c>
      <c r="B29" s="3" t="s">
        <v>42</v>
      </c>
      <c r="C29" s="55"/>
      <c r="D29" s="55">
        <v>3.1520000000000001</v>
      </c>
      <c r="E29" s="54" t="s">
        <v>384</v>
      </c>
      <c r="G29" s="101"/>
      <c r="H29" s="4"/>
      <c r="I29" s="3"/>
      <c r="L29" s="99" t="str">
        <f>+N29&amp;$M$27&amp;" jaar"</f>
        <v>Totale CO2 toename over de opgegeven periode van 0 jaar</v>
      </c>
      <c r="M29" s="58"/>
      <c r="N29" s="212" t="s">
        <v>451</v>
      </c>
    </row>
    <row r="30" spans="1:16" x14ac:dyDescent="0.25">
      <c r="A30" s="87" t="s">
        <v>63</v>
      </c>
      <c r="B30" s="3" t="s">
        <v>42</v>
      </c>
      <c r="C30" s="55"/>
      <c r="D30" s="55">
        <v>3.13</v>
      </c>
      <c r="E30" s="54" t="s">
        <v>384</v>
      </c>
      <c r="G30" s="101"/>
      <c r="H30" s="4"/>
      <c r="I30" s="3"/>
    </row>
    <row r="31" spans="1:16" ht="25.35" customHeight="1" thickBot="1" x14ac:dyDescent="0.3">
      <c r="A31" s="88" t="s">
        <v>72</v>
      </c>
      <c r="B31" s="15" t="s">
        <v>42</v>
      </c>
      <c r="C31" s="89"/>
      <c r="D31" s="89">
        <v>3.0350000000000001</v>
      </c>
      <c r="E31" s="52" t="s">
        <v>384</v>
      </c>
      <c r="G31" s="101"/>
      <c r="H31" s="4"/>
      <c r="I31" s="3"/>
    </row>
    <row r="32" spans="1:16" ht="15.75" thickBot="1" x14ac:dyDescent="0.3">
      <c r="A32" s="91" t="s">
        <v>84</v>
      </c>
      <c r="B32" s="3" t="s">
        <v>42</v>
      </c>
      <c r="C32" s="55"/>
      <c r="D32" s="56">
        <v>2.327</v>
      </c>
      <c r="E32" s="52" t="s">
        <v>384</v>
      </c>
      <c r="L32" s="211" t="s">
        <v>491</v>
      </c>
    </row>
    <row r="33" spans="1:14" ht="45.75" thickBot="1" x14ac:dyDescent="0.3">
      <c r="A33" s="91" t="s">
        <v>89</v>
      </c>
      <c r="B33" s="3" t="s">
        <v>42</v>
      </c>
      <c r="C33" s="55"/>
      <c r="D33" s="55">
        <v>2.0179999999999998</v>
      </c>
      <c r="E33" s="52" t="s">
        <v>384</v>
      </c>
      <c r="L33" s="99" t="str">
        <f>+N33&amp;$M$33&amp;" jaar"</f>
        <v>Totale CO2-besparing over de opgegeven periode van 0 jaar</v>
      </c>
      <c r="M33" s="183">
        <f>IF('CCS en Negatieve Emissies'!$C$3&gt;$H$4,$H$4,'CCS en Negatieve Emissies'!C3)</f>
        <v>0</v>
      </c>
      <c r="N33" s="212" t="s">
        <v>581</v>
      </c>
    </row>
    <row r="34" spans="1:14" ht="15.75" thickBot="1" x14ac:dyDescent="0.3">
      <c r="A34" s="91" t="s">
        <v>60</v>
      </c>
      <c r="B34" s="3" t="s">
        <v>18</v>
      </c>
      <c r="C34" s="3"/>
      <c r="D34" s="55">
        <v>3.1850000000000001</v>
      </c>
      <c r="E34" s="52" t="s">
        <v>385</v>
      </c>
    </row>
    <row r="35" spans="1:14" ht="45.75" thickBot="1" x14ac:dyDescent="0.3">
      <c r="A35" s="91" t="s">
        <v>85</v>
      </c>
      <c r="B35" s="3" t="s">
        <v>42</v>
      </c>
      <c r="C35" s="55"/>
      <c r="D35" s="55">
        <v>1.8160000000000001</v>
      </c>
      <c r="E35" s="52" t="s">
        <v>384</v>
      </c>
      <c r="L35" s="99" t="str">
        <f>+N35&amp;$M$33&amp;" jaar"</f>
        <v>Totale CO2 toename over de opgegeven periode van 0 jaar</v>
      </c>
      <c r="M35" s="58"/>
      <c r="N35" s="212" t="s">
        <v>451</v>
      </c>
    </row>
    <row r="36" spans="1:14" ht="19.5" thickBot="1" x14ac:dyDescent="0.35">
      <c r="A36" s="91" t="s">
        <v>88</v>
      </c>
      <c r="B36" s="3" t="s">
        <v>42</v>
      </c>
      <c r="C36" s="55"/>
      <c r="D36" s="55">
        <v>1.0349999999999999</v>
      </c>
      <c r="E36" s="52" t="s">
        <v>384</v>
      </c>
      <c r="G36" s="97" t="s">
        <v>407</v>
      </c>
      <c r="H36" s="222"/>
      <c r="I36" s="222"/>
      <c r="J36" s="223"/>
    </row>
    <row r="37" spans="1:14" x14ac:dyDescent="0.25">
      <c r="G37" s="42" t="s">
        <v>110</v>
      </c>
      <c r="H37" s="3" t="s">
        <v>111</v>
      </c>
      <c r="I37" s="26">
        <v>8.9999999999999993E-3</v>
      </c>
      <c r="J37" s="3" t="s">
        <v>384</v>
      </c>
    </row>
    <row r="38" spans="1:14" ht="15.75" thickBot="1" x14ac:dyDescent="0.3">
      <c r="G38" s="42" t="s">
        <v>406</v>
      </c>
      <c r="H38" s="3" t="s">
        <v>111</v>
      </c>
      <c r="I38" s="26">
        <v>8.9999999999999993E-3</v>
      </c>
      <c r="J38" s="3" t="s">
        <v>384</v>
      </c>
      <c r="L38" s="210" t="s">
        <v>492</v>
      </c>
    </row>
    <row r="39" spans="1:14" ht="45.75" thickBot="1" x14ac:dyDescent="0.3">
      <c r="G39" s="95" t="s">
        <v>117</v>
      </c>
      <c r="H39" s="3" t="s">
        <v>111</v>
      </c>
      <c r="I39" s="26">
        <v>6.0000000000000001E-3</v>
      </c>
      <c r="J39" s="3" t="s">
        <v>384</v>
      </c>
      <c r="L39" s="99" t="str">
        <f>+N39&amp;$M$39&amp;" jaar"</f>
        <v>Totale CO2-besparing over de opgegeven periode van 0 jaar</v>
      </c>
      <c r="M39" s="183">
        <f>IF(CCU!$C$3&gt;$H$4,$H$4,CCU!C3)</f>
        <v>0</v>
      </c>
      <c r="N39" s="212" t="s">
        <v>581</v>
      </c>
    </row>
    <row r="40" spans="1:14" ht="15.75" thickBot="1" x14ac:dyDescent="0.3">
      <c r="G40" s="42" t="s">
        <v>119</v>
      </c>
      <c r="H40" s="3" t="s">
        <v>111</v>
      </c>
      <c r="I40" s="26">
        <v>6.0000000000000001E-3</v>
      </c>
      <c r="J40" s="3" t="s">
        <v>384</v>
      </c>
    </row>
    <row r="41" spans="1:14" ht="45.75" thickBot="1" x14ac:dyDescent="0.3">
      <c r="G41" s="42" t="s">
        <v>121</v>
      </c>
      <c r="H41" s="3" t="s">
        <v>111</v>
      </c>
      <c r="I41" s="26">
        <v>8.9999999999999993E-3</v>
      </c>
      <c r="J41" s="3" t="s">
        <v>384</v>
      </c>
      <c r="L41" s="99" t="str">
        <f>+N41&amp;$M$39&amp;" jaar"</f>
        <v>Totale CO2 toename over de opgegeven periode van 0 jaar</v>
      </c>
      <c r="M41" s="58"/>
      <c r="N41" s="212" t="s">
        <v>451</v>
      </c>
    </row>
    <row r="47" spans="1:14" x14ac:dyDescent="0.25">
      <c r="A47" s="91" t="s">
        <v>90</v>
      </c>
      <c r="B47" s="3" t="s">
        <v>91</v>
      </c>
      <c r="C47" s="55">
        <v>2.085</v>
      </c>
      <c r="D47" s="56">
        <v>1.788</v>
      </c>
      <c r="E47" s="3" t="s">
        <v>384</v>
      </c>
    </row>
    <row r="48" spans="1:14" x14ac:dyDescent="0.25">
      <c r="A48" s="91" t="s">
        <v>98</v>
      </c>
      <c r="B48" s="3" t="s">
        <v>18</v>
      </c>
      <c r="C48" s="55">
        <v>1.7250000000000001</v>
      </c>
      <c r="D48" s="56">
        <v>1.53</v>
      </c>
      <c r="E48" s="3" t="s">
        <v>384</v>
      </c>
    </row>
    <row r="49" spans="1:5" x14ac:dyDescent="0.25">
      <c r="A49" s="91" t="s">
        <v>100</v>
      </c>
      <c r="B49" s="3" t="s">
        <v>91</v>
      </c>
      <c r="C49" s="55">
        <v>0.39800000000000002</v>
      </c>
      <c r="D49" s="56">
        <v>0</v>
      </c>
      <c r="E49" s="3"/>
    </row>
    <row r="50" spans="1:5" x14ac:dyDescent="0.25">
      <c r="A50" s="91" t="s">
        <v>102</v>
      </c>
      <c r="B50" s="3" t="s">
        <v>91</v>
      </c>
      <c r="C50" s="55">
        <v>1.0389999999999999</v>
      </c>
      <c r="D50" s="56">
        <v>0</v>
      </c>
      <c r="E50" s="3"/>
    </row>
    <row r="51" spans="1:5" x14ac:dyDescent="0.25">
      <c r="A51" s="91" t="s">
        <v>105</v>
      </c>
      <c r="B51" s="3" t="s">
        <v>91</v>
      </c>
      <c r="C51" s="55">
        <v>0.46100000000000002</v>
      </c>
      <c r="D51" s="56">
        <v>0</v>
      </c>
      <c r="E51" s="3"/>
    </row>
    <row r="52" spans="1:5" x14ac:dyDescent="0.25">
      <c r="A52" s="91" t="s">
        <v>106</v>
      </c>
      <c r="B52" s="3" t="s">
        <v>91</v>
      </c>
      <c r="C52" s="55">
        <v>0.85899999999999999</v>
      </c>
      <c r="D52" s="56">
        <v>0</v>
      </c>
      <c r="E52" s="3"/>
    </row>
    <row r="53" spans="1:5" x14ac:dyDescent="0.25">
      <c r="A53" s="91" t="s">
        <v>107</v>
      </c>
      <c r="B53" s="3" t="s">
        <v>91</v>
      </c>
      <c r="C53" s="55">
        <v>0.72299999999999998</v>
      </c>
      <c r="D53" s="56">
        <v>0</v>
      </c>
      <c r="E53" s="3"/>
    </row>
    <row r="54" spans="1:5" x14ac:dyDescent="0.25">
      <c r="A54" s="3"/>
      <c r="B54" s="3"/>
      <c r="C54" s="3" t="s">
        <v>385</v>
      </c>
      <c r="D54" s="3"/>
      <c r="E54" s="3"/>
    </row>
  </sheetData>
  <sheetProtection algorithmName="SHA-512" hashValue="e+7GFdSzqllSKAOjluG2qupzv4d2R1/ze1ky5n6TUe2qhP4aTxpur2RJjOAzF3U15VL0p979czoXO+ZAmth6ig==" saltValue="LuuOxS/wRNYm4A0B9W2aqA==" spinCount="100000" sheet="1" objects="1" scenarios="1"/>
  <sortState xmlns:xlrd2="http://schemas.microsoft.com/office/spreadsheetml/2017/richdata2" ref="G15:I27">
    <sortCondition ref="G14:G27"/>
  </sortState>
  <customSheetViews>
    <customSheetView guid="{468B9859-406B-47B7-B856-34BDC1863CB4}">
      <selection activeCell="D4" sqref="D4"/>
      <pageMargins left="0.7" right="0.7" top="0.75" bottom="0.75" header="0.3" footer="0.3"/>
      <pageSetup paperSize="9" orientation="portrait" r:id="rId1"/>
      <headerFooter>
        <oddFooter>&amp;L_x000D_&amp;1#&amp;"Calibri"&amp;10&amp;K000000 Intern gebruik</oddFooter>
      </headerFooter>
    </customSheetView>
  </customSheetView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8542F-225A-41E5-AD49-BD2AD408F1D1}">
  <sheetPr codeName="Blad3">
    <tabColor rgb="FF0070C0"/>
  </sheetPr>
  <dimension ref="A1:M39"/>
  <sheetViews>
    <sheetView showGridLines="0" tabSelected="1" zoomScaleNormal="100" workbookViewId="0">
      <selection activeCell="G37" sqref="G37"/>
    </sheetView>
  </sheetViews>
  <sheetFormatPr defaultColWidth="0" defaultRowHeight="15" zeroHeight="1" x14ac:dyDescent="0.25"/>
  <cols>
    <col min="1" max="1" width="12.28515625" style="275" customWidth="1"/>
    <col min="2" max="5" width="9.140625" customWidth="1"/>
    <col min="6" max="6" width="10.85546875" customWidth="1"/>
    <col min="7" max="7" width="22.28515625" customWidth="1"/>
    <col min="8" max="8" width="7.28515625" customWidth="1"/>
    <col min="9" max="9" width="11.42578125" customWidth="1"/>
    <col min="10" max="13" width="9.140625" customWidth="1"/>
    <col min="14" max="16384" width="9.140625" hidden="1"/>
  </cols>
  <sheetData>
    <row r="1" spans="1:8" ht="109.5" customHeight="1" x14ac:dyDescent="0.25"/>
    <row r="2" spans="1:8" ht="27" x14ac:dyDescent="0.45">
      <c r="A2" s="276" t="s">
        <v>580</v>
      </c>
    </row>
    <row r="3" spans="1:8" x14ac:dyDescent="0.25"/>
    <row r="4" spans="1:8" x14ac:dyDescent="0.25">
      <c r="A4" s="275" t="s">
        <v>561</v>
      </c>
    </row>
    <row r="5" spans="1:8" x14ac:dyDescent="0.25">
      <c r="A5" s="275" t="s">
        <v>562</v>
      </c>
      <c r="G5" s="284" t="s">
        <v>444</v>
      </c>
    </row>
    <row r="6" spans="1:8" x14ac:dyDescent="0.25">
      <c r="A6" s="275" t="s">
        <v>404</v>
      </c>
      <c r="B6" t="s">
        <v>563</v>
      </c>
      <c r="H6" s="30"/>
    </row>
    <row r="7" spans="1:8" x14ac:dyDescent="0.25">
      <c r="B7" t="s">
        <v>564</v>
      </c>
      <c r="H7" s="85"/>
    </row>
    <row r="8" spans="1:8" x14ac:dyDescent="0.25">
      <c r="B8" t="s">
        <v>405</v>
      </c>
    </row>
    <row r="9" spans="1:8" x14ac:dyDescent="0.25">
      <c r="B9" t="s">
        <v>565</v>
      </c>
    </row>
    <row r="10" spans="1:8" x14ac:dyDescent="0.25"/>
    <row r="11" spans="1:8" x14ac:dyDescent="0.25">
      <c r="B11" t="s">
        <v>471</v>
      </c>
    </row>
    <row r="12" spans="1:8" x14ac:dyDescent="0.25">
      <c r="B12" t="s">
        <v>508</v>
      </c>
    </row>
    <row r="13" spans="1:8" x14ac:dyDescent="0.25">
      <c r="B13" t="s">
        <v>507</v>
      </c>
    </row>
    <row r="14" spans="1:8" x14ac:dyDescent="0.25">
      <c r="B14" t="s">
        <v>505</v>
      </c>
    </row>
    <row r="15" spans="1:8" x14ac:dyDescent="0.25">
      <c r="B15" t="s">
        <v>506</v>
      </c>
    </row>
    <row r="16" spans="1:8" x14ac:dyDescent="0.25"/>
    <row r="17" spans="1:2" x14ac:dyDescent="0.25">
      <c r="B17" t="s">
        <v>545</v>
      </c>
    </row>
    <row r="18" spans="1:2" x14ac:dyDescent="0.25">
      <c r="B18" t="s">
        <v>566</v>
      </c>
    </row>
    <row r="19" spans="1:2" x14ac:dyDescent="0.25">
      <c r="B19" t="s">
        <v>567</v>
      </c>
    </row>
    <row r="20" spans="1:2" x14ac:dyDescent="0.25"/>
    <row r="21" spans="1:2" x14ac:dyDescent="0.25">
      <c r="B21" s="1" t="s">
        <v>568</v>
      </c>
    </row>
    <row r="22" spans="1:2" x14ac:dyDescent="0.25"/>
    <row r="23" spans="1:2" x14ac:dyDescent="0.25">
      <c r="A23" s="275">
        <v>1</v>
      </c>
      <c r="B23" t="s">
        <v>569</v>
      </c>
    </row>
    <row r="24" spans="1:2" x14ac:dyDescent="0.25">
      <c r="A24" s="275">
        <v>2</v>
      </c>
      <c r="B24" t="s">
        <v>570</v>
      </c>
    </row>
    <row r="25" spans="1:2" x14ac:dyDescent="0.25">
      <c r="A25" s="275">
        <v>3</v>
      </c>
      <c r="B25" t="s">
        <v>571</v>
      </c>
    </row>
    <row r="26" spans="1:2" x14ac:dyDescent="0.25">
      <c r="A26" s="275">
        <v>4</v>
      </c>
      <c r="B26" t="s">
        <v>571</v>
      </c>
    </row>
    <row r="27" spans="1:2" x14ac:dyDescent="0.25">
      <c r="A27" s="275">
        <v>5</v>
      </c>
      <c r="B27" t="s">
        <v>426</v>
      </c>
    </row>
    <row r="28" spans="1:2" x14ac:dyDescent="0.25">
      <c r="A28" s="275">
        <v>6</v>
      </c>
      <c r="B28" t="s">
        <v>572</v>
      </c>
    </row>
    <row r="29" spans="1:2" x14ac:dyDescent="0.25">
      <c r="B29" t="s">
        <v>573</v>
      </c>
    </row>
    <row r="30" spans="1:2" x14ac:dyDescent="0.25">
      <c r="A30" s="275">
        <v>7</v>
      </c>
      <c r="B30" t="s">
        <v>574</v>
      </c>
    </row>
    <row r="31" spans="1:2" x14ac:dyDescent="0.25"/>
    <row r="32" spans="1:2" x14ac:dyDescent="0.25">
      <c r="B32" s="1" t="s">
        <v>503</v>
      </c>
    </row>
    <row r="33" spans="2:9" ht="15.75" thickBot="1" x14ac:dyDescent="0.3"/>
    <row r="34" spans="2:9" ht="15.75" thickBot="1" x14ac:dyDescent="0.3">
      <c r="B34" s="285" t="str">
        <f>CONCATENATE("De levensduur van de investering voor de CO2-berekening is maximaal: ",+Datasheet!H4," jaar")</f>
        <v>De levensduur van de investering voor de CO2-berekening is maximaal: 15 jaar</v>
      </c>
      <c r="C34" s="286"/>
      <c r="D34" s="286"/>
      <c r="E34" s="286"/>
      <c r="F34" s="286"/>
      <c r="G34" s="100"/>
      <c r="I34" s="45"/>
    </row>
    <row r="35" spans="2:9" x14ac:dyDescent="0.25"/>
    <row r="36" spans="2:9" x14ac:dyDescent="0.25"/>
    <row r="37" spans="2:9" x14ac:dyDescent="0.25"/>
    <row r="38" spans="2:9" x14ac:dyDescent="0.25"/>
    <row r="39" spans="2:9" x14ac:dyDescent="0.25"/>
  </sheetData>
  <sheetProtection algorithmName="SHA-512" hashValue="JkdPhRATzSghbaynat4E72N93T7sfxxQdIXdI5yrNcBXtMaKfYnFJINERk/+DUSaTFGg95PDGW5Isr/P9XUL/Q==" saltValue="XMxpMsEwWygTCPmidqGHfw==" spinCount="100000" sheet="1" objects="1" scenarios="1"/>
  <customSheetViews>
    <customSheetView guid="{468B9859-406B-47B7-B856-34BDC1863CB4}" showGridLines="0">
      <selection activeCell="E24" sqref="E24"/>
      <pageMargins left="0.7" right="0.7" top="0.75" bottom="0.75" header="0.3" footer="0.3"/>
    </customSheetView>
  </customSheetViews>
  <hyperlinks>
    <hyperlink ref="G5" r:id="rId1" display="https://www.co2emissiefactoren.nl/" xr:uid="{E5ACADFD-0871-4FC5-A9C1-9D6B6F32087B}"/>
  </hyperlinks>
  <pageMargins left="0.7" right="0.7" top="0.75" bottom="0.75" header="0.3" footer="0.3"/>
  <pageSetup paperSize="9" scale="72"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DB51C-95FC-4567-95D5-B7AC080EDBCC}">
  <sheetPr codeName="Blad4">
    <tabColor rgb="FF00B050"/>
    <pageSetUpPr fitToPage="1"/>
  </sheetPr>
  <dimension ref="A1:O53"/>
  <sheetViews>
    <sheetView showGridLines="0" zoomScale="85" zoomScaleNormal="85" workbookViewId="0">
      <selection activeCell="G44" sqref="G44"/>
    </sheetView>
  </sheetViews>
  <sheetFormatPr defaultColWidth="0" defaultRowHeight="15" zeroHeight="1" x14ac:dyDescent="0.25"/>
  <cols>
    <col min="1" max="1" width="2.42578125" customWidth="1"/>
    <col min="2" max="2" width="37" customWidth="1"/>
    <col min="3" max="3" width="35.85546875" customWidth="1"/>
    <col min="4" max="4" width="8.28515625" customWidth="1"/>
    <col min="5" max="5" width="15.28515625" customWidth="1"/>
    <col min="6" max="6" width="0.7109375" customWidth="1"/>
    <col min="7" max="7" width="17.28515625" customWidth="1"/>
    <col min="8" max="8" width="0.5703125" style="138" customWidth="1"/>
    <col min="9" max="9" width="15.5703125" customWidth="1"/>
    <col min="10" max="10" width="0.7109375" customWidth="1"/>
    <col min="11" max="11" width="15.5703125" customWidth="1"/>
    <col min="12" max="12" width="0.7109375" customWidth="1"/>
    <col min="13" max="13" width="15.5703125" customWidth="1"/>
    <col min="14" max="14" width="0.7109375" customWidth="1"/>
    <col min="15" max="15" width="9.140625" customWidth="1"/>
    <col min="16" max="16384" width="9.140625" hidden="1"/>
  </cols>
  <sheetData>
    <row r="1" spans="1:14" ht="15" customHeight="1" thickBot="1" x14ac:dyDescent="0.3">
      <c r="G1" s="80" t="s">
        <v>401</v>
      </c>
    </row>
    <row r="2" spans="1:14" ht="20.25" customHeight="1" thickBot="1" x14ac:dyDescent="0.4">
      <c r="B2" s="82" t="s">
        <v>575</v>
      </c>
      <c r="C2" s="82" t="s">
        <v>433</v>
      </c>
      <c r="G2" s="79" t="s">
        <v>398</v>
      </c>
    </row>
    <row r="3" spans="1:14" ht="28.9" customHeight="1" thickBot="1" x14ac:dyDescent="0.3">
      <c r="B3" s="103" t="s">
        <v>576</v>
      </c>
      <c r="C3" s="106"/>
      <c r="G3" s="81" t="s">
        <v>399</v>
      </c>
    </row>
    <row r="4" spans="1:14" ht="15" customHeight="1" thickBot="1" x14ac:dyDescent="0.3">
      <c r="C4" s="269" t="str">
        <f>IF($C$3&gt;15,"Let op Maximaal 15 jaar!","")</f>
        <v/>
      </c>
    </row>
    <row r="5" spans="1:14" ht="24" thickBot="1" x14ac:dyDescent="0.4">
      <c r="B5" s="180" t="s">
        <v>447</v>
      </c>
      <c r="F5" s="73"/>
      <c r="G5" s="76" t="s">
        <v>380</v>
      </c>
      <c r="H5" s="289"/>
      <c r="I5" s="77" t="s">
        <v>391</v>
      </c>
      <c r="J5" s="131"/>
      <c r="K5" s="77" t="s">
        <v>392</v>
      </c>
      <c r="L5" s="131"/>
      <c r="M5" s="78" t="s">
        <v>393</v>
      </c>
      <c r="N5" s="73"/>
    </row>
    <row r="6" spans="1:14" ht="15.75" thickBot="1" x14ac:dyDescent="0.3">
      <c r="C6" s="76" t="s">
        <v>388</v>
      </c>
      <c r="D6" s="265" t="s">
        <v>8</v>
      </c>
      <c r="E6" s="266" t="s">
        <v>452</v>
      </c>
      <c r="F6" s="73"/>
      <c r="G6" s="175" t="s">
        <v>395</v>
      </c>
      <c r="H6" s="290"/>
      <c r="I6" s="177" t="s">
        <v>395</v>
      </c>
      <c r="J6" s="176"/>
      <c r="K6" s="178" t="s">
        <v>402</v>
      </c>
      <c r="L6" s="176"/>
      <c r="M6" s="179" t="s">
        <v>403</v>
      </c>
      <c r="N6" s="73"/>
    </row>
    <row r="7" spans="1:14" ht="15.75" thickBot="1" x14ac:dyDescent="0.3">
      <c r="A7">
        <v>1</v>
      </c>
      <c r="B7" s="118" t="s">
        <v>381</v>
      </c>
      <c r="C7" s="119"/>
      <c r="D7" s="134" t="str">
        <f>IFERROR(VLOOKUP($C7,Datasheet!$G$14:$I$26,3)," ")</f>
        <v xml:space="preserve"> </v>
      </c>
      <c r="E7" s="214">
        <f>IFERROR(VLOOKUP($C7,Datasheet!$G$14:$I$26,2),0)</f>
        <v>0</v>
      </c>
      <c r="F7" s="73"/>
      <c r="G7" s="126"/>
      <c r="H7" s="146"/>
      <c r="I7" s="126"/>
      <c r="J7" s="124"/>
      <c r="K7" s="141">
        <f>+I7-G7</f>
        <v>0</v>
      </c>
      <c r="L7" s="142"/>
      <c r="M7" s="143">
        <f>+K7*E7</f>
        <v>0</v>
      </c>
      <c r="N7" s="73"/>
    </row>
    <row r="8" spans="1:14" ht="15.75" thickBot="1" x14ac:dyDescent="0.3">
      <c r="B8" s="58" t="s">
        <v>381</v>
      </c>
      <c r="C8" s="121"/>
      <c r="D8" s="136" t="str">
        <f>IFERROR(VLOOKUP($C8,Datasheet!$G$14:$I$26,3)," ")</f>
        <v xml:space="preserve"> </v>
      </c>
      <c r="E8" s="137">
        <f>IFERROR(VLOOKUP($C8,Datasheet!$G$14:$I$26,2),0)</f>
        <v>0</v>
      </c>
      <c r="F8" s="115"/>
      <c r="G8" s="128"/>
      <c r="H8" s="196"/>
      <c r="I8" s="128"/>
      <c r="J8" s="125"/>
      <c r="K8" s="141">
        <f t="shared" ref="K8:K13" si="0">+I8-G8</f>
        <v>0</v>
      </c>
      <c r="L8" s="144"/>
      <c r="M8" s="143">
        <f t="shared" ref="M8:M9" si="1">+K8*E8</f>
        <v>0</v>
      </c>
      <c r="N8" s="73"/>
    </row>
    <row r="9" spans="1:14" ht="15.75" thickBot="1" x14ac:dyDescent="0.3">
      <c r="B9" s="58" t="s">
        <v>381</v>
      </c>
      <c r="C9" s="120"/>
      <c r="D9" s="136" t="str">
        <f>IFERROR(VLOOKUP($C9,Datasheet!$G$14:$I$26,3)," ")</f>
        <v xml:space="preserve"> </v>
      </c>
      <c r="E9" s="137">
        <f>IFERROR(VLOOKUP($C9,Datasheet!$G$14:$I$26,2),0)</f>
        <v>0</v>
      </c>
      <c r="F9" s="115"/>
      <c r="G9" s="127"/>
      <c r="H9" s="196"/>
      <c r="I9" s="127"/>
      <c r="J9" s="125"/>
      <c r="K9" s="141">
        <f t="shared" si="0"/>
        <v>0</v>
      </c>
      <c r="L9" s="144"/>
      <c r="M9" s="143">
        <f t="shared" si="1"/>
        <v>0</v>
      </c>
      <c r="N9" s="73"/>
    </row>
    <row r="10" spans="1:14" ht="15.75" thickBot="1" x14ac:dyDescent="0.3">
      <c r="C10" s="6"/>
      <c r="D10" s="138"/>
      <c r="E10" s="139"/>
      <c r="F10" s="73"/>
      <c r="G10" s="229"/>
      <c r="H10" s="146"/>
      <c r="I10" s="230"/>
      <c r="J10" s="73"/>
      <c r="K10" s="145"/>
      <c r="L10" s="146"/>
      <c r="M10" s="147"/>
      <c r="N10" s="73"/>
    </row>
    <row r="11" spans="1:14" ht="15.75" thickBot="1" x14ac:dyDescent="0.3">
      <c r="A11">
        <v>2</v>
      </c>
      <c r="B11" s="58" t="s">
        <v>577</v>
      </c>
      <c r="C11" s="121"/>
      <c r="D11" s="140" t="str">
        <f>IFERROR(VLOOKUP($C11,Datasheet!$G$37:$J$41,2,)," ")</f>
        <v xml:space="preserve"> </v>
      </c>
      <c r="E11" s="137">
        <f>IFERROR(VLOOKUP($C11,Datasheet!$G$37:$J$41,3,),0)</f>
        <v>0</v>
      </c>
      <c r="F11" s="115"/>
      <c r="G11" s="130"/>
      <c r="H11" s="289"/>
      <c r="I11" s="132"/>
      <c r="J11" s="125"/>
      <c r="K11" s="141">
        <f t="shared" si="0"/>
        <v>0</v>
      </c>
      <c r="L11" s="144"/>
      <c r="M11" s="143">
        <f>+K11*E11</f>
        <v>0</v>
      </c>
      <c r="N11" s="73"/>
    </row>
    <row r="12" spans="1:14" ht="15.75" thickBot="1" x14ac:dyDescent="0.3">
      <c r="C12" s="6"/>
      <c r="D12" s="138"/>
      <c r="E12" s="139"/>
      <c r="F12" s="73"/>
      <c r="G12" s="116"/>
      <c r="H12" s="146"/>
      <c r="I12" s="117"/>
      <c r="J12" s="73"/>
      <c r="K12" s="145"/>
      <c r="L12" s="146"/>
      <c r="M12" s="147"/>
      <c r="N12" s="73"/>
    </row>
    <row r="13" spans="1:14" ht="15.75" thickBot="1" x14ac:dyDescent="0.3">
      <c r="A13">
        <v>3</v>
      </c>
      <c r="B13" s="58" t="s">
        <v>431</v>
      </c>
      <c r="C13" s="121"/>
      <c r="D13" s="136" t="str">
        <f>IFERROR(VLOOKUP($C13,Datasheet!$A$7:'Datasheet'!$E$36,2),"")</f>
        <v/>
      </c>
      <c r="E13" s="137">
        <f>IFERROR(VLOOKUP($C$13,Datasheet!$A$7:$E$31,4),0)</f>
        <v>0</v>
      </c>
      <c r="F13" s="73"/>
      <c r="G13" s="130"/>
      <c r="H13" s="289"/>
      <c r="I13" s="132"/>
      <c r="J13" s="125"/>
      <c r="K13" s="141">
        <f t="shared" si="0"/>
        <v>0</v>
      </c>
      <c r="L13" s="144"/>
      <c r="M13" s="143">
        <f>+K13*E13</f>
        <v>0</v>
      </c>
      <c r="N13" s="73"/>
    </row>
    <row r="14" spans="1:14" ht="15.75" thickBot="1" x14ac:dyDescent="0.3">
      <c r="C14" s="6"/>
      <c r="D14" s="138"/>
      <c r="E14" s="139"/>
      <c r="F14" s="73"/>
      <c r="G14" s="229"/>
      <c r="H14" s="146"/>
      <c r="I14" s="230"/>
      <c r="J14" s="73"/>
      <c r="K14" s="145"/>
      <c r="L14" s="146"/>
      <c r="M14" s="147"/>
      <c r="N14" s="73"/>
    </row>
    <row r="15" spans="1:14" ht="15.75" thickBot="1" x14ac:dyDescent="0.3">
      <c r="A15">
        <v>4</v>
      </c>
      <c r="B15" s="58" t="s">
        <v>431</v>
      </c>
      <c r="C15" s="121"/>
      <c r="D15" s="136" t="str">
        <f>IFERROR(VLOOKUP($C$15,Datasheet!$A$7:$E$36,2),"")</f>
        <v/>
      </c>
      <c r="E15" s="137">
        <f>IFERROR(VLOOKUP($C$15,Datasheet!$A$7:$E$31,4),0)</f>
        <v>0</v>
      </c>
      <c r="F15" s="73"/>
      <c r="G15" s="130"/>
      <c r="H15" s="289"/>
      <c r="I15" s="132"/>
      <c r="J15" s="125"/>
      <c r="K15" s="141">
        <f>+I15-G15</f>
        <v>0</v>
      </c>
      <c r="L15" s="144"/>
      <c r="M15" s="143">
        <f>+K15*E15</f>
        <v>0</v>
      </c>
      <c r="N15" s="73"/>
    </row>
    <row r="16" spans="1:14" ht="15.75" thickBot="1" x14ac:dyDescent="0.3">
      <c r="C16" s="6"/>
      <c r="E16" s="63"/>
      <c r="F16" s="73"/>
      <c r="G16" s="229"/>
      <c r="H16" s="146"/>
      <c r="I16" s="230"/>
      <c r="J16" s="73"/>
      <c r="K16" s="145"/>
      <c r="L16" s="146"/>
      <c r="M16" s="147"/>
      <c r="N16" s="73"/>
    </row>
    <row r="17" spans="1:14" ht="15.75" thickBot="1" x14ac:dyDescent="0.3">
      <c r="A17">
        <v>5</v>
      </c>
      <c r="B17" s="58" t="s">
        <v>544</v>
      </c>
      <c r="C17" s="161"/>
      <c r="D17" s="263"/>
      <c r="E17" s="123"/>
      <c r="F17" s="288">
        <v>123</v>
      </c>
      <c r="G17" s="130"/>
      <c r="H17" s="289"/>
      <c r="I17" s="132"/>
      <c r="J17" s="125"/>
      <c r="K17" s="141">
        <f>+I17-G17</f>
        <v>0</v>
      </c>
      <c r="L17" s="144"/>
      <c r="M17" s="143">
        <f>IFERROR(+K17*E17,"Getal in kolom E")</f>
        <v>0</v>
      </c>
      <c r="N17" s="73"/>
    </row>
    <row r="18" spans="1:14" ht="15.75" thickBot="1" x14ac:dyDescent="0.3">
      <c r="B18" s="58" t="s">
        <v>409</v>
      </c>
      <c r="C18" s="264"/>
      <c r="D18" s="158"/>
      <c r="E18" s="159"/>
      <c r="F18" s="73"/>
      <c r="G18" s="227"/>
      <c r="H18" s="146"/>
      <c r="I18" s="228"/>
      <c r="J18" s="73"/>
      <c r="K18" s="145"/>
      <c r="L18" s="146"/>
      <c r="M18" s="147"/>
      <c r="N18" s="73"/>
    </row>
    <row r="19" spans="1:14" ht="15.75" thickBot="1" x14ac:dyDescent="0.3">
      <c r="C19" s="173"/>
      <c r="D19" s="158"/>
      <c r="E19" s="159"/>
      <c r="F19" s="73"/>
      <c r="G19" s="227"/>
      <c r="H19" s="146"/>
      <c r="I19" s="228"/>
      <c r="J19" s="73"/>
      <c r="K19" s="145"/>
      <c r="L19" s="146"/>
      <c r="M19" s="147"/>
      <c r="N19" s="73"/>
    </row>
    <row r="20" spans="1:14" ht="15.75" thickBot="1" x14ac:dyDescent="0.3">
      <c r="A20">
        <v>6</v>
      </c>
      <c r="B20" s="3" t="s">
        <v>432</v>
      </c>
      <c r="C20" s="27" t="s">
        <v>390</v>
      </c>
      <c r="D20" s="3" t="s">
        <v>130</v>
      </c>
      <c r="E20" s="137">
        <f>Datasheet!$R$5</f>
        <v>0.14000000000000001</v>
      </c>
      <c r="F20" s="73"/>
      <c r="G20" s="130"/>
      <c r="H20" s="289"/>
      <c r="I20" s="132"/>
      <c r="J20" s="133"/>
      <c r="K20" s="148">
        <f>+I20-G20</f>
        <v>0</v>
      </c>
      <c r="L20" s="149"/>
      <c r="M20" s="150">
        <f>+K20*E20</f>
        <v>0</v>
      </c>
      <c r="N20" s="73"/>
    </row>
    <row r="21" spans="1:14" x14ac:dyDescent="0.25">
      <c r="C21" s="6"/>
      <c r="E21" s="224"/>
      <c r="G21" s="83"/>
      <c r="I21" s="83"/>
      <c r="K21" s="108"/>
      <c r="M21" s="108"/>
    </row>
    <row r="22" spans="1:14" x14ac:dyDescent="0.25">
      <c r="C22" s="6"/>
      <c r="E22" s="224"/>
      <c r="G22" s="83"/>
      <c r="I22" s="83"/>
      <c r="K22" s="108"/>
      <c r="M22" s="108"/>
    </row>
    <row r="23" spans="1:14" ht="15.75" thickBot="1" x14ac:dyDescent="0.3">
      <c r="C23" s="173"/>
      <c r="D23" s="158"/>
      <c r="E23" s="159"/>
      <c r="G23" s="83"/>
      <c r="I23" s="83"/>
      <c r="K23" s="108"/>
      <c r="M23" s="108"/>
    </row>
    <row r="24" spans="1:14" ht="24" thickBot="1" x14ac:dyDescent="0.4">
      <c r="B24" s="180" t="s">
        <v>448</v>
      </c>
      <c r="C24" s="173"/>
      <c r="D24" s="158"/>
      <c r="E24" s="159"/>
      <c r="F24" s="73"/>
      <c r="G24" s="76" t="s">
        <v>380</v>
      </c>
      <c r="H24" s="289"/>
      <c r="I24" s="77" t="s">
        <v>391</v>
      </c>
      <c r="J24" s="131"/>
      <c r="K24" s="198" t="s">
        <v>392</v>
      </c>
      <c r="L24" s="131"/>
      <c r="M24" s="192" t="s">
        <v>393</v>
      </c>
      <c r="N24" s="73"/>
    </row>
    <row r="25" spans="1:14" ht="15.75" thickBot="1" x14ac:dyDescent="0.3">
      <c r="C25" s="76" t="s">
        <v>388</v>
      </c>
      <c r="D25" s="77" t="s">
        <v>8</v>
      </c>
      <c r="E25" s="78" t="s">
        <v>452</v>
      </c>
      <c r="F25" s="73"/>
      <c r="G25" s="175" t="s">
        <v>449</v>
      </c>
      <c r="H25" s="290"/>
      <c r="I25" s="177" t="s">
        <v>449</v>
      </c>
      <c r="J25" s="191"/>
      <c r="K25" s="3" t="s">
        <v>450</v>
      </c>
      <c r="L25" s="194"/>
      <c r="M25" s="193" t="s">
        <v>403</v>
      </c>
      <c r="N25" s="73"/>
    </row>
    <row r="26" spans="1:14" ht="15.75" thickBot="1" x14ac:dyDescent="0.3">
      <c r="A26">
        <v>1</v>
      </c>
      <c r="B26" s="118" t="s">
        <v>381</v>
      </c>
      <c r="C26" s="121"/>
      <c r="D26" s="136" t="str">
        <f>IFERROR(VLOOKUP($C26,Datasheet!$G$14:$I$26,3)," ")</f>
        <v xml:space="preserve"> </v>
      </c>
      <c r="E26" s="137">
        <f>IFERROR(VLOOKUP($C26,Datasheet!$G$14:$I$26,2),0)</f>
        <v>0</v>
      </c>
      <c r="F26" s="73"/>
      <c r="G26" s="130"/>
      <c r="H26" s="146"/>
      <c r="I26" s="130"/>
      <c r="J26" s="73"/>
      <c r="K26" s="141">
        <f>+I26-G26</f>
        <v>0</v>
      </c>
      <c r="L26" s="195"/>
      <c r="M26" s="141">
        <f>+K26*E26</f>
        <v>0</v>
      </c>
      <c r="N26" s="73"/>
    </row>
    <row r="27" spans="1:14" ht="15.75" thickBot="1" x14ac:dyDescent="0.3">
      <c r="B27" s="58" t="s">
        <v>381</v>
      </c>
      <c r="C27" s="120"/>
      <c r="D27" s="136" t="str">
        <f>IFERROR(VLOOKUP($C27,Datasheet!$G$14:$I$26,3)," ")</f>
        <v xml:space="preserve"> </v>
      </c>
      <c r="E27" s="137">
        <f>IFERROR(VLOOKUP($C27,Datasheet!$G$14:$I$26,2),0)</f>
        <v>0</v>
      </c>
      <c r="F27" s="73"/>
      <c r="G27" s="130"/>
      <c r="H27" s="146"/>
      <c r="I27" s="130"/>
      <c r="J27" s="73"/>
      <c r="K27" s="141">
        <f>+I27-G27</f>
        <v>0</v>
      </c>
      <c r="L27" s="196"/>
      <c r="M27" s="141">
        <f>+K27*E27</f>
        <v>0</v>
      </c>
      <c r="N27" s="73"/>
    </row>
    <row r="28" spans="1:14" ht="15.75" thickBot="1" x14ac:dyDescent="0.3">
      <c r="A28">
        <v>2</v>
      </c>
      <c r="B28" s="58" t="s">
        <v>430</v>
      </c>
      <c r="C28" s="121"/>
      <c r="D28" s="140" t="str">
        <f>IFERROR(VLOOKUP($C28,Datasheet!$G$37:$J$41,2,)," ")</f>
        <v xml:space="preserve"> </v>
      </c>
      <c r="E28" s="137">
        <f>IFERROR(VLOOKUP($C28,Datasheet!$G$37:$J$41,3,),0)</f>
        <v>0</v>
      </c>
      <c r="F28" s="115"/>
      <c r="G28" s="130"/>
      <c r="H28" s="289"/>
      <c r="I28" s="132"/>
      <c r="J28" s="129"/>
      <c r="K28" s="141">
        <f>+I28-G28</f>
        <v>0</v>
      </c>
      <c r="L28" s="197"/>
      <c r="M28" s="141">
        <f>+K28*E28</f>
        <v>0</v>
      </c>
      <c r="N28" s="73"/>
    </row>
    <row r="29" spans="1:14" ht="15.75" thickBot="1" x14ac:dyDescent="0.3">
      <c r="C29" s="173"/>
      <c r="D29" s="190"/>
      <c r="E29" s="190"/>
      <c r="F29" s="73"/>
      <c r="G29" s="227"/>
      <c r="H29" s="146"/>
      <c r="I29" s="228"/>
      <c r="J29" s="73"/>
      <c r="K29" s="141"/>
      <c r="L29" s="146"/>
      <c r="M29" s="141"/>
      <c r="N29" s="73"/>
    </row>
    <row r="30" spans="1:14" ht="15.75" thickBot="1" x14ac:dyDescent="0.3">
      <c r="A30">
        <v>5</v>
      </c>
      <c r="B30" s="58" t="s">
        <v>544</v>
      </c>
      <c r="C30" s="106"/>
      <c r="D30" s="122"/>
      <c r="E30" s="123"/>
      <c r="F30" s="288"/>
      <c r="G30" s="130"/>
      <c r="H30" s="289"/>
      <c r="I30" s="132"/>
      <c r="J30" s="129"/>
      <c r="K30" s="141">
        <f>+I30-G30</f>
        <v>0</v>
      </c>
      <c r="L30" s="196"/>
      <c r="M30" s="143">
        <f>IFERROR(+K30*E30,"Getal in kolom E")</f>
        <v>0</v>
      </c>
      <c r="N30" s="73"/>
    </row>
    <row r="31" spans="1:14" ht="15.75" thickBot="1" x14ac:dyDescent="0.3">
      <c r="B31" s="58" t="s">
        <v>409</v>
      </c>
      <c r="C31" s="106"/>
      <c r="D31" s="158"/>
      <c r="E31" s="159"/>
      <c r="F31" s="73"/>
      <c r="G31" s="227"/>
      <c r="H31" s="146"/>
      <c r="I31" s="228"/>
      <c r="J31" s="73"/>
      <c r="K31" s="145"/>
      <c r="L31" s="146"/>
      <c r="M31" s="147"/>
      <c r="N31" s="73"/>
    </row>
    <row r="32" spans="1:14" ht="15.75" thickBot="1" x14ac:dyDescent="0.3">
      <c r="C32" s="225" t="str">
        <f>IF(AND(NOT($C$33=""),$C$33&lt;Datasheet!$N$16),"Let op , u heeft minder dan 15 kW(Piek) ingevuld","")</f>
        <v/>
      </c>
      <c r="D32" s="158"/>
      <c r="E32" s="159"/>
      <c r="F32" s="73"/>
      <c r="G32" s="227"/>
      <c r="H32" s="146"/>
      <c r="I32" s="228"/>
      <c r="J32" s="73"/>
      <c r="K32" s="145"/>
      <c r="L32" s="146"/>
      <c r="M32" s="147"/>
      <c r="N32" s="73"/>
    </row>
    <row r="33" spans="1:14" ht="15.75" thickBot="1" x14ac:dyDescent="0.3">
      <c r="A33">
        <v>7</v>
      </c>
      <c r="B33" s="118" t="s">
        <v>456</v>
      </c>
      <c r="C33" s="111"/>
      <c r="D33" s="164" t="s">
        <v>457</v>
      </c>
      <c r="E33" s="162"/>
      <c r="F33" s="73"/>
      <c r="G33" s="227"/>
      <c r="H33" s="146"/>
      <c r="I33" s="228"/>
      <c r="J33" s="73"/>
      <c r="K33" s="138"/>
      <c r="L33" s="174"/>
      <c r="M33" s="138"/>
      <c r="N33" s="73"/>
    </row>
    <row r="34" spans="1:14" ht="15.75" thickBot="1" x14ac:dyDescent="0.3">
      <c r="B34" s="165" t="s">
        <v>438</v>
      </c>
      <c r="C34" s="106"/>
      <c r="D34" s="164" t="s">
        <v>439</v>
      </c>
      <c r="E34" s="163">
        <f>+Datasheet!$R$7</f>
        <v>0.14000000000000001</v>
      </c>
      <c r="F34" s="73"/>
      <c r="G34" s="267">
        <v>0</v>
      </c>
      <c r="H34" s="291"/>
      <c r="I34" s="267">
        <f>IF($C$34&gt;900,Datasheet!$N$17*-$C$33,$C$34*-$C$33)</f>
        <v>0</v>
      </c>
      <c r="J34" s="125"/>
      <c r="K34" s="141">
        <f>+I34</f>
        <v>0</v>
      </c>
      <c r="L34" s="144"/>
      <c r="M34" s="141">
        <f>+K34*E34</f>
        <v>0</v>
      </c>
      <c r="N34" s="73"/>
    </row>
    <row r="35" spans="1:14" x14ac:dyDescent="0.25">
      <c r="C35" s="225" t="str">
        <f>IF($C$34&gt;Datasheet!$N$17,"Let op , gerekend is met het maximaal aantal zon uren van  "&amp;Datasheet!$N$17&amp;" uur","")</f>
        <v/>
      </c>
      <c r="E35" s="84"/>
      <c r="G35" s="83"/>
      <c r="I35" s="83"/>
      <c r="K35" s="185"/>
      <c r="L35" s="138"/>
      <c r="M35" s="185"/>
    </row>
    <row r="36" spans="1:14" x14ac:dyDescent="0.25">
      <c r="K36" s="138"/>
      <c r="L36" s="138"/>
      <c r="M36" s="138"/>
    </row>
    <row r="37" spans="1:14" ht="15.75" thickBot="1" x14ac:dyDescent="0.3">
      <c r="C37" s="6"/>
      <c r="E37" s="84"/>
      <c r="G37" s="83"/>
      <c r="I37" s="83"/>
      <c r="K37" s="185"/>
      <c r="L37" s="138"/>
      <c r="M37" s="231"/>
    </row>
    <row r="38" spans="1:14" ht="15.75" thickBot="1" x14ac:dyDescent="0.3">
      <c r="C38" s="6"/>
      <c r="E38" s="84"/>
      <c r="G38" s="107"/>
      <c r="I38" s="83"/>
      <c r="K38" s="71" t="s">
        <v>411</v>
      </c>
      <c r="L38" s="58"/>
      <c r="M38" s="151">
        <f>SUM(M7:M34)</f>
        <v>0</v>
      </c>
    </row>
    <row r="39" spans="1:14" x14ac:dyDescent="0.25">
      <c r="B39" s="68" t="s">
        <v>410</v>
      </c>
      <c r="C39" s="69"/>
      <c r="D39" s="49"/>
      <c r="E39" s="63"/>
      <c r="G39" s="64"/>
      <c r="I39" s="64"/>
      <c r="K39" s="65"/>
      <c r="M39" s="72"/>
    </row>
    <row r="40" spans="1:14" ht="15.75" thickBot="1" x14ac:dyDescent="0.3">
      <c r="B40" s="53"/>
      <c r="C40" s="6"/>
      <c r="D40" s="54"/>
      <c r="E40" s="63"/>
      <c r="I40" s="64"/>
      <c r="K40" s="65"/>
    </row>
    <row r="41" spans="1:14" ht="15.75" thickBot="1" x14ac:dyDescent="0.3">
      <c r="B41" s="70" t="str">
        <f>IF($M$38&lt;=0,Datasheet!$L$11,Datasheet!$L$12)</f>
        <v>Totale besparing CO2/jaar</v>
      </c>
      <c r="C41" s="152">
        <f>-M38</f>
        <v>0</v>
      </c>
      <c r="D41" s="54" t="s">
        <v>382</v>
      </c>
      <c r="E41" s="63"/>
    </row>
    <row r="42" spans="1:14" ht="15.75" thickBot="1" x14ac:dyDescent="0.3">
      <c r="B42" s="50"/>
      <c r="C42" s="153">
        <f>+C41/1000</f>
        <v>0</v>
      </c>
      <c r="D42" s="52" t="s">
        <v>414</v>
      </c>
      <c r="E42" s="63"/>
    </row>
    <row r="43" spans="1:14" ht="15.75" thickBot="1" x14ac:dyDescent="0.3">
      <c r="C43" s="6"/>
      <c r="E43" s="63"/>
    </row>
    <row r="44" spans="1:14" ht="30.75" thickBot="1" x14ac:dyDescent="0.3">
      <c r="B44" s="182" t="str">
        <f>IF($M$38&lt;=0,Datasheet!$L$21,Datasheet!$L$23)</f>
        <v>Totale CO2-besparing over de opgegeven periode van 0 jaar</v>
      </c>
      <c r="C44" s="181">
        <f>IF($C$3&gt;Datasheet!$H$4,+C42*Datasheet!$H$4,$C$42*$C$3)</f>
        <v>0</v>
      </c>
      <c r="D44" s="100" t="s">
        <v>414</v>
      </c>
    </row>
    <row r="45" spans="1:14" ht="15.75" thickBot="1" x14ac:dyDescent="0.3">
      <c r="B45" s="188" t="str">
        <f>IF($C$3&lt;=0,"Vul de levensduur in bovenaan het blad!","")</f>
        <v>Vul de levensduur in bovenaan het blad!</v>
      </c>
      <c r="C45" s="6"/>
    </row>
    <row r="46" spans="1:14" ht="15.75" thickBot="1" x14ac:dyDescent="0.3">
      <c r="B46" s="59" t="s">
        <v>415</v>
      </c>
      <c r="C46" s="111"/>
      <c r="D46" s="110" t="s">
        <v>416</v>
      </c>
    </row>
    <row r="47" spans="1:14" ht="30.75" thickBot="1" x14ac:dyDescent="0.3">
      <c r="B47" s="50" t="s">
        <v>428</v>
      </c>
      <c r="C47" s="154">
        <f>IFERROR(+C46/C44,0)</f>
        <v>0</v>
      </c>
      <c r="D47" s="112" t="s">
        <v>417</v>
      </c>
    </row>
    <row r="48" spans="1:14" x14ac:dyDescent="0.25">
      <c r="B48" s="226"/>
    </row>
    <row r="49" spans="2:3" ht="15.75" thickBot="1" x14ac:dyDescent="0.3"/>
    <row r="50" spans="2:3" x14ac:dyDescent="0.25">
      <c r="B50" s="113" t="s">
        <v>396</v>
      </c>
      <c r="C50" s="6"/>
    </row>
    <row r="51" spans="2:3" ht="15.75" thickBot="1" x14ac:dyDescent="0.3">
      <c r="B51" s="114" t="s">
        <v>593</v>
      </c>
      <c r="C51" s="6"/>
    </row>
    <row r="52" spans="2:3" x14ac:dyDescent="0.25">
      <c r="C52" s="6"/>
    </row>
    <row r="53" spans="2:3" x14ac:dyDescent="0.25">
      <c r="C53" s="6"/>
    </row>
  </sheetData>
  <sheetProtection algorithmName="SHA-512" hashValue="1oT3+YJzUSjmZKDyeEVaUDHavMVc7ClvhZ3Gvz31opfVDes+HV9CpMd6T7I/rRTo09DdX0ahYaWIV/ed0AfNuA==" saltValue="DL6DjecRJUI9lMV64r9QzA==" spinCount="100000" sheet="1" objects="1" scenarios="1"/>
  <dataConsolidate/>
  <customSheetViews>
    <customSheetView guid="{468B9859-406B-47B7-B856-34BDC1863CB4}" scale="80" showGridLines="0" fitToPage="1">
      <selection activeCell="I15" sqref="I15"/>
      <pageMargins left="0.7" right="0.7" top="0.75" bottom="0.75" header="0.3" footer="0.3"/>
      <pageSetup paperSize="9" scale="84" orientation="landscape" r:id="rId1"/>
      <headerFooter>
        <oddFooter>&amp;L_x000D_&amp;1#&amp;"Calibri"&amp;10&amp;K000000 Intern gebruik</oddFooter>
      </headerFooter>
    </customSheetView>
  </customSheetViews>
  <conditionalFormatting sqref="C41:C42">
    <cfRule type="cellIs" dxfId="73" priority="23" operator="lessThan">
      <formula>0</formula>
    </cfRule>
    <cfRule type="cellIs" dxfId="72" priority="24" operator="greaterThan">
      <formula>0</formula>
    </cfRule>
  </conditionalFormatting>
  <conditionalFormatting sqref="C44">
    <cfRule type="cellIs" dxfId="71" priority="43" operator="lessThan">
      <formula>0</formula>
    </cfRule>
    <cfRule type="cellIs" dxfId="70" priority="44" operator="greaterThan">
      <formula>0</formula>
    </cfRule>
  </conditionalFormatting>
  <conditionalFormatting sqref="M7:M9">
    <cfRule type="cellIs" dxfId="69" priority="35" operator="greaterThan">
      <formula>0</formula>
    </cfRule>
    <cfRule type="cellIs" dxfId="68" priority="36" operator="lessThan">
      <formula>0</formula>
    </cfRule>
  </conditionalFormatting>
  <conditionalFormatting sqref="M11">
    <cfRule type="cellIs" dxfId="67" priority="33" operator="greaterThan">
      <formula>0</formula>
    </cfRule>
    <cfRule type="cellIs" dxfId="66" priority="34" operator="lessThan">
      <formula>0</formula>
    </cfRule>
  </conditionalFormatting>
  <conditionalFormatting sqref="M13">
    <cfRule type="cellIs" dxfId="65" priority="31" operator="greaterThan">
      <formula>0</formula>
    </cfRule>
    <cfRule type="cellIs" dxfId="64" priority="32" operator="lessThan">
      <formula>0</formula>
    </cfRule>
  </conditionalFormatting>
  <conditionalFormatting sqref="M15">
    <cfRule type="cellIs" dxfId="63" priority="29" operator="greaterThan">
      <formula>0</formula>
    </cfRule>
    <cfRule type="cellIs" dxfId="62" priority="30" operator="lessThan">
      <formula>0</formula>
    </cfRule>
  </conditionalFormatting>
  <conditionalFormatting sqref="M17:M23">
    <cfRule type="cellIs" dxfId="61" priority="27" operator="greaterThan">
      <formula>0</formula>
    </cfRule>
    <cfRule type="cellIs" dxfId="60" priority="28" operator="lessThan">
      <formula>0</formula>
    </cfRule>
  </conditionalFormatting>
  <conditionalFormatting sqref="M26:M32">
    <cfRule type="cellIs" dxfId="59" priority="1" operator="greaterThan">
      <formula>0</formula>
    </cfRule>
    <cfRule type="cellIs" dxfId="58" priority="2" operator="lessThan">
      <formula>0</formula>
    </cfRule>
  </conditionalFormatting>
  <conditionalFormatting sqref="M34">
    <cfRule type="cellIs" dxfId="57" priority="19" operator="greaterThan">
      <formula>0</formula>
    </cfRule>
    <cfRule type="cellIs" dxfId="56" priority="20" operator="lessThan">
      <formula>0</formula>
    </cfRule>
  </conditionalFormatting>
  <pageMargins left="0.7" right="0.7" top="0.75" bottom="0.75" header="0.3" footer="0.3"/>
  <pageSetup paperSize="9" scale="58"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r:uid="{A50DD52E-2544-4D01-AEA2-F94E50C1EC99}">
          <x14:formula1>
            <xm:f>Datasheet!$G$14:$G$27</xm:f>
          </x14:formula1>
          <xm:sqref>C7:C9 C26:C27</xm:sqref>
        </x14:dataValidation>
        <x14:dataValidation type="list" allowBlank="1" showInputMessage="1" showErrorMessage="1" xr:uid="{75C13D07-D136-42AA-BB9C-F20A4CF228E4}">
          <x14:formula1>
            <xm:f>Datasheet!$A$7:$A$36</xm:f>
          </x14:formula1>
          <xm:sqref>C13 C15</xm:sqref>
        </x14:dataValidation>
        <x14:dataValidation type="list" allowBlank="1" showInputMessage="1" showErrorMessage="1" xr:uid="{00216725-6C14-4B73-A37A-853D7CDEECC5}">
          <x14:formula1>
            <xm:f>Datasheet!$G$37:$G$41</xm:f>
          </x14:formula1>
          <xm:sqref>C11 C28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F741-2B2F-4D14-B59E-86814320F7B4}">
  <sheetPr>
    <tabColor rgb="FF00B050"/>
  </sheetPr>
  <dimension ref="A1:O54"/>
  <sheetViews>
    <sheetView showGridLines="0" zoomScale="85" zoomScaleNormal="85" workbookViewId="0">
      <selection activeCell="G37" sqref="G37"/>
    </sheetView>
  </sheetViews>
  <sheetFormatPr defaultColWidth="0" defaultRowHeight="15" zeroHeight="1" x14ac:dyDescent="0.25"/>
  <cols>
    <col min="1" max="1" width="2.42578125" customWidth="1"/>
    <col min="2" max="2" width="37" customWidth="1"/>
    <col min="3" max="3" width="37.7109375" customWidth="1"/>
    <col min="4" max="4" width="8.28515625" customWidth="1"/>
    <col min="5" max="5" width="15.7109375" customWidth="1"/>
    <col min="6" max="6" width="0.7109375" customWidth="1"/>
    <col min="7" max="7" width="18" customWidth="1"/>
    <col min="8" max="8" width="0.7109375" customWidth="1"/>
    <col min="9" max="9" width="15.7109375" customWidth="1"/>
    <col min="10" max="10" width="0.7109375" customWidth="1"/>
    <col min="11" max="11" width="15.7109375" customWidth="1"/>
    <col min="12" max="12" width="0.7109375" customWidth="1"/>
    <col min="13" max="13" width="15.7109375" customWidth="1"/>
    <col min="14" max="14" width="0.7109375" customWidth="1"/>
    <col min="15" max="15" width="9.140625" customWidth="1"/>
    <col min="16" max="16384" width="9.140625" hidden="1"/>
  </cols>
  <sheetData>
    <row r="1" spans="1:14" ht="15" customHeight="1" thickBot="1" x14ac:dyDescent="0.3">
      <c r="G1" s="80" t="s">
        <v>401</v>
      </c>
    </row>
    <row r="2" spans="1:14" ht="20.25" customHeight="1" thickBot="1" x14ac:dyDescent="0.4">
      <c r="B2" s="82" t="s">
        <v>575</v>
      </c>
      <c r="C2" s="82" t="s">
        <v>475</v>
      </c>
      <c r="G2" s="79" t="s">
        <v>398</v>
      </c>
    </row>
    <row r="3" spans="1:14" ht="28.9" customHeight="1" thickBot="1" x14ac:dyDescent="0.3">
      <c r="B3" s="103" t="s">
        <v>576</v>
      </c>
      <c r="C3" s="106"/>
      <c r="G3" s="81" t="s">
        <v>399</v>
      </c>
    </row>
    <row r="4" spans="1:14" ht="28.9" customHeight="1" x14ac:dyDescent="0.25">
      <c r="B4" s="103"/>
      <c r="C4" s="269" t="str">
        <f>IF($C$3&gt;15,"Let op Maximaal 15 jaar!","")</f>
        <v/>
      </c>
      <c r="G4" s="213"/>
    </row>
    <row r="5" spans="1:14" ht="24" thickBot="1" x14ac:dyDescent="0.4">
      <c r="B5" s="180" t="s">
        <v>499</v>
      </c>
    </row>
    <row r="6" spans="1:14" ht="46.5" customHeight="1" thickBot="1" x14ac:dyDescent="0.3">
      <c r="B6" s="277" t="s">
        <v>578</v>
      </c>
      <c r="F6" s="73"/>
      <c r="G6" s="76" t="s">
        <v>380</v>
      </c>
      <c r="H6" s="131"/>
      <c r="I6" s="77" t="s">
        <v>391</v>
      </c>
      <c r="J6" s="131"/>
      <c r="K6" s="77" t="s">
        <v>392</v>
      </c>
      <c r="L6" s="131"/>
      <c r="M6" s="78" t="s">
        <v>393</v>
      </c>
    </row>
    <row r="7" spans="1:14" ht="15" customHeight="1" thickBot="1" x14ac:dyDescent="0.3">
      <c r="C7" s="76" t="s">
        <v>500</v>
      </c>
      <c r="D7" s="77" t="s">
        <v>8</v>
      </c>
      <c r="E7" s="78" t="s">
        <v>452</v>
      </c>
      <c r="F7" s="73"/>
      <c r="G7" s="175" t="s">
        <v>472</v>
      </c>
      <c r="H7" s="176"/>
      <c r="I7" s="177" t="s">
        <v>472</v>
      </c>
      <c r="J7" s="176"/>
      <c r="K7" s="178" t="s">
        <v>473</v>
      </c>
      <c r="L7" s="176"/>
      <c r="M7" s="179" t="s">
        <v>403</v>
      </c>
    </row>
    <row r="8" spans="1:14" ht="15" customHeight="1" thickBot="1" x14ac:dyDescent="0.3">
      <c r="A8">
        <v>1</v>
      </c>
      <c r="B8" s="118" t="s">
        <v>496</v>
      </c>
      <c r="C8" s="217" t="s">
        <v>474</v>
      </c>
      <c r="D8" s="134" t="s">
        <v>42</v>
      </c>
      <c r="E8" s="214">
        <v>1</v>
      </c>
      <c r="F8" s="73"/>
      <c r="G8" s="126"/>
      <c r="H8" s="73"/>
      <c r="I8" s="126"/>
      <c r="J8" s="124"/>
      <c r="K8" s="141">
        <f>+I8-G8</f>
        <v>0</v>
      </c>
      <c r="L8" s="142"/>
      <c r="M8" s="143">
        <f>-1*(+K8*E8)</f>
        <v>0</v>
      </c>
    </row>
    <row r="9" spans="1:14" ht="15" customHeight="1" thickBot="1" x14ac:dyDescent="0.3">
      <c r="B9" s="58"/>
      <c r="C9" s="215" t="s">
        <v>495</v>
      </c>
      <c r="D9" s="136" t="s">
        <v>42</v>
      </c>
      <c r="E9" s="137">
        <v>1</v>
      </c>
      <c r="F9" s="115"/>
      <c r="G9" s="128"/>
      <c r="H9" s="129"/>
      <c r="I9" s="128"/>
      <c r="J9" s="125"/>
      <c r="K9" s="141">
        <f t="shared" ref="K9:K11" si="0">+I9-G9</f>
        <v>0</v>
      </c>
      <c r="L9" s="144"/>
      <c r="M9" s="143">
        <f>-1*(+K9*E9)</f>
        <v>0</v>
      </c>
    </row>
    <row r="10" spans="1:14" ht="15" customHeight="1" thickBot="1" x14ac:dyDescent="0.3">
      <c r="C10" s="216"/>
      <c r="D10" s="138"/>
      <c r="E10" s="139"/>
      <c r="F10" s="73"/>
      <c r="G10" s="229"/>
      <c r="H10" s="146"/>
      <c r="I10" s="230"/>
      <c r="J10" s="146"/>
      <c r="K10" s="141"/>
      <c r="L10" s="146"/>
      <c r="M10" s="147"/>
    </row>
    <row r="11" spans="1:14" ht="15" customHeight="1" thickBot="1" x14ac:dyDescent="0.3">
      <c r="A11">
        <v>2</v>
      </c>
      <c r="B11" s="58" t="s">
        <v>497</v>
      </c>
      <c r="C11" s="215" t="s">
        <v>498</v>
      </c>
      <c r="D11" s="136" t="s">
        <v>42</v>
      </c>
      <c r="E11" s="137">
        <v>1</v>
      </c>
      <c r="F11" s="115"/>
      <c r="G11" s="130"/>
      <c r="H11" s="131"/>
      <c r="I11" s="132"/>
      <c r="J11" s="125"/>
      <c r="K11" s="148">
        <f t="shared" si="0"/>
        <v>0</v>
      </c>
      <c r="L11" s="144"/>
      <c r="M11" s="150">
        <f>-1*(+K11*E11)</f>
        <v>0</v>
      </c>
    </row>
    <row r="12" spans="1:14" ht="15" customHeight="1" x14ac:dyDescent="0.25">
      <c r="C12" s="218"/>
      <c r="D12" s="138"/>
      <c r="E12" s="221"/>
      <c r="G12" s="157"/>
      <c r="I12" s="157"/>
      <c r="K12" s="185"/>
      <c r="L12" s="138"/>
      <c r="M12" s="185"/>
    </row>
    <row r="13" spans="1:14" ht="24" thickBot="1" x14ac:dyDescent="0.4">
      <c r="B13" s="180" t="s">
        <v>502</v>
      </c>
      <c r="C13" s="188"/>
    </row>
    <row r="14" spans="1:14" ht="63" customHeight="1" thickBot="1" x14ac:dyDescent="0.3">
      <c r="B14" s="277" t="s">
        <v>583</v>
      </c>
      <c r="F14" s="73"/>
      <c r="G14" s="76" t="s">
        <v>380</v>
      </c>
      <c r="H14" s="131"/>
      <c r="I14" s="77" t="s">
        <v>391</v>
      </c>
      <c r="J14" s="131"/>
      <c r="K14" s="77" t="s">
        <v>392</v>
      </c>
      <c r="L14" s="131"/>
      <c r="M14" s="78" t="s">
        <v>393</v>
      </c>
      <c r="N14" s="73"/>
    </row>
    <row r="15" spans="1:14" ht="15.75" thickBot="1" x14ac:dyDescent="0.3">
      <c r="C15" s="76" t="s">
        <v>388</v>
      </c>
      <c r="D15" s="77" t="s">
        <v>8</v>
      </c>
      <c r="E15" s="192" t="s">
        <v>452</v>
      </c>
      <c r="F15" s="73"/>
      <c r="G15" s="175" t="s">
        <v>395</v>
      </c>
      <c r="H15" s="176"/>
      <c r="I15" s="177" t="s">
        <v>395</v>
      </c>
      <c r="J15" s="176"/>
      <c r="K15" s="178" t="s">
        <v>402</v>
      </c>
      <c r="L15" s="176"/>
      <c r="M15" s="179" t="s">
        <v>403</v>
      </c>
      <c r="N15" s="73"/>
    </row>
    <row r="16" spans="1:14" ht="15.75" thickBot="1" x14ac:dyDescent="0.3">
      <c r="A16">
        <v>1</v>
      </c>
      <c r="B16" s="118" t="s">
        <v>381</v>
      </c>
      <c r="C16" s="119"/>
      <c r="D16" s="134" t="str">
        <f>IFERROR(VLOOKUP($C16,Datasheet!$G$14:$I$26,3)," ")</f>
        <v xml:space="preserve"> </v>
      </c>
      <c r="E16" s="137">
        <f>IFERROR(VLOOKUP($C16,Datasheet!$G$14:$I$26,2),0)</f>
        <v>0</v>
      </c>
      <c r="F16" s="73"/>
      <c r="G16" s="126"/>
      <c r="H16" s="73"/>
      <c r="I16" s="126"/>
      <c r="J16" s="124"/>
      <c r="K16" s="141">
        <f>+I16-G16</f>
        <v>0</v>
      </c>
      <c r="L16" s="142"/>
      <c r="M16" s="143">
        <f>+K16*E16</f>
        <v>0</v>
      </c>
      <c r="N16" s="73"/>
    </row>
    <row r="17" spans="1:14" ht="15.75" thickBot="1" x14ac:dyDescent="0.3">
      <c r="B17" s="58" t="s">
        <v>381</v>
      </c>
      <c r="C17" s="121"/>
      <c r="D17" s="136" t="str">
        <f>IFERROR(VLOOKUP($C17,Datasheet!$G$14:$I$26,3)," ")</f>
        <v xml:space="preserve"> </v>
      </c>
      <c r="E17" s="135">
        <f>IFERROR(VLOOKUP($C17,Datasheet!$G$14:$I$26,2),0)</f>
        <v>0</v>
      </c>
      <c r="F17" s="115"/>
      <c r="G17" s="128"/>
      <c r="H17" s="129"/>
      <c r="I17" s="128"/>
      <c r="J17" s="125"/>
      <c r="K17" s="141">
        <f t="shared" ref="K17:K22" si="1">+I17-G17</f>
        <v>0</v>
      </c>
      <c r="L17" s="144"/>
      <c r="M17" s="143">
        <f t="shared" ref="M17:M18" si="2">+K17*E17</f>
        <v>0</v>
      </c>
      <c r="N17" s="73"/>
    </row>
    <row r="18" spans="1:14" ht="15.75" thickBot="1" x14ac:dyDescent="0.3">
      <c r="B18" s="58" t="s">
        <v>381</v>
      </c>
      <c r="C18" s="120"/>
      <c r="D18" s="136" t="str">
        <f>IFERROR(VLOOKUP($C18,Datasheet!$G$14:$I$26,3)," ")</f>
        <v xml:space="preserve"> </v>
      </c>
      <c r="E18" s="137">
        <f>IFERROR(VLOOKUP($C18,Datasheet!$G$14:$I$26,2),0)</f>
        <v>0</v>
      </c>
      <c r="F18" s="115"/>
      <c r="G18" s="127"/>
      <c r="H18" s="129"/>
      <c r="I18" s="127"/>
      <c r="J18" s="125"/>
      <c r="K18" s="141">
        <f t="shared" si="1"/>
        <v>0</v>
      </c>
      <c r="L18" s="144"/>
      <c r="M18" s="143">
        <f t="shared" si="2"/>
        <v>0</v>
      </c>
      <c r="N18" s="73"/>
    </row>
    <row r="19" spans="1:14" ht="15.75" thickBot="1" x14ac:dyDescent="0.3">
      <c r="C19" s="6"/>
      <c r="D19" s="138"/>
      <c r="E19" s="139"/>
      <c r="F19" s="73"/>
      <c r="G19" s="229"/>
      <c r="H19" s="146"/>
      <c r="I19" s="230"/>
      <c r="J19" s="146"/>
      <c r="K19" s="145"/>
      <c r="L19" s="146"/>
      <c r="M19" s="147"/>
      <c r="N19" s="73"/>
    </row>
    <row r="20" spans="1:14" ht="15.75" thickBot="1" x14ac:dyDescent="0.3">
      <c r="A20">
        <v>2</v>
      </c>
      <c r="B20" s="58" t="s">
        <v>577</v>
      </c>
      <c r="C20" s="121"/>
      <c r="D20" s="140" t="str">
        <f>IFERROR(VLOOKUP($C20,Datasheet!$G$37:$J$41,2,)," ")</f>
        <v xml:space="preserve"> </v>
      </c>
      <c r="E20" s="137">
        <f>IFERROR(VLOOKUP($C20,Datasheet!$G$37:$J$41,3,),0)</f>
        <v>0</v>
      </c>
      <c r="F20" s="115"/>
      <c r="G20" s="130"/>
      <c r="H20" s="131"/>
      <c r="I20" s="132"/>
      <c r="J20" s="125"/>
      <c r="K20" s="141">
        <f t="shared" si="1"/>
        <v>0</v>
      </c>
      <c r="L20" s="144"/>
      <c r="M20" s="143">
        <f>+K20*E20</f>
        <v>0</v>
      </c>
      <c r="N20" s="73"/>
    </row>
    <row r="21" spans="1:14" ht="15.75" thickBot="1" x14ac:dyDescent="0.3">
      <c r="C21" s="6"/>
      <c r="D21" s="138"/>
      <c r="E21" s="139"/>
      <c r="F21" s="73"/>
      <c r="G21" s="229"/>
      <c r="H21" s="146"/>
      <c r="I21" s="230"/>
      <c r="J21" s="146"/>
      <c r="K21" s="145"/>
      <c r="L21" s="146"/>
      <c r="M21" s="147"/>
      <c r="N21" s="73"/>
    </row>
    <row r="22" spans="1:14" ht="15.75" thickBot="1" x14ac:dyDescent="0.3">
      <c r="A22">
        <v>3</v>
      </c>
      <c r="B22" s="58" t="s">
        <v>431</v>
      </c>
      <c r="C22" s="121"/>
      <c r="D22" s="136" t="str">
        <f>IFERROR(VLOOKUP($C22,Datasheet!$A$7:'Datasheet'!$E$36,2),"")</f>
        <v/>
      </c>
      <c r="E22" s="137">
        <f>IFERROR(VLOOKUP($C$22,Datasheet!$A$7:$E$31,4),0)</f>
        <v>0</v>
      </c>
      <c r="F22" s="73"/>
      <c r="G22" s="130"/>
      <c r="H22" s="131"/>
      <c r="I22" s="132"/>
      <c r="J22" s="125"/>
      <c r="K22" s="141">
        <f t="shared" si="1"/>
        <v>0</v>
      </c>
      <c r="L22" s="144"/>
      <c r="M22" s="143">
        <f>+K22*E22</f>
        <v>0</v>
      </c>
      <c r="N22" s="73"/>
    </row>
    <row r="23" spans="1:14" ht="15.75" thickBot="1" x14ac:dyDescent="0.3">
      <c r="C23" s="6"/>
      <c r="D23" s="138"/>
      <c r="E23" s="139"/>
      <c r="F23" s="73"/>
      <c r="G23" s="229"/>
      <c r="H23" s="146"/>
      <c r="I23" s="230"/>
      <c r="J23" s="146"/>
      <c r="K23" s="145"/>
      <c r="L23" s="146"/>
      <c r="M23" s="147"/>
      <c r="N23" s="73"/>
    </row>
    <row r="24" spans="1:14" ht="15.75" thickBot="1" x14ac:dyDescent="0.3">
      <c r="A24">
        <v>4</v>
      </c>
      <c r="B24" s="58" t="s">
        <v>431</v>
      </c>
      <c r="C24" s="121"/>
      <c r="D24" s="136" t="str">
        <f>IFERROR(VLOOKUP($C$24,Datasheet!$A$7:$E$36,2),"")</f>
        <v/>
      </c>
      <c r="E24" s="137">
        <f>IFERROR(VLOOKUP($C$24,Datasheet!$A$7:$E$31,4),0)</f>
        <v>0</v>
      </c>
      <c r="F24" s="73"/>
      <c r="G24" s="130"/>
      <c r="H24" s="131"/>
      <c r="I24" s="132"/>
      <c r="J24" s="125"/>
      <c r="K24" s="141">
        <f>+I24-G24</f>
        <v>0</v>
      </c>
      <c r="L24" s="144"/>
      <c r="M24" s="143">
        <f>+K24*E24</f>
        <v>0</v>
      </c>
      <c r="N24" s="73"/>
    </row>
    <row r="25" spans="1:14" ht="15.75" thickBot="1" x14ac:dyDescent="0.3">
      <c r="C25" s="6"/>
      <c r="E25" s="63"/>
      <c r="F25" s="73"/>
      <c r="G25" s="229"/>
      <c r="H25" s="146"/>
      <c r="I25" s="230"/>
      <c r="J25" s="146"/>
      <c r="K25" s="145"/>
      <c r="L25" s="146"/>
      <c r="M25" s="147"/>
      <c r="N25" s="73"/>
    </row>
    <row r="26" spans="1:14" ht="15.75" thickBot="1" x14ac:dyDescent="0.3">
      <c r="A26">
        <v>5</v>
      </c>
      <c r="B26" s="58" t="s">
        <v>544</v>
      </c>
      <c r="C26" s="106"/>
      <c r="D26" s="122"/>
      <c r="E26" s="123"/>
      <c r="F26" s="73"/>
      <c r="G26" s="130"/>
      <c r="H26" s="131"/>
      <c r="I26" s="132"/>
      <c r="J26" s="125"/>
      <c r="K26" s="141">
        <f>+I26-G26</f>
        <v>0</v>
      </c>
      <c r="L26" s="144"/>
      <c r="M26" s="143">
        <f>IFERROR(+K26*E26,"Getal in kolom E")</f>
        <v>0</v>
      </c>
      <c r="N26" s="73"/>
    </row>
    <row r="27" spans="1:14" ht="15.75" thickBot="1" x14ac:dyDescent="0.3">
      <c r="B27" s="58" t="s">
        <v>409</v>
      </c>
      <c r="C27" s="106"/>
      <c r="D27" s="158"/>
      <c r="E27" s="159"/>
      <c r="F27" s="73"/>
      <c r="G27" s="227"/>
      <c r="H27" s="146"/>
      <c r="I27" s="228"/>
      <c r="J27" s="146"/>
      <c r="K27" s="145"/>
      <c r="L27" s="146"/>
      <c r="M27" s="147"/>
      <c r="N27" s="73"/>
    </row>
    <row r="28" spans="1:14" ht="15.75" thickBot="1" x14ac:dyDescent="0.3">
      <c r="C28" s="173"/>
      <c r="D28" s="158"/>
      <c r="E28" s="159"/>
      <c r="F28" s="73"/>
      <c r="G28" s="227"/>
      <c r="H28" s="146"/>
      <c r="I28" s="228"/>
      <c r="J28" s="146"/>
      <c r="K28" s="145"/>
      <c r="L28" s="146"/>
      <c r="M28" s="147"/>
      <c r="N28" s="73"/>
    </row>
    <row r="29" spans="1:14" ht="15.75" thickBot="1" x14ac:dyDescent="0.3">
      <c r="A29">
        <v>6</v>
      </c>
      <c r="B29" s="3" t="s">
        <v>432</v>
      </c>
      <c r="C29" s="27" t="s">
        <v>390</v>
      </c>
      <c r="D29" s="3" t="s">
        <v>130</v>
      </c>
      <c r="E29" s="137">
        <f>Datasheet!$R$5</f>
        <v>0.14000000000000001</v>
      </c>
      <c r="F29" s="73"/>
      <c r="G29" s="130"/>
      <c r="H29" s="131"/>
      <c r="I29" s="132"/>
      <c r="J29" s="133"/>
      <c r="K29" s="148">
        <f>+I29-G29</f>
        <v>0</v>
      </c>
      <c r="L29" s="149"/>
      <c r="M29" s="150">
        <f>+K29*E29</f>
        <v>0</v>
      </c>
      <c r="N29" s="73"/>
    </row>
    <row r="30" spans="1:14" x14ac:dyDescent="0.25">
      <c r="C30" s="6"/>
      <c r="E30" s="184"/>
      <c r="G30" s="83"/>
      <c r="I30" s="83"/>
      <c r="K30" s="185"/>
      <c r="L30" s="138"/>
      <c r="M30" s="185"/>
    </row>
    <row r="31" spans="1:14" ht="15.75" thickBot="1" x14ac:dyDescent="0.3">
      <c r="C31" s="6"/>
      <c r="E31" s="184"/>
      <c r="G31" s="83"/>
      <c r="I31" s="83"/>
      <c r="K31" s="185"/>
      <c r="L31" s="138"/>
      <c r="M31" s="185"/>
    </row>
    <row r="32" spans="1:14" ht="15.75" thickBot="1" x14ac:dyDescent="0.3">
      <c r="C32" s="173"/>
      <c r="D32" s="158"/>
      <c r="E32" s="159"/>
      <c r="G32" s="83"/>
      <c r="I32" s="83"/>
      <c r="K32" s="71" t="s">
        <v>479</v>
      </c>
      <c r="L32" s="58"/>
      <c r="M32" s="151">
        <f>SUM(M16:M29)</f>
        <v>0</v>
      </c>
    </row>
    <row r="33" spans="2:13" x14ac:dyDescent="0.25"/>
    <row r="34" spans="2:13" ht="15.75" thickBot="1" x14ac:dyDescent="0.3">
      <c r="C34" s="6"/>
      <c r="E34" s="84"/>
      <c r="G34" s="83"/>
      <c r="I34" s="83"/>
      <c r="K34" s="108"/>
      <c r="M34" s="109"/>
    </row>
    <row r="35" spans="2:13" ht="19.5" thickBot="1" x14ac:dyDescent="0.35">
      <c r="B35" s="98" t="s">
        <v>476</v>
      </c>
      <c r="C35" s="69"/>
      <c r="D35" s="49"/>
      <c r="E35" s="84"/>
      <c r="G35" s="83"/>
      <c r="I35" s="83"/>
    </row>
    <row r="36" spans="2:13" ht="15.75" thickBot="1" x14ac:dyDescent="0.3">
      <c r="B36" s="70" t="s">
        <v>477</v>
      </c>
      <c r="C36" s="219">
        <f>-SUM(M8:M9)</f>
        <v>0</v>
      </c>
      <c r="D36" s="54" t="s">
        <v>382</v>
      </c>
      <c r="E36" s="84"/>
      <c r="G36" s="83"/>
      <c r="I36" s="83"/>
      <c r="K36" s="108"/>
      <c r="M36" s="109"/>
    </row>
    <row r="37" spans="2:13" ht="15.75" thickBot="1" x14ac:dyDescent="0.3">
      <c r="B37" s="70" t="str">
        <f>IF($C$37&gt;=0,Datasheet!$L$13,Datasheet!$L$12)</f>
        <v>Totale vastlegging CO2/jaar</v>
      </c>
      <c r="C37" s="274" t="str">
        <f>IFERROR(+C36-M32*ABS(SUM(M8:M9)/SUM(M8:M11)),"")</f>
        <v/>
      </c>
      <c r="D37" s="54" t="s">
        <v>382</v>
      </c>
      <c r="E37" s="271" t="str">
        <f>IF(AND(NOT($C$37=""),$C$37&gt;$C$36),"U kunt niet meer dan "&amp;$C$36&amp;" kg CO2 vastleggen","")</f>
        <v/>
      </c>
      <c r="G37" s="83"/>
      <c r="I37" s="83"/>
      <c r="K37" s="108"/>
      <c r="M37" s="109"/>
    </row>
    <row r="38" spans="2:13" ht="15.75" thickBot="1" x14ac:dyDescent="0.3">
      <c r="B38" s="50"/>
      <c r="C38" s="232">
        <f>IFERROR(+C37/1000,0)</f>
        <v>0</v>
      </c>
      <c r="D38" s="52" t="s">
        <v>414</v>
      </c>
      <c r="E38" s="84"/>
      <c r="G38" s="83"/>
      <c r="I38" s="83"/>
      <c r="K38" s="108"/>
      <c r="M38" s="109"/>
    </row>
    <row r="39" spans="2:13" ht="15.75" thickBot="1" x14ac:dyDescent="0.3">
      <c r="C39" s="6"/>
      <c r="E39" s="84"/>
      <c r="G39" s="107"/>
      <c r="I39" s="83"/>
    </row>
    <row r="40" spans="2:13" ht="19.5" thickBot="1" x14ac:dyDescent="0.35">
      <c r="B40" s="98" t="s">
        <v>480</v>
      </c>
      <c r="C40" s="69"/>
      <c r="D40" s="49"/>
      <c r="E40" s="63"/>
      <c r="G40" s="64"/>
      <c r="I40" s="64"/>
      <c r="K40" s="65"/>
      <c r="M40" s="72"/>
    </row>
    <row r="41" spans="2:13" ht="15.75" thickBot="1" x14ac:dyDescent="0.3">
      <c r="B41" s="70" t="s">
        <v>478</v>
      </c>
      <c r="C41" s="220">
        <f>-M11</f>
        <v>0</v>
      </c>
      <c r="D41" s="54" t="s">
        <v>382</v>
      </c>
      <c r="E41" s="63"/>
      <c r="I41" s="64"/>
      <c r="K41" s="65"/>
    </row>
    <row r="42" spans="2:13" ht="15.75" thickBot="1" x14ac:dyDescent="0.3">
      <c r="B42" s="70" t="str">
        <f>IF($C$42&gt;=0,Datasheet!$L$11,Datasheet!$L$12)</f>
        <v>Totale besparing CO2/jaar</v>
      </c>
      <c r="C42" s="152" t="str">
        <f>IFERROR(C41-M32*M11/(M11+M9+M8),"")</f>
        <v/>
      </c>
      <c r="D42" s="54" t="s">
        <v>382</v>
      </c>
      <c r="E42" s="272"/>
    </row>
    <row r="43" spans="2:13" ht="15.75" thickBot="1" x14ac:dyDescent="0.3">
      <c r="B43" s="50"/>
      <c r="C43" s="153">
        <f>IFERROR(+C42/1000,0)</f>
        <v>0</v>
      </c>
      <c r="D43" s="52" t="s">
        <v>414</v>
      </c>
      <c r="E43" s="63"/>
    </row>
    <row r="44" spans="2:13" ht="15.75" thickBot="1" x14ac:dyDescent="0.3">
      <c r="C44" s="6"/>
      <c r="E44" s="63"/>
    </row>
    <row r="45" spans="2:13" ht="30.75" thickBot="1" x14ac:dyDescent="0.3">
      <c r="B45" s="270" t="str">
        <f>IF($M$32&lt;=0,Datasheet!$L$33,Datasheet!$L$35)</f>
        <v>Totale CO2-besparing over de opgegeven periode van 0 jaar</v>
      </c>
      <c r="C45" s="181">
        <f>IF($C$3&gt;Datasheet!$H$4,+C43*Datasheet!$H$4,$C$43*$C$3)</f>
        <v>0</v>
      </c>
      <c r="D45" s="100" t="s">
        <v>414</v>
      </c>
    </row>
    <row r="46" spans="2:13" ht="15.75" thickBot="1" x14ac:dyDescent="0.3">
      <c r="B46" s="188" t="str">
        <f>IF($C$3&lt;=0,"Vul de levensduur in bovenaan het blad!","")</f>
        <v>Vul de levensduur in bovenaan het blad!</v>
      </c>
      <c r="C46" s="6"/>
    </row>
    <row r="47" spans="2:13" ht="15.75" thickBot="1" x14ac:dyDescent="0.3">
      <c r="B47" s="59" t="s">
        <v>415</v>
      </c>
      <c r="C47" s="111"/>
      <c r="D47" s="110" t="s">
        <v>416</v>
      </c>
    </row>
    <row r="48" spans="2:13" ht="30.75" thickBot="1" x14ac:dyDescent="0.3">
      <c r="B48" s="50" t="s">
        <v>428</v>
      </c>
      <c r="C48" s="154">
        <f>IFERROR(+C47/C45,0)</f>
        <v>0</v>
      </c>
      <c r="D48" s="112" t="s">
        <v>417</v>
      </c>
    </row>
    <row r="49" spans="2:3" x14ac:dyDescent="0.25">
      <c r="B49" s="155"/>
    </row>
    <row r="50" spans="2:3" ht="15.75" thickBot="1" x14ac:dyDescent="0.3"/>
    <row r="51" spans="2:3" x14ac:dyDescent="0.25">
      <c r="B51" s="113" t="s">
        <v>396</v>
      </c>
      <c r="C51" s="6"/>
    </row>
    <row r="52" spans="2:3" ht="15.75" thickBot="1" x14ac:dyDescent="0.3">
      <c r="B52" s="114" t="str">
        <f>'Energie , overige thema''s'!B51</f>
        <v>Versie D 1.8-1 december 2025</v>
      </c>
      <c r="C52" s="6"/>
    </row>
    <row r="53" spans="2:3" x14ac:dyDescent="0.25">
      <c r="C53" s="6"/>
    </row>
    <row r="54" spans="2:3" x14ac:dyDescent="0.25">
      <c r="C54" s="6"/>
    </row>
  </sheetData>
  <sheetProtection algorithmName="SHA-512" hashValue="yNCE48Q1tW1xwovgquWijsPuyCMmt2z6F48IjAuae1VM3x0NNLHyaFc5z0ftXbgjN0Q/wPT8/h7gD+rTUjPbTA==" saltValue="WD/DXkhn1B8TYBkmfhV1Nw==" spinCount="100000" sheet="1" objects="1" scenarios="1"/>
  <conditionalFormatting sqref="C37">
    <cfRule type="cellIs" dxfId="55" priority="3" operator="equal">
      <formula>""</formula>
    </cfRule>
  </conditionalFormatting>
  <conditionalFormatting sqref="C37:C38">
    <cfRule type="cellIs" dxfId="54" priority="8" operator="lessThan">
      <formula>0</formula>
    </cfRule>
    <cfRule type="cellIs" dxfId="53" priority="9" operator="greaterThan">
      <formula>0</formula>
    </cfRule>
  </conditionalFormatting>
  <conditionalFormatting sqref="C42">
    <cfRule type="cellIs" dxfId="52" priority="1" operator="equal">
      <formula>""</formula>
    </cfRule>
  </conditionalFormatting>
  <conditionalFormatting sqref="C42:C43">
    <cfRule type="cellIs" dxfId="51" priority="18" operator="lessThan">
      <formula>0</formula>
    </cfRule>
    <cfRule type="cellIs" dxfId="50" priority="19" operator="greaterThan">
      <formula>0</formula>
    </cfRule>
  </conditionalFormatting>
  <conditionalFormatting sqref="C45">
    <cfRule type="cellIs" dxfId="49" priority="30" operator="lessThan">
      <formula>0</formula>
    </cfRule>
    <cfRule type="cellIs" dxfId="48" priority="31" operator="greaterThan">
      <formula>0</formula>
    </cfRule>
  </conditionalFormatting>
  <conditionalFormatting sqref="M8:M9">
    <cfRule type="cellIs" dxfId="47" priority="12" operator="greaterThan">
      <formula>0</formula>
    </cfRule>
    <cfRule type="cellIs" dxfId="46" priority="13" operator="lessThan">
      <formula>0</formula>
    </cfRule>
  </conditionalFormatting>
  <conditionalFormatting sqref="M11:M12">
    <cfRule type="cellIs" dxfId="45" priority="10" operator="greaterThan">
      <formula>0</formula>
    </cfRule>
    <cfRule type="cellIs" dxfId="44" priority="11" operator="lessThan">
      <formula>0</formula>
    </cfRule>
  </conditionalFormatting>
  <conditionalFormatting sqref="M16:M18">
    <cfRule type="cellIs" dxfId="43" priority="28" operator="greaterThan">
      <formula>0</formula>
    </cfRule>
    <cfRule type="cellIs" dxfId="42" priority="29" operator="lessThan">
      <formula>0</formula>
    </cfRule>
  </conditionalFormatting>
  <conditionalFormatting sqref="M20">
    <cfRule type="cellIs" dxfId="41" priority="26" operator="greaterThan">
      <formula>0</formula>
    </cfRule>
    <cfRule type="cellIs" dxfId="40" priority="27" operator="lessThan">
      <formula>0</formula>
    </cfRule>
  </conditionalFormatting>
  <conditionalFormatting sqref="M22">
    <cfRule type="cellIs" dxfId="39" priority="24" operator="greaterThan">
      <formula>0</formula>
    </cfRule>
    <cfRule type="cellIs" dxfId="38" priority="25" operator="lessThan">
      <formula>0</formula>
    </cfRule>
  </conditionalFormatting>
  <conditionalFormatting sqref="M24">
    <cfRule type="cellIs" dxfId="37" priority="22" operator="greaterThan">
      <formula>0</formula>
    </cfRule>
    <cfRule type="cellIs" dxfId="36" priority="23" operator="lessThan">
      <formula>0</formula>
    </cfRule>
  </conditionalFormatting>
  <conditionalFormatting sqref="M26:M32">
    <cfRule type="cellIs" dxfId="35" priority="20" operator="greaterThan">
      <formula>0</formula>
    </cfRule>
    <cfRule type="cellIs" dxfId="34" priority="21" operator="lessThan">
      <formula>0</formula>
    </cfRule>
  </conditionalFormatting>
  <pageMargins left="0.7" right="0.7" top="0.75" bottom="0.75" header="0.3" footer="0.3"/>
  <pageSetup paperSize="9" scale="5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81564047-9FDE-4CCF-B74F-C493E1A59DC5}">
          <x14:formula1>
            <xm:f>Datasheet!$G$37:$G$41</xm:f>
          </x14:formula1>
          <xm:sqref>C20</xm:sqref>
        </x14:dataValidation>
        <x14:dataValidation type="list" allowBlank="1" showInputMessage="1" showErrorMessage="1" xr:uid="{BAD4546B-0FD9-4E2B-A91B-3E0E49B50251}">
          <x14:formula1>
            <xm:f>Datasheet!$A$7:$A$36</xm:f>
          </x14:formula1>
          <xm:sqref>C22 C24</xm:sqref>
        </x14:dataValidation>
        <x14:dataValidation type="list" allowBlank="1" showInputMessage="1" showErrorMessage="1" xr:uid="{CDB85449-E341-4646-95C7-13F992BA3DE5}">
          <x14:formula1>
            <xm:f>Datasheet!$G$14:$G$27</xm:f>
          </x14:formula1>
          <xm:sqref>C16:C18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1238-E106-410F-BBDB-1BD21E8637BB}">
  <sheetPr>
    <tabColor rgb="FF00B050"/>
  </sheetPr>
  <dimension ref="A1:P55"/>
  <sheetViews>
    <sheetView showGridLines="0" zoomScale="85" zoomScaleNormal="85" workbookViewId="0">
      <selection activeCell="C3" sqref="C3"/>
    </sheetView>
  </sheetViews>
  <sheetFormatPr defaultColWidth="0" defaultRowHeight="15" zeroHeight="1" x14ac:dyDescent="0.25"/>
  <cols>
    <col min="1" max="1" width="2.42578125" customWidth="1"/>
    <col min="2" max="2" width="37" customWidth="1"/>
    <col min="3" max="3" width="35.85546875" customWidth="1"/>
    <col min="4" max="4" width="8.28515625" customWidth="1"/>
    <col min="5" max="5" width="14.85546875" customWidth="1"/>
    <col min="6" max="6" width="0.7109375" customWidth="1"/>
    <col min="7" max="7" width="18.28515625" customWidth="1"/>
    <col min="8" max="8" width="0.7109375" customWidth="1"/>
    <col min="9" max="9" width="15.5703125" customWidth="1"/>
    <col min="10" max="10" width="0.7109375" customWidth="1"/>
    <col min="11" max="11" width="15.5703125" customWidth="1"/>
    <col min="12" max="12" width="0.7109375" customWidth="1"/>
    <col min="13" max="13" width="15.5703125" customWidth="1"/>
    <col min="14" max="14" width="0.7109375" customWidth="1"/>
    <col min="15" max="15" width="19.7109375" customWidth="1"/>
    <col min="16" max="16" width="9.140625" customWidth="1"/>
    <col min="17" max="16384" width="9.140625" hidden="1"/>
  </cols>
  <sheetData>
    <row r="1" spans="1:14" ht="15" customHeight="1" thickBot="1" x14ac:dyDescent="0.3">
      <c r="G1" s="80" t="s">
        <v>401</v>
      </c>
    </row>
    <row r="2" spans="1:14" ht="20.25" customHeight="1" thickBot="1" x14ac:dyDescent="0.4">
      <c r="B2" s="82" t="s">
        <v>575</v>
      </c>
      <c r="C2" s="82" t="s">
        <v>481</v>
      </c>
      <c r="G2" s="79" t="s">
        <v>398</v>
      </c>
    </row>
    <row r="3" spans="1:14" ht="28.9" customHeight="1" thickBot="1" x14ac:dyDescent="0.3">
      <c r="B3" s="103" t="s">
        <v>576</v>
      </c>
      <c r="C3" s="106"/>
      <c r="G3" s="81" t="s">
        <v>399</v>
      </c>
    </row>
    <row r="4" spans="1:14" ht="28.9" customHeight="1" x14ac:dyDescent="0.25">
      <c r="B4" s="103"/>
      <c r="C4" s="269" t="str">
        <f>IF($C$3&gt;15,"Let op Maximaal 15 jaar!","")</f>
        <v/>
      </c>
      <c r="G4" s="213"/>
    </row>
    <row r="5" spans="1:14" ht="24" thickBot="1" x14ac:dyDescent="0.4">
      <c r="B5" s="180" t="s">
        <v>502</v>
      </c>
    </row>
    <row r="6" spans="1:14" ht="75.75" thickBot="1" x14ac:dyDescent="0.3">
      <c r="B6" s="277" t="s">
        <v>582</v>
      </c>
      <c r="F6" s="73"/>
      <c r="G6" s="76" t="s">
        <v>380</v>
      </c>
      <c r="H6" s="131"/>
      <c r="I6" s="77" t="s">
        <v>391</v>
      </c>
      <c r="J6" s="131"/>
      <c r="K6" s="77" t="s">
        <v>392</v>
      </c>
      <c r="L6" s="131"/>
      <c r="M6" s="78" t="s">
        <v>393</v>
      </c>
      <c r="N6" s="73"/>
    </row>
    <row r="7" spans="1:14" ht="15.75" thickBot="1" x14ac:dyDescent="0.3">
      <c r="C7" s="76" t="s">
        <v>388</v>
      </c>
      <c r="D7" s="77" t="s">
        <v>8</v>
      </c>
      <c r="E7" s="192" t="s">
        <v>452</v>
      </c>
      <c r="F7" s="73"/>
      <c r="G7" s="175" t="s">
        <v>395</v>
      </c>
      <c r="H7" s="176"/>
      <c r="I7" s="177" t="s">
        <v>395</v>
      </c>
      <c r="J7" s="176"/>
      <c r="K7" s="178" t="s">
        <v>402</v>
      </c>
      <c r="L7" s="176"/>
      <c r="M7" s="179" t="s">
        <v>403</v>
      </c>
      <c r="N7" s="73"/>
    </row>
    <row r="8" spans="1:14" ht="15.75" thickBot="1" x14ac:dyDescent="0.3">
      <c r="A8">
        <v>1</v>
      </c>
      <c r="B8" s="118" t="s">
        <v>381</v>
      </c>
      <c r="C8" s="119"/>
      <c r="D8" s="134" t="str">
        <f>IFERROR(VLOOKUP($C8,Datasheet!$G$14:$I$26,3)," ")</f>
        <v xml:space="preserve"> </v>
      </c>
      <c r="E8" s="137">
        <f>IFERROR(VLOOKUP($C8,Datasheet!$G$14:$I$26,2),0)</f>
        <v>0</v>
      </c>
      <c r="F8" s="73"/>
      <c r="G8" s="126"/>
      <c r="H8" s="73"/>
      <c r="I8" s="126"/>
      <c r="J8" s="124"/>
      <c r="K8" s="141">
        <f>+I8-G8</f>
        <v>0</v>
      </c>
      <c r="L8" s="142"/>
      <c r="M8" s="143">
        <f>+K8*E8</f>
        <v>0</v>
      </c>
      <c r="N8" s="73"/>
    </row>
    <row r="9" spans="1:14" ht="15.75" thickBot="1" x14ac:dyDescent="0.3">
      <c r="B9" s="58" t="s">
        <v>381</v>
      </c>
      <c r="C9" s="121"/>
      <c r="D9" s="136" t="str">
        <f>IFERROR(VLOOKUP($C9,Datasheet!$G$14:$I$26,3)," ")</f>
        <v xml:space="preserve"> </v>
      </c>
      <c r="E9" s="135">
        <f>IFERROR(VLOOKUP($C9,Datasheet!$G$14:$I$26,2),0)</f>
        <v>0</v>
      </c>
      <c r="F9" s="115"/>
      <c r="G9" s="128"/>
      <c r="H9" s="129"/>
      <c r="I9" s="128"/>
      <c r="J9" s="125"/>
      <c r="K9" s="141">
        <f t="shared" ref="K9:K14" si="0">+I9-G9</f>
        <v>0</v>
      </c>
      <c r="L9" s="144"/>
      <c r="M9" s="143">
        <f t="shared" ref="M9:M10" si="1">+K9*E9</f>
        <v>0</v>
      </c>
      <c r="N9" s="73"/>
    </row>
    <row r="10" spans="1:14" ht="15.75" thickBot="1" x14ac:dyDescent="0.3">
      <c r="B10" s="58" t="s">
        <v>381</v>
      </c>
      <c r="C10" s="120"/>
      <c r="D10" s="136" t="str">
        <f>IFERROR(VLOOKUP($C10,Datasheet!$G$14:$I$26,3)," ")</f>
        <v xml:space="preserve"> </v>
      </c>
      <c r="E10" s="137">
        <f>IFERROR(VLOOKUP($C10,Datasheet!$G$14:$I$26,2),0)</f>
        <v>0</v>
      </c>
      <c r="F10" s="115"/>
      <c r="G10" s="127"/>
      <c r="H10" s="129"/>
      <c r="I10" s="127"/>
      <c r="J10" s="125"/>
      <c r="K10" s="141">
        <f t="shared" si="0"/>
        <v>0</v>
      </c>
      <c r="L10" s="144"/>
      <c r="M10" s="143">
        <f t="shared" si="1"/>
        <v>0</v>
      </c>
      <c r="N10" s="73"/>
    </row>
    <row r="11" spans="1:14" ht="15.75" thickBot="1" x14ac:dyDescent="0.3">
      <c r="C11" s="6"/>
      <c r="D11" s="138"/>
      <c r="E11" s="139"/>
      <c r="F11" s="73"/>
      <c r="G11" s="229"/>
      <c r="H11" s="146"/>
      <c r="I11" s="230"/>
      <c r="J11" s="146"/>
      <c r="K11" s="145"/>
      <c r="L11" s="146"/>
      <c r="M11" s="147"/>
      <c r="N11" s="73"/>
    </row>
    <row r="12" spans="1:14" ht="15.75" thickBot="1" x14ac:dyDescent="0.3">
      <c r="A12">
        <v>2</v>
      </c>
      <c r="B12" s="58" t="s">
        <v>577</v>
      </c>
      <c r="C12" s="121"/>
      <c r="D12" s="140" t="str">
        <f>IFERROR(VLOOKUP($C12,Datasheet!$G$37:$J$41,2,)," ")</f>
        <v xml:space="preserve"> </v>
      </c>
      <c r="E12" s="137">
        <f>IFERROR(VLOOKUP($C12,Datasheet!$G$37:$J$41,3,),0)</f>
        <v>0</v>
      </c>
      <c r="F12" s="115"/>
      <c r="G12" s="130"/>
      <c r="H12" s="131"/>
      <c r="I12" s="132"/>
      <c r="J12" s="125"/>
      <c r="K12" s="141">
        <f t="shared" si="0"/>
        <v>0</v>
      </c>
      <c r="L12" s="144"/>
      <c r="M12" s="143">
        <f>+K12*E12</f>
        <v>0</v>
      </c>
      <c r="N12" s="73"/>
    </row>
    <row r="13" spans="1:14" ht="15.75" thickBot="1" x14ac:dyDescent="0.3">
      <c r="C13" s="6"/>
      <c r="D13" s="138"/>
      <c r="E13" s="139"/>
      <c r="F13" s="73"/>
      <c r="G13" s="229"/>
      <c r="H13" s="146"/>
      <c r="I13" s="230"/>
      <c r="J13" s="146"/>
      <c r="K13" s="145"/>
      <c r="L13" s="146"/>
      <c r="M13" s="147"/>
      <c r="N13" s="73"/>
    </row>
    <row r="14" spans="1:14" ht="15.75" thickBot="1" x14ac:dyDescent="0.3">
      <c r="A14">
        <v>3</v>
      </c>
      <c r="B14" s="58" t="s">
        <v>431</v>
      </c>
      <c r="C14" s="121"/>
      <c r="D14" s="136" t="str">
        <f>IFERROR(VLOOKUP($C14,Datasheet!$A$7:'Datasheet'!$E$36,2),"")</f>
        <v/>
      </c>
      <c r="E14" s="137">
        <f>IFERROR(VLOOKUP($C$14,Datasheet!$A$7:$E$31,4),0)</f>
        <v>0</v>
      </c>
      <c r="F14" s="73"/>
      <c r="G14" s="130"/>
      <c r="H14" s="131"/>
      <c r="I14" s="132"/>
      <c r="J14" s="125"/>
      <c r="K14" s="141">
        <f t="shared" si="0"/>
        <v>0</v>
      </c>
      <c r="L14" s="144"/>
      <c r="M14" s="143">
        <f>+K14*E14</f>
        <v>0</v>
      </c>
      <c r="N14" s="73"/>
    </row>
    <row r="15" spans="1:14" ht="15.75" thickBot="1" x14ac:dyDescent="0.3">
      <c r="C15" s="6"/>
      <c r="D15" s="138"/>
      <c r="E15" s="139"/>
      <c r="F15" s="73"/>
      <c r="G15" s="229"/>
      <c r="H15" s="146"/>
      <c r="I15" s="230"/>
      <c r="J15" s="146"/>
      <c r="K15" s="145"/>
      <c r="L15" s="146"/>
      <c r="M15" s="147"/>
      <c r="N15" s="73"/>
    </row>
    <row r="16" spans="1:14" ht="15.75" thickBot="1" x14ac:dyDescent="0.3">
      <c r="A16">
        <v>4</v>
      </c>
      <c r="B16" s="58" t="s">
        <v>431</v>
      </c>
      <c r="C16" s="121"/>
      <c r="D16" s="136" t="str">
        <f>IFERROR(VLOOKUP($C$16,Datasheet!$A$7:$E$36,2),"")</f>
        <v/>
      </c>
      <c r="E16" s="137">
        <f>IFERROR(VLOOKUP($C$16,Datasheet!$A$7:$E$31,4),0)</f>
        <v>0</v>
      </c>
      <c r="F16" s="73"/>
      <c r="G16" s="130"/>
      <c r="H16" s="131"/>
      <c r="I16" s="132"/>
      <c r="J16" s="125"/>
      <c r="K16" s="141">
        <f>+I16-G16</f>
        <v>0</v>
      </c>
      <c r="L16" s="144"/>
      <c r="M16" s="143">
        <f>+K16*E16</f>
        <v>0</v>
      </c>
      <c r="N16" s="73"/>
    </row>
    <row r="17" spans="1:15" ht="15.75" thickBot="1" x14ac:dyDescent="0.3">
      <c r="C17" s="6"/>
      <c r="E17" s="63"/>
      <c r="F17" s="73"/>
      <c r="G17" s="229"/>
      <c r="H17" s="146"/>
      <c r="I17" s="230"/>
      <c r="J17" s="146"/>
      <c r="K17" s="145"/>
      <c r="L17" s="146"/>
      <c r="M17" s="147"/>
      <c r="N17" s="73"/>
    </row>
    <row r="18" spans="1:15" ht="15.75" thickBot="1" x14ac:dyDescent="0.3">
      <c r="A18">
        <v>5</v>
      </c>
      <c r="B18" s="58" t="s">
        <v>544</v>
      </c>
      <c r="C18" s="161"/>
      <c r="D18" s="122"/>
      <c r="E18" s="123"/>
      <c r="F18" s="73"/>
      <c r="G18" s="130"/>
      <c r="H18" s="131"/>
      <c r="I18" s="132"/>
      <c r="J18" s="125"/>
      <c r="K18" s="141">
        <f>+I18-G18</f>
        <v>0</v>
      </c>
      <c r="L18" s="144"/>
      <c r="M18" s="143">
        <f t="shared" ref="M18" si="2">IFERROR(+K18*E18,"Getal in kolom E")</f>
        <v>0</v>
      </c>
      <c r="N18" s="73"/>
    </row>
    <row r="19" spans="1:15" x14ac:dyDescent="0.25">
      <c r="B19" s="58" t="s">
        <v>409</v>
      </c>
      <c r="C19" s="189"/>
      <c r="D19" s="158"/>
      <c r="E19" s="159"/>
      <c r="F19" s="73"/>
      <c r="G19" s="227"/>
      <c r="H19" s="146"/>
      <c r="I19" s="228"/>
      <c r="J19" s="146"/>
      <c r="K19" s="145"/>
      <c r="L19" s="146"/>
      <c r="M19" s="147"/>
      <c r="N19" s="73"/>
    </row>
    <row r="20" spans="1:15" ht="15.75" thickBot="1" x14ac:dyDescent="0.3">
      <c r="C20" s="173"/>
      <c r="D20" s="158"/>
      <c r="E20" s="159"/>
      <c r="F20" s="73"/>
      <c r="G20" s="227"/>
      <c r="H20" s="146"/>
      <c r="I20" s="228"/>
      <c r="J20" s="146"/>
      <c r="K20" s="145"/>
      <c r="L20" s="146"/>
      <c r="M20" s="147"/>
      <c r="N20" s="73"/>
    </row>
    <row r="21" spans="1:15" ht="15.75" thickBot="1" x14ac:dyDescent="0.3">
      <c r="A21">
        <v>6</v>
      </c>
      <c r="B21" s="3" t="s">
        <v>432</v>
      </c>
      <c r="C21" s="27" t="s">
        <v>390</v>
      </c>
      <c r="D21" s="233" t="s">
        <v>130</v>
      </c>
      <c r="E21" s="137">
        <f>Datasheet!$R$5</f>
        <v>0.14000000000000001</v>
      </c>
      <c r="F21" s="73"/>
      <c r="G21" s="130"/>
      <c r="H21" s="131"/>
      <c r="I21" s="132"/>
      <c r="J21" s="133"/>
      <c r="K21" s="148">
        <f>+I21-G21</f>
        <v>0</v>
      </c>
      <c r="L21" s="149"/>
      <c r="M21" s="150">
        <f>+K21*E21</f>
        <v>0</v>
      </c>
      <c r="N21" s="73"/>
    </row>
    <row r="22" spans="1:15" ht="15.75" thickBot="1" x14ac:dyDescent="0.3">
      <c r="C22" s="6"/>
      <c r="E22" s="184"/>
      <c r="G22" s="83"/>
      <c r="I22" s="83"/>
      <c r="K22" s="185"/>
      <c r="L22" s="138"/>
      <c r="M22" s="185"/>
    </row>
    <row r="23" spans="1:15" ht="15.75" thickBot="1" x14ac:dyDescent="0.3">
      <c r="C23" s="6"/>
      <c r="E23" s="184"/>
      <c r="G23" s="83"/>
      <c r="I23" s="71" t="s">
        <v>533</v>
      </c>
      <c r="J23" s="3"/>
      <c r="K23" s="3"/>
      <c r="L23" s="58"/>
      <c r="M23" s="151">
        <f>SUM(M8:M21)</f>
        <v>0</v>
      </c>
    </row>
    <row r="24" spans="1:15" ht="24" thickBot="1" x14ac:dyDescent="0.4">
      <c r="B24" s="180" t="s">
        <v>482</v>
      </c>
      <c r="C24" s="6"/>
      <c r="E24" s="184"/>
      <c r="G24" s="83"/>
      <c r="I24" s="83"/>
      <c r="K24" s="185"/>
      <c r="L24" s="138"/>
      <c r="M24" s="185"/>
    </row>
    <row r="25" spans="1:15" ht="90.75" thickBot="1" x14ac:dyDescent="0.3">
      <c r="B25" s="277" t="s">
        <v>579</v>
      </c>
      <c r="C25" s="173"/>
      <c r="D25" s="158"/>
      <c r="E25" s="159"/>
      <c r="F25" s="73"/>
      <c r="G25" s="76" t="s">
        <v>380</v>
      </c>
      <c r="H25" s="131"/>
      <c r="I25" s="77" t="s">
        <v>391</v>
      </c>
      <c r="J25" s="131"/>
      <c r="K25" s="198" t="s">
        <v>392</v>
      </c>
      <c r="L25" s="131"/>
      <c r="M25" s="192" t="s">
        <v>393</v>
      </c>
      <c r="N25" s="73"/>
      <c r="O25" s="203"/>
    </row>
    <row r="26" spans="1:15" ht="52.5" customHeight="1" thickBot="1" x14ac:dyDescent="0.3">
      <c r="C26" s="204" t="s">
        <v>484</v>
      </c>
      <c r="D26" s="198" t="s">
        <v>8</v>
      </c>
      <c r="E26" s="205" t="s">
        <v>485</v>
      </c>
      <c r="F26" s="73"/>
      <c r="G26" s="206" t="s">
        <v>395</v>
      </c>
      <c r="H26" s="261"/>
      <c r="I26" s="178" t="s">
        <v>464</v>
      </c>
      <c r="J26" s="191"/>
      <c r="K26" s="3" t="s">
        <v>402</v>
      </c>
      <c r="L26" s="194"/>
      <c r="M26" s="193" t="s">
        <v>403</v>
      </c>
      <c r="N26" s="73"/>
      <c r="O26" s="207" t="s">
        <v>465</v>
      </c>
    </row>
    <row r="27" spans="1:15" ht="15.75" thickBot="1" x14ac:dyDescent="0.3">
      <c r="B27" s="3" t="s">
        <v>467</v>
      </c>
      <c r="C27" s="189"/>
      <c r="D27" s="137" t="s">
        <v>466</v>
      </c>
      <c r="E27" s="236"/>
      <c r="F27" s="73"/>
      <c r="G27" s="130"/>
      <c r="H27" s="262"/>
      <c r="I27" s="132"/>
      <c r="J27" s="73"/>
      <c r="K27" s="141">
        <f t="shared" ref="K27:K36" si="3">+I27-G27</f>
        <v>0</v>
      </c>
      <c r="L27" s="146"/>
      <c r="M27" s="143">
        <f t="shared" ref="M27:M36" si="4">IFERROR(+K27*E27,"Getal in kolom E")</f>
        <v>0</v>
      </c>
      <c r="N27" s="73"/>
      <c r="O27" s="237"/>
    </row>
    <row r="28" spans="1:15" ht="15.75" thickBot="1" x14ac:dyDescent="0.3">
      <c r="B28" s="3" t="s">
        <v>467</v>
      </c>
      <c r="C28" s="189"/>
      <c r="D28" s="137" t="s">
        <v>466</v>
      </c>
      <c r="E28" s="236"/>
      <c r="F28" s="73"/>
      <c r="G28" s="130"/>
      <c r="H28" s="262"/>
      <c r="I28" s="132"/>
      <c r="J28" s="73"/>
      <c r="K28" s="141">
        <f t="shared" si="3"/>
        <v>0</v>
      </c>
      <c r="L28" s="146"/>
      <c r="M28" s="143">
        <f t="shared" si="4"/>
        <v>0</v>
      </c>
      <c r="N28" s="73"/>
      <c r="O28" s="237"/>
    </row>
    <row r="29" spans="1:15" ht="15.75" thickBot="1" x14ac:dyDescent="0.3">
      <c r="B29" s="3" t="s">
        <v>467</v>
      </c>
      <c r="C29" s="189"/>
      <c r="D29" s="137" t="s">
        <v>466</v>
      </c>
      <c r="E29" s="236"/>
      <c r="F29" s="73"/>
      <c r="G29" s="130"/>
      <c r="H29" s="262"/>
      <c r="I29" s="132"/>
      <c r="J29" s="73"/>
      <c r="K29" s="141">
        <f t="shared" si="3"/>
        <v>0</v>
      </c>
      <c r="L29" s="146"/>
      <c r="M29" s="143">
        <f t="shared" si="4"/>
        <v>0</v>
      </c>
      <c r="N29" s="73"/>
      <c r="O29" s="237"/>
    </row>
    <row r="30" spans="1:15" ht="15.75" thickBot="1" x14ac:dyDescent="0.3">
      <c r="B30" s="3" t="s">
        <v>467</v>
      </c>
      <c r="C30" s="189"/>
      <c r="D30" s="137" t="s">
        <v>466</v>
      </c>
      <c r="E30" s="236"/>
      <c r="F30" s="73"/>
      <c r="G30" s="130"/>
      <c r="H30" s="262"/>
      <c r="I30" s="132"/>
      <c r="J30" s="73"/>
      <c r="K30" s="141">
        <f t="shared" si="3"/>
        <v>0</v>
      </c>
      <c r="L30" s="146"/>
      <c r="M30" s="143">
        <f t="shared" si="4"/>
        <v>0</v>
      </c>
      <c r="N30" s="73"/>
      <c r="O30" s="237"/>
    </row>
    <row r="31" spans="1:15" ht="15.75" thickBot="1" x14ac:dyDescent="0.3">
      <c r="B31" s="3" t="s">
        <v>467</v>
      </c>
      <c r="C31" s="189"/>
      <c r="D31" s="137" t="s">
        <v>466</v>
      </c>
      <c r="E31" s="236"/>
      <c r="F31" s="73"/>
      <c r="G31" s="130"/>
      <c r="H31" s="262"/>
      <c r="I31" s="132"/>
      <c r="J31" s="73"/>
      <c r="K31" s="141">
        <f t="shared" si="3"/>
        <v>0</v>
      </c>
      <c r="L31" s="146"/>
      <c r="M31" s="143">
        <f t="shared" si="4"/>
        <v>0</v>
      </c>
      <c r="N31" s="73"/>
      <c r="O31" s="237"/>
    </row>
    <row r="32" spans="1:15" ht="15.75" thickBot="1" x14ac:dyDescent="0.3">
      <c r="B32" s="3" t="s">
        <v>468</v>
      </c>
      <c r="C32" s="189"/>
      <c r="D32" s="137" t="s">
        <v>466</v>
      </c>
      <c r="E32" s="236"/>
      <c r="F32" s="73"/>
      <c r="G32" s="130"/>
      <c r="H32" s="262"/>
      <c r="I32" s="132"/>
      <c r="J32" s="73"/>
      <c r="K32" s="141">
        <f t="shared" si="3"/>
        <v>0</v>
      </c>
      <c r="L32" s="146"/>
      <c r="M32" s="143">
        <f t="shared" si="4"/>
        <v>0</v>
      </c>
      <c r="N32" s="73"/>
      <c r="O32" s="237"/>
    </row>
    <row r="33" spans="2:15" ht="15.75" thickBot="1" x14ac:dyDescent="0.3">
      <c r="B33" s="3" t="s">
        <v>468</v>
      </c>
      <c r="C33" s="189"/>
      <c r="D33" s="137" t="s">
        <v>466</v>
      </c>
      <c r="E33" s="236"/>
      <c r="F33" s="73"/>
      <c r="G33" s="130"/>
      <c r="H33" s="262"/>
      <c r="I33" s="132"/>
      <c r="J33" s="73"/>
      <c r="K33" s="141">
        <f t="shared" si="3"/>
        <v>0</v>
      </c>
      <c r="L33" s="146"/>
      <c r="M33" s="143">
        <f t="shared" si="4"/>
        <v>0</v>
      </c>
      <c r="N33" s="73"/>
      <c r="O33" s="237"/>
    </row>
    <row r="34" spans="2:15" ht="15.75" thickBot="1" x14ac:dyDescent="0.3">
      <c r="B34" s="3" t="s">
        <v>468</v>
      </c>
      <c r="C34" s="189"/>
      <c r="D34" s="137" t="s">
        <v>466</v>
      </c>
      <c r="E34" s="236"/>
      <c r="F34" s="73"/>
      <c r="G34" s="130"/>
      <c r="H34" s="262"/>
      <c r="I34" s="132"/>
      <c r="J34" s="73"/>
      <c r="K34" s="141">
        <f t="shared" si="3"/>
        <v>0</v>
      </c>
      <c r="L34" s="146"/>
      <c r="M34" s="143">
        <f t="shared" si="4"/>
        <v>0</v>
      </c>
      <c r="N34" s="73"/>
      <c r="O34" s="237"/>
    </row>
    <row r="35" spans="2:15" ht="15.75" thickBot="1" x14ac:dyDescent="0.3">
      <c r="B35" s="3" t="s">
        <v>468</v>
      </c>
      <c r="C35" s="189"/>
      <c r="D35" s="137" t="s">
        <v>466</v>
      </c>
      <c r="E35" s="236"/>
      <c r="F35" s="73"/>
      <c r="G35" s="268"/>
      <c r="H35" s="73"/>
      <c r="I35" s="268"/>
      <c r="J35" s="73"/>
      <c r="K35" s="141">
        <f t="shared" si="3"/>
        <v>0</v>
      </c>
      <c r="L35" s="146"/>
      <c r="M35" s="143">
        <f t="shared" si="4"/>
        <v>0</v>
      </c>
      <c r="N35" s="73"/>
      <c r="O35" s="237"/>
    </row>
    <row r="36" spans="2:15" ht="15.75" thickBot="1" x14ac:dyDescent="0.3">
      <c r="B36" s="3" t="s">
        <v>468</v>
      </c>
      <c r="C36" s="189"/>
      <c r="D36" s="137" t="s">
        <v>466</v>
      </c>
      <c r="E36" s="236"/>
      <c r="F36" s="73"/>
      <c r="G36" s="130"/>
      <c r="H36" s="262"/>
      <c r="I36" s="132"/>
      <c r="J36" s="73"/>
      <c r="K36" s="141">
        <f t="shared" si="3"/>
        <v>0</v>
      </c>
      <c r="L36" s="146"/>
      <c r="M36" s="143">
        <f t="shared" si="4"/>
        <v>0</v>
      </c>
      <c r="N36" s="73"/>
      <c r="O36" s="237"/>
    </row>
    <row r="37" spans="2:15" ht="15.75" thickBot="1" x14ac:dyDescent="0.3">
      <c r="C37" s="6"/>
      <c r="E37" s="184"/>
      <c r="G37" s="83"/>
      <c r="I37" s="83"/>
      <c r="K37" s="185"/>
      <c r="L37" s="138"/>
      <c r="M37" s="185"/>
    </row>
    <row r="38" spans="2:15" ht="15.75" thickBot="1" x14ac:dyDescent="0.3">
      <c r="C38" s="6"/>
      <c r="E38" s="184"/>
      <c r="G38" s="83"/>
      <c r="I38" s="71" t="s">
        <v>533</v>
      </c>
      <c r="J38" s="3"/>
      <c r="K38" s="3"/>
      <c r="L38" s="235"/>
      <c r="M38" s="151">
        <f>SUM($M$27:$M$36)</f>
        <v>0</v>
      </c>
    </row>
    <row r="39" spans="2:15" ht="15.75" thickBot="1" x14ac:dyDescent="0.3">
      <c r="C39" s="6"/>
      <c r="E39" s="184"/>
      <c r="G39" s="83"/>
      <c r="I39" s="83"/>
      <c r="K39" s="185"/>
      <c r="L39" s="138"/>
      <c r="M39" s="185"/>
    </row>
    <row r="40" spans="2:15" ht="15.75" thickBot="1" x14ac:dyDescent="0.3">
      <c r="C40" s="6"/>
      <c r="E40" s="84"/>
      <c r="G40" s="83"/>
      <c r="I40" s="83"/>
      <c r="K40" s="71" t="s">
        <v>479</v>
      </c>
      <c r="L40" s="3"/>
      <c r="M40" s="238">
        <f>SUM($M$27:$M$36)+SUM($M$8:$M$21)</f>
        <v>0</v>
      </c>
    </row>
    <row r="41" spans="2:15" x14ac:dyDescent="0.25">
      <c r="B41" s="68" t="s">
        <v>410</v>
      </c>
      <c r="C41" s="69"/>
      <c r="D41" s="49"/>
      <c r="E41" s="63"/>
      <c r="G41" s="64"/>
      <c r="I41" s="64"/>
      <c r="K41" s="65"/>
      <c r="M41" s="72"/>
    </row>
    <row r="42" spans="2:15" ht="15.75" thickBot="1" x14ac:dyDescent="0.3">
      <c r="B42" s="53"/>
      <c r="C42" s="6"/>
      <c r="D42" s="54"/>
      <c r="E42" s="63"/>
      <c r="I42" s="64"/>
      <c r="K42" s="65"/>
    </row>
    <row r="43" spans="2:15" ht="15.75" thickBot="1" x14ac:dyDescent="0.3">
      <c r="B43" s="70" t="str">
        <f>IF($M$40&lt;=0,Datasheet!$L$11,Datasheet!$L$12)</f>
        <v>Totale besparing CO2/jaar</v>
      </c>
      <c r="C43" s="152">
        <f>-M40</f>
        <v>0</v>
      </c>
      <c r="D43" s="54" t="s">
        <v>382</v>
      </c>
      <c r="E43" s="63"/>
    </row>
    <row r="44" spans="2:15" ht="15.75" thickBot="1" x14ac:dyDescent="0.3">
      <c r="B44" s="50"/>
      <c r="C44" s="153">
        <f>+C43/1000</f>
        <v>0</v>
      </c>
      <c r="D44" s="52" t="s">
        <v>414</v>
      </c>
      <c r="E44" s="63"/>
    </row>
    <row r="45" spans="2:15" ht="15.75" hidden="1" thickBot="1" x14ac:dyDescent="0.3">
      <c r="C45" s="6"/>
      <c r="E45" s="63"/>
    </row>
    <row r="46" spans="2:15" ht="30.75" hidden="1" thickBot="1" x14ac:dyDescent="0.3">
      <c r="B46" s="182" t="str">
        <f>IF($M$40&lt;=0,Datasheet!$L$39,Datasheet!$L$41)</f>
        <v>Totale CO2-besparing over de opgegeven periode van 0 jaar</v>
      </c>
      <c r="C46" s="181">
        <f>IF($C$3&gt;Datasheet!$H$4,+C44*Datasheet!$H$4,$C$44*$C$3)</f>
        <v>0</v>
      </c>
      <c r="D46" s="100" t="s">
        <v>414</v>
      </c>
    </row>
    <row r="47" spans="2:15" ht="15.75" hidden="1" thickBot="1" x14ac:dyDescent="0.3">
      <c r="B47" s="188" t="str">
        <f>IF($C$3&lt;=0,"Vul de levensduur in bovenaan het blad!","")</f>
        <v>Vul de levensduur in bovenaan het blad!</v>
      </c>
      <c r="C47" s="6"/>
    </row>
    <row r="48" spans="2:15" ht="15.75" hidden="1" thickBot="1" x14ac:dyDescent="0.3">
      <c r="B48" s="59" t="s">
        <v>415</v>
      </c>
      <c r="C48" s="111"/>
      <c r="D48" s="110" t="s">
        <v>416</v>
      </c>
    </row>
    <row r="49" spans="2:4" ht="30.75" hidden="1" thickBot="1" x14ac:dyDescent="0.3">
      <c r="B49" s="50" t="s">
        <v>428</v>
      </c>
      <c r="C49" s="154">
        <f>IFERROR(+C48/C46,0)</f>
        <v>0</v>
      </c>
      <c r="D49" s="112" t="s">
        <v>417</v>
      </c>
    </row>
    <row r="50" spans="2:4" hidden="1" x14ac:dyDescent="0.25">
      <c r="B50" s="155"/>
    </row>
    <row r="51" spans="2:4" ht="15.75" hidden="1" thickBot="1" x14ac:dyDescent="0.3"/>
    <row r="52" spans="2:4" hidden="1" x14ac:dyDescent="0.25">
      <c r="B52" s="113" t="s">
        <v>396</v>
      </c>
      <c r="C52" s="6"/>
    </row>
    <row r="53" spans="2:4" ht="15.75" hidden="1" thickBot="1" x14ac:dyDescent="0.3">
      <c r="B53" s="114" t="str">
        <f>'Energie , overige thema''s'!B51</f>
        <v>Versie D 1.8-1 december 2025</v>
      </c>
      <c r="C53" s="6"/>
    </row>
    <row r="54" spans="2:4" hidden="1" x14ac:dyDescent="0.25">
      <c r="C54" s="6"/>
    </row>
    <row r="55" spans="2:4" hidden="1" x14ac:dyDescent="0.25">
      <c r="C55" s="6"/>
    </row>
  </sheetData>
  <sheetProtection algorithmName="SHA-512" hashValue="73GGhDnfJUYHRiCck84Y2kmzIJFvoFBJO/iEtzphrAvW6PdAnnmm/ESTg10iWITuBIm88GxYsXS4Bw8AQKnCnQ==" saltValue="jcH0nzHoyDqhjvNcoJYtOQ==" spinCount="100000" sheet="1" objects="1" scenarios="1"/>
  <conditionalFormatting sqref="C43:C44">
    <cfRule type="cellIs" dxfId="33" priority="13" operator="lessThan">
      <formula>0</formula>
    </cfRule>
    <cfRule type="cellIs" dxfId="32" priority="14" operator="greaterThan">
      <formula>0</formula>
    </cfRule>
  </conditionalFormatting>
  <conditionalFormatting sqref="C46">
    <cfRule type="cellIs" dxfId="31" priority="25" operator="lessThan">
      <formula>0</formula>
    </cfRule>
    <cfRule type="cellIs" dxfId="30" priority="26" operator="greaterThan">
      <formula>0</formula>
    </cfRule>
  </conditionalFormatting>
  <conditionalFormatting sqref="M8:M10 M27:M40">
    <cfRule type="cellIs" dxfId="29" priority="23" operator="greaterThan">
      <formula>0</formula>
    </cfRule>
    <cfRule type="cellIs" dxfId="28" priority="24" operator="lessThan">
      <formula>0</formula>
    </cfRule>
  </conditionalFormatting>
  <conditionalFormatting sqref="M12">
    <cfRule type="cellIs" dxfId="27" priority="21" operator="greaterThan">
      <formula>0</formula>
    </cfRule>
    <cfRule type="cellIs" dxfId="26" priority="22" operator="lessThan">
      <formula>0</formula>
    </cfRule>
  </conditionalFormatting>
  <conditionalFormatting sqref="M14">
    <cfRule type="cellIs" dxfId="25" priority="19" operator="greaterThan">
      <formula>0</formula>
    </cfRule>
    <cfRule type="cellIs" dxfId="24" priority="20" operator="lessThan">
      <formula>0</formula>
    </cfRule>
  </conditionalFormatting>
  <conditionalFormatting sqref="M16">
    <cfRule type="cellIs" dxfId="23" priority="17" operator="greaterThan">
      <formula>0</formula>
    </cfRule>
    <cfRule type="cellIs" dxfId="22" priority="18" operator="lessThan">
      <formula>0</formula>
    </cfRule>
  </conditionalFormatting>
  <conditionalFormatting sqref="M18:M24">
    <cfRule type="cellIs" dxfId="21" priority="1" operator="greaterThan">
      <formula>0</formula>
    </cfRule>
    <cfRule type="cellIs" dxfId="20" priority="2" operator="lessThan">
      <formula>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79F50815-1974-4CB4-9352-02A87195CD67}">
          <x14:formula1>
            <xm:f>Datasheet!$G$37:$G$41</xm:f>
          </x14:formula1>
          <xm:sqref>C12</xm:sqref>
        </x14:dataValidation>
        <x14:dataValidation type="list" allowBlank="1" showInputMessage="1" showErrorMessage="1" xr:uid="{D7716DA8-6D19-4D9B-BBED-83DEBF43839E}">
          <x14:formula1>
            <xm:f>Datasheet!$A$7:$A$36</xm:f>
          </x14:formula1>
          <xm:sqref>C14 C16</xm:sqref>
        </x14:dataValidation>
        <x14:dataValidation type="list" allowBlank="1" showInputMessage="1" showErrorMessage="1" xr:uid="{E30394A4-09BB-4B7C-BC90-8F6309428FBF}">
          <x14:formula1>
            <xm:f>Datasheet!$G$14:$G$27</xm:f>
          </x14:formula1>
          <xm:sqref>C8:C10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3636E-C82B-42FF-9B23-AE6BE9DA9476}">
  <sheetPr>
    <tabColor rgb="FF00B050"/>
    <pageSetUpPr fitToPage="1"/>
  </sheetPr>
  <dimension ref="A1:Q133"/>
  <sheetViews>
    <sheetView showGridLines="0" topLeftCell="A9" zoomScale="85" zoomScaleNormal="85" workbookViewId="0">
      <selection activeCell="C32" sqref="C32"/>
    </sheetView>
  </sheetViews>
  <sheetFormatPr defaultColWidth="0" defaultRowHeight="15" zeroHeight="1" x14ac:dyDescent="0.25"/>
  <cols>
    <col min="1" max="1" width="2.42578125" customWidth="1"/>
    <col min="2" max="2" width="37" customWidth="1"/>
    <col min="3" max="3" width="47.140625" customWidth="1"/>
    <col min="4" max="4" width="10.28515625" customWidth="1"/>
    <col min="5" max="5" width="23" customWidth="1"/>
    <col min="6" max="6" width="0.7109375" customWidth="1"/>
    <col min="7" max="7" width="35.140625" customWidth="1"/>
    <col min="8" max="8" width="0.7109375" customWidth="1"/>
    <col min="9" max="9" width="49.85546875" customWidth="1"/>
    <col min="10" max="10" width="0.7109375" customWidth="1"/>
    <col min="11" max="11" width="19.140625" customWidth="1"/>
    <col min="12" max="12" width="0.7109375" customWidth="1"/>
    <col min="13" max="13" width="15.5703125" customWidth="1"/>
    <col min="14" max="14" width="0.7109375" customWidth="1"/>
    <col min="15" max="15" width="37.5703125" customWidth="1"/>
    <col min="16" max="17" width="9.140625" customWidth="1"/>
    <col min="18" max="16384" width="9.140625" hidden="1"/>
  </cols>
  <sheetData>
    <row r="1" spans="1:14" ht="15" customHeight="1" thickBot="1" x14ac:dyDescent="0.3">
      <c r="G1" s="80" t="s">
        <v>401</v>
      </c>
    </row>
    <row r="2" spans="1:14" ht="20.25" customHeight="1" thickBot="1" x14ac:dyDescent="0.4">
      <c r="B2" s="82" t="s">
        <v>575</v>
      </c>
      <c r="C2" s="82" t="s">
        <v>462</v>
      </c>
      <c r="G2" s="79" t="s">
        <v>398</v>
      </c>
    </row>
    <row r="3" spans="1:14" ht="28.9" customHeight="1" thickBot="1" x14ac:dyDescent="0.3">
      <c r="B3" s="103" t="s">
        <v>576</v>
      </c>
      <c r="C3" s="106"/>
      <c r="G3" s="81" t="s">
        <v>399</v>
      </c>
    </row>
    <row r="4" spans="1:14" ht="15" customHeight="1" x14ac:dyDescent="0.25">
      <c r="C4" s="269" t="str">
        <f>IF($C$3&gt;15,"Let op Maximaal 15 jaar!","")</f>
        <v/>
      </c>
    </row>
    <row r="5" spans="1:14" ht="15" customHeight="1" x14ac:dyDescent="0.25">
      <c r="C5" s="188"/>
    </row>
    <row r="6" spans="1:14" ht="28.9" customHeight="1" thickBot="1" x14ac:dyDescent="0.4">
      <c r="B6" s="180" t="s">
        <v>588</v>
      </c>
      <c r="C6" s="199"/>
      <c r="D6" s="200"/>
      <c r="E6" s="200"/>
      <c r="F6" s="200"/>
      <c r="G6" s="201"/>
    </row>
    <row r="7" spans="1:14" ht="65.25" customHeight="1" thickBot="1" x14ac:dyDescent="0.3">
      <c r="B7" s="303" t="s">
        <v>590</v>
      </c>
      <c r="C7" s="301"/>
      <c r="D7" s="301"/>
      <c r="E7" s="302"/>
    </row>
    <row r="8" spans="1:14" ht="24" thickBot="1" x14ac:dyDescent="0.4">
      <c r="B8" s="282"/>
      <c r="F8" s="73"/>
      <c r="G8" s="76" t="s">
        <v>380</v>
      </c>
      <c r="H8" s="131"/>
      <c r="I8" s="77" t="s">
        <v>391</v>
      </c>
      <c r="J8" s="131"/>
      <c r="K8" s="77" t="s">
        <v>392</v>
      </c>
      <c r="L8" s="131"/>
      <c r="M8" s="78"/>
      <c r="N8" s="73"/>
    </row>
    <row r="9" spans="1:14" ht="60" customHeight="1" thickBot="1" x14ac:dyDescent="0.4">
      <c r="B9" s="3"/>
      <c r="C9" s="281"/>
      <c r="D9" s="77" t="s">
        <v>8</v>
      </c>
      <c r="E9" s="192" t="s">
        <v>552</v>
      </c>
      <c r="F9" s="73"/>
      <c r="G9" s="175" t="s">
        <v>395</v>
      </c>
      <c r="H9" s="176"/>
      <c r="I9" s="177" t="s">
        <v>395</v>
      </c>
      <c r="J9" s="176"/>
      <c r="K9" s="178" t="s">
        <v>402</v>
      </c>
      <c r="L9" s="176"/>
      <c r="M9" s="287" t="s">
        <v>551</v>
      </c>
      <c r="N9" s="73"/>
    </row>
    <row r="10" spans="1:14" ht="15.75" thickBot="1" x14ac:dyDescent="0.3">
      <c r="A10">
        <v>1</v>
      </c>
      <c r="B10" s="118" t="s">
        <v>381</v>
      </c>
      <c r="C10" s="119"/>
      <c r="D10" s="134" t="str">
        <f>IFERROR(VLOOKUP($C10,Datasheet!$G$14:$I$26,3)," ")</f>
        <v xml:space="preserve"> </v>
      </c>
      <c r="E10" s="137">
        <f>IFERROR(VLOOKUP($C10,Datasheet!$G$14:$I$26,2),0)</f>
        <v>0</v>
      </c>
      <c r="F10" s="73"/>
      <c r="G10" s="126"/>
      <c r="H10" s="73"/>
      <c r="I10" s="132"/>
      <c r="J10" s="124"/>
      <c r="K10" s="141">
        <f>+I10-G10</f>
        <v>0</v>
      </c>
      <c r="L10" s="142"/>
      <c r="M10" s="143">
        <f>+K10*E10</f>
        <v>0</v>
      </c>
      <c r="N10" s="73"/>
    </row>
    <row r="11" spans="1:14" ht="15.75" thickBot="1" x14ac:dyDescent="0.3">
      <c r="B11" s="58" t="s">
        <v>381</v>
      </c>
      <c r="C11" s="121"/>
      <c r="D11" s="136" t="str">
        <f>IFERROR(VLOOKUP($C11,Datasheet!$G$14:$I$26,3)," ")</f>
        <v xml:space="preserve"> </v>
      </c>
      <c r="E11" s="135">
        <f>IFERROR(VLOOKUP($C11,Datasheet!$G$14:$I$26,2),0)</f>
        <v>0</v>
      </c>
      <c r="F11" s="115"/>
      <c r="G11" s="128"/>
      <c r="H11" s="129"/>
      <c r="I11" s="132"/>
      <c r="J11" s="125"/>
      <c r="K11" s="141">
        <f t="shared" ref="K11:K12" si="0">+I11-G11</f>
        <v>0</v>
      </c>
      <c r="L11" s="144"/>
      <c r="M11" s="143">
        <f t="shared" ref="M11:M12" si="1">+K11*E11</f>
        <v>0</v>
      </c>
      <c r="N11" s="73"/>
    </row>
    <row r="12" spans="1:14" ht="15.75" thickBot="1" x14ac:dyDescent="0.3">
      <c r="B12" s="58" t="s">
        <v>381</v>
      </c>
      <c r="C12" s="120"/>
      <c r="D12" s="136" t="str">
        <f>IFERROR(VLOOKUP($C12,Datasheet!$G$14:$I$26,3)," ")</f>
        <v xml:space="preserve"> </v>
      </c>
      <c r="E12" s="137">
        <f>IFERROR(VLOOKUP($C12,Datasheet!$G$14:$I$26,2),0)</f>
        <v>0</v>
      </c>
      <c r="F12" s="115"/>
      <c r="G12" s="127"/>
      <c r="H12" s="129"/>
      <c r="I12" s="132"/>
      <c r="J12" s="125"/>
      <c r="K12" s="141">
        <f t="shared" si="0"/>
        <v>0</v>
      </c>
      <c r="L12" s="144"/>
      <c r="M12" s="143">
        <f t="shared" si="1"/>
        <v>0</v>
      </c>
      <c r="N12" s="73"/>
    </row>
    <row r="13" spans="1:14" ht="15.75" thickBot="1" x14ac:dyDescent="0.3">
      <c r="C13" s="6"/>
      <c r="D13" s="138"/>
      <c r="E13" s="139"/>
      <c r="F13" s="73"/>
      <c r="G13" s="116"/>
      <c r="H13" s="73"/>
      <c r="I13" s="117"/>
      <c r="J13" s="73"/>
      <c r="K13" s="145"/>
      <c r="L13" s="146"/>
      <c r="M13" s="147"/>
      <c r="N13" s="73"/>
    </row>
    <row r="14" spans="1:14" ht="15.75" thickBot="1" x14ac:dyDescent="0.3">
      <c r="A14">
        <v>2</v>
      </c>
      <c r="B14" s="58" t="s">
        <v>577</v>
      </c>
      <c r="C14" s="121"/>
      <c r="D14" s="140" t="str">
        <f>IFERROR(VLOOKUP($C14,Datasheet!$G$37:$J$41,2,)," ")</f>
        <v xml:space="preserve"> </v>
      </c>
      <c r="E14" s="137">
        <f>IFERROR(VLOOKUP($C14,Datasheet!$G$37:$J$41,3,),0)</f>
        <v>0</v>
      </c>
      <c r="F14" s="115"/>
      <c r="G14" s="128"/>
      <c r="H14" s="257"/>
      <c r="I14" s="132"/>
      <c r="J14" s="125"/>
      <c r="K14" s="141">
        <f>+I14-G14</f>
        <v>0</v>
      </c>
      <c r="L14" s="144"/>
      <c r="M14" s="143">
        <f>+K14*E14</f>
        <v>0</v>
      </c>
      <c r="N14" s="73"/>
    </row>
    <row r="15" spans="1:14" ht="15.75" thickBot="1" x14ac:dyDescent="0.3">
      <c r="C15" s="6"/>
      <c r="D15" s="138"/>
      <c r="E15" s="139"/>
      <c r="F15" s="73"/>
      <c r="G15" s="116"/>
      <c r="H15" s="73"/>
      <c r="I15" s="117"/>
      <c r="J15" s="73"/>
      <c r="K15" s="145"/>
      <c r="L15" s="146"/>
      <c r="M15" s="147"/>
      <c r="N15" s="73"/>
    </row>
    <row r="16" spans="1:14" ht="15.75" thickBot="1" x14ac:dyDescent="0.3">
      <c r="A16">
        <v>3</v>
      </c>
      <c r="B16" s="58" t="s">
        <v>431</v>
      </c>
      <c r="C16" s="121"/>
      <c r="D16" s="136" t="str">
        <f>IFERROR(VLOOKUP($C16,Datasheet!$A$7:'Datasheet'!$E$36,2),"")</f>
        <v/>
      </c>
      <c r="E16" s="137">
        <f>IFERROR(VLOOKUP($C$16,Datasheet!$A$7:$E$31,4),0)</f>
        <v>0</v>
      </c>
      <c r="F16" s="73"/>
      <c r="G16" s="128"/>
      <c r="H16" s="131"/>
      <c r="I16" s="132"/>
      <c r="J16" s="125"/>
      <c r="K16" s="141">
        <f>+I16-G16</f>
        <v>0</v>
      </c>
      <c r="L16" s="144"/>
      <c r="M16" s="143">
        <f>+K16*E16</f>
        <v>0</v>
      </c>
      <c r="N16" s="73"/>
    </row>
    <row r="17" spans="1:15" ht="15.75" thickBot="1" x14ac:dyDescent="0.3">
      <c r="C17" s="6"/>
      <c r="D17" s="138"/>
      <c r="E17" s="139"/>
      <c r="F17" s="73"/>
      <c r="G17" s="116"/>
      <c r="H17" s="73"/>
      <c r="I17" s="117"/>
      <c r="J17" s="73"/>
      <c r="K17" s="145"/>
      <c r="L17" s="146"/>
      <c r="M17" s="147"/>
      <c r="N17" s="73"/>
    </row>
    <row r="18" spans="1:15" ht="15.75" thickBot="1" x14ac:dyDescent="0.3">
      <c r="A18">
        <v>4</v>
      </c>
      <c r="B18" s="58" t="s">
        <v>431</v>
      </c>
      <c r="C18" s="121"/>
      <c r="D18" s="136" t="str">
        <f>IFERROR(VLOOKUP($C$18,Datasheet!$A$7:$E$36,2),"")</f>
        <v/>
      </c>
      <c r="E18" s="137">
        <f>IFERROR(VLOOKUP($C$18,Datasheet!$A$7:$E$31,4),0)</f>
        <v>0</v>
      </c>
      <c r="F18" s="73"/>
      <c r="G18" s="128"/>
      <c r="H18" s="257"/>
      <c r="I18" s="132"/>
      <c r="J18" s="125"/>
      <c r="K18" s="141">
        <f>+I18-G18</f>
        <v>0</v>
      </c>
      <c r="L18" s="144"/>
      <c r="M18" s="143">
        <f>+K18*E18</f>
        <v>0</v>
      </c>
      <c r="N18" s="73"/>
    </row>
    <row r="19" spans="1:15" ht="15.75" thickBot="1" x14ac:dyDescent="0.3">
      <c r="C19" s="6"/>
      <c r="E19" s="63"/>
      <c r="F19" s="73"/>
      <c r="G19" s="116"/>
      <c r="H19" s="73"/>
      <c r="I19" s="117"/>
      <c r="J19" s="73"/>
      <c r="K19" s="145"/>
      <c r="L19" s="146"/>
      <c r="M19" s="147"/>
      <c r="N19" s="73"/>
    </row>
    <row r="20" spans="1:15" ht="15.75" thickBot="1" x14ac:dyDescent="0.3">
      <c r="A20">
        <v>5</v>
      </c>
      <c r="B20" s="58" t="s">
        <v>427</v>
      </c>
      <c r="C20" s="258"/>
      <c r="D20" s="259"/>
      <c r="E20" s="260"/>
      <c r="F20" s="73"/>
      <c r="G20" s="128">
        <v>0</v>
      </c>
      <c r="H20" s="131"/>
      <c r="I20" s="132"/>
      <c r="J20" s="125"/>
      <c r="K20" s="141">
        <f>+I20-G20</f>
        <v>0</v>
      </c>
      <c r="L20" s="144"/>
      <c r="M20" s="143">
        <f>IFERROR(+K20*E20,"Getal in kolom E")</f>
        <v>0</v>
      </c>
      <c r="N20" s="73"/>
    </row>
    <row r="21" spans="1:15" ht="15.75" thickBot="1" x14ac:dyDescent="0.3">
      <c r="B21" s="58" t="s">
        <v>409</v>
      </c>
      <c r="C21" s="106"/>
      <c r="D21" s="158"/>
      <c r="E21" s="159"/>
      <c r="F21" s="73"/>
      <c r="G21" s="160"/>
      <c r="H21" s="73"/>
      <c r="I21" s="83"/>
      <c r="J21" s="73"/>
      <c r="K21" s="145"/>
      <c r="L21" s="146"/>
      <c r="M21" s="147"/>
      <c r="N21" s="73"/>
    </row>
    <row r="22" spans="1:15" ht="15.75" thickBot="1" x14ac:dyDescent="0.3">
      <c r="C22" s="173"/>
      <c r="D22" s="158"/>
      <c r="E22" s="159"/>
      <c r="F22" s="73"/>
      <c r="G22" s="160"/>
      <c r="H22" s="73"/>
      <c r="I22" s="83"/>
      <c r="J22" s="73"/>
      <c r="K22" s="145"/>
      <c r="L22" s="146"/>
      <c r="M22" s="147"/>
      <c r="N22" s="73"/>
    </row>
    <row r="23" spans="1:15" ht="15.75" thickBot="1" x14ac:dyDescent="0.3">
      <c r="A23">
        <v>6</v>
      </c>
      <c r="B23" s="3" t="s">
        <v>432</v>
      </c>
      <c r="C23" s="27" t="s">
        <v>390</v>
      </c>
      <c r="D23" s="3" t="s">
        <v>130</v>
      </c>
      <c r="E23" s="137">
        <f>Datasheet!$R$5</f>
        <v>0.14000000000000001</v>
      </c>
      <c r="F23" s="73"/>
      <c r="G23" s="128"/>
      <c r="H23" s="131"/>
      <c r="I23" s="132"/>
      <c r="J23" s="133"/>
      <c r="K23" s="148">
        <f>+I23-G23</f>
        <v>0</v>
      </c>
      <c r="L23" s="149"/>
      <c r="M23" s="150">
        <f>+K23*E23</f>
        <v>0</v>
      </c>
      <c r="N23" s="73"/>
    </row>
    <row r="24" spans="1:15" ht="15.75" thickBot="1" x14ac:dyDescent="0.3">
      <c r="C24" s="6"/>
      <c r="E24" s="184"/>
      <c r="G24" s="83"/>
      <c r="I24" s="83"/>
      <c r="K24" s="185"/>
      <c r="L24" s="138"/>
      <c r="M24" s="185"/>
    </row>
    <row r="25" spans="1:15" ht="15.75" thickBot="1" x14ac:dyDescent="0.3">
      <c r="C25" s="202"/>
      <c r="E25" s="84"/>
      <c r="G25" s="83"/>
      <c r="I25" s="247" t="s">
        <v>533</v>
      </c>
      <c r="J25" s="3"/>
      <c r="K25" s="3"/>
      <c r="L25" s="235"/>
      <c r="M25" s="151">
        <f>SUM($M$10:$M$23)</f>
        <v>0</v>
      </c>
    </row>
    <row r="26" spans="1:15" x14ac:dyDescent="0.25">
      <c r="C26" s="202"/>
      <c r="E26" s="84"/>
      <c r="G26" s="83"/>
      <c r="I26" s="279"/>
      <c r="L26" s="138"/>
      <c r="M26" s="280"/>
    </row>
    <row r="27" spans="1:15" ht="24" thickBot="1" x14ac:dyDescent="0.4">
      <c r="B27" s="180" t="s">
        <v>597</v>
      </c>
      <c r="C27" s="202"/>
      <c r="E27" s="84"/>
      <c r="G27" s="83"/>
      <c r="I27" s="279"/>
      <c r="L27" s="138"/>
      <c r="M27" s="280"/>
    </row>
    <row r="28" spans="1:15" ht="241.5" customHeight="1" thickBot="1" x14ac:dyDescent="0.3">
      <c r="B28" s="300" t="s">
        <v>596</v>
      </c>
      <c r="C28" s="301"/>
      <c r="D28" s="301"/>
      <c r="E28" s="302"/>
      <c r="G28" s="83"/>
      <c r="I28" s="186"/>
      <c r="K28" s="185"/>
      <c r="L28" s="138"/>
      <c r="M28" s="185"/>
    </row>
    <row r="29" spans="1:15" ht="66.75" thickBot="1" x14ac:dyDescent="0.4">
      <c r="B29" s="283" t="s">
        <v>594</v>
      </c>
      <c r="C29" s="204" t="s">
        <v>591</v>
      </c>
      <c r="D29" s="198" t="s">
        <v>8</v>
      </c>
      <c r="E29" s="205" t="s">
        <v>553</v>
      </c>
      <c r="F29" s="73"/>
      <c r="G29" s="205" t="s">
        <v>595</v>
      </c>
      <c r="H29" s="176"/>
      <c r="I29" s="3"/>
      <c r="J29" s="191"/>
      <c r="K29" s="27" t="s">
        <v>549</v>
      </c>
      <c r="L29" s="194"/>
      <c r="M29" s="208" t="s">
        <v>551</v>
      </c>
      <c r="N29" s="73"/>
      <c r="O29" s="207" t="s">
        <v>554</v>
      </c>
    </row>
    <row r="30" spans="1:15" ht="15.75" thickBot="1" x14ac:dyDescent="0.3">
      <c r="B30" s="251"/>
      <c r="C30" s="189"/>
      <c r="D30" s="250" t="s">
        <v>466</v>
      </c>
      <c r="E30" s="256"/>
      <c r="F30" s="73"/>
      <c r="G30" s="130"/>
      <c r="H30" s="73"/>
      <c r="I30" s="209"/>
      <c r="J30" s="73"/>
      <c r="K30" s="141">
        <f t="shared" ref="K30:K39" si="2">+I30-G30</f>
        <v>0</v>
      </c>
      <c r="L30" s="146"/>
      <c r="M30" s="143">
        <f t="shared" ref="M30:M39" si="3">IFERROR(+K30*E30,"Getal in kolom E")</f>
        <v>0</v>
      </c>
      <c r="N30" s="73"/>
      <c r="O30" s="234"/>
    </row>
    <row r="31" spans="1:15" ht="15.75" thickBot="1" x14ac:dyDescent="0.3">
      <c r="B31" s="251"/>
      <c r="C31" s="189"/>
      <c r="D31" s="250" t="s">
        <v>466</v>
      </c>
      <c r="E31" s="256"/>
      <c r="F31" s="73"/>
      <c r="G31" s="130"/>
      <c r="H31" s="73"/>
      <c r="I31" s="209"/>
      <c r="J31" s="73"/>
      <c r="K31" s="141">
        <f t="shared" si="2"/>
        <v>0</v>
      </c>
      <c r="L31" s="146"/>
      <c r="M31" s="143">
        <f t="shared" si="3"/>
        <v>0</v>
      </c>
      <c r="N31" s="73"/>
      <c r="O31" s="234"/>
    </row>
    <row r="32" spans="1:15" ht="15.75" thickBot="1" x14ac:dyDescent="0.3">
      <c r="B32" s="251"/>
      <c r="C32" s="189"/>
      <c r="D32" s="250" t="s">
        <v>466</v>
      </c>
      <c r="E32" s="256"/>
      <c r="F32" s="73"/>
      <c r="G32" s="130"/>
      <c r="H32" s="73"/>
      <c r="I32" s="209"/>
      <c r="J32" s="73"/>
      <c r="K32" s="141">
        <f t="shared" si="2"/>
        <v>0</v>
      </c>
      <c r="L32" s="146"/>
      <c r="M32" s="143">
        <f t="shared" si="3"/>
        <v>0</v>
      </c>
      <c r="N32" s="73"/>
      <c r="O32" s="234"/>
    </row>
    <row r="33" spans="2:15" ht="15.75" thickBot="1" x14ac:dyDescent="0.3">
      <c r="B33" s="251"/>
      <c r="C33" s="189"/>
      <c r="D33" s="250" t="s">
        <v>466</v>
      </c>
      <c r="E33" s="256"/>
      <c r="F33" s="73"/>
      <c r="G33" s="130"/>
      <c r="H33" s="73"/>
      <c r="I33" s="209"/>
      <c r="J33" s="73"/>
      <c r="K33" s="141">
        <f t="shared" si="2"/>
        <v>0</v>
      </c>
      <c r="L33" s="146"/>
      <c r="M33" s="143">
        <f t="shared" si="3"/>
        <v>0</v>
      </c>
      <c r="N33" s="73"/>
      <c r="O33" s="234"/>
    </row>
    <row r="34" spans="2:15" ht="15.75" thickBot="1" x14ac:dyDescent="0.3">
      <c r="B34" s="251"/>
      <c r="C34" s="189"/>
      <c r="D34" s="250" t="s">
        <v>466</v>
      </c>
      <c r="E34" s="256"/>
      <c r="F34" s="73"/>
      <c r="G34" s="130"/>
      <c r="H34" s="73"/>
      <c r="I34" s="209"/>
      <c r="J34" s="73"/>
      <c r="K34" s="141">
        <f t="shared" si="2"/>
        <v>0</v>
      </c>
      <c r="L34" s="146"/>
      <c r="M34" s="143">
        <f t="shared" si="3"/>
        <v>0</v>
      </c>
      <c r="N34" s="73"/>
      <c r="O34" s="234"/>
    </row>
    <row r="35" spans="2:15" ht="15.75" thickBot="1" x14ac:dyDescent="0.3">
      <c r="B35" s="251"/>
      <c r="C35" s="189"/>
      <c r="D35" s="250" t="s">
        <v>466</v>
      </c>
      <c r="E35" s="256"/>
      <c r="F35" s="73"/>
      <c r="G35" s="130"/>
      <c r="H35" s="73"/>
      <c r="I35" s="209"/>
      <c r="J35" s="73"/>
      <c r="K35" s="141">
        <f t="shared" si="2"/>
        <v>0</v>
      </c>
      <c r="L35" s="146"/>
      <c r="M35" s="143">
        <f t="shared" si="3"/>
        <v>0</v>
      </c>
      <c r="N35" s="73"/>
      <c r="O35" s="234"/>
    </row>
    <row r="36" spans="2:15" ht="15.75" thickBot="1" x14ac:dyDescent="0.3">
      <c r="B36" s="251"/>
      <c r="C36" s="189"/>
      <c r="D36" s="250" t="s">
        <v>466</v>
      </c>
      <c r="E36" s="256"/>
      <c r="F36" s="73"/>
      <c r="G36" s="130"/>
      <c r="H36" s="73"/>
      <c r="I36" s="209"/>
      <c r="J36" s="73"/>
      <c r="K36" s="141">
        <f t="shared" si="2"/>
        <v>0</v>
      </c>
      <c r="L36" s="146"/>
      <c r="M36" s="143">
        <f t="shared" si="3"/>
        <v>0</v>
      </c>
      <c r="N36" s="73"/>
      <c r="O36" s="234"/>
    </row>
    <row r="37" spans="2:15" ht="15.75" thickBot="1" x14ac:dyDescent="0.3">
      <c r="B37" s="251"/>
      <c r="C37" s="189"/>
      <c r="D37" s="250" t="s">
        <v>466</v>
      </c>
      <c r="E37" s="256"/>
      <c r="F37" s="73"/>
      <c r="G37" s="130"/>
      <c r="H37" s="73"/>
      <c r="I37" s="209"/>
      <c r="J37" s="73"/>
      <c r="K37" s="141">
        <f t="shared" si="2"/>
        <v>0</v>
      </c>
      <c r="L37" s="146"/>
      <c r="M37" s="143">
        <f t="shared" si="3"/>
        <v>0</v>
      </c>
      <c r="N37" s="73"/>
      <c r="O37" s="234"/>
    </row>
    <row r="38" spans="2:15" ht="15.75" thickBot="1" x14ac:dyDescent="0.3">
      <c r="B38" s="251"/>
      <c r="C38" s="189"/>
      <c r="D38" s="250" t="s">
        <v>466</v>
      </c>
      <c r="E38" s="256"/>
      <c r="F38" s="73"/>
      <c r="G38" s="130"/>
      <c r="H38" s="73"/>
      <c r="I38" s="209"/>
      <c r="J38" s="73"/>
      <c r="K38" s="141">
        <f t="shared" si="2"/>
        <v>0</v>
      </c>
      <c r="L38" s="146"/>
      <c r="M38" s="143">
        <f t="shared" si="3"/>
        <v>0</v>
      </c>
      <c r="N38" s="73"/>
      <c r="O38" s="234"/>
    </row>
    <row r="39" spans="2:15" ht="15.75" thickBot="1" x14ac:dyDescent="0.3">
      <c r="B39" s="251"/>
      <c r="C39" s="189"/>
      <c r="D39" s="250" t="s">
        <v>466</v>
      </c>
      <c r="E39" s="256"/>
      <c r="F39" s="73"/>
      <c r="G39" s="130"/>
      <c r="H39" s="73"/>
      <c r="I39" s="209"/>
      <c r="J39" s="73"/>
      <c r="K39" s="141">
        <f t="shared" si="2"/>
        <v>0</v>
      </c>
      <c r="L39" s="146"/>
      <c r="M39" s="143">
        <f t="shared" si="3"/>
        <v>0</v>
      </c>
      <c r="N39" s="73"/>
      <c r="O39" s="234"/>
    </row>
    <row r="40" spans="2:15" ht="15.75" thickBot="1" x14ac:dyDescent="0.3"/>
    <row r="41" spans="2:15" ht="15.75" thickBot="1" x14ac:dyDescent="0.3">
      <c r="C41" s="6"/>
      <c r="E41" s="184"/>
      <c r="G41" s="83"/>
      <c r="I41" s="247" t="s">
        <v>533</v>
      </c>
      <c r="J41" s="3"/>
      <c r="K41" s="3"/>
      <c r="L41" s="235"/>
      <c r="M41" s="151">
        <f>SUM(M30:M40)</f>
        <v>0</v>
      </c>
    </row>
    <row r="42" spans="2:15" x14ac:dyDescent="0.25">
      <c r="B42" s="278"/>
      <c r="C42" s="202"/>
      <c r="E42" s="84"/>
      <c r="G42" s="83"/>
      <c r="I42" s="186"/>
      <c r="K42" s="185"/>
      <c r="L42" s="138"/>
      <c r="M42" s="185"/>
    </row>
    <row r="43" spans="2:15" ht="24" thickBot="1" x14ac:dyDescent="0.4">
      <c r="B43" s="180" t="s">
        <v>589</v>
      </c>
      <c r="C43" s="202"/>
      <c r="E43" s="84"/>
      <c r="G43" s="83"/>
      <c r="I43" s="186"/>
      <c r="K43" s="185"/>
      <c r="L43" s="138"/>
      <c r="M43" s="185"/>
    </row>
    <row r="44" spans="2:15" ht="179.25" customHeight="1" thickBot="1" x14ac:dyDescent="0.3">
      <c r="B44" s="304" t="s">
        <v>592</v>
      </c>
      <c r="C44" s="305"/>
      <c r="D44" s="305"/>
      <c r="E44" s="306"/>
      <c r="G44" s="83"/>
      <c r="I44" s="186"/>
      <c r="K44" s="185"/>
      <c r="L44" s="138"/>
      <c r="M44" s="185"/>
    </row>
    <row r="45" spans="2:15" ht="66.75" thickBot="1" x14ac:dyDescent="0.4">
      <c r="B45" s="204" t="s">
        <v>469</v>
      </c>
      <c r="C45" s="204" t="s">
        <v>483</v>
      </c>
      <c r="D45" s="198" t="s">
        <v>8</v>
      </c>
      <c r="E45" s="205" t="s">
        <v>555</v>
      </c>
      <c r="F45" s="73"/>
      <c r="G45" s="205" t="s">
        <v>470</v>
      </c>
      <c r="H45" s="176"/>
      <c r="I45" s="3"/>
      <c r="J45" s="191"/>
      <c r="K45" s="27" t="s">
        <v>550</v>
      </c>
      <c r="L45" s="194"/>
      <c r="M45" s="208" t="s">
        <v>551</v>
      </c>
      <c r="N45" s="73"/>
      <c r="O45" s="207" t="s">
        <v>554</v>
      </c>
    </row>
    <row r="46" spans="2:15" ht="15.75" thickBot="1" x14ac:dyDescent="0.3">
      <c r="B46" s="251"/>
      <c r="C46" s="189"/>
      <c r="D46" s="250" t="s">
        <v>466</v>
      </c>
      <c r="E46" s="256"/>
      <c r="F46" s="73">
        <v>100</v>
      </c>
      <c r="G46" s="130"/>
      <c r="H46" s="73"/>
      <c r="I46" s="209"/>
      <c r="J46" s="73"/>
      <c r="K46" s="141">
        <f t="shared" ref="K46:K55" si="4">+I46-G46</f>
        <v>0</v>
      </c>
      <c r="L46" s="146"/>
      <c r="M46" s="143">
        <f t="shared" ref="M46:M55" si="5">IFERROR(+K46*E46,"Getal in kolom E")</f>
        <v>0</v>
      </c>
      <c r="N46" s="73"/>
      <c r="O46" s="234"/>
    </row>
    <row r="47" spans="2:15" ht="15.75" thickBot="1" x14ac:dyDescent="0.3">
      <c r="B47" s="251"/>
      <c r="C47" s="189"/>
      <c r="D47" s="250" t="s">
        <v>466</v>
      </c>
      <c r="E47" s="256"/>
      <c r="F47" s="73"/>
      <c r="G47" s="130"/>
      <c r="H47" s="73"/>
      <c r="I47" s="209"/>
      <c r="J47" s="73"/>
      <c r="K47" s="141">
        <f t="shared" si="4"/>
        <v>0</v>
      </c>
      <c r="L47" s="146"/>
      <c r="M47" s="143">
        <f t="shared" si="5"/>
        <v>0</v>
      </c>
      <c r="N47" s="73"/>
      <c r="O47" s="234"/>
    </row>
    <row r="48" spans="2:15" ht="15.75" thickBot="1" x14ac:dyDescent="0.3">
      <c r="B48" s="251"/>
      <c r="C48" s="189"/>
      <c r="D48" s="250" t="s">
        <v>466</v>
      </c>
      <c r="E48" s="256"/>
      <c r="F48" s="73"/>
      <c r="G48" s="130"/>
      <c r="H48" s="73"/>
      <c r="I48" s="209"/>
      <c r="J48" s="73"/>
      <c r="K48" s="141">
        <f t="shared" si="4"/>
        <v>0</v>
      </c>
      <c r="L48" s="146"/>
      <c r="M48" s="143">
        <f t="shared" si="5"/>
        <v>0</v>
      </c>
      <c r="N48" s="73"/>
      <c r="O48" s="234"/>
    </row>
    <row r="49" spans="2:15" ht="15.75" thickBot="1" x14ac:dyDescent="0.3">
      <c r="B49" s="251"/>
      <c r="C49" s="189"/>
      <c r="D49" s="250" t="s">
        <v>466</v>
      </c>
      <c r="E49" s="256"/>
      <c r="F49" s="73"/>
      <c r="G49" s="130"/>
      <c r="H49" s="73"/>
      <c r="I49" s="209"/>
      <c r="J49" s="73"/>
      <c r="K49" s="141">
        <f t="shared" si="4"/>
        <v>0</v>
      </c>
      <c r="L49" s="146"/>
      <c r="M49" s="143">
        <f t="shared" si="5"/>
        <v>0</v>
      </c>
      <c r="N49" s="73"/>
      <c r="O49" s="234"/>
    </row>
    <row r="50" spans="2:15" ht="15.75" thickBot="1" x14ac:dyDescent="0.3">
      <c r="B50" s="251"/>
      <c r="C50" s="189"/>
      <c r="D50" s="250" t="s">
        <v>466</v>
      </c>
      <c r="E50" s="256"/>
      <c r="F50" s="73"/>
      <c r="G50" s="130"/>
      <c r="H50" s="73"/>
      <c r="I50" s="209"/>
      <c r="J50" s="73"/>
      <c r="K50" s="141">
        <f t="shared" si="4"/>
        <v>0</v>
      </c>
      <c r="L50" s="146"/>
      <c r="M50" s="143">
        <f t="shared" si="5"/>
        <v>0</v>
      </c>
      <c r="N50" s="73"/>
      <c r="O50" s="234"/>
    </row>
    <row r="51" spans="2:15" ht="15.75" thickBot="1" x14ac:dyDescent="0.3">
      <c r="B51" s="251"/>
      <c r="C51" s="189"/>
      <c r="D51" s="250" t="s">
        <v>466</v>
      </c>
      <c r="E51" s="256"/>
      <c r="F51" s="73"/>
      <c r="G51" s="130"/>
      <c r="H51" s="73"/>
      <c r="I51" s="209"/>
      <c r="J51" s="73"/>
      <c r="K51" s="141">
        <f t="shared" si="4"/>
        <v>0</v>
      </c>
      <c r="L51" s="146"/>
      <c r="M51" s="143">
        <f t="shared" si="5"/>
        <v>0</v>
      </c>
      <c r="N51" s="73"/>
      <c r="O51" s="234"/>
    </row>
    <row r="52" spans="2:15" ht="15.75" thickBot="1" x14ac:dyDescent="0.3">
      <c r="B52" s="251"/>
      <c r="C52" s="189"/>
      <c r="D52" s="250" t="s">
        <v>466</v>
      </c>
      <c r="E52" s="256"/>
      <c r="F52" s="73"/>
      <c r="G52" s="130"/>
      <c r="H52" s="73"/>
      <c r="I52" s="209"/>
      <c r="J52" s="73"/>
      <c r="K52" s="141">
        <f t="shared" si="4"/>
        <v>0</v>
      </c>
      <c r="L52" s="146"/>
      <c r="M52" s="143">
        <f t="shared" si="5"/>
        <v>0</v>
      </c>
      <c r="N52" s="73"/>
      <c r="O52" s="234"/>
    </row>
    <row r="53" spans="2:15" ht="15.75" thickBot="1" x14ac:dyDescent="0.3">
      <c r="B53" s="251"/>
      <c r="C53" s="189"/>
      <c r="D53" s="250" t="s">
        <v>466</v>
      </c>
      <c r="E53" s="256"/>
      <c r="F53" s="73"/>
      <c r="G53" s="130"/>
      <c r="H53" s="73"/>
      <c r="I53" s="209"/>
      <c r="J53" s="73"/>
      <c r="K53" s="141">
        <f t="shared" si="4"/>
        <v>0</v>
      </c>
      <c r="L53" s="146"/>
      <c r="M53" s="143">
        <f t="shared" si="5"/>
        <v>0</v>
      </c>
      <c r="N53" s="73"/>
      <c r="O53" s="234"/>
    </row>
    <row r="54" spans="2:15" ht="15.75" thickBot="1" x14ac:dyDescent="0.3">
      <c r="B54" s="252"/>
      <c r="C54" s="253"/>
      <c r="D54" s="254" t="s">
        <v>466</v>
      </c>
      <c r="E54" s="256"/>
      <c r="F54" s="73"/>
      <c r="G54" s="130"/>
      <c r="H54" s="73"/>
      <c r="I54" s="248"/>
      <c r="J54" s="73"/>
      <c r="K54" s="249">
        <f t="shared" si="4"/>
        <v>0</v>
      </c>
      <c r="L54" s="146"/>
      <c r="M54" s="143">
        <f t="shared" si="5"/>
        <v>0</v>
      </c>
      <c r="N54" s="73"/>
      <c r="O54" s="255"/>
    </row>
    <row r="55" spans="2:15" ht="15.75" thickBot="1" x14ac:dyDescent="0.3">
      <c r="B55" s="251"/>
      <c r="C55" s="189"/>
      <c r="D55" s="250" t="s">
        <v>466</v>
      </c>
      <c r="E55" s="256"/>
      <c r="F55" s="187"/>
      <c r="G55" s="130"/>
      <c r="H55" s="187"/>
      <c r="I55" s="209"/>
      <c r="J55" s="187"/>
      <c r="K55" s="141">
        <f t="shared" si="4"/>
        <v>0</v>
      </c>
      <c r="L55" s="144"/>
      <c r="M55" s="143">
        <f t="shared" si="5"/>
        <v>0</v>
      </c>
      <c r="N55" s="187"/>
      <c r="O55" s="234"/>
    </row>
    <row r="56" spans="2:15" ht="15.75" thickBot="1" x14ac:dyDescent="0.3">
      <c r="C56" s="173"/>
      <c r="D56" s="221"/>
      <c r="E56" s="221"/>
      <c r="G56" s="83"/>
      <c r="I56" s="83"/>
      <c r="K56" s="185"/>
      <c r="L56" s="138"/>
      <c r="M56" s="185"/>
    </row>
    <row r="57" spans="2:15" ht="15.75" thickBot="1" x14ac:dyDescent="0.3">
      <c r="C57" s="173"/>
      <c r="D57" s="221"/>
      <c r="E57" s="221"/>
      <c r="G57" s="83"/>
      <c r="I57" s="247" t="s">
        <v>533</v>
      </c>
      <c r="J57" s="3"/>
      <c r="K57" s="3"/>
      <c r="L57" s="235"/>
      <c r="M57" s="151">
        <f>SUM($M$46:$M$55)</f>
        <v>0</v>
      </c>
    </row>
    <row r="58" spans="2:15" x14ac:dyDescent="0.25">
      <c r="C58" s="202"/>
      <c r="E58" s="84"/>
      <c r="G58" s="83"/>
      <c r="I58" s="186"/>
      <c r="K58" s="185"/>
      <c r="L58" s="138"/>
      <c r="M58" s="185"/>
    </row>
    <row r="59" spans="2:15" x14ac:dyDescent="0.25">
      <c r="C59" s="173"/>
      <c r="D59" s="158"/>
      <c r="E59" s="159"/>
      <c r="G59" s="83"/>
      <c r="I59" s="83"/>
      <c r="K59" s="108"/>
      <c r="M59" s="108"/>
    </row>
    <row r="60" spans="2:15" x14ac:dyDescent="0.25"/>
    <row r="61" spans="2:15" ht="15.75" thickBot="1" x14ac:dyDescent="0.3">
      <c r="C61" s="6"/>
      <c r="E61" s="84"/>
      <c r="G61" s="83"/>
      <c r="I61" s="83"/>
      <c r="K61" s="108"/>
      <c r="M61" s="109"/>
    </row>
    <row r="62" spans="2:15" ht="15.75" thickBot="1" x14ac:dyDescent="0.3">
      <c r="C62" s="6"/>
      <c r="E62" s="84"/>
      <c r="G62" s="107"/>
      <c r="I62" s="83"/>
      <c r="K62" s="71" t="s">
        <v>411</v>
      </c>
      <c r="L62" s="58"/>
      <c r="M62" s="151">
        <f>M25+M41+M57</f>
        <v>0</v>
      </c>
    </row>
    <row r="63" spans="2:15" x14ac:dyDescent="0.25">
      <c r="B63" s="68" t="s">
        <v>410</v>
      </c>
      <c r="C63" s="69"/>
      <c r="D63" s="49"/>
      <c r="E63" s="63"/>
      <c r="G63" s="64"/>
      <c r="I63" s="64"/>
      <c r="K63" s="65"/>
      <c r="M63" s="72"/>
    </row>
    <row r="64" spans="2:15" ht="15.75" thickBot="1" x14ac:dyDescent="0.3">
      <c r="B64" s="53"/>
      <c r="C64" s="6"/>
      <c r="D64" s="54"/>
      <c r="E64" s="63"/>
      <c r="I64" s="64"/>
      <c r="K64" s="65"/>
    </row>
    <row r="65" spans="2:5" ht="18.75" thickBot="1" x14ac:dyDescent="0.4">
      <c r="B65" s="70" t="str">
        <f>IF($M$62&lt;=0,Datasheet!$L$11,Datasheet!$L$12)</f>
        <v>Totale besparing CO2/jaar</v>
      </c>
      <c r="C65" s="152">
        <f>-M62</f>
        <v>0</v>
      </c>
      <c r="D65" s="54" t="s">
        <v>556</v>
      </c>
      <c r="E65" s="63"/>
    </row>
    <row r="66" spans="2:5" ht="18.75" thickBot="1" x14ac:dyDescent="0.4">
      <c r="B66" s="50"/>
      <c r="C66" s="153">
        <f>+C65/1000</f>
        <v>0</v>
      </c>
      <c r="D66" s="52" t="s">
        <v>557</v>
      </c>
      <c r="E66" s="63"/>
    </row>
    <row r="67" spans="2:5" ht="15.75" thickBot="1" x14ac:dyDescent="0.3">
      <c r="C67" s="6"/>
      <c r="E67" s="63"/>
    </row>
    <row r="68" spans="2:5" ht="32.25" thickBot="1" x14ac:dyDescent="0.4">
      <c r="B68" s="182" t="str">
        <f>IF($M$62&lt;=0,Datasheet!$L$27,Datasheet!$L$29)</f>
        <v>Totale CO2-besparing over de opgegeven periode van 0 jaar</v>
      </c>
      <c r="C68" s="181">
        <f>IF($C$3&gt;Datasheet!$H$4,+C66*Datasheet!$H$4,$C$66*$C$3)</f>
        <v>0</v>
      </c>
      <c r="D68" s="100" t="s">
        <v>557</v>
      </c>
    </row>
    <row r="69" spans="2:5" ht="15.75" thickBot="1" x14ac:dyDescent="0.3">
      <c r="B69" s="188" t="str">
        <f>IF($C$3&lt;=0,"Vul de levensduur in bovenaan het blad!","")</f>
        <v>Vul de levensduur in bovenaan het blad!</v>
      </c>
      <c r="C69" s="6"/>
    </row>
    <row r="70" spans="2:5" ht="15.75" thickBot="1" x14ac:dyDescent="0.3">
      <c r="B70" s="59" t="s">
        <v>415</v>
      </c>
      <c r="C70" s="111"/>
      <c r="D70" s="110" t="s">
        <v>416</v>
      </c>
    </row>
    <row r="71" spans="2:5" ht="33.75" thickBot="1" x14ac:dyDescent="0.4">
      <c r="B71" s="50" t="s">
        <v>428</v>
      </c>
      <c r="C71" s="154">
        <f>IFERROR(+C70/C68,0)</f>
        <v>0</v>
      </c>
      <c r="D71" s="112" t="s">
        <v>558</v>
      </c>
    </row>
    <row r="72" spans="2:5" x14ac:dyDescent="0.25">
      <c r="B72" s="155"/>
    </row>
    <row r="73" spans="2:5" x14ac:dyDescent="0.25"/>
    <row r="74" spans="2:5" ht="15.75" thickBot="1" x14ac:dyDescent="0.3"/>
    <row r="75" spans="2:5" x14ac:dyDescent="0.25">
      <c r="B75" s="113" t="s">
        <v>396</v>
      </c>
      <c r="C75" s="6"/>
    </row>
    <row r="76" spans="2:5" ht="15.75" thickBot="1" x14ac:dyDescent="0.3">
      <c r="B76" s="114" t="str">
        <f>'Energie , overige thema''s'!B51</f>
        <v>Versie D 1.8-1 december 2025</v>
      </c>
      <c r="C76" s="6"/>
    </row>
    <row r="77" spans="2:5" x14ac:dyDescent="0.25">
      <c r="C77" s="6"/>
    </row>
    <row r="78" spans="2:5" x14ac:dyDescent="0.25">
      <c r="C78" s="6"/>
    </row>
    <row r="79" spans="2:5" x14ac:dyDescent="0.25"/>
    <row r="80" spans="2:5"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sheetData>
  <sheetProtection algorithmName="SHA-512" hashValue="0+mK5K2H2vSfxTBZycQg0y9F9KE6VW2xG+VkdX3Fu/8AO97nPbi+jCwrVMk2hQ9t98dAa9uNgz/i1xLGU3CkSg==" saltValue="3nO4I4dbpc6XRv57Foxj7Q==" spinCount="100000" sheet="1" objects="1" scenarios="1"/>
  <dataConsolidate/>
  <mergeCells count="3">
    <mergeCell ref="B28:E28"/>
    <mergeCell ref="B7:E7"/>
    <mergeCell ref="B44:E44"/>
  </mergeCells>
  <conditionalFormatting sqref="C65:C66">
    <cfRule type="cellIs" dxfId="19" priority="43" operator="lessThan">
      <formula>0</formula>
    </cfRule>
    <cfRule type="cellIs" dxfId="18" priority="44" operator="greaterThan">
      <formula>0</formula>
    </cfRule>
  </conditionalFormatting>
  <conditionalFormatting sqref="C68">
    <cfRule type="cellIs" dxfId="17" priority="55" operator="lessThan">
      <formula>0</formula>
    </cfRule>
    <cfRule type="cellIs" dxfId="16" priority="56" operator="greaterThan">
      <formula>0</formula>
    </cfRule>
  </conditionalFormatting>
  <conditionalFormatting sqref="M10:M12 M59">
    <cfRule type="cellIs" dxfId="15" priority="53" operator="greaterThan">
      <formula>0</formula>
    </cfRule>
    <cfRule type="cellIs" dxfId="14" priority="54" operator="lessThan">
      <formula>0</formula>
    </cfRule>
  </conditionalFormatting>
  <conditionalFormatting sqref="M14">
    <cfRule type="cellIs" dxfId="13" priority="51" operator="greaterThan">
      <formula>0</formula>
    </cfRule>
    <cfRule type="cellIs" dxfId="12" priority="52" operator="lessThan">
      <formula>0</formula>
    </cfRule>
  </conditionalFormatting>
  <conditionalFormatting sqref="M16">
    <cfRule type="cellIs" dxfId="11" priority="49" operator="greaterThan">
      <formula>0</formula>
    </cfRule>
    <cfRule type="cellIs" dxfId="10" priority="50" operator="lessThan">
      <formula>0</formula>
    </cfRule>
  </conditionalFormatting>
  <conditionalFormatting sqref="M18">
    <cfRule type="cellIs" dxfId="9" priority="47" operator="greaterThan">
      <formula>0</formula>
    </cfRule>
    <cfRule type="cellIs" dxfId="8" priority="48" operator="lessThan">
      <formula>0</formula>
    </cfRule>
  </conditionalFormatting>
  <conditionalFormatting sqref="M20:M27">
    <cfRule type="cellIs" dxfId="7" priority="21" operator="greaterThan">
      <formula>0</formula>
    </cfRule>
    <cfRule type="cellIs" dxfId="6" priority="22" operator="lessThan">
      <formula>0</formula>
    </cfRule>
  </conditionalFormatting>
  <conditionalFormatting sqref="M30:M39">
    <cfRule type="cellIs" dxfId="5" priority="1" operator="greaterThan">
      <formula>0</formula>
    </cfRule>
    <cfRule type="cellIs" dxfId="4" priority="2" operator="lessThan">
      <formula>0</formula>
    </cfRule>
  </conditionalFormatting>
  <conditionalFormatting sqref="M41">
    <cfRule type="cellIs" dxfId="3" priority="3" operator="greaterThan">
      <formula>0</formula>
    </cfRule>
    <cfRule type="cellIs" dxfId="2" priority="4" operator="lessThan">
      <formula>0</formula>
    </cfRule>
  </conditionalFormatting>
  <conditionalFormatting sqref="M46:M57">
    <cfRule type="cellIs" dxfId="1" priority="7" operator="greaterThan">
      <formula>0</formula>
    </cfRule>
    <cfRule type="cellIs" dxfId="0" priority="8" operator="lessThan">
      <formula>0</formula>
    </cfRule>
  </conditionalFormatting>
  <pageMargins left="0.7" right="0.7" top="0.75" bottom="0.75" header="0.3" footer="0.3"/>
  <pageSetup paperSize="9" scale="2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20A9DCA1-719F-4905-8363-132DB6E1B368}">
          <x14:formula1>
            <xm:f>Datasheet!$G$37:$G$41</xm:f>
          </x14:formula1>
          <xm:sqref>C14</xm:sqref>
        </x14:dataValidation>
        <x14:dataValidation type="list" allowBlank="1" showInputMessage="1" showErrorMessage="1" xr:uid="{932D3CEE-9201-46AD-8D7A-D82F0D4F98D1}">
          <x14:formula1>
            <xm:f>Datasheet!$A$7:$A$36</xm:f>
          </x14:formula1>
          <xm:sqref>C16 C18</xm:sqref>
        </x14:dataValidation>
        <x14:dataValidation type="list" allowBlank="1" showInputMessage="1" showErrorMessage="1" xr:uid="{CD845897-1155-47F5-9F92-DBFF57474319}">
          <x14:formula1>
            <xm:f>Datasheet!$G$14:$G$27</xm:f>
          </x14:formula1>
          <xm:sqref>C10:C12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BA666-21F0-480F-8636-85169C7DA187}">
  <sheetPr>
    <tabColor theme="7" tint="0.59999389629810485"/>
  </sheetPr>
  <dimension ref="A1:D15"/>
  <sheetViews>
    <sheetView showGridLines="0" workbookViewId="0">
      <selection activeCell="D4" sqref="D4"/>
    </sheetView>
  </sheetViews>
  <sheetFormatPr defaultColWidth="0" defaultRowHeight="15" zeroHeight="1" x14ac:dyDescent="0.25"/>
  <cols>
    <col min="1" max="2" width="29.28515625" customWidth="1"/>
    <col min="3" max="3" width="57.5703125" customWidth="1"/>
    <col min="4" max="4" width="75.140625" customWidth="1"/>
    <col min="5" max="5" width="0" hidden="1" customWidth="1"/>
  </cols>
  <sheetData>
    <row r="1" spans="1:4" ht="15.75" thickBot="1" x14ac:dyDescent="0.3">
      <c r="A1" s="239" t="s">
        <v>584</v>
      </c>
      <c r="B1" s="298" t="s">
        <v>509</v>
      </c>
      <c r="C1" s="299"/>
      <c r="D1" s="240" t="s">
        <v>13</v>
      </c>
    </row>
    <row r="2" spans="1:4" ht="45" x14ac:dyDescent="0.25">
      <c r="A2" s="241" t="s">
        <v>510</v>
      </c>
      <c r="B2" s="296" t="s">
        <v>511</v>
      </c>
      <c r="C2" s="297"/>
      <c r="D2" s="242" t="s">
        <v>600</v>
      </c>
    </row>
    <row r="3" spans="1:4" x14ac:dyDescent="0.25">
      <c r="A3" s="241" t="s">
        <v>525</v>
      </c>
      <c r="B3" s="328" t="s">
        <v>598</v>
      </c>
      <c r="C3" s="329"/>
      <c r="D3" s="242" t="s">
        <v>599</v>
      </c>
    </row>
    <row r="4" spans="1:4" ht="45" customHeight="1" x14ac:dyDescent="0.25">
      <c r="A4" s="243" t="s">
        <v>510</v>
      </c>
      <c r="B4" s="292" t="s">
        <v>512</v>
      </c>
      <c r="C4" s="293"/>
      <c r="D4" s="244" t="s">
        <v>513</v>
      </c>
    </row>
    <row r="5" spans="1:4" x14ac:dyDescent="0.25">
      <c r="A5" s="245" t="s">
        <v>514</v>
      </c>
      <c r="B5" s="292" t="s">
        <v>515</v>
      </c>
      <c r="C5" s="293"/>
      <c r="D5" s="244" t="s">
        <v>516</v>
      </c>
    </row>
    <row r="6" spans="1:4" ht="33.75" customHeight="1" x14ac:dyDescent="0.25">
      <c r="A6" s="245" t="s">
        <v>514</v>
      </c>
      <c r="B6" s="292" t="s">
        <v>517</v>
      </c>
      <c r="C6" s="293"/>
      <c r="D6" s="244" t="s">
        <v>518</v>
      </c>
    </row>
    <row r="7" spans="1:4" ht="30" x14ac:dyDescent="0.25">
      <c r="A7" s="245" t="s">
        <v>519</v>
      </c>
      <c r="B7" s="292" t="s">
        <v>520</v>
      </c>
      <c r="C7" s="293"/>
      <c r="D7" s="244" t="s">
        <v>521</v>
      </c>
    </row>
    <row r="8" spans="1:4" ht="30" x14ac:dyDescent="0.25">
      <c r="A8" s="245" t="s">
        <v>519</v>
      </c>
      <c r="B8" s="292" t="s">
        <v>522</v>
      </c>
      <c r="C8" s="293"/>
      <c r="D8" s="244" t="s">
        <v>521</v>
      </c>
    </row>
    <row r="9" spans="1:4" ht="45" x14ac:dyDescent="0.25">
      <c r="A9" s="245" t="s">
        <v>519</v>
      </c>
      <c r="B9" s="292" t="s">
        <v>523</v>
      </c>
      <c r="C9" s="293"/>
      <c r="D9" s="244" t="s">
        <v>524</v>
      </c>
    </row>
    <row r="10" spans="1:4" x14ac:dyDescent="0.25">
      <c r="A10" s="245" t="s">
        <v>525</v>
      </c>
      <c r="B10" s="292" t="s">
        <v>526</v>
      </c>
      <c r="C10" s="293"/>
      <c r="D10" s="244" t="s">
        <v>527</v>
      </c>
    </row>
    <row r="11" spans="1:4" x14ac:dyDescent="0.25">
      <c r="A11" s="245" t="s">
        <v>525</v>
      </c>
      <c r="B11" s="292" t="s">
        <v>526</v>
      </c>
      <c r="C11" s="293"/>
      <c r="D11" s="244" t="s">
        <v>528</v>
      </c>
    </row>
    <row r="12" spans="1:4" x14ac:dyDescent="0.25">
      <c r="A12" s="245" t="s">
        <v>514</v>
      </c>
      <c r="B12" s="292" t="s">
        <v>529</v>
      </c>
      <c r="C12" s="293"/>
      <c r="D12" s="244" t="s">
        <v>530</v>
      </c>
    </row>
    <row r="13" spans="1:4" x14ac:dyDescent="0.25">
      <c r="A13" s="245" t="s">
        <v>514</v>
      </c>
      <c r="B13" s="292" t="s">
        <v>531</v>
      </c>
      <c r="C13" s="293"/>
      <c r="D13" s="244" t="s">
        <v>532</v>
      </c>
    </row>
    <row r="14" spans="1:4" ht="30" x14ac:dyDescent="0.25">
      <c r="A14" s="245" t="s">
        <v>601</v>
      </c>
      <c r="B14" s="292" t="s">
        <v>604</v>
      </c>
      <c r="C14" s="293"/>
      <c r="D14" s="244" t="s">
        <v>606</v>
      </c>
    </row>
    <row r="15" spans="1:4" ht="30.75" thickBot="1" x14ac:dyDescent="0.3">
      <c r="A15" s="246" t="s">
        <v>602</v>
      </c>
      <c r="B15" s="294" t="s">
        <v>603</v>
      </c>
      <c r="C15" s="295"/>
      <c r="D15" s="327" t="s">
        <v>605</v>
      </c>
    </row>
  </sheetData>
  <sheetProtection algorithmName="SHA-512" hashValue="FJm1jjjw635aNhYIQ+NCzWg4Agb9I2OHLRMWF4wzkAo0UW4le9aDzIL1Va/UzWtjioZhTMV4+vcq4c+/uZxjvw==" saltValue="PsTcGbxnRKCPz3BI94BGfg==" spinCount="100000" sheet="1" objects="1" scenarios="1"/>
  <mergeCells count="15">
    <mergeCell ref="B14:C14"/>
    <mergeCell ref="B15:C15"/>
    <mergeCell ref="B11:C11"/>
    <mergeCell ref="B12:C12"/>
    <mergeCell ref="B13:C13"/>
    <mergeCell ref="B2:C2"/>
    <mergeCell ref="B1:C1"/>
    <mergeCell ref="B4:C4"/>
    <mergeCell ref="B5:C5"/>
    <mergeCell ref="B6:C6"/>
    <mergeCell ref="B7:C7"/>
    <mergeCell ref="B8:C8"/>
    <mergeCell ref="B9:C9"/>
    <mergeCell ref="B10:C10"/>
    <mergeCell ref="B3:C3"/>
  </mergeCells>
  <hyperlinks>
    <hyperlink ref="B11" r:id="rId1" xr:uid="{AF2B8AFB-76E3-446F-92F2-DAF9B1FFBCA1}"/>
    <hyperlink ref="B10" r:id="rId2" xr:uid="{41D89EC9-A3EF-4121-A7CE-6F5A1F4B0BB5}"/>
    <hyperlink ref="B13" r:id="rId3" xr:uid="{8572E29F-1372-4749-B605-B57B4B692D1C}"/>
    <hyperlink ref="B7" r:id="rId4" xr:uid="{026352E1-AC1E-422F-AB74-12666A9C03BC}"/>
    <hyperlink ref="B12" r:id="rId5" xr:uid="{17450FCA-B97D-4CD8-854C-D419144E94DD}"/>
    <hyperlink ref="B5" r:id="rId6" xr:uid="{AB84777B-4828-4E0D-BB71-E265B7CC76DB}"/>
    <hyperlink ref="B8" r:id="rId7" display="https://www.eco-platform.org/epd-data.html" xr:uid="{126F362E-71EF-4FD3-A530-00D1FE73F55D}"/>
    <hyperlink ref="B9" r:id="rId8" display="https://www.environdec.com/library" xr:uid="{AB6A7997-1650-401F-8B23-807A2B2B68D6}"/>
    <hyperlink ref="B6" r:id="rId9" display="https://publications.jrc.ec.europa.eu/repository/handle/JRC134682" xr:uid="{3713F671-8C89-4180-AC16-D7CC90F499AC}"/>
    <hyperlink ref="B4" r:id="rId10" display="https://footprintcalc.org/" xr:uid="{D7C64A0D-A972-45D8-9B97-3F36498717B0}"/>
    <hyperlink ref="B2" r:id="rId11" display="https://www.ecocostsvalue.com/data-tools-books/tool-in-excel/" xr:uid="{4942ECFF-D36F-4868-AD37-B17F36BFC550}"/>
    <hyperlink ref="B3" r:id="rId12" display="https://www.ecocostsvalue.com/data-tools-books/" xr:uid="{953C5CA1-6BF0-4A70-83FE-082600A5BEB6}"/>
    <hyperlink ref="B15" r:id="rId13" display="https://plasticseurope.org/sustainability/circularity/life-cycle-thinking/eco-profiles-set/" xr:uid="{F46AEFEE-6AD7-4915-8914-1E57F02635F2}"/>
    <hyperlink ref="B14" r:id="rId14" display="https://worldsteel.org/about-steel/facts/steelfacts/" xr:uid="{65811891-2921-4C81-B82D-683C4CEF3CD6}"/>
  </hyperlinks>
  <pageMargins left="0.7" right="0.7" top="0.75" bottom="0.75" header="0.3" footer="0.3"/>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DADD-B352-4098-A9A4-BAE01A8CADEA}">
  <sheetPr codeName="Blad5"/>
  <dimension ref="A1:T191"/>
  <sheetViews>
    <sheetView topLeftCell="A2" zoomScale="115" zoomScaleNormal="115" workbookViewId="0">
      <selection activeCell="V61" sqref="V61"/>
    </sheetView>
  </sheetViews>
  <sheetFormatPr defaultColWidth="10" defaultRowHeight="11.25" x14ac:dyDescent="0.15"/>
  <cols>
    <col min="1" max="1" width="24" style="46" customWidth="1"/>
    <col min="2" max="2" width="10" style="24"/>
    <col min="3" max="3" width="16.5703125" style="24" customWidth="1"/>
    <col min="4" max="4" width="10.85546875" style="24" customWidth="1"/>
    <col min="5" max="7" width="10" style="24"/>
    <col min="8" max="8" width="10" style="43"/>
    <col min="9" max="9" width="73.42578125" style="43" customWidth="1"/>
    <col min="10" max="10" width="10" style="24"/>
    <col min="11" max="11" width="1.85546875" style="24" customWidth="1"/>
    <col min="12" max="13" width="10" style="24"/>
    <col min="14" max="14" width="32" style="24" customWidth="1"/>
    <col min="15" max="16384" width="10" style="24"/>
  </cols>
  <sheetData>
    <row r="1" spans="1:19" customFormat="1" ht="15.75" customHeight="1" x14ac:dyDescent="0.25">
      <c r="A1" s="17"/>
      <c r="B1" s="18"/>
      <c r="C1" s="18"/>
      <c r="D1" s="18"/>
      <c r="E1" s="18"/>
      <c r="F1" s="18"/>
      <c r="G1" s="18"/>
      <c r="H1" s="19"/>
      <c r="I1" s="20"/>
      <c r="J1" s="18"/>
    </row>
    <row r="2" spans="1:19" customFormat="1" ht="46.5" x14ac:dyDescent="0.25">
      <c r="A2" s="21" t="s">
        <v>7</v>
      </c>
      <c r="B2" s="21"/>
      <c r="C2" s="21"/>
      <c r="D2" s="21" t="s">
        <v>8</v>
      </c>
      <c r="E2" s="21" t="s">
        <v>9</v>
      </c>
      <c r="F2" s="21" t="s">
        <v>10</v>
      </c>
      <c r="G2" s="21" t="s">
        <v>11</v>
      </c>
      <c r="H2" s="22" t="s">
        <v>12</v>
      </c>
      <c r="I2" s="21" t="s">
        <v>13</v>
      </c>
      <c r="J2" s="21" t="s">
        <v>14</v>
      </c>
    </row>
    <row r="3" spans="1:19" customFormat="1" ht="13.5" customHeight="1" x14ac:dyDescent="0.25">
      <c r="A3" s="309"/>
      <c r="B3" s="310"/>
      <c r="C3" s="310"/>
      <c r="D3" s="310"/>
      <c r="E3" s="310"/>
      <c r="F3" s="310"/>
      <c r="G3" s="310"/>
      <c r="H3" s="310"/>
      <c r="I3" s="310"/>
      <c r="J3" s="311"/>
    </row>
    <row r="4" spans="1:19" s="23" customFormat="1" ht="150" customHeight="1" x14ac:dyDescent="0.25">
      <c r="A4" s="312" t="s">
        <v>15</v>
      </c>
      <c r="B4" s="313"/>
      <c r="C4" s="313"/>
      <c r="D4" s="313"/>
      <c r="E4" s="313"/>
      <c r="F4" s="313"/>
      <c r="G4" s="313"/>
      <c r="H4" s="313"/>
      <c r="I4" s="313"/>
      <c r="J4" s="314"/>
    </row>
    <row r="5" spans="1:19" ht="22.5" customHeight="1" x14ac:dyDescent="0.15">
      <c r="A5" s="315" t="s">
        <v>16</v>
      </c>
      <c r="B5" s="316"/>
      <c r="C5" s="316"/>
      <c r="D5" s="316"/>
      <c r="E5" s="316"/>
      <c r="F5" s="316"/>
      <c r="G5" s="316"/>
      <c r="H5" s="316"/>
      <c r="I5" s="316"/>
      <c r="J5" s="317"/>
    </row>
    <row r="6" spans="1:19" ht="30" x14ac:dyDescent="0.25">
      <c r="A6" s="25"/>
      <c r="B6" s="26" t="s">
        <v>17</v>
      </c>
      <c r="C6" s="26"/>
      <c r="D6" s="26" t="s">
        <v>18</v>
      </c>
      <c r="E6" s="3">
        <v>2.7839999999999998</v>
      </c>
      <c r="F6" s="27">
        <v>2.141</v>
      </c>
      <c r="G6" s="26">
        <v>0.64300000000000002</v>
      </c>
      <c r="H6" s="26" t="s">
        <v>19</v>
      </c>
      <c r="I6" s="28" t="s">
        <v>20</v>
      </c>
      <c r="J6" s="3" t="s">
        <v>21</v>
      </c>
      <c r="M6"/>
      <c r="N6"/>
      <c r="O6" s="26" t="s">
        <v>17</v>
      </c>
      <c r="P6" s="26" t="s">
        <v>18</v>
      </c>
      <c r="Q6" s="3">
        <v>2.7839999999999998</v>
      </c>
      <c r="R6" s="27">
        <v>2.141</v>
      </c>
      <c r="S6" s="26">
        <v>0.64300000000000002</v>
      </c>
    </row>
    <row r="7" spans="1:19" ht="30" x14ac:dyDescent="0.25">
      <c r="A7" s="25"/>
      <c r="B7" s="26" t="s">
        <v>22</v>
      </c>
      <c r="C7" s="26"/>
      <c r="D7" s="26" t="s">
        <v>18</v>
      </c>
      <c r="E7" s="3">
        <v>2.8839999999999999</v>
      </c>
      <c r="F7" s="27">
        <v>2.2330000000000001</v>
      </c>
      <c r="G7" s="26">
        <v>0.65100000000000002</v>
      </c>
      <c r="H7" s="26" t="s">
        <v>19</v>
      </c>
      <c r="I7" s="28" t="s">
        <v>23</v>
      </c>
      <c r="J7" s="3" t="s">
        <v>21</v>
      </c>
      <c r="M7"/>
      <c r="N7"/>
      <c r="O7" s="26" t="s">
        <v>26</v>
      </c>
      <c r="P7" s="26" t="s">
        <v>18</v>
      </c>
      <c r="Q7" s="3">
        <v>0.55800000000000005</v>
      </c>
      <c r="R7" s="27">
        <v>1.4E-2</v>
      </c>
      <c r="S7" s="26">
        <v>0.54300000000000004</v>
      </c>
    </row>
    <row r="8" spans="1:19" ht="11.25" customHeight="1" x14ac:dyDescent="0.25">
      <c r="A8" s="25"/>
      <c r="B8" s="26" t="s">
        <v>24</v>
      </c>
      <c r="C8" s="26"/>
      <c r="D8" s="26" t="s">
        <v>18</v>
      </c>
      <c r="E8" s="3">
        <v>3.032</v>
      </c>
      <c r="F8" s="27">
        <v>2.3769999999999998</v>
      </c>
      <c r="G8" s="26">
        <v>0.65500000000000003</v>
      </c>
      <c r="H8" s="26" t="s">
        <v>19</v>
      </c>
      <c r="I8" s="28" t="s">
        <v>25</v>
      </c>
      <c r="J8" s="3" t="s">
        <v>21</v>
      </c>
      <c r="M8"/>
      <c r="N8"/>
      <c r="O8" s="26"/>
      <c r="P8" s="26"/>
      <c r="Q8" s="3"/>
      <c r="R8" s="27"/>
      <c r="S8" s="26"/>
    </row>
    <row r="9" spans="1:19" ht="102" customHeight="1" x14ac:dyDescent="0.25">
      <c r="A9" s="25"/>
      <c r="B9" s="26" t="s">
        <v>26</v>
      </c>
      <c r="C9" s="26"/>
      <c r="D9" s="26" t="s">
        <v>18</v>
      </c>
      <c r="E9" s="3">
        <v>0.55800000000000005</v>
      </c>
      <c r="F9" s="27">
        <v>1.4E-2</v>
      </c>
      <c r="G9" s="26">
        <v>0.54300000000000004</v>
      </c>
      <c r="H9" s="26" t="s">
        <v>19</v>
      </c>
      <c r="I9" s="28" t="s">
        <v>27</v>
      </c>
      <c r="J9" s="3" t="s">
        <v>21</v>
      </c>
      <c r="M9"/>
      <c r="N9"/>
      <c r="O9" s="26" t="s">
        <v>29</v>
      </c>
      <c r="P9" s="26" t="s">
        <v>18</v>
      </c>
      <c r="Q9" s="3">
        <v>3.262</v>
      </c>
      <c r="R9" s="27">
        <v>2.4740000000000002</v>
      </c>
      <c r="S9" s="26">
        <v>0.78800000000000003</v>
      </c>
    </row>
    <row r="10" spans="1:19" ht="102" customHeight="1" x14ac:dyDescent="0.25">
      <c r="A10" s="25"/>
      <c r="B10" s="26"/>
      <c r="C10" s="26"/>
      <c r="D10" s="26"/>
      <c r="E10" s="3">
        <v>0.876</v>
      </c>
      <c r="F10" s="27">
        <v>0.36899999999999999</v>
      </c>
      <c r="G10" s="26">
        <v>0.50700000000000001</v>
      </c>
      <c r="H10" s="26"/>
      <c r="I10" s="28" t="s">
        <v>28</v>
      </c>
      <c r="J10" s="3"/>
      <c r="M10"/>
      <c r="N10"/>
      <c r="O10" s="26" t="s">
        <v>34</v>
      </c>
      <c r="P10" s="26" t="s">
        <v>18</v>
      </c>
      <c r="Q10" s="3">
        <v>0.314</v>
      </c>
      <c r="R10" s="27">
        <v>3.7999999999999999E-2</v>
      </c>
      <c r="S10" s="26">
        <v>0.27600000000000002</v>
      </c>
    </row>
    <row r="11" spans="1:19" ht="30" x14ac:dyDescent="0.25">
      <c r="A11" s="25"/>
      <c r="B11" s="26" t="s">
        <v>29</v>
      </c>
      <c r="C11" s="26"/>
      <c r="D11" s="26" t="s">
        <v>18</v>
      </c>
      <c r="E11" s="3">
        <v>3.262</v>
      </c>
      <c r="F11" s="27">
        <v>2.4740000000000002</v>
      </c>
      <c r="G11" s="26">
        <v>0.78800000000000003</v>
      </c>
      <c r="H11" s="26" t="s">
        <v>19</v>
      </c>
      <c r="I11" s="28" t="s">
        <v>30</v>
      </c>
      <c r="J11" s="3" t="s">
        <v>21</v>
      </c>
      <c r="M11"/>
      <c r="N11"/>
      <c r="O11" s="26" t="s">
        <v>37</v>
      </c>
      <c r="P11" s="26" t="s">
        <v>18</v>
      </c>
      <c r="Q11" s="3">
        <v>0.44900000000000001</v>
      </c>
      <c r="R11" s="27">
        <v>3.5000000000000003E-2</v>
      </c>
      <c r="S11" s="26">
        <v>0.41399999999999998</v>
      </c>
    </row>
    <row r="12" spans="1:19" ht="30" x14ac:dyDescent="0.25">
      <c r="A12" s="25"/>
      <c r="B12" s="26" t="s">
        <v>31</v>
      </c>
      <c r="C12" s="26"/>
      <c r="D12" s="26" t="s">
        <v>18</v>
      </c>
      <c r="E12" s="3">
        <v>3.3090000000000002</v>
      </c>
      <c r="F12" s="27">
        <v>2.5139999999999998</v>
      </c>
      <c r="G12" s="26">
        <v>0.79600000000000004</v>
      </c>
      <c r="H12" s="26" t="s">
        <v>19</v>
      </c>
      <c r="I12" s="28" t="s">
        <v>23</v>
      </c>
      <c r="J12" s="3" t="s">
        <v>21</v>
      </c>
      <c r="M12"/>
      <c r="N12"/>
      <c r="O12"/>
      <c r="R12"/>
      <c r="S12"/>
    </row>
    <row r="13" spans="1:19" ht="15" x14ac:dyDescent="0.25">
      <c r="A13" s="25"/>
      <c r="B13" s="26" t="s">
        <v>32</v>
      </c>
      <c r="C13" s="26"/>
      <c r="D13" s="26" t="s">
        <v>18</v>
      </c>
      <c r="E13" s="3">
        <v>3.4729999999999999</v>
      </c>
      <c r="F13" s="27">
        <v>2.657</v>
      </c>
      <c r="G13" s="26">
        <v>0.81599999999999995</v>
      </c>
      <c r="H13" s="26" t="s">
        <v>19</v>
      </c>
      <c r="I13" s="28" t="s">
        <v>33</v>
      </c>
      <c r="J13" s="3" t="s">
        <v>21</v>
      </c>
      <c r="M13"/>
      <c r="N13"/>
      <c r="O13"/>
      <c r="R13"/>
      <c r="S13"/>
    </row>
    <row r="14" spans="1:19" ht="165" x14ac:dyDescent="0.25">
      <c r="A14" s="25"/>
      <c r="B14" s="26" t="s">
        <v>34</v>
      </c>
      <c r="C14" s="26"/>
      <c r="D14" s="26" t="s">
        <v>18</v>
      </c>
      <c r="E14" s="3">
        <v>0.314</v>
      </c>
      <c r="F14" s="27">
        <v>3.7999999999999999E-2</v>
      </c>
      <c r="G14" s="26">
        <v>0.27600000000000002</v>
      </c>
      <c r="H14" s="26" t="s">
        <v>19</v>
      </c>
      <c r="I14" s="28" t="s">
        <v>35</v>
      </c>
      <c r="J14" s="3" t="s">
        <v>36</v>
      </c>
      <c r="M14"/>
      <c r="N14"/>
      <c r="O14"/>
      <c r="R14"/>
      <c r="S14"/>
    </row>
    <row r="15" spans="1:19" ht="90" x14ac:dyDescent="0.25">
      <c r="A15" s="25"/>
      <c r="B15" s="26" t="s">
        <v>37</v>
      </c>
      <c r="C15" s="26"/>
      <c r="D15" s="26" t="s">
        <v>18</v>
      </c>
      <c r="E15" s="3">
        <v>0.44900000000000001</v>
      </c>
      <c r="F15" s="27">
        <v>3.5000000000000003E-2</v>
      </c>
      <c r="G15" s="26">
        <v>0.41399999999999998</v>
      </c>
      <c r="H15" s="26" t="s">
        <v>19</v>
      </c>
      <c r="I15" s="28" t="s">
        <v>38</v>
      </c>
      <c r="J15" s="3" t="s">
        <v>21</v>
      </c>
      <c r="M15"/>
      <c r="N15"/>
      <c r="O15"/>
      <c r="R15"/>
      <c r="S15"/>
    </row>
    <row r="16" spans="1:19" ht="30" x14ac:dyDescent="0.25">
      <c r="A16" s="25"/>
      <c r="B16" s="26" t="s">
        <v>39</v>
      </c>
      <c r="C16" s="26"/>
      <c r="D16" s="26" t="s">
        <v>18</v>
      </c>
      <c r="E16" s="3">
        <v>3.274</v>
      </c>
      <c r="F16" s="27">
        <v>2.4710000000000001</v>
      </c>
      <c r="G16" s="26">
        <v>0.80300000000000005</v>
      </c>
      <c r="H16" s="26" t="s">
        <v>19</v>
      </c>
      <c r="I16" s="28" t="s">
        <v>40</v>
      </c>
      <c r="J16" s="3" t="s">
        <v>21</v>
      </c>
      <c r="M16"/>
      <c r="N16"/>
      <c r="O16"/>
      <c r="R16"/>
      <c r="S16"/>
    </row>
    <row r="17" spans="1:19" ht="11.25" customHeight="1" x14ac:dyDescent="0.25">
      <c r="A17" s="25"/>
      <c r="B17" s="26" t="s">
        <v>41</v>
      </c>
      <c r="C17" s="26"/>
      <c r="D17" s="26" t="s">
        <v>42</v>
      </c>
      <c r="E17" s="3">
        <v>2.633</v>
      </c>
      <c r="F17" s="27">
        <v>2.2839999999999998</v>
      </c>
      <c r="G17" s="26">
        <v>0.35</v>
      </c>
      <c r="H17" s="26" t="s">
        <v>19</v>
      </c>
      <c r="I17" s="28"/>
      <c r="J17" s="3" t="s">
        <v>21</v>
      </c>
      <c r="M17"/>
      <c r="N17"/>
      <c r="O17"/>
      <c r="R17"/>
      <c r="S17"/>
    </row>
    <row r="18" spans="1:19" ht="90" x14ac:dyDescent="0.25">
      <c r="A18" s="25"/>
      <c r="B18" s="26" t="s">
        <v>43</v>
      </c>
      <c r="C18" s="26"/>
      <c r="D18" s="26" t="s">
        <v>42</v>
      </c>
      <c r="E18" s="3">
        <v>1.0489999999999999</v>
      </c>
      <c r="F18" s="27">
        <v>0.13700000000000001</v>
      </c>
      <c r="G18" s="26">
        <v>0.91200000000000003</v>
      </c>
      <c r="H18" s="26" t="s">
        <v>19</v>
      </c>
      <c r="I18" s="28" t="s">
        <v>44</v>
      </c>
      <c r="J18" s="3" t="s">
        <v>21</v>
      </c>
      <c r="M18"/>
      <c r="N18"/>
      <c r="O18"/>
      <c r="R18"/>
      <c r="S18"/>
    </row>
    <row r="19" spans="1:19" ht="60" x14ac:dyDescent="0.25">
      <c r="A19" s="25"/>
      <c r="B19" s="26" t="s">
        <v>45</v>
      </c>
      <c r="C19" s="26"/>
      <c r="D19" s="26" t="s">
        <v>42</v>
      </c>
      <c r="E19" s="3">
        <v>3.6509999999999998</v>
      </c>
      <c r="F19" s="27">
        <v>2.9449999999999998</v>
      </c>
      <c r="G19" s="26">
        <v>0.70599999999999996</v>
      </c>
      <c r="H19" s="26" t="s">
        <v>19</v>
      </c>
      <c r="I19" s="28" t="s">
        <v>46</v>
      </c>
      <c r="J19" s="3" t="s">
        <v>21</v>
      </c>
      <c r="M19"/>
      <c r="N19"/>
      <c r="O19"/>
      <c r="R19"/>
      <c r="S19"/>
    </row>
    <row r="20" spans="1:19" ht="150" x14ac:dyDescent="0.25">
      <c r="A20" s="25"/>
      <c r="B20" s="26" t="s">
        <v>47</v>
      </c>
      <c r="C20" s="26"/>
      <c r="D20" s="26" t="s">
        <v>42</v>
      </c>
      <c r="E20" s="3">
        <v>1.431</v>
      </c>
      <c r="F20" s="27">
        <v>0.17599999999999999</v>
      </c>
      <c r="G20" s="26">
        <v>1.254</v>
      </c>
      <c r="H20" s="26" t="s">
        <v>19</v>
      </c>
      <c r="I20" s="28" t="s">
        <v>48</v>
      </c>
      <c r="J20" s="3" t="s">
        <v>21</v>
      </c>
      <c r="M20"/>
      <c r="N20"/>
      <c r="O20"/>
      <c r="R20"/>
      <c r="S20"/>
    </row>
    <row r="21" spans="1:19" ht="15" x14ac:dyDescent="0.25">
      <c r="A21" s="25"/>
      <c r="B21" s="26" t="s">
        <v>49</v>
      </c>
      <c r="C21" s="26"/>
      <c r="D21" s="26" t="s">
        <v>18</v>
      </c>
      <c r="E21" s="3">
        <v>1.798</v>
      </c>
      <c r="F21" s="27">
        <v>1.631</v>
      </c>
      <c r="G21" s="26">
        <v>0.16700000000000001</v>
      </c>
      <c r="H21" s="26" t="s">
        <v>19</v>
      </c>
      <c r="I21" s="28"/>
      <c r="J21" s="3" t="s">
        <v>21</v>
      </c>
      <c r="M21"/>
      <c r="N21"/>
      <c r="O21"/>
      <c r="R21"/>
      <c r="S21"/>
    </row>
    <row r="22" spans="1:19" ht="90" x14ac:dyDescent="0.25">
      <c r="A22" s="25"/>
      <c r="B22" s="26" t="s">
        <v>50</v>
      </c>
      <c r="C22" s="26"/>
      <c r="D22" s="26" t="s">
        <v>42</v>
      </c>
      <c r="E22" s="3">
        <v>12.516</v>
      </c>
      <c r="F22" s="27">
        <v>0</v>
      </c>
      <c r="G22" s="26">
        <v>12.516</v>
      </c>
      <c r="H22" s="26" t="s">
        <v>19</v>
      </c>
      <c r="I22" s="28" t="s">
        <v>51</v>
      </c>
      <c r="J22" s="3" t="s">
        <v>21</v>
      </c>
      <c r="M22"/>
      <c r="N22" t="s">
        <v>43</v>
      </c>
      <c r="O22"/>
      <c r="P22" s="24" t="s">
        <v>42</v>
      </c>
      <c r="Q22" s="24">
        <v>1.0489999999999999</v>
      </c>
      <c r="R22">
        <v>0.13700000000000001</v>
      </c>
      <c r="S22">
        <v>0.91200000000000003</v>
      </c>
    </row>
    <row r="23" spans="1:19" ht="90" x14ac:dyDescent="0.25">
      <c r="A23" s="25"/>
      <c r="B23" s="26" t="s">
        <v>52</v>
      </c>
      <c r="C23" s="26"/>
      <c r="D23" s="26" t="s">
        <v>42</v>
      </c>
      <c r="E23" s="3">
        <v>1.0920000000000001</v>
      </c>
      <c r="F23" s="27">
        <v>0</v>
      </c>
      <c r="G23" s="26">
        <v>1.0920000000000001</v>
      </c>
      <c r="H23" s="26" t="s">
        <v>19</v>
      </c>
      <c r="I23" s="28" t="s">
        <v>51</v>
      </c>
      <c r="J23" s="3" t="s">
        <v>21</v>
      </c>
      <c r="M23"/>
      <c r="N23" t="s">
        <v>45</v>
      </c>
      <c r="O23"/>
      <c r="P23" s="24" t="s">
        <v>42</v>
      </c>
      <c r="Q23" s="24">
        <v>3.6509999999999998</v>
      </c>
      <c r="R23">
        <v>2.9449999999999998</v>
      </c>
      <c r="S23">
        <v>0.70599999999999996</v>
      </c>
    </row>
    <row r="24" spans="1:19" ht="75" x14ac:dyDescent="0.25">
      <c r="A24" s="25"/>
      <c r="B24" s="26" t="s">
        <v>53</v>
      </c>
      <c r="C24" s="26"/>
      <c r="D24" s="26" t="s">
        <v>18</v>
      </c>
      <c r="E24" s="3">
        <v>3.4359999999999999</v>
      </c>
      <c r="F24" s="27">
        <v>2.7189999999999999</v>
      </c>
      <c r="G24" s="26">
        <v>0.71699999999999997</v>
      </c>
      <c r="H24" s="26" t="s">
        <v>19</v>
      </c>
      <c r="I24" s="28" t="s">
        <v>54</v>
      </c>
      <c r="J24" s="3" t="s">
        <v>21</v>
      </c>
      <c r="M24"/>
      <c r="N24" t="s">
        <v>47</v>
      </c>
      <c r="O24"/>
      <c r="P24" s="24" t="s">
        <v>42</v>
      </c>
      <c r="Q24" s="24">
        <v>1.431</v>
      </c>
      <c r="R24">
        <v>0.17599999999999999</v>
      </c>
      <c r="S24">
        <v>1.254</v>
      </c>
    </row>
    <row r="25" spans="1:19" ht="45" x14ac:dyDescent="0.25">
      <c r="A25" s="25"/>
      <c r="B25" s="26" t="s">
        <v>55</v>
      </c>
      <c r="C25" s="26"/>
      <c r="D25" s="26" t="s">
        <v>18</v>
      </c>
      <c r="E25" s="3">
        <v>3.762</v>
      </c>
      <c r="F25" s="27">
        <v>3.11</v>
      </c>
      <c r="G25" s="26">
        <v>0.65200000000000002</v>
      </c>
      <c r="H25" s="26" t="s">
        <v>19</v>
      </c>
      <c r="I25" s="28" t="s">
        <v>56</v>
      </c>
      <c r="J25" s="3" t="s">
        <v>21</v>
      </c>
      <c r="M25"/>
      <c r="N25" t="s">
        <v>49</v>
      </c>
      <c r="O25"/>
      <c r="P25" s="24" t="s">
        <v>18</v>
      </c>
      <c r="Q25" s="24">
        <v>1.798</v>
      </c>
      <c r="R25">
        <v>1.631</v>
      </c>
      <c r="S25" s="6">
        <v>0.16700000000000001</v>
      </c>
    </row>
    <row r="26" spans="1:19" ht="11.25" customHeight="1" x14ac:dyDescent="0.25">
      <c r="A26" s="25"/>
      <c r="B26" s="26" t="s">
        <v>57</v>
      </c>
      <c r="C26" s="26"/>
      <c r="D26" s="26" t="s">
        <v>18</v>
      </c>
      <c r="E26" s="3">
        <v>3.202</v>
      </c>
      <c r="F26" s="27">
        <v>2.5059999999999998</v>
      </c>
      <c r="G26" s="26">
        <v>0.69599999999999995</v>
      </c>
      <c r="H26" s="26" t="s">
        <v>19</v>
      </c>
      <c r="I26" s="28" t="s">
        <v>58</v>
      </c>
      <c r="J26" s="3" t="s">
        <v>21</v>
      </c>
      <c r="M26"/>
      <c r="N26" t="s">
        <v>50</v>
      </c>
      <c r="O26"/>
      <c r="P26" s="24" t="s">
        <v>42</v>
      </c>
      <c r="Q26" s="24">
        <v>12.516</v>
      </c>
      <c r="R26">
        <v>0</v>
      </c>
      <c r="S26">
        <v>12.516</v>
      </c>
    </row>
    <row r="27" spans="1:19" ht="22.5" customHeight="1" x14ac:dyDescent="0.15">
      <c r="A27" s="318" t="s">
        <v>59</v>
      </c>
      <c r="B27" s="318"/>
      <c r="C27" s="318"/>
      <c r="D27" s="318"/>
      <c r="E27" s="318"/>
      <c r="F27" s="318"/>
      <c r="G27" s="318"/>
      <c r="H27" s="318"/>
      <c r="I27" s="318"/>
      <c r="J27" s="318"/>
      <c r="N27" s="24" t="s">
        <v>52</v>
      </c>
      <c r="P27" s="24" t="s">
        <v>42</v>
      </c>
      <c r="Q27" s="24">
        <v>1.0920000000000001</v>
      </c>
      <c r="R27" s="24">
        <v>0</v>
      </c>
      <c r="S27" s="24">
        <v>1.0920000000000001</v>
      </c>
    </row>
    <row r="28" spans="1:19" ht="15" x14ac:dyDescent="0.25">
      <c r="A28" s="25"/>
      <c r="B28" s="307" t="s">
        <v>60</v>
      </c>
      <c r="C28" s="308"/>
      <c r="D28" s="3" t="s">
        <v>18</v>
      </c>
      <c r="E28" s="26">
        <v>3.1850000000000001</v>
      </c>
      <c r="F28" s="26"/>
      <c r="G28" s="26"/>
      <c r="H28" s="3" t="s">
        <v>61</v>
      </c>
      <c r="I28" s="27"/>
      <c r="J28" s="3" t="s">
        <v>62</v>
      </c>
    </row>
    <row r="29" spans="1:19" ht="15" x14ac:dyDescent="0.25">
      <c r="A29" s="25"/>
      <c r="B29" s="307" t="s">
        <v>63</v>
      </c>
      <c r="C29" s="308"/>
      <c r="D29" s="3" t="s">
        <v>42</v>
      </c>
      <c r="E29" s="26"/>
      <c r="F29" s="26">
        <v>3.13</v>
      </c>
      <c r="G29" s="26"/>
      <c r="H29" s="3" t="s">
        <v>64</v>
      </c>
      <c r="I29" s="27"/>
      <c r="J29" s="3" t="s">
        <v>62</v>
      </c>
    </row>
    <row r="30" spans="1:19" ht="15" x14ac:dyDescent="0.25">
      <c r="A30" s="25"/>
      <c r="B30" s="307" t="s">
        <v>65</v>
      </c>
      <c r="C30" s="308"/>
      <c r="D30" s="3" t="s">
        <v>42</v>
      </c>
      <c r="E30" s="26"/>
      <c r="F30" s="26">
        <v>2.1179999999999999</v>
      </c>
      <c r="G30" s="26"/>
      <c r="H30" s="3" t="s">
        <v>64</v>
      </c>
      <c r="I30" s="27"/>
      <c r="J30" s="3" t="s">
        <v>62</v>
      </c>
    </row>
    <row r="31" spans="1:19" ht="15" x14ac:dyDescent="0.25">
      <c r="A31" s="25"/>
      <c r="B31" s="307" t="s">
        <v>66</v>
      </c>
      <c r="C31" s="308"/>
      <c r="D31" s="3" t="s">
        <v>42</v>
      </c>
      <c r="E31" s="26"/>
      <c r="F31" s="26">
        <v>2.8250000000000002</v>
      </c>
      <c r="G31" s="26"/>
      <c r="H31" s="3" t="s">
        <v>64</v>
      </c>
      <c r="I31" s="27"/>
      <c r="J31" s="3" t="s">
        <v>62</v>
      </c>
    </row>
    <row r="32" spans="1:19" ht="15" x14ac:dyDescent="0.25">
      <c r="A32" s="25"/>
      <c r="B32" s="307" t="s">
        <v>67</v>
      </c>
      <c r="C32" s="308"/>
      <c r="D32" s="3" t="s">
        <v>42</v>
      </c>
      <c r="E32" s="26"/>
      <c r="F32" s="26">
        <v>3.0990000000000002</v>
      </c>
      <c r="G32" s="26"/>
      <c r="H32" s="3" t="s">
        <v>64</v>
      </c>
      <c r="I32" s="27"/>
      <c r="J32" s="3" t="s">
        <v>62</v>
      </c>
    </row>
    <row r="33" spans="1:15" ht="15" x14ac:dyDescent="0.25">
      <c r="A33" s="25"/>
      <c r="B33" s="307" t="s">
        <v>68</v>
      </c>
      <c r="C33" s="308"/>
      <c r="D33" s="3" t="s">
        <v>42</v>
      </c>
      <c r="E33" s="26"/>
      <c r="F33" s="26">
        <v>2.7930000000000001</v>
      </c>
      <c r="G33" s="26"/>
      <c r="H33" s="3" t="s">
        <v>64</v>
      </c>
      <c r="I33" s="27"/>
      <c r="J33" s="3" t="s">
        <v>62</v>
      </c>
    </row>
    <row r="34" spans="1:15" ht="15" x14ac:dyDescent="0.25">
      <c r="A34" s="25"/>
      <c r="B34" s="307" t="s">
        <v>69</v>
      </c>
      <c r="C34" s="308"/>
      <c r="D34" s="3" t="s">
        <v>42</v>
      </c>
      <c r="E34" s="26"/>
      <c r="F34" s="26">
        <v>2.7839999999999998</v>
      </c>
      <c r="G34" s="26"/>
      <c r="H34" s="3" t="s">
        <v>64</v>
      </c>
      <c r="I34" s="27"/>
      <c r="J34" s="3" t="s">
        <v>62</v>
      </c>
    </row>
    <row r="35" spans="1:15" ht="15" x14ac:dyDescent="0.25">
      <c r="A35" s="25"/>
      <c r="B35" s="307" t="s">
        <v>70</v>
      </c>
      <c r="C35" s="308"/>
      <c r="D35" s="3" t="s">
        <v>42</v>
      </c>
      <c r="E35" s="26"/>
      <c r="F35" s="26">
        <v>3.2250000000000001</v>
      </c>
      <c r="G35" s="26"/>
      <c r="H35" s="3" t="s">
        <v>64</v>
      </c>
      <c r="I35" s="27"/>
      <c r="J35" s="3" t="s">
        <v>62</v>
      </c>
    </row>
    <row r="36" spans="1:15" ht="15" x14ac:dyDescent="0.25">
      <c r="A36" s="25"/>
      <c r="B36" s="307" t="s">
        <v>71</v>
      </c>
      <c r="C36" s="308"/>
      <c r="D36" s="3" t="s">
        <v>42</v>
      </c>
      <c r="E36" s="26"/>
      <c r="F36" s="26">
        <v>3.3809999999999998</v>
      </c>
      <c r="G36" s="26"/>
      <c r="H36" s="3" t="s">
        <v>64</v>
      </c>
      <c r="I36" s="27"/>
      <c r="J36" s="3" t="s">
        <v>62</v>
      </c>
    </row>
    <row r="37" spans="1:15" ht="15" x14ac:dyDescent="0.25">
      <c r="A37" s="25"/>
      <c r="B37" s="307" t="s">
        <v>72</v>
      </c>
      <c r="C37" s="308"/>
      <c r="D37" s="3" t="s">
        <v>42</v>
      </c>
      <c r="E37" s="26"/>
      <c r="F37" s="26">
        <v>3.0350000000000001</v>
      </c>
      <c r="G37" s="26"/>
      <c r="H37" s="3" t="s">
        <v>64</v>
      </c>
      <c r="I37" s="27"/>
      <c r="J37" s="3" t="s">
        <v>62</v>
      </c>
    </row>
    <row r="38" spans="1:15" ht="15" x14ac:dyDescent="0.25">
      <c r="A38" s="25"/>
      <c r="B38" s="307" t="s">
        <v>73</v>
      </c>
      <c r="C38" s="308"/>
      <c r="D38" s="3" t="s">
        <v>42</v>
      </c>
      <c r="E38" s="26"/>
      <c r="F38" s="26">
        <v>3.4319999999999999</v>
      </c>
      <c r="G38" s="26"/>
      <c r="H38" s="3" t="s">
        <v>64</v>
      </c>
      <c r="I38" s="27"/>
      <c r="J38" s="3" t="s">
        <v>62</v>
      </c>
    </row>
    <row r="39" spans="1:15" ht="11.25" customHeight="1" x14ac:dyDescent="0.25">
      <c r="A39" s="25"/>
      <c r="B39" s="307" t="s">
        <v>74</v>
      </c>
      <c r="C39" s="308"/>
      <c r="D39" s="3" t="s">
        <v>42</v>
      </c>
      <c r="E39" s="26"/>
      <c r="F39" s="26">
        <v>3.1520000000000001</v>
      </c>
      <c r="G39" s="26"/>
      <c r="H39" s="3" t="s">
        <v>64</v>
      </c>
      <c r="I39" s="27"/>
      <c r="J39" s="3" t="s">
        <v>62</v>
      </c>
    </row>
    <row r="40" spans="1:15" ht="90" x14ac:dyDescent="0.25">
      <c r="A40" s="25"/>
      <c r="B40" s="307" t="s">
        <v>75</v>
      </c>
      <c r="C40" s="308"/>
      <c r="D40" s="3" t="s">
        <v>42</v>
      </c>
      <c r="E40" s="26"/>
      <c r="F40" s="29">
        <v>2.911</v>
      </c>
      <c r="G40" s="26"/>
      <c r="H40" s="3" t="s">
        <v>64</v>
      </c>
      <c r="I40" s="27" t="s">
        <v>76</v>
      </c>
      <c r="J40" s="30" t="s">
        <v>77</v>
      </c>
      <c r="L40" s="31">
        <f>64.4*45.2/1000</f>
        <v>2.9108800000000006</v>
      </c>
    </row>
    <row r="41" spans="1:15" ht="90" x14ac:dyDescent="0.25">
      <c r="A41" s="25"/>
      <c r="B41" s="307" t="s">
        <v>78</v>
      </c>
      <c r="C41" s="308"/>
      <c r="D41" s="3" t="s">
        <v>42</v>
      </c>
      <c r="E41" s="26"/>
      <c r="F41" s="29">
        <v>2.7930000000000001</v>
      </c>
      <c r="G41" s="26"/>
      <c r="H41" s="3" t="s">
        <v>64</v>
      </c>
      <c r="I41" s="27" t="s">
        <v>76</v>
      </c>
      <c r="J41" s="30" t="s">
        <v>77</v>
      </c>
      <c r="L41" s="31">
        <f>61.8*45.2/1000</f>
        <v>2.7933600000000003</v>
      </c>
    </row>
    <row r="42" spans="1:15" ht="15" x14ac:dyDescent="0.25">
      <c r="A42" s="25"/>
      <c r="B42" s="307" t="s">
        <v>79</v>
      </c>
      <c r="C42" s="308"/>
      <c r="D42" s="3" t="s">
        <v>42</v>
      </c>
      <c r="E42" s="26"/>
      <c r="F42" s="26">
        <v>2.9470000000000001</v>
      </c>
      <c r="G42" s="26"/>
      <c r="H42" s="3" t="s">
        <v>64</v>
      </c>
      <c r="I42" s="27"/>
      <c r="J42" s="3" t="s">
        <v>62</v>
      </c>
    </row>
    <row r="43" spans="1:15" ht="15" x14ac:dyDescent="0.25">
      <c r="A43" s="25"/>
      <c r="B43" s="307" t="s">
        <v>80</v>
      </c>
      <c r="C43" s="308"/>
      <c r="D43" s="3" t="s">
        <v>42</v>
      </c>
      <c r="E43" s="26"/>
      <c r="F43" s="26">
        <v>2.88</v>
      </c>
      <c r="G43" s="26"/>
      <c r="H43" s="3" t="s">
        <v>64</v>
      </c>
      <c r="I43" s="27"/>
      <c r="J43" s="3" t="s">
        <v>62</v>
      </c>
    </row>
    <row r="44" spans="1:15" ht="15" x14ac:dyDescent="0.25">
      <c r="A44" s="25"/>
      <c r="B44" s="307" t="s">
        <v>81</v>
      </c>
      <c r="C44" s="308"/>
      <c r="D44" s="3" t="s">
        <v>42</v>
      </c>
      <c r="E44" s="26"/>
      <c r="F44" s="26">
        <v>2.6880000000000002</v>
      </c>
      <c r="G44" s="26"/>
      <c r="H44" s="3" t="s">
        <v>64</v>
      </c>
      <c r="I44" s="27"/>
      <c r="J44" s="3" t="s">
        <v>62</v>
      </c>
    </row>
    <row r="45" spans="1:15" ht="15" x14ac:dyDescent="0.25">
      <c r="A45" s="25"/>
      <c r="B45" s="307" t="s">
        <v>82</v>
      </c>
      <c r="C45" s="308"/>
      <c r="D45" s="3" t="s">
        <v>42</v>
      </c>
      <c r="E45" s="26"/>
      <c r="F45" s="26">
        <v>2.7280000000000002</v>
      </c>
      <c r="G45" s="26"/>
      <c r="H45" s="3" t="s">
        <v>64</v>
      </c>
      <c r="I45" s="27"/>
      <c r="J45" s="3" t="s">
        <v>62</v>
      </c>
    </row>
    <row r="46" spans="1:15" ht="15" x14ac:dyDescent="0.25">
      <c r="A46" s="25"/>
      <c r="B46" s="307" t="s">
        <v>83</v>
      </c>
      <c r="C46" s="308"/>
      <c r="D46" s="3" t="s">
        <v>42</v>
      </c>
      <c r="E46" s="26"/>
      <c r="F46" s="26">
        <v>2.5680000000000001</v>
      </c>
      <c r="G46" s="26"/>
      <c r="H46" s="3" t="s">
        <v>64</v>
      </c>
      <c r="I46" s="27"/>
      <c r="J46" s="3" t="s">
        <v>62</v>
      </c>
    </row>
    <row r="47" spans="1:15" ht="15" x14ac:dyDescent="0.25">
      <c r="A47" s="25"/>
      <c r="B47" s="307" t="s">
        <v>84</v>
      </c>
      <c r="C47" s="308"/>
      <c r="D47" s="3" t="s">
        <v>42</v>
      </c>
      <c r="E47" s="26"/>
      <c r="F47" s="29">
        <v>2.327</v>
      </c>
      <c r="G47" s="26"/>
      <c r="H47" s="3" t="s">
        <v>64</v>
      </c>
      <c r="I47" s="27"/>
      <c r="J47" s="30" t="s">
        <v>77</v>
      </c>
      <c r="L47" s="31">
        <f>92.7*25.1/1000</f>
        <v>2.3267699999999998</v>
      </c>
      <c r="O47" s="32"/>
    </row>
    <row r="48" spans="1:15" ht="15" x14ac:dyDescent="0.25">
      <c r="A48" s="25"/>
      <c r="B48" s="307" t="s">
        <v>85</v>
      </c>
      <c r="C48" s="308"/>
      <c r="D48" s="3" t="s">
        <v>42</v>
      </c>
      <c r="E48" s="26"/>
      <c r="F48" s="26">
        <v>1.8160000000000001</v>
      </c>
      <c r="G48" s="26"/>
      <c r="H48" s="3" t="s">
        <v>64</v>
      </c>
      <c r="I48" s="27"/>
      <c r="J48" s="3" t="s">
        <v>62</v>
      </c>
    </row>
    <row r="49" spans="1:18" ht="15" x14ac:dyDescent="0.25">
      <c r="A49" s="25"/>
      <c r="B49" s="307" t="s">
        <v>86</v>
      </c>
      <c r="C49" s="308"/>
      <c r="D49" s="3" t="s">
        <v>42</v>
      </c>
      <c r="E49" s="26"/>
      <c r="F49" s="26">
        <v>2.02</v>
      </c>
      <c r="G49" s="26"/>
      <c r="H49" s="3" t="s">
        <v>64</v>
      </c>
      <c r="I49" s="27"/>
      <c r="J49" s="3" t="s">
        <v>62</v>
      </c>
    </row>
    <row r="50" spans="1:18" ht="15" x14ac:dyDescent="0.25">
      <c r="A50" s="25"/>
      <c r="B50" s="307" t="s">
        <v>87</v>
      </c>
      <c r="C50" s="308"/>
      <c r="D50" s="3" t="s">
        <v>42</v>
      </c>
      <c r="E50" s="26"/>
      <c r="F50" s="26">
        <v>0.95199999999999996</v>
      </c>
      <c r="G50" s="26"/>
      <c r="H50" s="3" t="s">
        <v>64</v>
      </c>
      <c r="I50" s="27"/>
      <c r="J50" s="3" t="s">
        <v>62</v>
      </c>
    </row>
    <row r="51" spans="1:18" ht="15" x14ac:dyDescent="0.25">
      <c r="A51" s="25"/>
      <c r="B51" s="307" t="s">
        <v>88</v>
      </c>
      <c r="C51" s="308"/>
      <c r="D51" s="3" t="s">
        <v>42</v>
      </c>
      <c r="E51" s="26"/>
      <c r="F51" s="26">
        <v>1.0349999999999999</v>
      </c>
      <c r="G51" s="26"/>
      <c r="H51" s="3" t="s">
        <v>64</v>
      </c>
      <c r="I51" s="27"/>
      <c r="J51" s="3" t="s">
        <v>62</v>
      </c>
    </row>
    <row r="52" spans="1:18" ht="24" customHeight="1" x14ac:dyDescent="0.25">
      <c r="A52" s="25"/>
      <c r="B52" s="319" t="s">
        <v>89</v>
      </c>
      <c r="C52" s="320"/>
      <c r="D52" s="3" t="s">
        <v>42</v>
      </c>
      <c r="E52" s="26"/>
      <c r="F52" s="26">
        <v>2.0179999999999998</v>
      </c>
      <c r="G52" s="26"/>
      <c r="H52" s="3" t="s">
        <v>64</v>
      </c>
      <c r="I52" s="27"/>
      <c r="J52" s="3" t="s">
        <v>62</v>
      </c>
    </row>
    <row r="53" spans="1:18" ht="135" x14ac:dyDescent="0.25">
      <c r="A53" s="25"/>
      <c r="B53" s="307" t="s">
        <v>90</v>
      </c>
      <c r="C53" s="308"/>
      <c r="D53" s="3" t="s">
        <v>91</v>
      </c>
      <c r="E53" s="29">
        <v>2.085</v>
      </c>
      <c r="F53" s="29">
        <v>1.788</v>
      </c>
      <c r="G53" s="29">
        <v>0.29699999999999999</v>
      </c>
      <c r="H53" s="30" t="s">
        <v>92</v>
      </c>
      <c r="I53" s="33" t="s">
        <v>93</v>
      </c>
      <c r="J53" s="30" t="s">
        <v>77</v>
      </c>
      <c r="L53" s="31">
        <f>56.5*31.65/1000</f>
        <v>1.788225</v>
      </c>
    </row>
    <row r="54" spans="1:18" ht="114" x14ac:dyDescent="0.25">
      <c r="A54" s="25"/>
      <c r="B54" s="319" t="s">
        <v>90</v>
      </c>
      <c r="C54" s="320"/>
      <c r="D54" s="30" t="s">
        <v>94</v>
      </c>
      <c r="E54" s="29">
        <v>65.599999999999994</v>
      </c>
      <c r="F54" s="29">
        <v>56.5</v>
      </c>
      <c r="G54" s="29">
        <v>9.1</v>
      </c>
      <c r="H54" s="30" t="s">
        <v>95</v>
      </c>
      <c r="I54" s="34" t="s">
        <v>96</v>
      </c>
      <c r="J54" s="30" t="s">
        <v>97</v>
      </c>
      <c r="L54" s="31"/>
    </row>
    <row r="55" spans="1:18" ht="15" x14ac:dyDescent="0.25">
      <c r="A55" s="25"/>
      <c r="B55" s="307" t="s">
        <v>98</v>
      </c>
      <c r="C55" s="308"/>
      <c r="D55" s="3" t="s">
        <v>18</v>
      </c>
      <c r="E55" s="26">
        <v>1.7250000000000001</v>
      </c>
      <c r="F55" s="26">
        <v>1.53</v>
      </c>
      <c r="G55" s="26">
        <v>0.19500000000000001</v>
      </c>
      <c r="H55" s="3" t="s">
        <v>99</v>
      </c>
      <c r="I55" s="27"/>
      <c r="J55" s="3" t="s">
        <v>62</v>
      </c>
    </row>
    <row r="56" spans="1:18" ht="60" x14ac:dyDescent="0.25">
      <c r="A56" s="25"/>
      <c r="B56" s="307" t="s">
        <v>100</v>
      </c>
      <c r="C56" s="308"/>
      <c r="D56" s="3" t="s">
        <v>91</v>
      </c>
      <c r="E56" s="26">
        <v>0.39800000000000002</v>
      </c>
      <c r="F56" s="26">
        <v>0</v>
      </c>
      <c r="G56" s="26">
        <v>0.39800000000000002</v>
      </c>
      <c r="H56" s="3" t="s">
        <v>61</v>
      </c>
      <c r="I56" s="27" t="s">
        <v>101</v>
      </c>
      <c r="J56" s="3" t="s">
        <v>62</v>
      </c>
    </row>
    <row r="57" spans="1:18" ht="60" x14ac:dyDescent="0.25">
      <c r="A57" s="25"/>
      <c r="B57" s="307" t="s">
        <v>102</v>
      </c>
      <c r="C57" s="308"/>
      <c r="D57" s="3" t="s">
        <v>91</v>
      </c>
      <c r="E57" s="26">
        <v>1.0389999999999999</v>
      </c>
      <c r="F57" s="26">
        <v>0</v>
      </c>
      <c r="G57" s="26">
        <v>1.0389999999999999</v>
      </c>
      <c r="H57" s="3" t="s">
        <v>103</v>
      </c>
      <c r="I57" s="27" t="s">
        <v>101</v>
      </c>
      <c r="J57" s="3" t="s">
        <v>104</v>
      </c>
    </row>
    <row r="58" spans="1:18" ht="60" x14ac:dyDescent="0.25">
      <c r="A58" s="25"/>
      <c r="B58" s="319" t="s">
        <v>105</v>
      </c>
      <c r="C58" s="320"/>
      <c r="D58" s="3" t="s">
        <v>91</v>
      </c>
      <c r="E58" s="26">
        <v>0.46100000000000002</v>
      </c>
      <c r="F58" s="26">
        <v>0</v>
      </c>
      <c r="G58" s="26">
        <v>0.46100000000000002</v>
      </c>
      <c r="H58" s="3" t="s">
        <v>103</v>
      </c>
      <c r="I58" s="27" t="s">
        <v>101</v>
      </c>
      <c r="J58" s="3" t="s">
        <v>104</v>
      </c>
    </row>
    <row r="59" spans="1:18" ht="60" x14ac:dyDescent="0.25">
      <c r="A59" s="25"/>
      <c r="B59" s="307" t="s">
        <v>106</v>
      </c>
      <c r="C59" s="308"/>
      <c r="D59" s="3" t="s">
        <v>91</v>
      </c>
      <c r="E59" s="26">
        <v>0.85899999999999999</v>
      </c>
      <c r="F59" s="26">
        <v>0</v>
      </c>
      <c r="G59" s="26">
        <v>0.85899999999999999</v>
      </c>
      <c r="H59" s="3" t="s">
        <v>103</v>
      </c>
      <c r="I59" s="27" t="s">
        <v>101</v>
      </c>
      <c r="J59" s="3" t="s">
        <v>104</v>
      </c>
    </row>
    <row r="60" spans="1:18" ht="72.75" customHeight="1" x14ac:dyDescent="0.25">
      <c r="A60" s="25"/>
      <c r="B60" s="307" t="s">
        <v>107</v>
      </c>
      <c r="C60" s="308"/>
      <c r="D60" s="3" t="s">
        <v>91</v>
      </c>
      <c r="E60" s="26">
        <v>0.72299999999999998</v>
      </c>
      <c r="F60" s="26">
        <v>0</v>
      </c>
      <c r="G60" s="26">
        <v>0.72299999999999998</v>
      </c>
      <c r="H60" s="3" t="s">
        <v>103</v>
      </c>
      <c r="I60" s="27" t="s">
        <v>108</v>
      </c>
      <c r="J60" s="3" t="s">
        <v>104</v>
      </c>
    </row>
    <row r="61" spans="1:18" ht="180" x14ac:dyDescent="0.25">
      <c r="A61" s="25" t="s">
        <v>109</v>
      </c>
      <c r="B61" s="307" t="s">
        <v>110</v>
      </c>
      <c r="C61" s="308"/>
      <c r="D61" s="3" t="s">
        <v>111</v>
      </c>
      <c r="E61" s="26">
        <v>6.2E-2</v>
      </c>
      <c r="F61" s="26">
        <v>8.9999999999999993E-3</v>
      </c>
      <c r="G61" s="26">
        <v>5.2999999999999999E-2</v>
      </c>
      <c r="H61" s="3" t="s">
        <v>112</v>
      </c>
      <c r="I61" s="27" t="s">
        <v>113</v>
      </c>
      <c r="J61" s="3" t="s">
        <v>114</v>
      </c>
      <c r="N61" s="24" t="s">
        <v>110</v>
      </c>
      <c r="O61" s="3" t="s">
        <v>111</v>
      </c>
      <c r="P61" s="26">
        <v>6.2E-2</v>
      </c>
      <c r="Q61" s="26">
        <v>8.9999999999999993E-3</v>
      </c>
      <c r="R61" s="26">
        <v>5.2999999999999999E-2</v>
      </c>
    </row>
    <row r="62" spans="1:18" ht="120" x14ac:dyDescent="0.25">
      <c r="A62" s="25"/>
      <c r="B62" s="307" t="s">
        <v>115</v>
      </c>
      <c r="C62" s="308"/>
      <c r="D62" s="3" t="s">
        <v>111</v>
      </c>
      <c r="E62" s="26">
        <v>5.3999999999999999E-2</v>
      </c>
      <c r="F62" s="26">
        <v>8.9999999999999993E-3</v>
      </c>
      <c r="G62" s="26">
        <v>4.4999999999999998E-2</v>
      </c>
      <c r="H62" s="3" t="s">
        <v>112</v>
      </c>
      <c r="I62" s="27" t="s">
        <v>116</v>
      </c>
      <c r="J62" s="3" t="s">
        <v>114</v>
      </c>
      <c r="N62" s="24" t="s">
        <v>406</v>
      </c>
      <c r="O62" s="3" t="s">
        <v>111</v>
      </c>
      <c r="P62" s="26">
        <v>5.3999999999999999E-2</v>
      </c>
      <c r="Q62" s="26">
        <v>8.9999999999999993E-3</v>
      </c>
      <c r="R62" s="26">
        <v>4.4999999999999998E-2</v>
      </c>
    </row>
    <row r="63" spans="1:18" ht="135" x14ac:dyDescent="0.25">
      <c r="A63" s="25"/>
      <c r="B63" s="319" t="s">
        <v>117</v>
      </c>
      <c r="C63" s="320"/>
      <c r="D63" s="3" t="s">
        <v>111</v>
      </c>
      <c r="E63" s="26">
        <v>3.5000000000000003E-2</v>
      </c>
      <c r="F63" s="26">
        <v>6.0000000000000001E-3</v>
      </c>
      <c r="G63" s="26">
        <v>2.9000000000000001E-2</v>
      </c>
      <c r="H63" s="3" t="s">
        <v>112</v>
      </c>
      <c r="I63" s="27" t="s">
        <v>118</v>
      </c>
      <c r="J63" s="3" t="s">
        <v>114</v>
      </c>
      <c r="N63" s="43" t="s">
        <v>117</v>
      </c>
      <c r="O63" s="3" t="s">
        <v>111</v>
      </c>
      <c r="P63" s="26">
        <v>3.5000000000000003E-2</v>
      </c>
      <c r="Q63" s="26">
        <v>6.0000000000000001E-3</v>
      </c>
      <c r="R63" s="26">
        <v>2.9000000000000001E-2</v>
      </c>
    </row>
    <row r="64" spans="1:18" ht="150" x14ac:dyDescent="0.25">
      <c r="A64" s="25"/>
      <c r="B64" s="307" t="s">
        <v>119</v>
      </c>
      <c r="C64" s="308"/>
      <c r="D64" s="3" t="s">
        <v>111</v>
      </c>
      <c r="E64" s="26">
        <v>0.55600000000000005</v>
      </c>
      <c r="F64" s="26">
        <v>6.0000000000000001E-3</v>
      </c>
      <c r="G64" s="26">
        <v>0.55000000000000004</v>
      </c>
      <c r="H64" s="3" t="s">
        <v>112</v>
      </c>
      <c r="I64" s="27" t="s">
        <v>120</v>
      </c>
      <c r="J64" s="3" t="s">
        <v>114</v>
      </c>
      <c r="N64" s="24" t="s">
        <v>119</v>
      </c>
      <c r="O64" s="3" t="s">
        <v>111</v>
      </c>
      <c r="P64" s="26">
        <v>0.55600000000000005</v>
      </c>
      <c r="Q64" s="26">
        <v>6.0000000000000001E-3</v>
      </c>
      <c r="R64" s="26">
        <v>0.55000000000000004</v>
      </c>
    </row>
    <row r="65" spans="1:18" ht="135" x14ac:dyDescent="0.25">
      <c r="A65" s="25"/>
      <c r="B65" s="307" t="s">
        <v>121</v>
      </c>
      <c r="C65" s="308"/>
      <c r="D65" s="3" t="s">
        <v>111</v>
      </c>
      <c r="E65" s="26">
        <v>7.6999999999999999E-2</v>
      </c>
      <c r="F65" s="26">
        <v>8.9999999999999993E-3</v>
      </c>
      <c r="G65" s="26">
        <v>6.8000000000000005E-2</v>
      </c>
      <c r="H65" s="3" t="s">
        <v>112</v>
      </c>
      <c r="I65" s="27" t="s">
        <v>122</v>
      </c>
      <c r="J65" s="3" t="s">
        <v>114</v>
      </c>
      <c r="N65" s="24" t="s">
        <v>121</v>
      </c>
      <c r="O65" s="3" t="s">
        <v>111</v>
      </c>
      <c r="P65" s="26">
        <v>7.6999999999999999E-2</v>
      </c>
      <c r="Q65" s="26">
        <v>8.9999999999999993E-3</v>
      </c>
      <c r="R65" s="26">
        <v>6.8000000000000005E-2</v>
      </c>
    </row>
    <row r="66" spans="1:18" ht="22.5" customHeight="1" x14ac:dyDescent="0.15">
      <c r="A66" s="318" t="s">
        <v>123</v>
      </c>
      <c r="B66" s="318"/>
      <c r="C66" s="318"/>
      <c r="D66" s="318"/>
      <c r="E66" s="318"/>
      <c r="F66" s="318"/>
      <c r="G66" s="318"/>
      <c r="H66" s="318"/>
      <c r="I66" s="318"/>
      <c r="J66" s="318"/>
    </row>
    <row r="67" spans="1:18" ht="108" customHeight="1" x14ac:dyDescent="0.25">
      <c r="A67" s="25"/>
      <c r="B67" s="35" t="s">
        <v>124</v>
      </c>
      <c r="C67" s="36"/>
      <c r="D67" s="3"/>
      <c r="E67" s="3" t="s">
        <v>125</v>
      </c>
      <c r="F67" s="3" t="s">
        <v>126</v>
      </c>
      <c r="G67" s="37">
        <v>5.8000000000000003E-2</v>
      </c>
      <c r="H67" s="33" t="s">
        <v>127</v>
      </c>
      <c r="I67" s="33" t="s">
        <v>128</v>
      </c>
      <c r="J67" s="30" t="s">
        <v>77</v>
      </c>
    </row>
    <row r="68" spans="1:18" ht="75" x14ac:dyDescent="0.25">
      <c r="A68" s="25"/>
      <c r="B68" s="35" t="s">
        <v>129</v>
      </c>
      <c r="C68" s="36"/>
      <c r="D68" s="3" t="s">
        <v>130</v>
      </c>
      <c r="E68" s="38">
        <v>0.52300000000000002</v>
      </c>
      <c r="F68" s="38">
        <v>0.45400000000000001</v>
      </c>
      <c r="G68" s="37">
        <v>6.9000000000000006E-2</v>
      </c>
      <c r="H68" s="33" t="s">
        <v>127</v>
      </c>
      <c r="I68" s="27" t="s">
        <v>131</v>
      </c>
      <c r="J68" s="30" t="s">
        <v>77</v>
      </c>
    </row>
    <row r="69" spans="1:18" ht="90" x14ac:dyDescent="0.25">
      <c r="A69" s="25"/>
      <c r="B69" s="35" t="s">
        <v>132</v>
      </c>
      <c r="C69" s="36"/>
      <c r="D69" s="3" t="s">
        <v>130</v>
      </c>
      <c r="E69" s="38">
        <v>0.42699999999999999</v>
      </c>
      <c r="F69" s="38">
        <v>0.36899999999999999</v>
      </c>
      <c r="G69" s="37">
        <v>5.8000000000000003E-2</v>
      </c>
      <c r="H69" s="33" t="s">
        <v>127</v>
      </c>
      <c r="I69" s="27" t="s">
        <v>133</v>
      </c>
      <c r="J69" s="30" t="s">
        <v>77</v>
      </c>
    </row>
    <row r="70" spans="1:18" ht="60" x14ac:dyDescent="0.25">
      <c r="A70" s="25"/>
      <c r="B70" s="35" t="s">
        <v>134</v>
      </c>
      <c r="C70" s="36"/>
      <c r="D70" s="3" t="s">
        <v>130</v>
      </c>
      <c r="E70" s="3">
        <v>0</v>
      </c>
      <c r="F70" s="3">
        <v>0</v>
      </c>
      <c r="G70" s="3">
        <v>0</v>
      </c>
      <c r="H70" s="27" t="s">
        <v>127</v>
      </c>
      <c r="I70" s="27" t="s">
        <v>135</v>
      </c>
      <c r="J70" s="3" t="s">
        <v>104</v>
      </c>
    </row>
    <row r="71" spans="1:18" ht="60" x14ac:dyDescent="0.25">
      <c r="A71" s="25"/>
      <c r="B71" s="35" t="s">
        <v>136</v>
      </c>
      <c r="C71" s="36"/>
      <c r="D71" s="3" t="s">
        <v>130</v>
      </c>
      <c r="E71" s="3">
        <v>0</v>
      </c>
      <c r="F71" s="3">
        <v>0</v>
      </c>
      <c r="G71" s="3">
        <v>0</v>
      </c>
      <c r="H71" s="27" t="s">
        <v>127</v>
      </c>
      <c r="I71" s="27" t="s">
        <v>137</v>
      </c>
      <c r="J71" s="3" t="s">
        <v>104</v>
      </c>
    </row>
    <row r="72" spans="1:18" ht="60" x14ac:dyDescent="0.25">
      <c r="A72" s="25"/>
      <c r="B72" s="35" t="s">
        <v>138</v>
      </c>
      <c r="C72" s="36"/>
      <c r="D72" s="3" t="s">
        <v>130</v>
      </c>
      <c r="E72" s="3">
        <v>0</v>
      </c>
      <c r="F72" s="3">
        <v>0</v>
      </c>
      <c r="G72" s="3">
        <v>0</v>
      </c>
      <c r="H72" s="27" t="s">
        <v>127</v>
      </c>
      <c r="I72" s="33" t="s">
        <v>139</v>
      </c>
      <c r="J72" s="30" t="s">
        <v>77</v>
      </c>
    </row>
    <row r="73" spans="1:18" ht="135" x14ac:dyDescent="0.25">
      <c r="A73" s="25"/>
      <c r="B73" s="35" t="s">
        <v>140</v>
      </c>
      <c r="C73" s="36"/>
      <c r="D73" s="3" t="s">
        <v>130</v>
      </c>
      <c r="E73" s="30">
        <v>4.3999999999999997E-2</v>
      </c>
      <c r="F73" s="3">
        <v>0</v>
      </c>
      <c r="G73" s="30">
        <v>4.3999999999999997E-2</v>
      </c>
      <c r="H73" s="33" t="s">
        <v>127</v>
      </c>
      <c r="I73" s="33" t="s">
        <v>141</v>
      </c>
      <c r="J73" s="30" t="s">
        <v>77</v>
      </c>
    </row>
    <row r="74" spans="1:18" ht="22.5" customHeight="1" x14ac:dyDescent="0.15">
      <c r="A74" s="318" t="s">
        <v>142</v>
      </c>
      <c r="B74" s="318"/>
      <c r="C74" s="318"/>
      <c r="D74" s="318"/>
      <c r="E74" s="318"/>
      <c r="F74" s="318"/>
      <c r="G74" s="318"/>
      <c r="H74" s="318"/>
      <c r="I74" s="318"/>
      <c r="J74" s="318"/>
    </row>
    <row r="75" spans="1:18" ht="107.25" customHeight="1" x14ac:dyDescent="0.25">
      <c r="A75" s="25"/>
      <c r="B75" s="319" t="s">
        <v>143</v>
      </c>
      <c r="C75" s="320"/>
      <c r="D75" s="3" t="s">
        <v>94</v>
      </c>
      <c r="E75" s="30">
        <v>26.84</v>
      </c>
      <c r="F75" s="39">
        <v>23.4</v>
      </c>
      <c r="G75" s="3">
        <v>3.44</v>
      </c>
      <c r="H75" s="33" t="s">
        <v>144</v>
      </c>
      <c r="I75" s="34" t="s">
        <v>145</v>
      </c>
      <c r="J75" s="30" t="s">
        <v>77</v>
      </c>
    </row>
    <row r="76" spans="1:18" ht="60" x14ac:dyDescent="0.25">
      <c r="A76" s="25"/>
      <c r="B76" s="319" t="s">
        <v>146</v>
      </c>
      <c r="C76" s="320"/>
      <c r="D76" s="3" t="s">
        <v>94</v>
      </c>
      <c r="E76" s="3">
        <v>8.8000000000000007</v>
      </c>
      <c r="F76" s="3">
        <v>7.9</v>
      </c>
      <c r="G76" s="3">
        <v>0.9</v>
      </c>
      <c r="H76" s="27" t="s">
        <v>147</v>
      </c>
      <c r="I76" s="27" t="s">
        <v>148</v>
      </c>
      <c r="J76" s="3" t="s">
        <v>149</v>
      </c>
    </row>
    <row r="77" spans="1:18" ht="22.5" customHeight="1" x14ac:dyDescent="0.15">
      <c r="A77" s="40" t="s">
        <v>150</v>
      </c>
      <c r="B77" s="40"/>
      <c r="C77" s="40"/>
      <c r="D77" s="40"/>
      <c r="E77" s="40"/>
      <c r="F77" s="40"/>
      <c r="G77" s="40"/>
      <c r="H77" s="40"/>
      <c r="I77" s="40"/>
      <c r="J77" s="40"/>
    </row>
    <row r="78" spans="1:18" ht="72" customHeight="1" x14ac:dyDescent="0.25">
      <c r="A78" s="3" t="s">
        <v>151</v>
      </c>
      <c r="B78" s="27" t="s">
        <v>152</v>
      </c>
      <c r="C78" s="27" t="s">
        <v>153</v>
      </c>
      <c r="D78" s="27" t="s">
        <v>154</v>
      </c>
      <c r="E78" s="29">
        <v>0.193</v>
      </c>
      <c r="F78" s="29">
        <v>0.14499999999999999</v>
      </c>
      <c r="G78" s="29">
        <v>4.9000000000000002E-2</v>
      </c>
      <c r="H78" s="3" t="s">
        <v>155</v>
      </c>
      <c r="I78" s="33" t="s">
        <v>156</v>
      </c>
      <c r="J78" s="30" t="s">
        <v>77</v>
      </c>
    </row>
    <row r="79" spans="1:18" ht="120" x14ac:dyDescent="0.25">
      <c r="A79" s="3"/>
      <c r="B79" s="27" t="s">
        <v>157</v>
      </c>
      <c r="C79" s="27" t="s">
        <v>158</v>
      </c>
      <c r="D79" s="27" t="s">
        <v>154</v>
      </c>
      <c r="E79" s="29">
        <v>0.17399999999999999</v>
      </c>
      <c r="F79" s="29">
        <v>0.13400000000000001</v>
      </c>
      <c r="G79" s="29">
        <v>0.04</v>
      </c>
      <c r="H79" s="3" t="s">
        <v>155</v>
      </c>
      <c r="I79" s="33" t="s">
        <v>159</v>
      </c>
      <c r="J79" s="30" t="s">
        <v>77</v>
      </c>
    </row>
    <row r="80" spans="1:18" ht="120" x14ac:dyDescent="0.25">
      <c r="A80" s="3"/>
      <c r="B80" s="27" t="s">
        <v>157</v>
      </c>
      <c r="C80" s="27" t="s">
        <v>160</v>
      </c>
      <c r="D80" s="27" t="s">
        <v>154</v>
      </c>
      <c r="E80" s="29">
        <v>0.20399999999999999</v>
      </c>
      <c r="F80" s="29">
        <v>0.157</v>
      </c>
      <c r="G80" s="29">
        <v>4.7E-2</v>
      </c>
      <c r="H80" s="3" t="s">
        <v>155</v>
      </c>
      <c r="I80" s="33" t="s">
        <v>161</v>
      </c>
      <c r="J80" s="30" t="s">
        <v>77</v>
      </c>
    </row>
    <row r="81" spans="1:10" ht="78.75" customHeight="1" x14ac:dyDescent="0.25">
      <c r="A81" s="3"/>
      <c r="B81" s="27" t="s">
        <v>157</v>
      </c>
      <c r="C81" s="27" t="s">
        <v>162</v>
      </c>
      <c r="D81" s="27" t="s">
        <v>154</v>
      </c>
      <c r="E81" s="29">
        <v>0.218</v>
      </c>
      <c r="F81" s="29">
        <v>0.16700000000000001</v>
      </c>
      <c r="G81" s="29">
        <v>0.05</v>
      </c>
      <c r="H81" s="3" t="s">
        <v>155</v>
      </c>
      <c r="I81" s="33" t="s">
        <v>163</v>
      </c>
      <c r="J81" s="30" t="s">
        <v>77</v>
      </c>
    </row>
    <row r="82" spans="1:10" ht="120" x14ac:dyDescent="0.25">
      <c r="A82" s="3"/>
      <c r="B82" s="27" t="s">
        <v>157</v>
      </c>
      <c r="C82" s="27" t="s">
        <v>164</v>
      </c>
      <c r="D82" s="27" t="s">
        <v>154</v>
      </c>
      <c r="E82" s="29">
        <v>0.14399999999999999</v>
      </c>
      <c r="F82" s="29">
        <v>0.111</v>
      </c>
      <c r="G82" s="29">
        <v>3.3000000000000002E-2</v>
      </c>
      <c r="H82" s="3" t="s">
        <v>155</v>
      </c>
      <c r="I82" s="33" t="s">
        <v>165</v>
      </c>
      <c r="J82" s="30" t="s">
        <v>77</v>
      </c>
    </row>
    <row r="83" spans="1:10" ht="150" x14ac:dyDescent="0.25">
      <c r="A83" s="3"/>
      <c r="B83" s="27" t="s">
        <v>157</v>
      </c>
      <c r="C83" s="27" t="s">
        <v>166</v>
      </c>
      <c r="D83" s="27" t="s">
        <v>154</v>
      </c>
      <c r="E83" s="29">
        <v>0.128</v>
      </c>
      <c r="F83" s="29"/>
      <c r="G83" s="29"/>
      <c r="H83" s="3" t="s">
        <v>155</v>
      </c>
      <c r="I83" s="33" t="s">
        <v>167</v>
      </c>
      <c r="J83" s="30" t="s">
        <v>77</v>
      </c>
    </row>
    <row r="84" spans="1:10" ht="120" x14ac:dyDescent="0.25">
      <c r="A84" s="3"/>
      <c r="B84" s="27" t="s">
        <v>168</v>
      </c>
      <c r="C84" s="27" t="s">
        <v>158</v>
      </c>
      <c r="D84" s="27" t="s">
        <v>154</v>
      </c>
      <c r="E84" s="29">
        <v>0.16600000000000001</v>
      </c>
      <c r="F84" s="29">
        <v>0.126</v>
      </c>
      <c r="G84" s="29">
        <v>0.04</v>
      </c>
      <c r="H84" s="3" t="s">
        <v>155</v>
      </c>
      <c r="I84" s="33" t="s">
        <v>169</v>
      </c>
      <c r="J84" s="30" t="s">
        <v>77</v>
      </c>
    </row>
    <row r="85" spans="1:10" ht="120" x14ac:dyDescent="0.25">
      <c r="A85" s="3"/>
      <c r="B85" s="27" t="s">
        <v>168</v>
      </c>
      <c r="C85" s="27" t="s">
        <v>160</v>
      </c>
      <c r="D85" s="27" t="s">
        <v>154</v>
      </c>
      <c r="E85" s="29">
        <v>0.18</v>
      </c>
      <c r="F85" s="29">
        <v>0.13600000000000001</v>
      </c>
      <c r="G85" s="29">
        <v>4.2999999999999997E-2</v>
      </c>
      <c r="H85" s="3" t="s">
        <v>155</v>
      </c>
      <c r="I85" s="33" t="s">
        <v>170</v>
      </c>
      <c r="J85" s="30" t="s">
        <v>77</v>
      </c>
    </row>
    <row r="86" spans="1:10" ht="120" x14ac:dyDescent="0.25">
      <c r="A86" s="3"/>
      <c r="B86" s="27" t="s">
        <v>168</v>
      </c>
      <c r="C86" s="27" t="s">
        <v>162</v>
      </c>
      <c r="D86" s="27" t="s">
        <v>154</v>
      </c>
      <c r="E86" s="29">
        <v>0.20300000000000001</v>
      </c>
      <c r="F86" s="29">
        <v>0.154</v>
      </c>
      <c r="G86" s="29">
        <v>4.9000000000000002E-2</v>
      </c>
      <c r="H86" s="3" t="s">
        <v>155</v>
      </c>
      <c r="I86" s="33" t="s">
        <v>171</v>
      </c>
      <c r="J86" s="30" t="s">
        <v>77</v>
      </c>
    </row>
    <row r="87" spans="1:10" ht="75" x14ac:dyDescent="0.25">
      <c r="A87" s="3"/>
      <c r="B87" s="27" t="s">
        <v>168</v>
      </c>
      <c r="C87" s="27" t="s">
        <v>164</v>
      </c>
      <c r="D87" s="27" t="s">
        <v>154</v>
      </c>
      <c r="E87" s="29">
        <v>0.15</v>
      </c>
      <c r="F87" s="29">
        <v>0.115</v>
      </c>
      <c r="G87" s="29">
        <v>3.5000000000000003E-2</v>
      </c>
      <c r="H87" s="3" t="s">
        <v>155</v>
      </c>
      <c r="I87" s="33" t="s">
        <v>172</v>
      </c>
      <c r="J87" s="30" t="s">
        <v>77</v>
      </c>
    </row>
    <row r="88" spans="1:10" ht="150" x14ac:dyDescent="0.25">
      <c r="A88" s="3"/>
      <c r="B88" s="27" t="s">
        <v>49</v>
      </c>
      <c r="C88" s="27" t="s">
        <v>158</v>
      </c>
      <c r="D88" s="27" t="s">
        <v>154</v>
      </c>
      <c r="E88" s="29">
        <v>0.14499999999999999</v>
      </c>
      <c r="F88" s="29">
        <v>0.13200000000000001</v>
      </c>
      <c r="G88" s="29">
        <v>1.2999999999999999E-2</v>
      </c>
      <c r="H88" s="3" t="s">
        <v>155</v>
      </c>
      <c r="I88" s="33" t="s">
        <v>173</v>
      </c>
      <c r="J88" s="30" t="s">
        <v>77</v>
      </c>
    </row>
    <row r="89" spans="1:10" ht="120" x14ac:dyDescent="0.25">
      <c r="A89" s="3"/>
      <c r="B89" s="27" t="s">
        <v>49</v>
      </c>
      <c r="C89" s="27" t="s">
        <v>160</v>
      </c>
      <c r="D89" s="27" t="s">
        <v>154</v>
      </c>
      <c r="E89" s="29">
        <v>0.152</v>
      </c>
      <c r="F89" s="29">
        <v>0.13800000000000001</v>
      </c>
      <c r="G89" s="29">
        <v>1.4E-2</v>
      </c>
      <c r="H89" s="3" t="s">
        <v>155</v>
      </c>
      <c r="I89" s="33" t="s">
        <v>174</v>
      </c>
      <c r="J89" s="30" t="s">
        <v>77</v>
      </c>
    </row>
    <row r="90" spans="1:10" ht="120" x14ac:dyDescent="0.25">
      <c r="A90" s="3"/>
      <c r="B90" s="27" t="s">
        <v>175</v>
      </c>
      <c r="C90" s="27" t="s">
        <v>158</v>
      </c>
      <c r="D90" s="27" t="s">
        <v>154</v>
      </c>
      <c r="E90" s="29">
        <v>0.129</v>
      </c>
      <c r="F90" s="29">
        <v>0.112</v>
      </c>
      <c r="G90" s="29">
        <v>1.7000000000000001E-2</v>
      </c>
      <c r="H90" s="3" t="s">
        <v>155</v>
      </c>
      <c r="I90" s="33" t="s">
        <v>176</v>
      </c>
      <c r="J90" s="30" t="s">
        <v>77</v>
      </c>
    </row>
    <row r="91" spans="1:10" ht="90" x14ac:dyDescent="0.25">
      <c r="A91" s="3"/>
      <c r="B91" s="27" t="s">
        <v>175</v>
      </c>
      <c r="C91" s="27" t="s">
        <v>160</v>
      </c>
      <c r="D91" s="27" t="s">
        <v>154</v>
      </c>
      <c r="E91" s="29">
        <v>0.13600000000000001</v>
      </c>
      <c r="F91" s="29">
        <v>0.11799999999999999</v>
      </c>
      <c r="G91" s="29">
        <v>1.7999999999999999E-2</v>
      </c>
      <c r="H91" s="3" t="s">
        <v>155</v>
      </c>
      <c r="I91" s="33" t="s">
        <v>177</v>
      </c>
      <c r="J91" s="30" t="s">
        <v>77</v>
      </c>
    </row>
    <row r="92" spans="1:10" ht="120" x14ac:dyDescent="0.25">
      <c r="A92" s="3"/>
      <c r="B92" s="27" t="s">
        <v>175</v>
      </c>
      <c r="C92" s="27" t="s">
        <v>162</v>
      </c>
      <c r="D92" s="27" t="s">
        <v>154</v>
      </c>
      <c r="E92" s="29">
        <v>0.17</v>
      </c>
      <c r="F92" s="29">
        <v>0.14699999999999999</v>
      </c>
      <c r="G92" s="29">
        <v>2.3E-2</v>
      </c>
      <c r="H92" s="3" t="s">
        <v>155</v>
      </c>
      <c r="I92" s="33" t="s">
        <v>178</v>
      </c>
      <c r="J92" s="30" t="s">
        <v>77</v>
      </c>
    </row>
    <row r="93" spans="1:10" ht="120" x14ac:dyDescent="0.25">
      <c r="A93" s="3"/>
      <c r="B93" s="27" t="s">
        <v>179</v>
      </c>
      <c r="C93" s="27" t="s">
        <v>180</v>
      </c>
      <c r="D93" s="27" t="s">
        <v>154</v>
      </c>
      <c r="E93" s="29">
        <v>5.3999999999999999E-2</v>
      </c>
      <c r="F93" s="29">
        <v>7.0000000000000001E-3</v>
      </c>
      <c r="G93" s="29">
        <v>4.7E-2</v>
      </c>
      <c r="H93" s="3" t="s">
        <v>155</v>
      </c>
      <c r="I93" s="33" t="s">
        <v>181</v>
      </c>
      <c r="J93" s="30" t="s">
        <v>77</v>
      </c>
    </row>
    <row r="94" spans="1:10" ht="120" x14ac:dyDescent="0.25">
      <c r="A94" s="3"/>
      <c r="B94" s="27" t="s">
        <v>182</v>
      </c>
      <c r="C94" s="27" t="s">
        <v>180</v>
      </c>
      <c r="D94" s="27" t="s">
        <v>154</v>
      </c>
      <c r="E94" s="29">
        <v>9.0999999999999998E-2</v>
      </c>
      <c r="F94" s="29">
        <v>3.7999999999999999E-2</v>
      </c>
      <c r="G94" s="29">
        <v>5.2999999999999999E-2</v>
      </c>
      <c r="H94" s="3" t="s">
        <v>155</v>
      </c>
      <c r="I94" s="33" t="s">
        <v>183</v>
      </c>
      <c r="J94" s="30" t="s">
        <v>77</v>
      </c>
    </row>
    <row r="95" spans="1:10" ht="120" x14ac:dyDescent="0.25">
      <c r="A95" s="3"/>
      <c r="B95" s="27" t="s">
        <v>184</v>
      </c>
      <c r="C95" s="27" t="s">
        <v>180</v>
      </c>
      <c r="D95" s="27" t="s">
        <v>154</v>
      </c>
      <c r="E95" s="29">
        <v>2.7E-2</v>
      </c>
      <c r="F95" s="29">
        <v>2E-3</v>
      </c>
      <c r="G95" s="29">
        <v>2.5000000000000001E-2</v>
      </c>
      <c r="H95" s="3" t="s">
        <v>155</v>
      </c>
      <c r="I95" s="33" t="s">
        <v>185</v>
      </c>
      <c r="J95" s="30" t="s">
        <v>77</v>
      </c>
    </row>
    <row r="96" spans="1:10" ht="135" x14ac:dyDescent="0.25">
      <c r="A96" s="3"/>
      <c r="B96" s="27" t="s">
        <v>186</v>
      </c>
      <c r="C96" s="27" t="s">
        <v>180</v>
      </c>
      <c r="D96" s="27" t="s">
        <v>154</v>
      </c>
      <c r="E96" s="29">
        <v>1.7999999999999999E-2</v>
      </c>
      <c r="F96" s="29">
        <v>2E-3</v>
      </c>
      <c r="G96" s="29">
        <v>1.6E-2</v>
      </c>
      <c r="H96" s="3" t="s">
        <v>155</v>
      </c>
      <c r="I96" s="33" t="s">
        <v>187</v>
      </c>
      <c r="J96" s="30" t="s">
        <v>77</v>
      </c>
    </row>
    <row r="97" spans="1:10" ht="90" x14ac:dyDescent="0.25">
      <c r="A97" s="3"/>
      <c r="B97" s="27" t="s">
        <v>50</v>
      </c>
      <c r="C97" s="27" t="s">
        <v>180</v>
      </c>
      <c r="D97" s="27" t="s">
        <v>154</v>
      </c>
      <c r="E97" s="26">
        <v>0.112</v>
      </c>
      <c r="F97" s="26">
        <v>0</v>
      </c>
      <c r="G97" s="26">
        <v>0.112</v>
      </c>
      <c r="H97" s="3" t="s">
        <v>188</v>
      </c>
      <c r="I97" s="27" t="s">
        <v>189</v>
      </c>
      <c r="J97" s="3" t="s">
        <v>114</v>
      </c>
    </row>
    <row r="98" spans="1:10" ht="90" x14ac:dyDescent="0.25">
      <c r="A98" s="3"/>
      <c r="B98" s="27" t="s">
        <v>52</v>
      </c>
      <c r="C98" s="27" t="s">
        <v>180</v>
      </c>
      <c r="D98" s="27" t="s">
        <v>154</v>
      </c>
      <c r="E98" s="26">
        <v>7.0000000000000001E-3</v>
      </c>
      <c r="F98" s="26">
        <v>0</v>
      </c>
      <c r="G98" s="26">
        <v>7.0000000000000001E-3</v>
      </c>
      <c r="H98" s="3" t="s">
        <v>188</v>
      </c>
      <c r="I98" s="27" t="s">
        <v>189</v>
      </c>
      <c r="J98" s="3" t="s">
        <v>104</v>
      </c>
    </row>
    <row r="99" spans="1:10" ht="150" x14ac:dyDescent="0.25">
      <c r="A99" s="3"/>
      <c r="B99" s="27" t="s">
        <v>190</v>
      </c>
      <c r="C99" s="27" t="s">
        <v>129</v>
      </c>
      <c r="D99" s="27" t="s">
        <v>154</v>
      </c>
      <c r="E99" s="29">
        <v>0.104</v>
      </c>
      <c r="F99" s="29">
        <v>0</v>
      </c>
      <c r="G99" s="29">
        <v>0.104</v>
      </c>
      <c r="H99" s="3" t="s">
        <v>155</v>
      </c>
      <c r="I99" s="33" t="s">
        <v>191</v>
      </c>
      <c r="J99" s="30" t="s">
        <v>77</v>
      </c>
    </row>
    <row r="100" spans="1:10" ht="165" x14ac:dyDescent="0.25">
      <c r="A100" s="3"/>
      <c r="B100" s="27" t="s">
        <v>190</v>
      </c>
      <c r="C100" s="27" t="s">
        <v>192</v>
      </c>
      <c r="D100" s="27" t="s">
        <v>154</v>
      </c>
      <c r="E100" s="29">
        <v>8.5000000000000006E-2</v>
      </c>
      <c r="F100" s="29">
        <v>0</v>
      </c>
      <c r="G100" s="29">
        <v>8.5000000000000006E-2</v>
      </c>
      <c r="H100" s="3" t="s">
        <v>155</v>
      </c>
      <c r="I100" s="33" t="s">
        <v>193</v>
      </c>
      <c r="J100" s="30" t="s">
        <v>77</v>
      </c>
    </row>
    <row r="101" spans="1:10" ht="150" x14ac:dyDescent="0.25">
      <c r="A101" s="3"/>
      <c r="B101" s="27" t="s">
        <v>190</v>
      </c>
      <c r="C101" s="27" t="s">
        <v>194</v>
      </c>
      <c r="D101" s="27" t="s">
        <v>154</v>
      </c>
      <c r="E101" s="29">
        <v>3.0000000000000001E-3</v>
      </c>
      <c r="F101" s="29">
        <v>0</v>
      </c>
      <c r="G101" s="29">
        <v>3.0000000000000001E-3</v>
      </c>
      <c r="H101" s="3" t="s">
        <v>155</v>
      </c>
      <c r="I101" s="33" t="s">
        <v>195</v>
      </c>
      <c r="J101" s="30" t="s">
        <v>77</v>
      </c>
    </row>
    <row r="102" spans="1:10" ht="30" x14ac:dyDescent="0.25">
      <c r="A102" s="3" t="s">
        <v>196</v>
      </c>
      <c r="B102" s="27" t="s">
        <v>190</v>
      </c>
      <c r="C102" s="27" t="s">
        <v>129</v>
      </c>
      <c r="D102" s="27" t="s">
        <v>154</v>
      </c>
      <c r="E102" s="26">
        <v>6.0000000000000001E-3</v>
      </c>
      <c r="F102" s="26">
        <v>0</v>
      </c>
      <c r="G102" s="26">
        <v>6.0000000000000001E-3</v>
      </c>
      <c r="H102" s="3" t="s">
        <v>197</v>
      </c>
      <c r="I102" s="27" t="s">
        <v>198</v>
      </c>
      <c r="J102" s="3" t="s">
        <v>104</v>
      </c>
    </row>
    <row r="103" spans="1:10" ht="30" x14ac:dyDescent="0.25">
      <c r="A103" s="3" t="s">
        <v>199</v>
      </c>
      <c r="B103" s="27"/>
      <c r="C103" s="27" t="s">
        <v>168</v>
      </c>
      <c r="D103" s="27" t="s">
        <v>154</v>
      </c>
      <c r="E103" s="26">
        <v>0.29799999999999999</v>
      </c>
      <c r="F103" s="26">
        <v>0.24</v>
      </c>
      <c r="G103" s="26">
        <v>5.8000000000000003E-2</v>
      </c>
      <c r="H103" s="3" t="s">
        <v>197</v>
      </c>
      <c r="I103" s="27" t="s">
        <v>200</v>
      </c>
      <c r="J103" s="3" t="s">
        <v>201</v>
      </c>
    </row>
    <row r="104" spans="1:10" ht="30" x14ac:dyDescent="0.25">
      <c r="A104" s="3" t="s">
        <v>202</v>
      </c>
      <c r="B104" s="27"/>
      <c r="C104" s="27" t="s">
        <v>157</v>
      </c>
      <c r="D104" s="27" t="s">
        <v>154</v>
      </c>
      <c r="E104" s="26">
        <v>0.312</v>
      </c>
      <c r="F104" s="26">
        <v>0.252</v>
      </c>
      <c r="G104" s="26">
        <v>0.06</v>
      </c>
      <c r="H104" s="3" t="s">
        <v>197</v>
      </c>
      <c r="I104" s="27" t="s">
        <v>200</v>
      </c>
      <c r="J104" s="3" t="s">
        <v>201</v>
      </c>
    </row>
    <row r="105" spans="1:10" ht="30" x14ac:dyDescent="0.25">
      <c r="A105" s="3" t="s">
        <v>202</v>
      </c>
      <c r="B105" s="27"/>
      <c r="C105" s="27" t="s">
        <v>49</v>
      </c>
      <c r="D105" s="27" t="s">
        <v>154</v>
      </c>
      <c r="E105" s="26">
        <v>0.27400000000000002</v>
      </c>
      <c r="F105" s="26">
        <v>0.221</v>
      </c>
      <c r="G105" s="26">
        <v>5.2999999999999999E-2</v>
      </c>
      <c r="H105" s="3" t="s">
        <v>197</v>
      </c>
      <c r="I105" s="27" t="s">
        <v>200</v>
      </c>
      <c r="J105" s="3" t="s">
        <v>201</v>
      </c>
    </row>
    <row r="106" spans="1:10" ht="45" x14ac:dyDescent="0.25">
      <c r="A106" s="3" t="s">
        <v>203</v>
      </c>
      <c r="B106" s="27"/>
      <c r="C106" s="27" t="s">
        <v>168</v>
      </c>
      <c r="D106" s="27" t="s">
        <v>204</v>
      </c>
      <c r="E106" s="26">
        <v>3.3000000000000002E-2</v>
      </c>
      <c r="F106" s="26">
        <v>2.7E-2</v>
      </c>
      <c r="G106" s="26">
        <v>6.0000000000000001E-3</v>
      </c>
      <c r="H106" s="3" t="s">
        <v>197</v>
      </c>
      <c r="I106" s="27" t="s">
        <v>205</v>
      </c>
      <c r="J106" s="3" t="s">
        <v>201</v>
      </c>
    </row>
    <row r="107" spans="1:10" ht="30" x14ac:dyDescent="0.25">
      <c r="A107" s="3"/>
      <c r="B107" s="27"/>
      <c r="C107" s="27" t="s">
        <v>168</v>
      </c>
      <c r="D107" s="27" t="s">
        <v>154</v>
      </c>
      <c r="E107" s="26">
        <v>1.0429999999999999</v>
      </c>
      <c r="F107" s="26">
        <v>0.85299999999999998</v>
      </c>
      <c r="G107" s="26">
        <v>0.19</v>
      </c>
      <c r="H107" s="3" t="s">
        <v>197</v>
      </c>
      <c r="I107" s="27"/>
      <c r="J107" s="3" t="s">
        <v>201</v>
      </c>
    </row>
    <row r="108" spans="1:10" ht="33.75" customHeight="1" x14ac:dyDescent="0.25">
      <c r="A108" s="3" t="s">
        <v>206</v>
      </c>
      <c r="B108" s="319" t="s">
        <v>207</v>
      </c>
      <c r="C108" s="320"/>
      <c r="D108" s="27" t="s">
        <v>204</v>
      </c>
      <c r="E108" s="26">
        <v>1.4999999999999999E-2</v>
      </c>
      <c r="F108" s="26">
        <v>1.0999999999999999E-2</v>
      </c>
      <c r="G108" s="26">
        <v>4.0000000000000001E-3</v>
      </c>
      <c r="H108" s="3" t="s">
        <v>208</v>
      </c>
      <c r="I108" s="27" t="s">
        <v>209</v>
      </c>
      <c r="J108" s="3" t="s">
        <v>21</v>
      </c>
    </row>
    <row r="109" spans="1:10" ht="33.75" customHeight="1" x14ac:dyDescent="0.25">
      <c r="A109" s="3"/>
      <c r="B109" s="27" t="s">
        <v>210</v>
      </c>
      <c r="C109" s="3" t="s">
        <v>180</v>
      </c>
      <c r="D109" s="27" t="s">
        <v>204</v>
      </c>
      <c r="E109" s="3">
        <v>7.0999999999999994E-2</v>
      </c>
      <c r="F109" s="3">
        <v>5.1999999999999998E-2</v>
      </c>
      <c r="G109" s="3">
        <v>1.9E-2</v>
      </c>
      <c r="H109" s="3" t="s">
        <v>208</v>
      </c>
      <c r="I109" s="3" t="s">
        <v>211</v>
      </c>
      <c r="J109" s="3" t="s">
        <v>36</v>
      </c>
    </row>
    <row r="110" spans="1:10" ht="30" x14ac:dyDescent="0.25">
      <c r="A110" s="3" t="s">
        <v>212</v>
      </c>
      <c r="B110" s="319" t="s">
        <v>213</v>
      </c>
      <c r="C110" s="320"/>
      <c r="D110" s="27" t="s">
        <v>204</v>
      </c>
      <c r="E110" s="26">
        <v>2E-3</v>
      </c>
      <c r="F110" s="26">
        <v>2E-3</v>
      </c>
      <c r="G110" s="26">
        <v>1E-3</v>
      </c>
      <c r="H110" s="3" t="s">
        <v>208</v>
      </c>
      <c r="I110" s="27" t="s">
        <v>214</v>
      </c>
      <c r="J110" s="3" t="s">
        <v>21</v>
      </c>
    </row>
    <row r="111" spans="1:10" ht="30" x14ac:dyDescent="0.25">
      <c r="A111" s="3"/>
      <c r="B111" s="319" t="s">
        <v>215</v>
      </c>
      <c r="C111" s="320"/>
      <c r="D111" s="27" t="s">
        <v>204</v>
      </c>
      <c r="E111" s="26">
        <v>0.09</v>
      </c>
      <c r="F111" s="26">
        <v>6.9000000000000006E-2</v>
      </c>
      <c r="G111" s="26">
        <v>2.1999999999999999E-2</v>
      </c>
      <c r="H111" s="3" t="s">
        <v>208</v>
      </c>
      <c r="I111" s="27" t="s">
        <v>216</v>
      </c>
      <c r="J111" s="3" t="s">
        <v>21</v>
      </c>
    </row>
    <row r="112" spans="1:10" ht="45" x14ac:dyDescent="0.25">
      <c r="A112" s="3"/>
      <c r="B112" s="319" t="s">
        <v>217</v>
      </c>
      <c r="C112" s="320"/>
      <c r="D112" s="27" t="s">
        <v>204</v>
      </c>
      <c r="E112" s="26">
        <v>0</v>
      </c>
      <c r="F112" s="26">
        <v>0</v>
      </c>
      <c r="G112" s="26">
        <v>0</v>
      </c>
      <c r="H112" s="3" t="s">
        <v>208</v>
      </c>
      <c r="I112" s="27" t="s">
        <v>218</v>
      </c>
      <c r="J112" s="3" t="s">
        <v>21</v>
      </c>
    </row>
    <row r="113" spans="1:12" ht="90" x14ac:dyDescent="0.25">
      <c r="A113" s="3"/>
      <c r="B113" s="319" t="s">
        <v>219</v>
      </c>
      <c r="C113" s="320"/>
      <c r="D113" s="27" t="s">
        <v>204</v>
      </c>
      <c r="E113" s="26">
        <v>2.5999999999999999E-2</v>
      </c>
      <c r="F113" s="26">
        <v>0</v>
      </c>
      <c r="G113" s="26">
        <v>2.5999999999999999E-2</v>
      </c>
      <c r="H113" s="3" t="s">
        <v>220</v>
      </c>
      <c r="I113" s="27" t="s">
        <v>221</v>
      </c>
      <c r="J113" s="3" t="s">
        <v>222</v>
      </c>
    </row>
    <row r="114" spans="1:12" ht="30" x14ac:dyDescent="0.25">
      <c r="A114" s="3" t="s">
        <v>223</v>
      </c>
      <c r="B114" s="319" t="s">
        <v>224</v>
      </c>
      <c r="C114" s="320"/>
      <c r="D114" s="27" t="s">
        <v>204</v>
      </c>
      <c r="E114" s="26">
        <v>0.10299999999999999</v>
      </c>
      <c r="F114" s="26"/>
      <c r="G114" s="26"/>
      <c r="H114" s="3" t="s">
        <v>208</v>
      </c>
      <c r="I114" s="27" t="s">
        <v>225</v>
      </c>
      <c r="J114" s="3" t="s">
        <v>21</v>
      </c>
    </row>
    <row r="115" spans="1:12" ht="30" x14ac:dyDescent="0.25">
      <c r="A115" s="3"/>
      <c r="B115" s="319" t="s">
        <v>226</v>
      </c>
      <c r="C115" s="320"/>
      <c r="D115" s="27" t="s">
        <v>204</v>
      </c>
      <c r="E115" s="26">
        <v>0.129</v>
      </c>
      <c r="F115" s="26">
        <v>9.8000000000000004E-2</v>
      </c>
      <c r="G115" s="26">
        <v>3.1E-2</v>
      </c>
      <c r="H115" s="3" t="s">
        <v>208</v>
      </c>
      <c r="I115" s="27" t="s">
        <v>227</v>
      </c>
      <c r="J115" s="3" t="s">
        <v>21</v>
      </c>
    </row>
    <row r="116" spans="1:12" ht="45" x14ac:dyDescent="0.25">
      <c r="A116" s="3"/>
      <c r="B116" s="319" t="s">
        <v>228</v>
      </c>
      <c r="C116" s="320"/>
      <c r="D116" s="27" t="s">
        <v>204</v>
      </c>
      <c r="E116" s="26">
        <v>5.5E-2</v>
      </c>
      <c r="F116" s="26">
        <v>7.0000000000000001E-3</v>
      </c>
      <c r="G116" s="26">
        <v>4.8000000000000001E-2</v>
      </c>
      <c r="H116" s="3" t="s">
        <v>208</v>
      </c>
      <c r="I116" s="27" t="s">
        <v>229</v>
      </c>
      <c r="J116" s="3" t="s">
        <v>21</v>
      </c>
    </row>
    <row r="117" spans="1:12" ht="30" x14ac:dyDescent="0.25">
      <c r="A117" s="3"/>
      <c r="B117" s="319" t="s">
        <v>230</v>
      </c>
      <c r="C117" s="320"/>
      <c r="D117" s="27" t="s">
        <v>204</v>
      </c>
      <c r="E117" s="26">
        <v>0.11600000000000001</v>
      </c>
      <c r="F117" s="26">
        <v>0</v>
      </c>
      <c r="G117" s="26">
        <v>0.11600000000000001</v>
      </c>
      <c r="H117" s="3" t="s">
        <v>208</v>
      </c>
      <c r="I117" s="27" t="s">
        <v>231</v>
      </c>
      <c r="J117" s="3" t="s">
        <v>21</v>
      </c>
    </row>
    <row r="118" spans="1:12" ht="30" x14ac:dyDescent="0.25">
      <c r="A118" s="3"/>
      <c r="B118" s="319" t="s">
        <v>232</v>
      </c>
      <c r="C118" s="320"/>
      <c r="D118" s="27" t="s">
        <v>204</v>
      </c>
      <c r="E118" s="26">
        <v>0</v>
      </c>
      <c r="F118" s="26">
        <v>0</v>
      </c>
      <c r="G118" s="26">
        <v>0</v>
      </c>
      <c r="H118" s="3" t="s">
        <v>208</v>
      </c>
      <c r="I118" s="27" t="s">
        <v>233</v>
      </c>
      <c r="J118" s="3" t="s">
        <v>21</v>
      </c>
    </row>
    <row r="119" spans="1:12" ht="30" x14ac:dyDescent="0.25">
      <c r="A119" s="3" t="s">
        <v>234</v>
      </c>
      <c r="B119" s="319" t="s">
        <v>190</v>
      </c>
      <c r="C119" s="320"/>
      <c r="D119" s="27" t="s">
        <v>204</v>
      </c>
      <c r="E119" s="26">
        <v>0</v>
      </c>
      <c r="F119" s="26">
        <v>0</v>
      </c>
      <c r="G119" s="26">
        <v>0</v>
      </c>
      <c r="H119" s="3" t="s">
        <v>208</v>
      </c>
      <c r="I119" s="27" t="s">
        <v>233</v>
      </c>
      <c r="J119" s="3" t="s">
        <v>21</v>
      </c>
    </row>
    <row r="120" spans="1:12" ht="30" x14ac:dyDescent="0.25">
      <c r="A120" s="3" t="s">
        <v>235</v>
      </c>
      <c r="B120" s="319" t="s">
        <v>190</v>
      </c>
      <c r="C120" s="320"/>
      <c r="D120" s="27" t="s">
        <v>204</v>
      </c>
      <c r="E120" s="26">
        <v>0</v>
      </c>
      <c r="F120" s="26">
        <v>0</v>
      </c>
      <c r="G120" s="26">
        <v>0</v>
      </c>
      <c r="H120" s="3" t="s">
        <v>208</v>
      </c>
      <c r="I120" s="27" t="s">
        <v>233</v>
      </c>
      <c r="J120" s="3" t="s">
        <v>21</v>
      </c>
    </row>
    <row r="121" spans="1:12" ht="150" x14ac:dyDescent="0.25">
      <c r="A121" s="3" t="s">
        <v>236</v>
      </c>
      <c r="B121" s="27" t="s">
        <v>237</v>
      </c>
      <c r="C121" s="27" t="s">
        <v>238</v>
      </c>
      <c r="D121" s="27" t="s">
        <v>204</v>
      </c>
      <c r="E121" s="29">
        <v>0.23400000000000001</v>
      </c>
      <c r="F121" s="29">
        <v>0.20200000000000001</v>
      </c>
      <c r="G121" s="29">
        <v>3.2000000000000001E-2</v>
      </c>
      <c r="H121" s="30" t="s">
        <v>239</v>
      </c>
      <c r="I121" s="33" t="s">
        <v>240</v>
      </c>
      <c r="J121" s="30" t="s">
        <v>77</v>
      </c>
      <c r="L121" s="41"/>
    </row>
    <row r="122" spans="1:12" ht="150" x14ac:dyDescent="0.25">
      <c r="A122" s="3"/>
      <c r="B122" s="27" t="s">
        <v>241</v>
      </c>
      <c r="C122" s="27" t="s">
        <v>242</v>
      </c>
      <c r="D122" s="27" t="s">
        <v>204</v>
      </c>
      <c r="E122" s="29">
        <v>0.17199999999999999</v>
      </c>
      <c r="F122" s="29">
        <v>0.152</v>
      </c>
      <c r="G122" s="29">
        <v>2.1000000000000001E-2</v>
      </c>
      <c r="H122" s="30" t="s">
        <v>239</v>
      </c>
      <c r="I122" s="33" t="s">
        <v>240</v>
      </c>
      <c r="J122" s="30" t="s">
        <v>77</v>
      </c>
      <c r="L122" s="41"/>
    </row>
    <row r="123" spans="1:12" ht="150" x14ac:dyDescent="0.25">
      <c r="A123" s="3"/>
      <c r="B123" s="27" t="s">
        <v>243</v>
      </c>
      <c r="C123" s="27" t="s">
        <v>244</v>
      </c>
      <c r="D123" s="27" t="s">
        <v>204</v>
      </c>
      <c r="E123" s="29">
        <v>0.157</v>
      </c>
      <c r="F123" s="29">
        <v>0.14000000000000001</v>
      </c>
      <c r="G123" s="29">
        <v>1.7999999999999999E-2</v>
      </c>
      <c r="H123" s="30" t="s">
        <v>239</v>
      </c>
      <c r="I123" s="33" t="s">
        <v>240</v>
      </c>
      <c r="J123" s="30" t="s">
        <v>77</v>
      </c>
    </row>
    <row r="124" spans="1:12" ht="150" x14ac:dyDescent="0.25">
      <c r="A124" s="3"/>
      <c r="B124" s="33" t="s">
        <v>245</v>
      </c>
      <c r="C124" s="33"/>
      <c r="D124" s="33" t="s">
        <v>204</v>
      </c>
      <c r="E124" s="30">
        <v>0.182</v>
      </c>
      <c r="F124" s="30">
        <v>0.16</v>
      </c>
      <c r="G124" s="30">
        <v>2.1999999999999999E-2</v>
      </c>
      <c r="H124" s="30" t="s">
        <v>239</v>
      </c>
      <c r="I124" s="33" t="s">
        <v>240</v>
      </c>
      <c r="J124" s="30" t="s">
        <v>77</v>
      </c>
    </row>
    <row r="125" spans="1:12" ht="22.5" customHeight="1" x14ac:dyDescent="0.15">
      <c r="A125" s="318" t="s">
        <v>246</v>
      </c>
      <c r="B125" s="318"/>
      <c r="C125" s="318"/>
      <c r="D125" s="318"/>
      <c r="E125" s="318"/>
      <c r="F125" s="318"/>
      <c r="G125" s="318"/>
      <c r="H125" s="318"/>
      <c r="I125" s="318"/>
      <c r="J125" s="318"/>
    </row>
    <row r="126" spans="1:12" ht="30" x14ac:dyDescent="0.25">
      <c r="A126" s="3" t="s">
        <v>247</v>
      </c>
      <c r="B126" s="27" t="s">
        <v>248</v>
      </c>
      <c r="C126" s="27" t="s">
        <v>249</v>
      </c>
      <c r="D126" s="27" t="s">
        <v>250</v>
      </c>
      <c r="E126" s="26">
        <v>1.3260000000000001</v>
      </c>
      <c r="F126" s="26">
        <v>1.0049999999999999</v>
      </c>
      <c r="G126" s="26">
        <v>0.32100000000000001</v>
      </c>
      <c r="H126" s="3" t="s">
        <v>251</v>
      </c>
      <c r="I126" s="27" t="s">
        <v>252</v>
      </c>
      <c r="J126" s="3" t="s">
        <v>21</v>
      </c>
    </row>
    <row r="127" spans="1:12" ht="45" x14ac:dyDescent="0.25">
      <c r="A127" s="3"/>
      <c r="B127" s="27" t="s">
        <v>253</v>
      </c>
      <c r="C127" s="27" t="s">
        <v>254</v>
      </c>
      <c r="D127" s="27" t="s">
        <v>250</v>
      </c>
      <c r="E127" s="26">
        <v>0.36299999999999999</v>
      </c>
      <c r="F127" s="26">
        <v>0.27500000000000002</v>
      </c>
      <c r="G127" s="26">
        <v>8.7999999999999995E-2</v>
      </c>
      <c r="H127" s="3" t="s">
        <v>255</v>
      </c>
      <c r="I127" s="27" t="s">
        <v>256</v>
      </c>
      <c r="J127" s="3" t="s">
        <v>21</v>
      </c>
    </row>
    <row r="128" spans="1:12" ht="45" x14ac:dyDescent="0.25">
      <c r="A128" s="3"/>
      <c r="B128" s="27"/>
      <c r="C128" s="27" t="s">
        <v>257</v>
      </c>
      <c r="D128" s="27" t="s">
        <v>250</v>
      </c>
      <c r="E128" s="26">
        <v>0.25600000000000001</v>
      </c>
      <c r="F128" s="26">
        <v>0.19400000000000001</v>
      </c>
      <c r="G128" s="26">
        <v>6.2E-2</v>
      </c>
      <c r="H128" s="3" t="s">
        <v>255</v>
      </c>
      <c r="I128" s="27" t="s">
        <v>258</v>
      </c>
      <c r="J128" s="3" t="s">
        <v>21</v>
      </c>
    </row>
    <row r="129" spans="1:10" ht="45" x14ac:dyDescent="0.25">
      <c r="A129" s="3"/>
      <c r="B129" s="27"/>
      <c r="C129" s="27" t="s">
        <v>259</v>
      </c>
      <c r="D129" s="27" t="s">
        <v>250</v>
      </c>
      <c r="E129" s="26">
        <v>0.105</v>
      </c>
      <c r="F129" s="26">
        <v>0.08</v>
      </c>
      <c r="G129" s="26">
        <v>2.5000000000000001E-2</v>
      </c>
      <c r="H129" s="3" t="s">
        <v>255</v>
      </c>
      <c r="I129" s="27" t="s">
        <v>260</v>
      </c>
      <c r="J129" s="3" t="s">
        <v>21</v>
      </c>
    </row>
    <row r="130" spans="1:10" ht="30" x14ac:dyDescent="0.25">
      <c r="A130" s="3"/>
      <c r="B130" s="27"/>
      <c r="C130" s="27" t="s">
        <v>261</v>
      </c>
      <c r="D130" s="27" t="s">
        <v>250</v>
      </c>
      <c r="E130" s="26">
        <v>8.7999999999999995E-2</v>
      </c>
      <c r="F130" s="26">
        <v>6.7000000000000004E-2</v>
      </c>
      <c r="G130" s="26">
        <v>2.1000000000000001E-2</v>
      </c>
      <c r="H130" s="3" t="s">
        <v>255</v>
      </c>
      <c r="I130" s="27" t="s">
        <v>262</v>
      </c>
      <c r="J130" s="3" t="s">
        <v>21</v>
      </c>
    </row>
    <row r="131" spans="1:10" ht="30" x14ac:dyDescent="0.25">
      <c r="A131" s="3"/>
      <c r="B131" s="27"/>
      <c r="C131" s="27" t="s">
        <v>263</v>
      </c>
      <c r="D131" s="27" t="s">
        <v>250</v>
      </c>
      <c r="E131" s="26">
        <v>8.5000000000000006E-2</v>
      </c>
      <c r="F131" s="26">
        <v>6.5000000000000002E-2</v>
      </c>
      <c r="G131" s="26">
        <v>2.1000000000000001E-2</v>
      </c>
      <c r="H131" s="3" t="s">
        <v>255</v>
      </c>
      <c r="I131" s="27" t="s">
        <v>264</v>
      </c>
      <c r="J131" s="3" t="s">
        <v>21</v>
      </c>
    </row>
    <row r="132" spans="1:10" ht="30" x14ac:dyDescent="0.25">
      <c r="A132" s="3"/>
      <c r="B132" s="27" t="s">
        <v>212</v>
      </c>
      <c r="C132" s="27" t="s">
        <v>168</v>
      </c>
      <c r="D132" s="27" t="s">
        <v>250</v>
      </c>
      <c r="E132" s="26">
        <v>1.7000000000000001E-2</v>
      </c>
      <c r="F132" s="26">
        <v>1.2999999999999999E-2</v>
      </c>
      <c r="G132" s="26">
        <v>4.0000000000000001E-3</v>
      </c>
      <c r="H132" s="3" t="s">
        <v>265</v>
      </c>
      <c r="I132" s="27" t="s">
        <v>266</v>
      </c>
      <c r="J132" s="3" t="s">
        <v>21</v>
      </c>
    </row>
    <row r="133" spans="1:10" ht="30" x14ac:dyDescent="0.25">
      <c r="A133" s="3"/>
      <c r="B133" s="27"/>
      <c r="C133" s="27" t="s">
        <v>190</v>
      </c>
      <c r="D133" s="27" t="s">
        <v>250</v>
      </c>
      <c r="E133" s="26">
        <v>8.9999999999999993E-3</v>
      </c>
      <c r="F133" s="26">
        <v>0</v>
      </c>
      <c r="G133" s="26">
        <v>8.9999999999999993E-3</v>
      </c>
      <c r="H133" s="3" t="s">
        <v>265</v>
      </c>
      <c r="I133" s="27" t="s">
        <v>266</v>
      </c>
      <c r="J133" s="3" t="s">
        <v>21</v>
      </c>
    </row>
    <row r="134" spans="1:10" ht="30" x14ac:dyDescent="0.25">
      <c r="A134" s="3"/>
      <c r="B134" s="27"/>
      <c r="C134" s="27" t="s">
        <v>267</v>
      </c>
      <c r="D134" s="27" t="s">
        <v>250</v>
      </c>
      <c r="E134" s="26">
        <v>1.0999999999999999E-2</v>
      </c>
      <c r="F134" s="26">
        <v>4.0000000000000001E-3</v>
      </c>
      <c r="G134" s="26">
        <v>8.0000000000000002E-3</v>
      </c>
      <c r="H134" s="3" t="s">
        <v>19</v>
      </c>
      <c r="I134" s="27" t="s">
        <v>268</v>
      </c>
      <c r="J134" s="3" t="s">
        <v>21</v>
      </c>
    </row>
    <row r="135" spans="1:10" ht="60" x14ac:dyDescent="0.25">
      <c r="A135" s="3"/>
      <c r="B135" s="27" t="s">
        <v>269</v>
      </c>
      <c r="C135" s="27" t="s">
        <v>270</v>
      </c>
      <c r="D135" s="27" t="s">
        <v>250</v>
      </c>
      <c r="E135" s="26">
        <v>4.1000000000000002E-2</v>
      </c>
      <c r="F135" s="26">
        <v>3.1E-2</v>
      </c>
      <c r="G135" s="26">
        <v>0.01</v>
      </c>
      <c r="H135" s="3" t="s">
        <v>271</v>
      </c>
      <c r="I135" s="27" t="s">
        <v>272</v>
      </c>
      <c r="J135" s="3" t="s">
        <v>21</v>
      </c>
    </row>
    <row r="136" spans="1:10" ht="60" x14ac:dyDescent="0.25">
      <c r="A136" s="3"/>
      <c r="B136" s="27"/>
      <c r="C136" s="27" t="s">
        <v>273</v>
      </c>
      <c r="D136" s="27" t="s">
        <v>250</v>
      </c>
      <c r="E136" s="26">
        <v>3.1E-2</v>
      </c>
      <c r="F136" s="26">
        <v>2.3E-2</v>
      </c>
      <c r="G136" s="26">
        <v>7.0000000000000001E-3</v>
      </c>
      <c r="H136" s="3" t="s">
        <v>271</v>
      </c>
      <c r="I136" s="27" t="s">
        <v>274</v>
      </c>
      <c r="J136" s="3" t="s">
        <v>21</v>
      </c>
    </row>
    <row r="137" spans="1:10" ht="60" x14ac:dyDescent="0.25">
      <c r="A137" s="3"/>
      <c r="B137" s="27"/>
      <c r="C137" s="27" t="s">
        <v>275</v>
      </c>
      <c r="D137" s="27" t="s">
        <v>250</v>
      </c>
      <c r="E137" s="26">
        <v>2.1000000000000001E-2</v>
      </c>
      <c r="F137" s="26">
        <v>1.6E-2</v>
      </c>
      <c r="G137" s="26">
        <v>5.0000000000000001E-3</v>
      </c>
      <c r="H137" s="3" t="s">
        <v>271</v>
      </c>
      <c r="I137" s="27" t="s">
        <v>276</v>
      </c>
      <c r="J137" s="3" t="s">
        <v>21</v>
      </c>
    </row>
    <row r="138" spans="1:10" ht="90" x14ac:dyDescent="0.25">
      <c r="A138" s="3"/>
      <c r="B138" s="27"/>
      <c r="C138" s="27" t="s">
        <v>277</v>
      </c>
      <c r="D138" s="27" t="s">
        <v>250</v>
      </c>
      <c r="E138" s="26">
        <v>3.1E-2</v>
      </c>
      <c r="F138" s="26">
        <v>2.3E-2</v>
      </c>
      <c r="G138" s="26">
        <v>7.0000000000000001E-3</v>
      </c>
      <c r="H138" s="3" t="s">
        <v>271</v>
      </c>
      <c r="I138" s="27" t="s">
        <v>278</v>
      </c>
      <c r="J138" s="3" t="s">
        <v>21</v>
      </c>
    </row>
    <row r="139" spans="1:10" ht="45" x14ac:dyDescent="0.25">
      <c r="A139" s="3"/>
      <c r="B139" s="27" t="s">
        <v>279</v>
      </c>
      <c r="C139" s="27" t="s">
        <v>280</v>
      </c>
      <c r="D139" s="27" t="s">
        <v>250</v>
      </c>
      <c r="E139" s="26">
        <v>2.1999999999999999E-2</v>
      </c>
      <c r="F139" s="26">
        <v>1.7999999999999999E-2</v>
      </c>
      <c r="G139" s="26">
        <v>4.0000000000000001E-3</v>
      </c>
      <c r="H139" s="3" t="s">
        <v>281</v>
      </c>
      <c r="I139" s="27" t="s">
        <v>282</v>
      </c>
      <c r="J139" s="3" t="s">
        <v>21</v>
      </c>
    </row>
    <row r="140" spans="1:10" ht="45" x14ac:dyDescent="0.25">
      <c r="A140" s="3"/>
      <c r="B140" s="27"/>
      <c r="C140" s="27" t="s">
        <v>283</v>
      </c>
      <c r="D140" s="27" t="s">
        <v>250</v>
      </c>
      <c r="E140" s="26">
        <v>7.0000000000000001E-3</v>
      </c>
      <c r="F140" s="26">
        <v>5.0000000000000001E-3</v>
      </c>
      <c r="G140" s="26">
        <v>1E-3</v>
      </c>
      <c r="H140" s="3" t="s">
        <v>281</v>
      </c>
      <c r="I140" s="27" t="s">
        <v>284</v>
      </c>
      <c r="J140" s="3" t="s">
        <v>21</v>
      </c>
    </row>
    <row r="141" spans="1:10" ht="45" x14ac:dyDescent="0.25">
      <c r="A141" s="3"/>
      <c r="B141" s="27"/>
      <c r="C141" s="27" t="s">
        <v>285</v>
      </c>
      <c r="D141" s="27" t="s">
        <v>250</v>
      </c>
      <c r="E141" s="26">
        <v>7.0000000000000001E-3</v>
      </c>
      <c r="F141" s="26">
        <v>5.0000000000000001E-3</v>
      </c>
      <c r="G141" s="26">
        <v>1E-3</v>
      </c>
      <c r="H141" s="3" t="s">
        <v>281</v>
      </c>
      <c r="I141" s="27" t="s">
        <v>286</v>
      </c>
      <c r="J141" s="3" t="s">
        <v>21</v>
      </c>
    </row>
    <row r="142" spans="1:10" ht="30" x14ac:dyDescent="0.25">
      <c r="A142" s="3"/>
      <c r="B142" s="27" t="s">
        <v>287</v>
      </c>
      <c r="C142" s="27" t="s">
        <v>288</v>
      </c>
      <c r="D142" s="27" t="s">
        <v>250</v>
      </c>
      <c r="E142" s="26">
        <v>0.55000000000000004</v>
      </c>
      <c r="F142" s="26">
        <v>0.43099999999999999</v>
      </c>
      <c r="G142" s="26">
        <v>0.11899999999999999</v>
      </c>
      <c r="H142" s="3" t="s">
        <v>289</v>
      </c>
      <c r="I142" s="27" t="s">
        <v>290</v>
      </c>
      <c r="J142" s="3" t="s">
        <v>21</v>
      </c>
    </row>
    <row r="143" spans="1:10" ht="30" x14ac:dyDescent="0.25">
      <c r="A143" s="3" t="s">
        <v>291</v>
      </c>
      <c r="B143" s="27" t="s">
        <v>253</v>
      </c>
      <c r="C143" s="27" t="s">
        <v>292</v>
      </c>
      <c r="D143" s="27" t="s">
        <v>250</v>
      </c>
      <c r="E143" s="26">
        <v>0.21199999999999999</v>
      </c>
      <c r="F143" s="26">
        <v>0.161</v>
      </c>
      <c r="G143" s="26">
        <v>5.0999999999999997E-2</v>
      </c>
      <c r="H143" s="3" t="s">
        <v>293</v>
      </c>
      <c r="I143" s="27" t="s">
        <v>294</v>
      </c>
      <c r="J143" s="3" t="s">
        <v>21</v>
      </c>
    </row>
    <row r="144" spans="1:10" ht="30" x14ac:dyDescent="0.25">
      <c r="A144" s="3"/>
      <c r="B144" s="27"/>
      <c r="C144" s="27" t="s">
        <v>295</v>
      </c>
      <c r="D144" s="27" t="s">
        <v>250</v>
      </c>
      <c r="E144" s="26">
        <v>0.122</v>
      </c>
      <c r="F144" s="26">
        <v>9.2999999999999999E-2</v>
      </c>
      <c r="G144" s="26">
        <v>2.9000000000000001E-2</v>
      </c>
      <c r="H144" s="3" t="s">
        <v>293</v>
      </c>
      <c r="I144" s="27" t="s">
        <v>296</v>
      </c>
      <c r="J144" s="3" t="s">
        <v>21</v>
      </c>
    </row>
    <row r="145" spans="1:20" ht="30" x14ac:dyDescent="0.25">
      <c r="A145" s="3"/>
      <c r="B145" s="27"/>
      <c r="C145" s="27" t="s">
        <v>297</v>
      </c>
      <c r="D145" s="27" t="s">
        <v>250</v>
      </c>
      <c r="E145" s="26">
        <v>0.121</v>
      </c>
      <c r="F145" s="26">
        <v>9.1999999999999998E-2</v>
      </c>
      <c r="G145" s="26">
        <v>2.9000000000000001E-2</v>
      </c>
      <c r="H145" s="3" t="s">
        <v>293</v>
      </c>
      <c r="I145" s="27" t="s">
        <v>296</v>
      </c>
      <c r="J145" s="3" t="s">
        <v>21</v>
      </c>
    </row>
    <row r="146" spans="1:20" ht="30" x14ac:dyDescent="0.25">
      <c r="A146" s="3"/>
      <c r="B146" s="27"/>
      <c r="C146" s="27" t="s">
        <v>263</v>
      </c>
      <c r="D146" s="27" t="s">
        <v>250</v>
      </c>
      <c r="E146" s="26">
        <v>0.109</v>
      </c>
      <c r="F146" s="26">
        <v>8.3000000000000004E-2</v>
      </c>
      <c r="G146" s="26">
        <v>0.02</v>
      </c>
      <c r="H146" s="3" t="s">
        <v>293</v>
      </c>
      <c r="I146" s="27" t="s">
        <v>298</v>
      </c>
      <c r="J146" s="3" t="s">
        <v>21</v>
      </c>
    </row>
    <row r="147" spans="1:20" ht="30" x14ac:dyDescent="0.25">
      <c r="A147" s="3"/>
      <c r="B147" s="27" t="s">
        <v>212</v>
      </c>
      <c r="C147" s="27" t="s">
        <v>168</v>
      </c>
      <c r="D147" s="27" t="s">
        <v>250</v>
      </c>
      <c r="E147" s="42">
        <v>2.7E-2</v>
      </c>
      <c r="F147" s="42">
        <v>0.02</v>
      </c>
      <c r="G147" s="42">
        <v>7.0000000000000001E-3</v>
      </c>
      <c r="H147" s="3" t="s">
        <v>299</v>
      </c>
      <c r="I147" s="27" t="s">
        <v>300</v>
      </c>
      <c r="J147" s="3" t="s">
        <v>36</v>
      </c>
      <c r="M147"/>
      <c r="N147"/>
      <c r="O147"/>
      <c r="P147"/>
      <c r="Q147"/>
      <c r="R147"/>
      <c r="S147"/>
      <c r="T147"/>
    </row>
    <row r="148" spans="1:20" ht="30" x14ac:dyDescent="0.25">
      <c r="A148" s="3"/>
      <c r="B148" s="27"/>
      <c r="C148" s="27" t="s">
        <v>190</v>
      </c>
      <c r="D148" s="27" t="s">
        <v>250</v>
      </c>
      <c r="E148" s="42">
        <v>1.4999999999999999E-2</v>
      </c>
      <c r="F148" s="42">
        <v>0</v>
      </c>
      <c r="G148" s="42">
        <v>1.4999999999999999E-2</v>
      </c>
      <c r="H148" s="3" t="s">
        <v>299</v>
      </c>
      <c r="I148" s="27" t="s">
        <v>300</v>
      </c>
      <c r="J148" s="3" t="s">
        <v>36</v>
      </c>
      <c r="M148"/>
      <c r="N148"/>
      <c r="O148"/>
      <c r="P148"/>
      <c r="Q148"/>
      <c r="R148"/>
      <c r="S148"/>
      <c r="T148"/>
    </row>
    <row r="149" spans="1:20" ht="30" x14ac:dyDescent="0.25">
      <c r="A149" s="3"/>
      <c r="B149" s="27"/>
      <c r="C149" s="27" t="s">
        <v>267</v>
      </c>
      <c r="D149" s="27" t="s">
        <v>250</v>
      </c>
      <c r="E149" s="42">
        <v>1.7999999999999999E-2</v>
      </c>
      <c r="F149" s="42">
        <v>5.0000000000000001E-3</v>
      </c>
      <c r="G149" s="42">
        <v>1.2999999999999999E-2</v>
      </c>
      <c r="H149" s="3" t="s">
        <v>299</v>
      </c>
      <c r="I149" s="27" t="s">
        <v>301</v>
      </c>
      <c r="J149" s="3" t="s">
        <v>36</v>
      </c>
      <c r="M149"/>
      <c r="N149"/>
      <c r="O149"/>
      <c r="P149"/>
      <c r="Q149"/>
      <c r="R149"/>
      <c r="S149"/>
      <c r="T149"/>
    </row>
    <row r="150" spans="1:20" ht="30" x14ac:dyDescent="0.25">
      <c r="A150" s="3"/>
      <c r="B150" s="27" t="s">
        <v>269</v>
      </c>
      <c r="C150" s="27" t="s">
        <v>302</v>
      </c>
      <c r="D150" s="27" t="s">
        <v>250</v>
      </c>
      <c r="E150" s="26">
        <v>5.3999999999999999E-2</v>
      </c>
      <c r="F150" s="26">
        <v>4.1000000000000002E-2</v>
      </c>
      <c r="G150" s="26">
        <v>0.129</v>
      </c>
      <c r="H150" s="3" t="s">
        <v>303</v>
      </c>
      <c r="I150" s="27" t="s">
        <v>304</v>
      </c>
      <c r="J150" s="3" t="s">
        <v>21</v>
      </c>
    </row>
    <row r="151" spans="1:20" ht="30" x14ac:dyDescent="0.25">
      <c r="A151" s="3"/>
      <c r="B151" s="27"/>
      <c r="C151" s="27" t="s">
        <v>305</v>
      </c>
      <c r="D151" s="27" t="s">
        <v>250</v>
      </c>
      <c r="E151" s="26">
        <v>5.1999999999999998E-2</v>
      </c>
      <c r="F151" s="26">
        <v>3.9E-2</v>
      </c>
      <c r="G151" s="26">
        <v>0.125</v>
      </c>
      <c r="H151" s="3" t="s">
        <v>303</v>
      </c>
      <c r="I151" s="27" t="s">
        <v>306</v>
      </c>
      <c r="J151" s="3" t="s">
        <v>21</v>
      </c>
    </row>
    <row r="152" spans="1:20" ht="30" x14ac:dyDescent="0.25">
      <c r="A152" s="3"/>
      <c r="B152" s="27"/>
      <c r="C152" s="27" t="s">
        <v>307</v>
      </c>
      <c r="D152" s="27" t="s">
        <v>250</v>
      </c>
      <c r="E152" s="26">
        <v>3.2000000000000001E-2</v>
      </c>
      <c r="F152" s="26">
        <v>2.4E-2</v>
      </c>
      <c r="G152" s="26">
        <v>8.0000000000000002E-3</v>
      </c>
      <c r="H152" s="3" t="s">
        <v>303</v>
      </c>
      <c r="I152" s="27" t="s">
        <v>306</v>
      </c>
      <c r="J152" s="3" t="s">
        <v>21</v>
      </c>
    </row>
    <row r="153" spans="1:20" ht="30" x14ac:dyDescent="0.25">
      <c r="A153" s="3"/>
      <c r="B153" s="27"/>
      <c r="C153" s="27" t="s">
        <v>308</v>
      </c>
      <c r="D153" s="27" t="s">
        <v>250</v>
      </c>
      <c r="E153" s="26">
        <v>2.7E-2</v>
      </c>
      <c r="F153" s="26">
        <v>0.02</v>
      </c>
      <c r="G153" s="26">
        <v>7.0000000000000001E-3</v>
      </c>
      <c r="H153" s="3" t="s">
        <v>303</v>
      </c>
      <c r="I153" s="27" t="s">
        <v>306</v>
      </c>
      <c r="J153" s="3" t="s">
        <v>21</v>
      </c>
    </row>
    <row r="154" spans="1:20" ht="60" x14ac:dyDescent="0.25">
      <c r="A154" s="3"/>
      <c r="B154" s="27"/>
      <c r="C154" s="27" t="s">
        <v>309</v>
      </c>
      <c r="D154" s="27" t="s">
        <v>250</v>
      </c>
      <c r="E154" s="26">
        <v>3.2000000000000001E-2</v>
      </c>
      <c r="F154" s="26">
        <v>2.4E-2</v>
      </c>
      <c r="G154" s="26">
        <v>8.0000000000000002E-3</v>
      </c>
      <c r="H154" s="3" t="s">
        <v>303</v>
      </c>
      <c r="I154" s="27" t="s">
        <v>310</v>
      </c>
      <c r="J154" s="3" t="s">
        <v>21</v>
      </c>
    </row>
    <row r="155" spans="1:20" ht="30" x14ac:dyDescent="0.25">
      <c r="A155" s="3"/>
      <c r="B155" s="27" t="s">
        <v>279</v>
      </c>
      <c r="C155" s="27" t="s">
        <v>280</v>
      </c>
      <c r="D155" s="27" t="s">
        <v>250</v>
      </c>
      <c r="E155" s="26">
        <v>3.2000000000000001E-2</v>
      </c>
      <c r="F155" s="26">
        <v>2.5999999999999999E-2</v>
      </c>
      <c r="G155" s="26">
        <v>6.0000000000000001E-3</v>
      </c>
      <c r="H155" s="3" t="s">
        <v>311</v>
      </c>
      <c r="I155" s="27" t="s">
        <v>312</v>
      </c>
      <c r="J155" s="3" t="s">
        <v>21</v>
      </c>
    </row>
    <row r="156" spans="1:20" ht="30" x14ac:dyDescent="0.25">
      <c r="A156" s="3"/>
      <c r="B156" s="27"/>
      <c r="C156" s="27" t="s">
        <v>283</v>
      </c>
      <c r="D156" s="27" t="s">
        <v>250</v>
      </c>
      <c r="E156" s="26">
        <v>1.2E-2</v>
      </c>
      <c r="F156" s="26">
        <v>8.9999999999999993E-3</v>
      </c>
      <c r="G156" s="26">
        <v>2E-3</v>
      </c>
      <c r="H156" s="3" t="s">
        <v>311</v>
      </c>
      <c r="I156" s="27" t="s">
        <v>313</v>
      </c>
      <c r="J156" s="3" t="s">
        <v>21</v>
      </c>
    </row>
    <row r="157" spans="1:20" ht="30" x14ac:dyDescent="0.25">
      <c r="A157" s="3"/>
      <c r="B157" s="27"/>
      <c r="C157" s="27" t="s">
        <v>314</v>
      </c>
      <c r="D157" s="27" t="s">
        <v>250</v>
      </c>
      <c r="E157" s="26">
        <v>1.2E-2</v>
      </c>
      <c r="F157" s="26">
        <v>8.9999999999999993E-3</v>
      </c>
      <c r="G157" s="26">
        <v>2E-3</v>
      </c>
      <c r="H157" s="3" t="s">
        <v>311</v>
      </c>
      <c r="I157" s="27" t="s">
        <v>286</v>
      </c>
      <c r="J157" s="3" t="s">
        <v>21</v>
      </c>
    </row>
    <row r="158" spans="1:20" ht="22.5" customHeight="1" x14ac:dyDescent="0.15">
      <c r="A158" s="318" t="s">
        <v>315</v>
      </c>
      <c r="B158" s="318"/>
      <c r="C158" s="318"/>
      <c r="D158" s="318"/>
      <c r="E158" s="318"/>
      <c r="F158" s="318"/>
      <c r="G158" s="318"/>
      <c r="H158" s="318"/>
      <c r="I158" s="318"/>
      <c r="J158" s="318"/>
    </row>
    <row r="159" spans="1:20" ht="105" x14ac:dyDescent="0.25">
      <c r="A159" s="25"/>
      <c r="B159" s="3" t="s">
        <v>316</v>
      </c>
      <c r="C159" s="3"/>
      <c r="D159" s="3" t="s">
        <v>42</v>
      </c>
      <c r="E159" s="3">
        <v>1760</v>
      </c>
      <c r="F159" s="3"/>
      <c r="G159" s="3"/>
      <c r="H159" s="27" t="s">
        <v>317</v>
      </c>
      <c r="I159" s="27" t="s">
        <v>318</v>
      </c>
      <c r="J159" s="3" t="s">
        <v>21</v>
      </c>
    </row>
    <row r="160" spans="1:20" ht="105" x14ac:dyDescent="0.25">
      <c r="A160" s="25"/>
      <c r="B160" s="3" t="s">
        <v>319</v>
      </c>
      <c r="C160" s="3"/>
      <c r="D160" s="3" t="s">
        <v>42</v>
      </c>
      <c r="E160" s="3">
        <v>1300</v>
      </c>
      <c r="F160" s="3"/>
      <c r="G160" s="3"/>
      <c r="H160" s="27" t="s">
        <v>317</v>
      </c>
      <c r="I160" s="27" t="s">
        <v>318</v>
      </c>
      <c r="J160" s="3" t="s">
        <v>21</v>
      </c>
    </row>
    <row r="161" spans="1:10" ht="105" x14ac:dyDescent="0.25">
      <c r="A161" s="25"/>
      <c r="B161" s="3" t="s">
        <v>320</v>
      </c>
      <c r="C161" s="3"/>
      <c r="D161" s="3" t="s">
        <v>42</v>
      </c>
      <c r="E161" s="3">
        <v>3170</v>
      </c>
      <c r="F161" s="3"/>
      <c r="G161" s="3"/>
      <c r="H161" s="27" t="s">
        <v>317</v>
      </c>
      <c r="I161" s="27" t="s">
        <v>318</v>
      </c>
      <c r="J161" s="3" t="s">
        <v>21</v>
      </c>
    </row>
    <row r="162" spans="1:10" ht="105" x14ac:dyDescent="0.25">
      <c r="A162" s="25"/>
      <c r="B162" s="3" t="s">
        <v>321</v>
      </c>
      <c r="C162" s="3"/>
      <c r="D162" s="3" t="s">
        <v>42</v>
      </c>
      <c r="E162" s="3">
        <v>4800</v>
      </c>
      <c r="F162" s="3"/>
      <c r="G162" s="3"/>
      <c r="H162" s="27" t="s">
        <v>317</v>
      </c>
      <c r="I162" s="27" t="s">
        <v>318</v>
      </c>
      <c r="J162" s="3" t="s">
        <v>21</v>
      </c>
    </row>
    <row r="163" spans="1:10" ht="105" x14ac:dyDescent="0.25">
      <c r="A163" s="25"/>
      <c r="B163" s="3" t="s">
        <v>322</v>
      </c>
      <c r="C163" s="3"/>
      <c r="D163" s="3" t="s">
        <v>42</v>
      </c>
      <c r="E163" s="3">
        <v>677</v>
      </c>
      <c r="F163" s="3"/>
      <c r="G163" s="3"/>
      <c r="H163" s="27" t="s">
        <v>317</v>
      </c>
      <c r="I163" s="27" t="s">
        <v>318</v>
      </c>
      <c r="J163" s="3" t="s">
        <v>21</v>
      </c>
    </row>
    <row r="164" spans="1:10" ht="105" x14ac:dyDescent="0.25">
      <c r="A164" s="25"/>
      <c r="B164" s="3" t="s">
        <v>323</v>
      </c>
      <c r="C164" s="27" t="s">
        <v>324</v>
      </c>
      <c r="D164" s="3" t="s">
        <v>42</v>
      </c>
      <c r="E164" s="3">
        <v>3943</v>
      </c>
      <c r="F164" s="3"/>
      <c r="G164" s="3"/>
      <c r="H164" s="27" t="s">
        <v>317</v>
      </c>
      <c r="I164" s="27" t="s">
        <v>318</v>
      </c>
      <c r="J164" s="3" t="s">
        <v>21</v>
      </c>
    </row>
    <row r="165" spans="1:10" ht="105" x14ac:dyDescent="0.25">
      <c r="A165" s="25"/>
      <c r="B165" s="3" t="s">
        <v>325</v>
      </c>
      <c r="C165" s="27" t="s">
        <v>326</v>
      </c>
      <c r="D165" s="3" t="s">
        <v>42</v>
      </c>
      <c r="E165" s="3">
        <v>3985</v>
      </c>
      <c r="F165" s="3"/>
      <c r="G165" s="3"/>
      <c r="H165" s="27" t="s">
        <v>317</v>
      </c>
      <c r="I165" s="27" t="s">
        <v>318</v>
      </c>
      <c r="J165" s="3" t="s">
        <v>21</v>
      </c>
    </row>
    <row r="166" spans="1:10" ht="105" x14ac:dyDescent="0.25">
      <c r="A166" s="25"/>
      <c r="B166" s="3" t="s">
        <v>327</v>
      </c>
      <c r="C166" s="27" t="s">
        <v>328</v>
      </c>
      <c r="D166" s="3" t="s">
        <v>42</v>
      </c>
      <c r="E166" s="3">
        <v>1624</v>
      </c>
      <c r="F166" s="3"/>
      <c r="G166" s="3"/>
      <c r="H166" s="27" t="s">
        <v>317</v>
      </c>
      <c r="I166" s="27" t="s">
        <v>318</v>
      </c>
      <c r="J166" s="3" t="s">
        <v>21</v>
      </c>
    </row>
    <row r="167" spans="1:10" ht="105" x14ac:dyDescent="0.25">
      <c r="A167" s="25"/>
      <c r="B167" s="30" t="s">
        <v>329</v>
      </c>
      <c r="C167" s="30" t="s">
        <v>330</v>
      </c>
      <c r="D167" s="30" t="s">
        <v>42</v>
      </c>
      <c r="E167" s="30">
        <v>1674</v>
      </c>
      <c r="F167" s="30"/>
      <c r="G167" s="30"/>
      <c r="H167" s="30" t="s">
        <v>317</v>
      </c>
      <c r="I167" s="33" t="s">
        <v>318</v>
      </c>
      <c r="J167" s="30" t="s">
        <v>77</v>
      </c>
    </row>
    <row r="168" spans="1:10" ht="105" x14ac:dyDescent="0.25">
      <c r="A168" s="25"/>
      <c r="B168" s="3" t="s">
        <v>331</v>
      </c>
      <c r="C168" s="27" t="s">
        <v>332</v>
      </c>
      <c r="D168" s="3" t="s">
        <v>42</v>
      </c>
      <c r="E168" s="3">
        <v>1924</v>
      </c>
      <c r="F168" s="3"/>
      <c r="G168" s="3"/>
      <c r="H168" s="27" t="s">
        <v>317</v>
      </c>
      <c r="I168" s="27" t="s">
        <v>318</v>
      </c>
      <c r="J168" s="3" t="s">
        <v>21</v>
      </c>
    </row>
    <row r="169" spans="1:10" ht="105" x14ac:dyDescent="0.25">
      <c r="A169" s="25"/>
      <c r="B169" s="3" t="s">
        <v>333</v>
      </c>
      <c r="C169" s="27" t="s">
        <v>334</v>
      </c>
      <c r="D169" s="3" t="s">
        <v>42</v>
      </c>
      <c r="E169" s="3">
        <v>2127</v>
      </c>
      <c r="F169" s="3"/>
      <c r="G169" s="3"/>
      <c r="H169" s="27" t="s">
        <v>317</v>
      </c>
      <c r="I169" s="27" t="s">
        <v>318</v>
      </c>
      <c r="J169" s="3" t="s">
        <v>21</v>
      </c>
    </row>
    <row r="170" spans="1:10" ht="105" x14ac:dyDescent="0.25">
      <c r="A170" s="25"/>
      <c r="B170" s="3" t="s">
        <v>335</v>
      </c>
      <c r="C170" s="27" t="s">
        <v>336</v>
      </c>
      <c r="D170" s="3" t="s">
        <v>42</v>
      </c>
      <c r="E170" s="3">
        <v>2473</v>
      </c>
      <c r="F170" s="3"/>
      <c r="G170" s="3"/>
      <c r="H170" s="27" t="s">
        <v>317</v>
      </c>
      <c r="I170" s="27" t="s">
        <v>318</v>
      </c>
      <c r="J170" s="3" t="s">
        <v>21</v>
      </c>
    </row>
    <row r="171" spans="1:10" ht="105" x14ac:dyDescent="0.25">
      <c r="A171" s="25"/>
      <c r="B171" s="3" t="s">
        <v>337</v>
      </c>
      <c r="C171" s="27"/>
      <c r="D171" s="3" t="s">
        <v>42</v>
      </c>
      <c r="E171" s="3">
        <v>1</v>
      </c>
      <c r="F171" s="3"/>
      <c r="G171" s="3"/>
      <c r="H171" s="27" t="s">
        <v>317</v>
      </c>
      <c r="I171" s="27" t="s">
        <v>318</v>
      </c>
      <c r="J171" s="3" t="s">
        <v>21</v>
      </c>
    </row>
    <row r="172" spans="1:10" ht="105" x14ac:dyDescent="0.25">
      <c r="A172" s="25"/>
      <c r="B172" s="3" t="s">
        <v>338</v>
      </c>
      <c r="C172" s="27"/>
      <c r="D172" s="3" t="s">
        <v>42</v>
      </c>
      <c r="E172" s="3">
        <v>1</v>
      </c>
      <c r="F172" s="3"/>
      <c r="G172" s="3"/>
      <c r="H172" s="27" t="s">
        <v>317</v>
      </c>
      <c r="I172" s="27" t="s">
        <v>318</v>
      </c>
      <c r="J172" s="3" t="s">
        <v>21</v>
      </c>
    </row>
    <row r="173" spans="1:10" ht="105" x14ac:dyDescent="0.25">
      <c r="A173" s="25"/>
      <c r="B173" s="27" t="s">
        <v>339</v>
      </c>
      <c r="C173" s="27"/>
      <c r="D173" s="3" t="s">
        <v>42</v>
      </c>
      <c r="E173" s="3">
        <v>1</v>
      </c>
      <c r="F173" s="3"/>
      <c r="G173" s="3"/>
      <c r="H173" s="27" t="s">
        <v>317</v>
      </c>
      <c r="I173" s="27" t="s">
        <v>318</v>
      </c>
      <c r="J173" s="3" t="s">
        <v>21</v>
      </c>
    </row>
    <row r="174" spans="1:10" s="43" customFormat="1" ht="105" x14ac:dyDescent="0.25">
      <c r="A174" s="25"/>
      <c r="B174" s="33" t="s">
        <v>340</v>
      </c>
      <c r="C174" s="33" t="s">
        <v>341</v>
      </c>
      <c r="D174" s="33" t="s">
        <v>42</v>
      </c>
      <c r="E174" s="33">
        <v>2059</v>
      </c>
      <c r="F174" s="33"/>
      <c r="G174" s="33"/>
      <c r="H174" s="33" t="s">
        <v>317</v>
      </c>
      <c r="I174" s="33" t="s">
        <v>318</v>
      </c>
      <c r="J174" s="33" t="s">
        <v>77</v>
      </c>
    </row>
    <row r="175" spans="1:10" ht="131.25" customHeight="1" x14ac:dyDescent="0.25">
      <c r="A175" s="25"/>
      <c r="B175" s="3" t="s">
        <v>342</v>
      </c>
      <c r="C175" s="27" t="s">
        <v>343</v>
      </c>
      <c r="D175" s="3" t="s">
        <v>42</v>
      </c>
      <c r="E175" s="3">
        <v>1273</v>
      </c>
      <c r="F175" s="3"/>
      <c r="G175" s="3"/>
      <c r="H175" s="27" t="s">
        <v>317</v>
      </c>
      <c r="I175" s="27" t="s">
        <v>318</v>
      </c>
      <c r="J175" s="3" t="s">
        <v>21</v>
      </c>
    </row>
    <row r="176" spans="1:10" ht="117" customHeight="1" x14ac:dyDescent="0.25">
      <c r="A176" s="25"/>
      <c r="B176" s="3" t="s">
        <v>344</v>
      </c>
      <c r="C176" s="27" t="s">
        <v>345</v>
      </c>
      <c r="D176" s="3" t="s">
        <v>42</v>
      </c>
      <c r="E176" s="3">
        <v>1282</v>
      </c>
      <c r="F176" s="3"/>
      <c r="G176" s="3"/>
      <c r="H176" s="27" t="s">
        <v>317</v>
      </c>
      <c r="I176" s="27" t="s">
        <v>318</v>
      </c>
      <c r="J176" s="3" t="s">
        <v>21</v>
      </c>
    </row>
    <row r="177" spans="1:19" ht="105" x14ac:dyDescent="0.25">
      <c r="A177" s="25"/>
      <c r="B177" s="3" t="s">
        <v>346</v>
      </c>
      <c r="C177" s="27" t="s">
        <v>347</v>
      </c>
      <c r="D177" s="3" t="s">
        <v>42</v>
      </c>
      <c r="E177" s="3">
        <v>547</v>
      </c>
      <c r="F177" s="3"/>
      <c r="G177" s="3"/>
      <c r="H177" s="27" t="s">
        <v>317</v>
      </c>
      <c r="I177" s="27" t="s">
        <v>318</v>
      </c>
      <c r="J177" s="3" t="s">
        <v>21</v>
      </c>
    </row>
    <row r="178" spans="1:19" s="43" customFormat="1" ht="105" x14ac:dyDescent="0.25">
      <c r="A178" s="25"/>
      <c r="B178" s="33" t="s">
        <v>348</v>
      </c>
      <c r="C178" s="33" t="s">
        <v>349</v>
      </c>
      <c r="D178" s="33" t="s">
        <v>42</v>
      </c>
      <c r="E178" s="33">
        <v>1945</v>
      </c>
      <c r="F178" s="33"/>
      <c r="G178" s="33"/>
      <c r="H178" s="33" t="s">
        <v>317</v>
      </c>
      <c r="I178" s="33" t="s">
        <v>318</v>
      </c>
      <c r="J178" s="33" t="s">
        <v>77</v>
      </c>
    </row>
    <row r="179" spans="1:19" ht="105" x14ac:dyDescent="0.25">
      <c r="A179" s="25"/>
      <c r="B179" s="3" t="s">
        <v>350</v>
      </c>
      <c r="C179" s="27" t="s">
        <v>351</v>
      </c>
      <c r="D179" s="3" t="s">
        <v>42</v>
      </c>
      <c r="E179" s="3">
        <v>676</v>
      </c>
      <c r="F179" s="3"/>
      <c r="G179" s="3"/>
      <c r="H179" s="27" t="s">
        <v>317</v>
      </c>
      <c r="I179" s="27" t="s">
        <v>318</v>
      </c>
      <c r="J179" s="3" t="s">
        <v>21</v>
      </c>
    </row>
    <row r="180" spans="1:19" ht="105" x14ac:dyDescent="0.25">
      <c r="A180" s="25"/>
      <c r="B180" s="3" t="s">
        <v>352</v>
      </c>
      <c r="C180" s="27" t="s">
        <v>353</v>
      </c>
      <c r="D180" s="3" t="s">
        <v>42</v>
      </c>
      <c r="E180" s="3">
        <v>573</v>
      </c>
      <c r="F180" s="3"/>
      <c r="G180" s="3"/>
      <c r="H180" s="27" t="s">
        <v>317</v>
      </c>
      <c r="I180" s="27" t="s">
        <v>318</v>
      </c>
      <c r="J180" s="3" t="s">
        <v>21</v>
      </c>
    </row>
    <row r="181" spans="1:19" ht="105" x14ac:dyDescent="0.25">
      <c r="A181" s="25"/>
      <c r="B181" s="27" t="s">
        <v>354</v>
      </c>
      <c r="C181" s="27" t="s">
        <v>355</v>
      </c>
      <c r="D181" s="27" t="s">
        <v>42</v>
      </c>
      <c r="E181" s="27">
        <v>3</v>
      </c>
      <c r="F181" s="27"/>
      <c r="G181" s="27"/>
      <c r="H181" s="27" t="s">
        <v>317</v>
      </c>
      <c r="I181" s="27" t="s">
        <v>318</v>
      </c>
      <c r="J181" s="3" t="s">
        <v>77</v>
      </c>
    </row>
    <row r="182" spans="1:19" ht="105" x14ac:dyDescent="0.25">
      <c r="A182" s="25"/>
      <c r="B182" s="3" t="s">
        <v>356</v>
      </c>
      <c r="C182" s="3" t="s">
        <v>357</v>
      </c>
      <c r="D182" s="3" t="s">
        <v>42</v>
      </c>
      <c r="E182" s="3">
        <v>3</v>
      </c>
      <c r="F182" s="3"/>
      <c r="G182" s="3"/>
      <c r="H182" s="27" t="s">
        <v>317</v>
      </c>
      <c r="I182" s="27" t="s">
        <v>318</v>
      </c>
      <c r="J182" s="3" t="s">
        <v>21</v>
      </c>
    </row>
    <row r="183" spans="1:19" ht="105" x14ac:dyDescent="0.25">
      <c r="A183" s="25"/>
      <c r="B183" s="3" t="s">
        <v>358</v>
      </c>
      <c r="C183" s="3" t="s">
        <v>359</v>
      </c>
      <c r="D183" s="3" t="s">
        <v>42</v>
      </c>
      <c r="E183" s="3">
        <v>3</v>
      </c>
      <c r="F183" s="3"/>
      <c r="G183" s="3"/>
      <c r="H183" s="27" t="s">
        <v>317</v>
      </c>
      <c r="I183" s="27" t="s">
        <v>318</v>
      </c>
      <c r="J183" s="3" t="s">
        <v>21</v>
      </c>
    </row>
    <row r="184" spans="1:19" ht="105" x14ac:dyDescent="0.25">
      <c r="A184" s="25"/>
      <c r="B184" s="33" t="s">
        <v>360</v>
      </c>
      <c r="C184" s="33" t="s">
        <v>361</v>
      </c>
      <c r="D184" s="33" t="s">
        <v>42</v>
      </c>
      <c r="E184" s="33">
        <v>5</v>
      </c>
      <c r="F184" s="33"/>
      <c r="G184" s="33"/>
      <c r="H184" s="33" t="s">
        <v>317</v>
      </c>
      <c r="I184" s="33" t="s">
        <v>318</v>
      </c>
      <c r="J184" s="30" t="s">
        <v>77</v>
      </c>
    </row>
    <row r="185" spans="1:19" ht="105" x14ac:dyDescent="0.25">
      <c r="A185" s="25"/>
      <c r="B185" s="33" t="s">
        <v>362</v>
      </c>
      <c r="C185" s="33" t="s">
        <v>363</v>
      </c>
      <c r="D185" s="33" t="s">
        <v>42</v>
      </c>
      <c r="E185" s="33">
        <v>5</v>
      </c>
      <c r="F185" s="33"/>
      <c r="G185" s="33"/>
      <c r="H185" s="33" t="s">
        <v>317</v>
      </c>
      <c r="I185" s="33" t="s">
        <v>318</v>
      </c>
      <c r="J185" s="30" t="s">
        <v>77</v>
      </c>
      <c r="P185" s="24" t="s">
        <v>419</v>
      </c>
    </row>
    <row r="186" spans="1:19" ht="90" x14ac:dyDescent="0.25">
      <c r="A186" s="25"/>
      <c r="B186" s="3" t="s">
        <v>364</v>
      </c>
      <c r="C186" s="3" t="s">
        <v>365</v>
      </c>
      <c r="D186" s="3" t="s">
        <v>42</v>
      </c>
      <c r="E186" s="3">
        <v>28</v>
      </c>
      <c r="F186" s="42"/>
      <c r="G186" s="42"/>
      <c r="H186" s="27" t="s">
        <v>317</v>
      </c>
      <c r="I186" s="27" t="s">
        <v>366</v>
      </c>
      <c r="J186" s="3" t="s">
        <v>21</v>
      </c>
      <c r="N186" s="3" t="s">
        <v>418</v>
      </c>
      <c r="O186" s="3" t="s">
        <v>42</v>
      </c>
      <c r="P186" s="3">
        <v>265</v>
      </c>
      <c r="Q186" s="3"/>
      <c r="R186" s="3"/>
      <c r="S186" s="27" t="s">
        <v>317</v>
      </c>
    </row>
    <row r="187" spans="1:19" ht="90" x14ac:dyDescent="0.25">
      <c r="A187" s="25"/>
      <c r="B187" s="3" t="s">
        <v>367</v>
      </c>
      <c r="C187" s="3" t="s">
        <v>368</v>
      </c>
      <c r="D187" s="3" t="s">
        <v>42</v>
      </c>
      <c r="E187" s="3">
        <v>265</v>
      </c>
      <c r="F187" s="3"/>
      <c r="G187" s="3"/>
      <c r="H187" s="27" t="s">
        <v>317</v>
      </c>
      <c r="I187" s="27" t="s">
        <v>366</v>
      </c>
      <c r="J187" s="3" t="s">
        <v>21</v>
      </c>
    </row>
    <row r="188" spans="1:19" ht="15" x14ac:dyDescent="0.25">
      <c r="A188" s="44"/>
      <c r="B188"/>
      <c r="C188"/>
      <c r="D188"/>
      <c r="E188"/>
      <c r="F188"/>
      <c r="G188"/>
      <c r="H188" s="6"/>
      <c r="I188" s="6"/>
      <c r="J188"/>
    </row>
    <row r="189" spans="1:19" customFormat="1" ht="15" x14ac:dyDescent="0.25">
      <c r="A189" t="s">
        <v>369</v>
      </c>
      <c r="B189" s="6"/>
      <c r="C189" s="6"/>
      <c r="D189" s="6"/>
      <c r="H189" s="6"/>
      <c r="I189" s="6"/>
    </row>
    <row r="190" spans="1:19" s="45" customFormat="1" ht="349.5" customHeight="1" x14ac:dyDescent="0.25">
      <c r="A190" s="321" t="s">
        <v>370</v>
      </c>
      <c r="B190" s="322"/>
      <c r="C190" s="322"/>
      <c r="D190" s="322"/>
      <c r="E190" s="322"/>
      <c r="F190" s="322"/>
      <c r="G190" s="322"/>
      <c r="H190" s="322"/>
      <c r="I190" s="322"/>
      <c r="J190" s="323"/>
    </row>
    <row r="191" spans="1:19" ht="124.5" customHeight="1" x14ac:dyDescent="0.15">
      <c r="A191" s="324" t="s">
        <v>371</v>
      </c>
      <c r="B191" s="325"/>
      <c r="C191" s="325"/>
      <c r="D191" s="325"/>
      <c r="E191" s="325"/>
      <c r="F191" s="325"/>
      <c r="G191" s="325"/>
      <c r="H191" s="325"/>
      <c r="I191" s="325"/>
      <c r="J191" s="326"/>
    </row>
  </sheetData>
  <sheetProtection algorithmName="SHA-512" hashValue="y6KN58HiGprmQ4AldMCpm+qgYhuWuSKY2StvMWE59zvxRcI/pxeyIuel86EZnst3jdkA0wcR1QW7slwrCEyxWQ==" saltValue="WW5GABa6RU4A1CxOLvSIhg==" spinCount="100000" sheet="1" objects="1" scenarios="1"/>
  <customSheetViews>
    <customSheetView guid="{468B9859-406B-47B7-B856-34BDC1863CB4}" scale="55" topLeftCell="A70">
      <selection activeCell="N2" sqref="N2"/>
      <pageMargins left="0.7" right="0.7" top="0.75" bottom="0.75" header="0.3" footer="0.3"/>
      <headerFooter>
        <oddFooter>&amp;L_x000D_&amp;1#&amp;"Calibri"&amp;10&amp;K000000 Intern gebruik</oddFooter>
      </headerFooter>
    </customSheetView>
  </customSheetViews>
  <mergeCells count="62">
    <mergeCell ref="A190:J190"/>
    <mergeCell ref="A191:J191"/>
    <mergeCell ref="B117:C117"/>
    <mergeCell ref="B118:C118"/>
    <mergeCell ref="B119:C119"/>
    <mergeCell ref="B120:C120"/>
    <mergeCell ref="A125:J125"/>
    <mergeCell ref="A158:J158"/>
    <mergeCell ref="B116:C116"/>
    <mergeCell ref="A66:J66"/>
    <mergeCell ref="A74:J74"/>
    <mergeCell ref="B75:C75"/>
    <mergeCell ref="B76:C76"/>
    <mergeCell ref="B108:C108"/>
    <mergeCell ref="B110:C110"/>
    <mergeCell ref="B111:C111"/>
    <mergeCell ref="B112:C112"/>
    <mergeCell ref="B113:C113"/>
    <mergeCell ref="B114:C114"/>
    <mergeCell ref="B115:C115"/>
    <mergeCell ref="B65:C65"/>
    <mergeCell ref="B54:C54"/>
    <mergeCell ref="B55:C55"/>
    <mergeCell ref="B56:C56"/>
    <mergeCell ref="B57:C57"/>
    <mergeCell ref="B58:C58"/>
    <mergeCell ref="B59:C59"/>
    <mergeCell ref="B60:C60"/>
    <mergeCell ref="B61:C61"/>
    <mergeCell ref="B62:C62"/>
    <mergeCell ref="B63:C63"/>
    <mergeCell ref="B64:C64"/>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B29:C29"/>
    <mergeCell ref="A3:J3"/>
    <mergeCell ref="A4:J4"/>
    <mergeCell ref="A5:J5"/>
    <mergeCell ref="A27:J27"/>
    <mergeCell ref="B28:C28"/>
  </mergeCells>
  <pageMargins left="0.7" right="0.7" top="0.75" bottom="0.75" header="0.3" footer="0.3"/>
  <drawing r:id="rId1"/>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1</vt:i4>
      </vt:variant>
    </vt:vector>
  </HeadingPairs>
  <TitlesOfParts>
    <vt:vector size="10" baseType="lpstr">
      <vt:lpstr>Versie</vt:lpstr>
      <vt:lpstr>Datasheet</vt:lpstr>
      <vt:lpstr>Toelichting</vt:lpstr>
      <vt:lpstr>Energie , overige thema's</vt:lpstr>
      <vt:lpstr>CCS en Negatieve Emissies</vt:lpstr>
      <vt:lpstr>CCU</vt:lpstr>
      <vt:lpstr>Circulaire Economie</vt:lpstr>
      <vt:lpstr>Bronnen circulaire economie</vt:lpstr>
      <vt:lpstr>CO2 emissiefactoren 2022</vt:lpstr>
      <vt:lpstr>'Circulaire Economie'!Afdrukbereik</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DEI+ CO2 berekening</dc:title>
  <dc:creator>Rijksdienst voor Ondernemend Nederland</dc:creator>
  <cp:lastModifiedBy>Vlogman, T. (Tijmen)</cp:lastModifiedBy>
  <cp:lastPrinted>2023-02-21T14:16:37Z</cp:lastPrinted>
  <dcterms:created xsi:type="dcterms:W3CDTF">2022-11-24T10:25:07Z</dcterms:created>
  <dcterms:modified xsi:type="dcterms:W3CDTF">2026-06-11T08:28:12Z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d88dc2-102c-473d-aa45-6161565a3617_Enabled">
    <vt:lpwstr>true</vt:lpwstr>
  </property>
  <property fmtid="{D5CDD505-2E9C-101B-9397-08002B2CF9AE}" pid="3" name="MSIP_Label_acd88dc2-102c-473d-aa45-6161565a3617_SetDate">
    <vt:lpwstr>2022-11-24T10:25:07Z</vt:lpwstr>
  </property>
  <property fmtid="{D5CDD505-2E9C-101B-9397-08002B2CF9AE}" pid="4" name="MSIP_Label_acd88dc2-102c-473d-aa45-6161565a3617_Method">
    <vt:lpwstr>Standard</vt:lpwstr>
  </property>
  <property fmtid="{D5CDD505-2E9C-101B-9397-08002B2CF9AE}" pid="5" name="MSIP_Label_acd88dc2-102c-473d-aa45-6161565a3617_Name">
    <vt:lpwstr>Sublabel-Interngebruik-onversleuteld</vt:lpwstr>
  </property>
  <property fmtid="{D5CDD505-2E9C-101B-9397-08002B2CF9AE}" pid="6" name="MSIP_Label_acd88dc2-102c-473d-aa45-6161565a3617_SiteId">
    <vt:lpwstr>1321633e-f6b9-44e2-a44f-59b9d264ecb7</vt:lpwstr>
  </property>
  <property fmtid="{D5CDD505-2E9C-101B-9397-08002B2CF9AE}" pid="7" name="MSIP_Label_acd88dc2-102c-473d-aa45-6161565a3617_ActionId">
    <vt:lpwstr>1df79240-fbb5-4cf3-ba04-a2d84a086e1c</vt:lpwstr>
  </property>
  <property fmtid="{D5CDD505-2E9C-101B-9397-08002B2CF9AE}" pid="8" name="MSIP_Label_acd88dc2-102c-473d-aa45-6161565a3617_ContentBits">
    <vt:lpwstr>2</vt:lpwstr>
  </property>
</Properties>
</file>