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PROF_P_CW_odc.cicwp.nl\userdata_cifs_p_cw_odc_001\saerss\Downloads\"/>
    </mc:Choice>
  </mc:AlternateContent>
  <xr:revisionPtr revIDLastSave="0" documentId="13_ncr:1_{FD7072DC-0289-487D-86CD-96ACC46E9D3C}" xr6:coauthVersionLast="47" xr6:coauthVersionMax="47" xr10:uidLastSave="{00000000-0000-0000-0000-000000000000}"/>
  <workbookProtection workbookAlgorithmName="SHA-512" workbookHashValue="6IfKGkV26JNe+WFx7fKMeu6hwTc4gKabgnES1FTYdDj0zXueYWpPjfZUAZu2ChJwY2LU87ucMHw5XjYTVoCWsw==" workbookSaltValue="wjlMOXMbpOdefIU99FA8cg==" workbookSpinCount="100000" lockStructure="1"/>
  <bookViews>
    <workbookView xWindow="-110" yWindow="-110" windowWidth="38620" windowHeight="21220" tabRatio="703" activeTab="6" xr2:uid="{00000000-000D-0000-FFFF-FFFF00000000}"/>
  </bookViews>
  <sheets>
    <sheet name="Voor u begint" sheetId="302" r:id="rId1"/>
    <sheet name="Toelichting Mijlpalenbegroting " sheetId="305" r:id="rId2"/>
    <sheet name="Project" sheetId="34" r:id="rId3"/>
    <sheet name="Mijlpalenbegroting" sheetId="317" r:id="rId4"/>
    <sheet name="Mijlpalenplanning" sheetId="234" r:id="rId5"/>
    <sheet name="Financiering" sheetId="318" r:id="rId6"/>
    <sheet name="Exploitatieberekening" sheetId="321" r:id="rId7"/>
    <sheet name="Versiebeheer" sheetId="322" state="hidden" r:id="rId8"/>
    <sheet name="Waarden regeling" sheetId="312" state="hidden" r:id="rId9"/>
    <sheet name="Monitoring" sheetId="188" state="hidden" r:id="rId10"/>
    <sheet name="Lijsten" sheetId="235" state="hidden" r:id="rId11"/>
  </sheets>
  <definedNames>
    <definedName name="_xlnm._FilterDatabase" localSheetId="2" hidden="1">Project!$A$7:$B$7</definedName>
    <definedName name="_ftnref1" localSheetId="1">'Toelichting Mijlpalenbegroting '!$A$106</definedName>
    <definedName name="_xlnm.Print_Area" localSheetId="6">Exploitatieberekening!$B$1:$AB$59</definedName>
    <definedName name="_xlnm.Print_Area" localSheetId="5">Financiering!$B$4:$I$40</definedName>
    <definedName name="_xlnm.Print_Area" localSheetId="3">Mijlpalenbegroting!$A$1:$H$324</definedName>
    <definedName name="_xlnm.Print_Area" localSheetId="4">Mijlpalenplanning!$B$1:$M$146</definedName>
    <definedName name="_xlnm.Print_Area" localSheetId="2">Project!$A$1:$C$17</definedName>
    <definedName name="_xlnm.Print_Titles" localSheetId="3">Mijlpalenbegroting!$1:$7</definedName>
    <definedName name="Afschr_hoog">'Waarden regeling'!$C$31</definedName>
    <definedName name="Afschr_laag">'Waarden regeling'!$C$32</definedName>
    <definedName name="Bron_ZLT_kosten">'Waarden regeling'!#REF!</definedName>
    <definedName name="BTW">Lijsten!$C$3:$C$5</definedName>
    <definedName name="deelnemers">OFFSET(Project!$B$17,,,COUNTA(Project!$B$17:$B$17)+1)</definedName>
    <definedName name="Df_As">'Waarden regeling'!$C$54</definedName>
    <definedName name="Df_Gea">'Waarden regeling'!$C$53</definedName>
    <definedName name="Df_Gra">'Waarden regeling'!$C$52</definedName>
    <definedName name="Df_Os">'Waarden regeling'!$C$51</definedName>
    <definedName name="Df_Pw">'Waarden regeling'!$C$49</definedName>
    <definedName name="Df_Sw">'Waarden regeling'!$C$50</definedName>
    <definedName name="Einddatum">Project!$C$13</definedName>
    <definedName name="Fase">Lijsten!$B$3:$B$17</definedName>
    <definedName name="inflatie">'Waarden regeling'!$C$24</definedName>
    <definedName name="K_adm">'Waarden regeling'!$C$36</definedName>
    <definedName name="Kolom_Startjaar" localSheetId="6">Exploitatieberekening!$L$8</definedName>
    <definedName name="Kond_aansl">'Waarden regeling'!$C$35</definedName>
    <definedName name="Kond_wn">'Waarden regeling'!$C$33</definedName>
    <definedName name="Kond_wos">'Waarden regeling'!$C$34</definedName>
    <definedName name="Kpiek_inv">'Waarden regeling'!#REF!</definedName>
    <definedName name="Kpiek_ond">'Waarden regeling'!#REF!</definedName>
    <definedName name="Looptijd">'Waarden regeling'!$C$23</definedName>
    <definedName name="max_investperc">'Waarden regeling'!$C$6</definedName>
    <definedName name="Max_subs">'Waarden regeling'!$C$11</definedName>
    <definedName name="Max_subs_groot">'Waarden regeling'!$C$6</definedName>
    <definedName name="Max_subs_klein">'Waarden regeling'!$C$8</definedName>
    <definedName name="Max_subs_mid">'Waarden regeling'!$C$7</definedName>
    <definedName name="Max_subs_prim">'Waarden regeling'!$C$10</definedName>
    <definedName name="Max_subs_sec">'Waarden regeling'!$C$9</definedName>
    <definedName name="meettarief">'Waarden regeling'!$C$27</definedName>
    <definedName name="OH_AS">'Waarden regeling'!#REF!</definedName>
    <definedName name="Organisatietype">Lijsten!$A$3:$A$6</definedName>
    <definedName name="Rend_na_bel">'Waarden regeling'!#REF!</definedName>
    <definedName name="Rend_voor_bel">'Waarden regeling'!$C$22</definedName>
    <definedName name="SrtWoning">Lijsten!$D$3:$D$6</definedName>
    <definedName name="Startdatum">Project!$B$13</definedName>
    <definedName name="Temp" localSheetId="10">Lijsten!$J$2+Lijsten!$J$3:$J$7</definedName>
    <definedName name="type_afnemer">Lijsten!$I$3:$I$9</definedName>
    <definedName name="Uurtarief">'Waarden regeling'!$C$16</definedName>
    <definedName name="Verm_KV">'Waarden regeling'!#REF!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9" i="234" l="1"/>
  <c r="P19" i="234"/>
  <c r="O19" i="234"/>
  <c r="N19" i="234"/>
  <c r="M19" i="234"/>
  <c r="L19" i="234"/>
  <c r="K19" i="234"/>
  <c r="J19" i="234"/>
  <c r="I19" i="234"/>
  <c r="H19" i="234"/>
  <c r="G19" i="234"/>
  <c r="F19" i="234"/>
  <c r="E19" i="234"/>
  <c r="D19" i="234"/>
  <c r="B24" i="234"/>
  <c r="F151" i="317"/>
  <c r="F152" i="317"/>
  <c r="F153" i="317"/>
  <c r="F154" i="317"/>
  <c r="F155" i="317"/>
  <c r="F156" i="317"/>
  <c r="F157" i="317"/>
  <c r="F158" i="317"/>
  <c r="F159" i="317"/>
  <c r="F160" i="317"/>
  <c r="F161" i="317"/>
  <c r="B12" i="318"/>
  <c r="B145" i="317"/>
  <c r="J20" i="317" a="1"/>
  <c r="J20" i="317" s="1"/>
  <c r="I20" i="317" a="1"/>
  <c r="I20" i="317" s="1"/>
  <c r="J3" i="188"/>
  <c r="AD3" i="188"/>
  <c r="E9" i="317"/>
  <c r="H143" i="321"/>
  <c r="H142" i="321"/>
  <c r="H141" i="321"/>
  <c r="H140" i="321"/>
  <c r="G47" i="318"/>
  <c r="G49" i="318"/>
  <c r="D47" i="318"/>
  <c r="D48" i="318"/>
  <c r="B22" i="234" l="1"/>
  <c r="D17" i="34"/>
  <c r="D93" i="321" l="1"/>
  <c r="D92" i="321"/>
  <c r="D91" i="321"/>
  <c r="F194" i="321"/>
  <c r="F193" i="321"/>
  <c r="D6" i="321"/>
  <c r="D12" i="321"/>
  <c r="G255" i="317"/>
  <c r="G259" i="317" s="1"/>
  <c r="G256" i="317"/>
  <c r="G260" i="317"/>
  <c r="J263" i="317"/>
  <c r="G94" i="321"/>
  <c r="G97" i="321"/>
  <c r="L27" i="318" l="1"/>
  <c r="L32" i="318"/>
  <c r="L31" i="318"/>
  <c r="L30" i="318"/>
  <c r="L29" i="318"/>
  <c r="L28" i="318"/>
  <c r="L26" i="318"/>
  <c r="L25" i="318"/>
  <c r="K32" i="318"/>
  <c r="K31" i="318"/>
  <c r="K30" i="318"/>
  <c r="K29" i="318"/>
  <c r="K28" i="318"/>
  <c r="K27" i="318"/>
  <c r="K26" i="318"/>
  <c r="K25" i="318"/>
  <c r="J47" i="318"/>
  <c r="B3" i="188" l="1"/>
  <c r="C3" i="188"/>
  <c r="D3" i="188"/>
  <c r="E3" i="188"/>
  <c r="J51" i="317" l="1"/>
  <c r="J50" i="317"/>
  <c r="J49" i="317"/>
  <c r="J48" i="317"/>
  <c r="J47" i="317"/>
  <c r="J46" i="317"/>
  <c r="J45" i="317"/>
  <c r="J44" i="317"/>
  <c r="J43" i="317"/>
  <c r="J42" i="317"/>
  <c r="J226" i="317"/>
  <c r="J225" i="317"/>
  <c r="J224" i="317"/>
  <c r="J223" i="317"/>
  <c r="J222" i="317"/>
  <c r="J221" i="317"/>
  <c r="J220" i="317"/>
  <c r="J219" i="317"/>
  <c r="J218" i="317"/>
  <c r="J217" i="317"/>
  <c r="J216" i="317"/>
  <c r="J215" i="317"/>
  <c r="J214" i="317"/>
  <c r="J213" i="317"/>
  <c r="J212" i="317"/>
  <c r="J207" i="317"/>
  <c r="J206" i="317"/>
  <c r="J205" i="317"/>
  <c r="J204" i="317"/>
  <c r="J203" i="317"/>
  <c r="J202" i="317"/>
  <c r="J201" i="317"/>
  <c r="J200" i="317"/>
  <c r="J199" i="317"/>
  <c r="J198" i="317"/>
  <c r="J197" i="317"/>
  <c r="J196" i="317"/>
  <c r="J195" i="317"/>
  <c r="J194" i="317"/>
  <c r="J193" i="317"/>
  <c r="D90" i="318" l="1"/>
  <c r="E90" i="318" l="1"/>
  <c r="D92" i="318"/>
  <c r="D93" i="318"/>
  <c r="D94" i="318"/>
  <c r="D95" i="318"/>
  <c r="D96" i="318"/>
  <c r="D97" i="318"/>
  <c r="D98" i="318"/>
  <c r="D91" i="318"/>
  <c r="D100" i="318" s="1"/>
  <c r="L184" i="321" s="1"/>
  <c r="M145" i="321"/>
  <c r="N145" i="321"/>
  <c r="O145" i="321"/>
  <c r="P145" i="321"/>
  <c r="Q145" i="321"/>
  <c r="R145" i="321"/>
  <c r="S145" i="321"/>
  <c r="T145" i="321"/>
  <c r="U145" i="321"/>
  <c r="V145" i="321"/>
  <c r="W145" i="321"/>
  <c r="X145" i="321"/>
  <c r="Y145" i="321"/>
  <c r="Z145" i="321"/>
  <c r="L145" i="321"/>
  <c r="L146" i="321"/>
  <c r="AN44" i="318"/>
  <c r="D45" i="318"/>
  <c r="E45" i="318"/>
  <c r="F45" i="318"/>
  <c r="G45" i="318"/>
  <c r="H45" i="318"/>
  <c r="I45" i="318"/>
  <c r="J45" i="318"/>
  <c r="M45" i="318"/>
  <c r="N45" i="318"/>
  <c r="O45" i="318"/>
  <c r="P45" i="318"/>
  <c r="Q45" i="318"/>
  <c r="R45" i="318"/>
  <c r="S45" i="318"/>
  <c r="T45" i="318"/>
  <c r="U45" i="318"/>
  <c r="V45" i="318"/>
  <c r="W45" i="318"/>
  <c r="X45" i="318"/>
  <c r="Y45" i="318"/>
  <c r="Z45" i="318"/>
  <c r="AA45" i="318"/>
  <c r="AB45" i="318"/>
  <c r="AC45" i="318"/>
  <c r="AD45" i="318"/>
  <c r="AE45" i="318"/>
  <c r="AF45" i="318"/>
  <c r="AG45" i="318"/>
  <c r="AH45" i="318"/>
  <c r="AI45" i="318"/>
  <c r="AJ45" i="318"/>
  <c r="AK45" i="318"/>
  <c r="AL45" i="318"/>
  <c r="AM45" i="318"/>
  <c r="AN45" i="318"/>
  <c r="D46" i="318"/>
  <c r="E46" i="318"/>
  <c r="F46" i="318"/>
  <c r="G46" i="318"/>
  <c r="H46" i="318"/>
  <c r="I46" i="318"/>
  <c r="J46" i="318"/>
  <c r="M46" i="318"/>
  <c r="N46" i="318"/>
  <c r="O46" i="318"/>
  <c r="P46" i="318"/>
  <c r="Q46" i="318"/>
  <c r="R46" i="318"/>
  <c r="S46" i="318"/>
  <c r="T46" i="318"/>
  <c r="U46" i="318"/>
  <c r="V46" i="318"/>
  <c r="W46" i="318"/>
  <c r="X46" i="318"/>
  <c r="Y46" i="318"/>
  <c r="Z46" i="318"/>
  <c r="AA46" i="318"/>
  <c r="AB46" i="318"/>
  <c r="AC46" i="318"/>
  <c r="AD46" i="318"/>
  <c r="AE46" i="318"/>
  <c r="AF46" i="318"/>
  <c r="AG46" i="318"/>
  <c r="AH46" i="318"/>
  <c r="AI46" i="318"/>
  <c r="AJ46" i="318"/>
  <c r="AK46" i="318"/>
  <c r="AL46" i="318"/>
  <c r="AM46" i="318"/>
  <c r="AN46" i="318"/>
  <c r="E47" i="318"/>
  <c r="F47" i="318"/>
  <c r="H47" i="318"/>
  <c r="I47" i="318"/>
  <c r="M47" i="318"/>
  <c r="N47" i="318"/>
  <c r="O47" i="318"/>
  <c r="P47" i="318"/>
  <c r="Q47" i="318"/>
  <c r="R47" i="318"/>
  <c r="S47" i="318"/>
  <c r="T47" i="318"/>
  <c r="U47" i="318"/>
  <c r="V47" i="318"/>
  <c r="W47" i="318"/>
  <c r="X47" i="318"/>
  <c r="Y47" i="318"/>
  <c r="Z47" i="318"/>
  <c r="AA47" i="318"/>
  <c r="AB47" i="318"/>
  <c r="AC47" i="318"/>
  <c r="AD47" i="318"/>
  <c r="AE47" i="318"/>
  <c r="AF47" i="318"/>
  <c r="AG47" i="318"/>
  <c r="AH47" i="318"/>
  <c r="AI47" i="318"/>
  <c r="AJ47" i="318"/>
  <c r="AK47" i="318"/>
  <c r="AL47" i="318"/>
  <c r="AM47" i="318"/>
  <c r="AN47" i="318"/>
  <c r="E48" i="318"/>
  <c r="F48" i="318"/>
  <c r="G48" i="318"/>
  <c r="H48" i="318"/>
  <c r="I48" i="318"/>
  <c r="J48" i="318"/>
  <c r="M48" i="318"/>
  <c r="N48" i="318"/>
  <c r="O48" i="318"/>
  <c r="P48" i="318"/>
  <c r="Q48" i="318"/>
  <c r="R48" i="318"/>
  <c r="S48" i="318"/>
  <c r="T48" i="318"/>
  <c r="U48" i="318"/>
  <c r="V48" i="318"/>
  <c r="W48" i="318"/>
  <c r="X48" i="318"/>
  <c r="Y48" i="318"/>
  <c r="Z48" i="318"/>
  <c r="AA48" i="318"/>
  <c r="AB48" i="318"/>
  <c r="AC48" i="318"/>
  <c r="AD48" i="318"/>
  <c r="AE48" i="318"/>
  <c r="AF48" i="318"/>
  <c r="AG48" i="318"/>
  <c r="AH48" i="318"/>
  <c r="AI48" i="318"/>
  <c r="AJ48" i="318"/>
  <c r="AK48" i="318"/>
  <c r="AL48" i="318"/>
  <c r="AM48" i="318"/>
  <c r="AN48" i="318"/>
  <c r="D49" i="318"/>
  <c r="E49" i="318"/>
  <c r="F49" i="318"/>
  <c r="H49" i="318"/>
  <c r="I49" i="318"/>
  <c r="J49" i="318"/>
  <c r="M49" i="318"/>
  <c r="N49" i="318"/>
  <c r="O49" i="318"/>
  <c r="P49" i="318"/>
  <c r="Q49" i="318"/>
  <c r="R49" i="318"/>
  <c r="S49" i="318"/>
  <c r="T49" i="318"/>
  <c r="U49" i="318"/>
  <c r="V49" i="318"/>
  <c r="W49" i="318"/>
  <c r="X49" i="318"/>
  <c r="Y49" i="318"/>
  <c r="Z49" i="318"/>
  <c r="AA49" i="318"/>
  <c r="AB49" i="318"/>
  <c r="AC49" i="318"/>
  <c r="AD49" i="318"/>
  <c r="AE49" i="318"/>
  <c r="AF49" i="318"/>
  <c r="AG49" i="318"/>
  <c r="AH49" i="318"/>
  <c r="AI49" i="318"/>
  <c r="AJ49" i="318"/>
  <c r="AK49" i="318"/>
  <c r="AL49" i="318"/>
  <c r="AM49" i="318"/>
  <c r="AN49" i="318"/>
  <c r="D50" i="318"/>
  <c r="E50" i="318"/>
  <c r="F50" i="318"/>
  <c r="G50" i="318"/>
  <c r="H50" i="318"/>
  <c r="I50" i="318"/>
  <c r="J50" i="318"/>
  <c r="M50" i="318"/>
  <c r="N50" i="318"/>
  <c r="O50" i="318"/>
  <c r="P50" i="318"/>
  <c r="Q50" i="318"/>
  <c r="R50" i="318"/>
  <c r="S50" i="318"/>
  <c r="T50" i="318"/>
  <c r="U50" i="318"/>
  <c r="V50" i="318"/>
  <c r="W50" i="318"/>
  <c r="X50" i="318"/>
  <c r="Y50" i="318"/>
  <c r="Z50" i="318"/>
  <c r="AA50" i="318"/>
  <c r="AB50" i="318"/>
  <c r="AC50" i="318"/>
  <c r="AD50" i="318"/>
  <c r="AE50" i="318"/>
  <c r="AF50" i="318"/>
  <c r="AG50" i="318"/>
  <c r="AH50" i="318"/>
  <c r="AI50" i="318"/>
  <c r="AJ50" i="318"/>
  <c r="AK50" i="318"/>
  <c r="AL50" i="318"/>
  <c r="AM50" i="318"/>
  <c r="AN50" i="318"/>
  <c r="AN43" i="318"/>
  <c r="B49" i="321"/>
  <c r="B48" i="321"/>
  <c r="B47" i="321"/>
  <c r="B46" i="321"/>
  <c r="B45" i="321"/>
  <c r="B44" i="321"/>
  <c r="B43" i="321"/>
  <c r="B42" i="321"/>
  <c r="B41" i="321"/>
  <c r="B40" i="321"/>
  <c r="B39" i="321"/>
  <c r="B38" i="321"/>
  <c r="B37" i="321"/>
  <c r="B36" i="321"/>
  <c r="B35" i="321"/>
  <c r="B34" i="321"/>
  <c r="B33" i="321"/>
  <c r="B32" i="321"/>
  <c r="B31" i="321"/>
  <c r="B30" i="321"/>
  <c r="B29" i="321"/>
  <c r="B28" i="321"/>
  <c r="B27" i="321"/>
  <c r="B26" i="321"/>
  <c r="B25" i="321"/>
  <c r="B24" i="321"/>
  <c r="B23" i="321"/>
  <c r="B22" i="321"/>
  <c r="B21" i="321"/>
  <c r="B20" i="321"/>
  <c r="C19" i="321"/>
  <c r="D20" i="321"/>
  <c r="B19" i="321"/>
  <c r="C6" i="234"/>
  <c r="C5" i="234"/>
  <c r="B6" i="234"/>
  <c r="B5" i="234"/>
  <c r="B8" i="318"/>
  <c r="B7" i="318"/>
  <c r="B6" i="318"/>
  <c r="C6" i="318"/>
  <c r="C8" i="318"/>
  <c r="C7" i="318"/>
  <c r="E7" i="317"/>
  <c r="B11" i="318"/>
  <c r="B10" i="318"/>
  <c r="F90" i="318" l="1"/>
  <c r="F97" i="318" s="1"/>
  <c r="E91" i="318"/>
  <c r="E92" i="318"/>
  <c r="E93" i="318"/>
  <c r="E94" i="318"/>
  <c r="E95" i="318"/>
  <c r="E96" i="318"/>
  <c r="E97" i="318"/>
  <c r="E98" i="318"/>
  <c r="I71" i="317" a="1"/>
  <c r="I71" i="317" s="1"/>
  <c r="I70" i="317" a="1"/>
  <c r="I70" i="317" s="1"/>
  <c r="I69" i="317" a="1"/>
  <c r="I69" i="317" s="1"/>
  <c r="I68" i="317" a="1"/>
  <c r="I68" i="317" s="1"/>
  <c r="I67" i="317" a="1"/>
  <c r="I67" i="317" s="1"/>
  <c r="I66" i="317" a="1"/>
  <c r="I66" i="317" s="1"/>
  <c r="I65" i="317" a="1"/>
  <c r="I65" i="317" s="1"/>
  <c r="I64" i="317" a="1"/>
  <c r="I64" i="317" s="1"/>
  <c r="I63" i="317" a="1"/>
  <c r="I63" i="317" s="1"/>
  <c r="I62" i="317" a="1"/>
  <c r="I62" i="317" s="1"/>
  <c r="I61" i="317" a="1"/>
  <c r="I61" i="317" s="1"/>
  <c r="I60" i="317" a="1"/>
  <c r="I60" i="317" s="1"/>
  <c r="I59" i="317" a="1"/>
  <c r="I59" i="317" s="1"/>
  <c r="I58" i="317" a="1"/>
  <c r="I58" i="317" s="1"/>
  <c r="J57" i="317"/>
  <c r="I57" i="317" a="1"/>
  <c r="I57" i="317"/>
  <c r="I72" i="317" s="1"/>
  <c r="J95" i="317" a="1"/>
  <c r="J95" i="317" s="1"/>
  <c r="I95" i="317" a="1"/>
  <c r="I95" i="317" s="1"/>
  <c r="J94" i="317" a="1"/>
  <c r="J94" i="317" s="1"/>
  <c r="I94" i="317" a="1"/>
  <c r="I94" i="317" s="1"/>
  <c r="J93" i="317" a="1"/>
  <c r="J93" i="317" s="1"/>
  <c r="I93" i="317" a="1"/>
  <c r="I93" i="317" s="1"/>
  <c r="J92" i="317" a="1"/>
  <c r="J92" i="317" s="1"/>
  <c r="I92" i="317" a="1"/>
  <c r="I92" i="317" s="1"/>
  <c r="J91" i="317" a="1"/>
  <c r="J91" i="317" s="1"/>
  <c r="I91" i="317" a="1"/>
  <c r="I91" i="317" s="1"/>
  <c r="J90" i="317" a="1"/>
  <c r="J90" i="317" s="1"/>
  <c r="I90" i="317" a="1"/>
  <c r="I90" i="317" s="1"/>
  <c r="J89" i="317" a="1"/>
  <c r="J89" i="317" s="1"/>
  <c r="I89" i="317" a="1"/>
  <c r="I89" i="317" s="1"/>
  <c r="J88" i="317" a="1"/>
  <c r="J88" i="317" s="1"/>
  <c r="I88" i="317" a="1"/>
  <c r="I88" i="317" s="1"/>
  <c r="J87" i="317" a="1"/>
  <c r="J87" i="317" s="1"/>
  <c r="I87" i="317" a="1"/>
  <c r="I87" i="317" s="1"/>
  <c r="J86" i="317" a="1"/>
  <c r="J86" i="317" s="1"/>
  <c r="I86" i="317" a="1"/>
  <c r="I86" i="317" s="1"/>
  <c r="J85" i="317" a="1"/>
  <c r="J85" i="317" s="1"/>
  <c r="I85" i="317" a="1"/>
  <c r="I85" i="317" s="1"/>
  <c r="J84" i="317" a="1"/>
  <c r="J84" i="317" s="1"/>
  <c r="I84" i="317" a="1"/>
  <c r="I84" i="317" s="1"/>
  <c r="J83" i="317" a="1"/>
  <c r="J83" i="317" s="1"/>
  <c r="I83" i="317" a="1"/>
  <c r="I83" i="317" s="1"/>
  <c r="J82" i="317" a="1"/>
  <c r="J82" i="317" s="1"/>
  <c r="I82" i="317" a="1"/>
  <c r="I82" i="317" s="1"/>
  <c r="J81" i="317" a="1"/>
  <c r="J81" i="317" s="1"/>
  <c r="I81" i="317" a="1"/>
  <c r="I81" i="317" s="1"/>
  <c r="J80" i="317" a="1"/>
  <c r="J80" i="317" s="1"/>
  <c r="I80" i="317" a="1"/>
  <c r="I80" i="317" s="1"/>
  <c r="J79" i="317" a="1"/>
  <c r="J79" i="317" s="1"/>
  <c r="I79" i="317" a="1"/>
  <c r="I79" i="317" s="1"/>
  <c r="J34" i="317" a="1"/>
  <c r="J34" i="317" s="1"/>
  <c r="I34" i="317" a="1"/>
  <c r="I34" i="317" s="1"/>
  <c r="J33" i="317" a="1"/>
  <c r="J33" i="317" s="1"/>
  <c r="I33" i="317" a="1"/>
  <c r="I33" i="317" s="1"/>
  <c r="J32" i="317" a="1"/>
  <c r="J32" i="317" s="1"/>
  <c r="I32" i="317" a="1"/>
  <c r="I32" i="317" s="1"/>
  <c r="J31" i="317" a="1"/>
  <c r="J31" i="317" s="1"/>
  <c r="I31" i="317" a="1"/>
  <c r="I31" i="317" s="1"/>
  <c r="J30" i="317" a="1"/>
  <c r="J30" i="317" s="1"/>
  <c r="I30" i="317" a="1"/>
  <c r="I30" i="317" s="1"/>
  <c r="J29" i="317" a="1"/>
  <c r="J29" i="317" s="1"/>
  <c r="I29" i="317" a="1"/>
  <c r="I29" i="317" s="1"/>
  <c r="J28" i="317" a="1"/>
  <c r="J28" i="317" s="1"/>
  <c r="I28" i="317" a="1"/>
  <c r="I28" i="317" s="1"/>
  <c r="J27" i="317" a="1"/>
  <c r="J27" i="317" s="1"/>
  <c r="I27" i="317" a="1"/>
  <c r="I27" i="317" s="1"/>
  <c r="J26" i="317" a="1"/>
  <c r="J26" i="317" s="1"/>
  <c r="I26" i="317" a="1"/>
  <c r="I26" i="317" s="1"/>
  <c r="J25" i="317" a="1"/>
  <c r="J25" i="317" s="1"/>
  <c r="I25" i="317" a="1"/>
  <c r="I25" i="317" s="1"/>
  <c r="J24" i="317" a="1"/>
  <c r="J24" i="317" s="1"/>
  <c r="I24" i="317" a="1"/>
  <c r="I24" i="317" s="1"/>
  <c r="J23" i="317" a="1"/>
  <c r="J23" i="317" s="1"/>
  <c r="I23" i="317" a="1"/>
  <c r="I23" i="317" s="1"/>
  <c r="J22" i="317" a="1"/>
  <c r="J22" i="317" s="1"/>
  <c r="I22" i="317" a="1"/>
  <c r="I22" i="317" s="1"/>
  <c r="J21" i="317" a="1"/>
  <c r="J21" i="317" s="1"/>
  <c r="I21" i="317" a="1"/>
  <c r="I21" i="317" s="1"/>
  <c r="J19" i="317" a="1"/>
  <c r="J19" i="317" s="1"/>
  <c r="I19" i="317" a="1"/>
  <c r="I19" i="317" s="1"/>
  <c r="J18" i="317" a="1"/>
  <c r="J18" i="317" s="1"/>
  <c r="I18" i="317" a="1"/>
  <c r="I18" i="317"/>
  <c r="J105" i="317" a="1"/>
  <c r="J105" i="317"/>
  <c r="J71" i="317"/>
  <c r="J70" i="317"/>
  <c r="J69" i="317"/>
  <c r="J68" i="317"/>
  <c r="J67" i="317"/>
  <c r="J66" i="317"/>
  <c r="J65" i="317"/>
  <c r="J64" i="317"/>
  <c r="J63" i="317"/>
  <c r="J62" i="317"/>
  <c r="J61" i="317"/>
  <c r="J60" i="317"/>
  <c r="J59" i="317"/>
  <c r="J58" i="317"/>
  <c r="D35" i="317"/>
  <c r="G3" i="188" s="1"/>
  <c r="C28" i="234"/>
  <c r="D28" i="234" s="1"/>
  <c r="E28" i="234" s="1"/>
  <c r="F28" i="234" s="1"/>
  <c r="G28" i="234" s="1"/>
  <c r="H28" i="234" s="1"/>
  <c r="I28" i="234" s="1"/>
  <c r="J28" i="234" s="1"/>
  <c r="E6" i="317"/>
  <c r="I96" i="317" l="1"/>
  <c r="I35" i="317"/>
  <c r="E100" i="318"/>
  <c r="M184" i="321" s="1"/>
  <c r="G90" i="318"/>
  <c r="F91" i="318"/>
  <c r="F92" i="318"/>
  <c r="F93" i="318"/>
  <c r="F94" i="318"/>
  <c r="F95" i="318"/>
  <c r="F96" i="318"/>
  <c r="F98" i="318"/>
  <c r="D96" i="317"/>
  <c r="I3" i="188" s="1"/>
  <c r="K18" i="317"/>
  <c r="R18" i="234"/>
  <c r="R17" i="234"/>
  <c r="F100" i="318" l="1"/>
  <c r="N184" i="321" s="1"/>
  <c r="H90" i="318"/>
  <c r="G91" i="318"/>
  <c r="G92" i="318"/>
  <c r="G93" i="318"/>
  <c r="G94" i="318"/>
  <c r="G95" i="318"/>
  <c r="G96" i="318"/>
  <c r="G97" i="318"/>
  <c r="G98" i="318"/>
  <c r="V143" i="321"/>
  <c r="U143" i="321"/>
  <c r="T143" i="321"/>
  <c r="V142" i="321"/>
  <c r="U142" i="321"/>
  <c r="T142" i="321"/>
  <c r="B139" i="317"/>
  <c r="B138" i="317"/>
  <c r="Z135" i="321"/>
  <c r="Z137" i="321" s="1"/>
  <c r="Y135" i="321"/>
  <c r="Y137" i="321" s="1"/>
  <c r="X135" i="321"/>
  <c r="X137" i="321" s="1"/>
  <c r="W135" i="321"/>
  <c r="W137" i="321" s="1"/>
  <c r="V135" i="321"/>
  <c r="V137" i="321" s="1"/>
  <c r="U135" i="321"/>
  <c r="U137" i="321" s="1"/>
  <c r="T135" i="321"/>
  <c r="T137" i="321" s="1"/>
  <c r="S135" i="321"/>
  <c r="R135" i="321"/>
  <c r="Q135" i="321"/>
  <c r="P135" i="321"/>
  <c r="O135" i="321"/>
  <c r="N135" i="321"/>
  <c r="M135" i="321"/>
  <c r="L135" i="321"/>
  <c r="B119" i="321"/>
  <c r="B120" i="321"/>
  <c r="B136" i="317"/>
  <c r="B135" i="317"/>
  <c r="B137" i="317"/>
  <c r="K95" i="317"/>
  <c r="K94" i="317"/>
  <c r="K93" i="317"/>
  <c r="K92" i="317"/>
  <c r="K91" i="317"/>
  <c r="K90" i="317"/>
  <c r="K89" i="317"/>
  <c r="K88" i="317"/>
  <c r="K87" i="317"/>
  <c r="K86" i="317"/>
  <c r="K85" i="317"/>
  <c r="K84" i="317"/>
  <c r="K83" i="317"/>
  <c r="K82" i="317"/>
  <c r="K81" i="317"/>
  <c r="K80" i="317"/>
  <c r="K79" i="317"/>
  <c r="K71" i="317"/>
  <c r="K70" i="317"/>
  <c r="K69" i="317"/>
  <c r="K68" i="317"/>
  <c r="K67" i="317"/>
  <c r="K66" i="317"/>
  <c r="K65" i="317"/>
  <c r="K64" i="317"/>
  <c r="K63" i="317"/>
  <c r="K62" i="317"/>
  <c r="K61" i="317"/>
  <c r="K60" i="317"/>
  <c r="K59" i="317"/>
  <c r="K58" i="317"/>
  <c r="K57" i="317"/>
  <c r="D73" i="317" s="1"/>
  <c r="K34" i="317"/>
  <c r="K33" i="317"/>
  <c r="K32" i="317"/>
  <c r="K31" i="317"/>
  <c r="K30" i="317"/>
  <c r="K29" i="317"/>
  <c r="K28" i="317"/>
  <c r="K27" i="317"/>
  <c r="K26" i="317"/>
  <c r="K25" i="317"/>
  <c r="K24" i="317"/>
  <c r="K23" i="317"/>
  <c r="K22" i="317"/>
  <c r="K21" i="317"/>
  <c r="K20" i="317"/>
  <c r="K19" i="317"/>
  <c r="B300" i="234"/>
  <c r="B281" i="234"/>
  <c r="B262" i="234"/>
  <c r="B243" i="234"/>
  <c r="B223" i="234"/>
  <c r="B205" i="234"/>
  <c r="B224" i="234"/>
  <c r="B186" i="234"/>
  <c r="I123" i="317" a="1"/>
  <c r="I123" i="317"/>
  <c r="J227" i="317"/>
  <c r="J208" i="317"/>
  <c r="J229" i="317" s="1"/>
  <c r="J96" i="317"/>
  <c r="R3" i="188" s="1"/>
  <c r="M3" i="188"/>
  <c r="J72" i="317"/>
  <c r="S3" i="188" s="1"/>
  <c r="N3" i="188"/>
  <c r="J52" i="317"/>
  <c r="T3" i="188" s="1"/>
  <c r="J35" i="317"/>
  <c r="L3" i="188"/>
  <c r="D5" i="321"/>
  <c r="B114" i="321"/>
  <c r="B115" i="321"/>
  <c r="B116" i="321"/>
  <c r="B117" i="321"/>
  <c r="B118" i="321"/>
  <c r="B159" i="234"/>
  <c r="Q156" i="234"/>
  <c r="P156" i="234"/>
  <c r="O156" i="234"/>
  <c r="N156" i="234"/>
  <c r="M156" i="234"/>
  <c r="L156" i="234"/>
  <c r="Q155" i="234"/>
  <c r="P155" i="234"/>
  <c r="O155" i="234"/>
  <c r="N155" i="234"/>
  <c r="M155" i="234"/>
  <c r="L155" i="234"/>
  <c r="Q154" i="234"/>
  <c r="P154" i="234"/>
  <c r="O154" i="234"/>
  <c r="N154" i="234"/>
  <c r="M154" i="234"/>
  <c r="L154" i="234"/>
  <c r="Q153" i="234"/>
  <c r="P153" i="234"/>
  <c r="O153" i="234"/>
  <c r="N153" i="234"/>
  <c r="M153" i="234"/>
  <c r="L153" i="234"/>
  <c r="Q152" i="234"/>
  <c r="P152" i="234"/>
  <c r="O152" i="234"/>
  <c r="N152" i="234"/>
  <c r="M152" i="234"/>
  <c r="L152" i="234"/>
  <c r="Q151" i="234"/>
  <c r="P151" i="234"/>
  <c r="O151" i="234"/>
  <c r="N151" i="234"/>
  <c r="M151" i="234"/>
  <c r="L151" i="234"/>
  <c r="Q150" i="234"/>
  <c r="P150" i="234"/>
  <c r="O150" i="234"/>
  <c r="N150" i="234"/>
  <c r="M150" i="234"/>
  <c r="L150" i="234"/>
  <c r="Q149" i="234"/>
  <c r="Q159" i="234" s="1"/>
  <c r="P149" i="234"/>
  <c r="P159" i="234" s="1"/>
  <c r="O149" i="234"/>
  <c r="O159" i="234" s="1"/>
  <c r="N149" i="234"/>
  <c r="N159" i="234" s="1"/>
  <c r="M149" i="234"/>
  <c r="M159" i="234" s="1"/>
  <c r="L149" i="234"/>
  <c r="L159" i="234" s="1"/>
  <c r="C17" i="234"/>
  <c r="B149" i="234"/>
  <c r="J149" i="234" l="1"/>
  <c r="I149" i="234"/>
  <c r="Q3" i="188"/>
  <c r="G100" i="318"/>
  <c r="O184" i="321" s="1"/>
  <c r="I90" i="318"/>
  <c r="H91" i="318"/>
  <c r="H92" i="318"/>
  <c r="H93" i="318"/>
  <c r="H94" i="318"/>
  <c r="H95" i="318"/>
  <c r="H96" i="318"/>
  <c r="H97" i="318"/>
  <c r="H98" i="318"/>
  <c r="W3" i="188"/>
  <c r="T140" i="321"/>
  <c r="U140" i="321"/>
  <c r="V140" i="321"/>
  <c r="D135" i="317" a="1"/>
  <c r="D135" i="317" s="1"/>
  <c r="D136" i="317" a="1"/>
  <c r="D136" i="317" s="1"/>
  <c r="D137" i="317" a="1"/>
  <c r="D137" i="317" s="1"/>
  <c r="K149" i="234"/>
  <c r="H149" i="234"/>
  <c r="G149" i="234"/>
  <c r="F149" i="234"/>
  <c r="E149" i="234"/>
  <c r="D149" i="234"/>
  <c r="B150" i="234"/>
  <c r="C150" i="234"/>
  <c r="C149" i="234"/>
  <c r="L160" i="234"/>
  <c r="M160" i="234"/>
  <c r="N160" i="234"/>
  <c r="O160" i="234"/>
  <c r="P160" i="234"/>
  <c r="Q160" i="234"/>
  <c r="L161" i="234"/>
  <c r="M161" i="234"/>
  <c r="N161" i="234"/>
  <c r="O161" i="234"/>
  <c r="P161" i="234"/>
  <c r="Q161" i="234"/>
  <c r="L162" i="234"/>
  <c r="M162" i="234"/>
  <c r="N162" i="234"/>
  <c r="O162" i="234"/>
  <c r="P162" i="234"/>
  <c r="Q162" i="234"/>
  <c r="L163" i="234"/>
  <c r="M163" i="234"/>
  <c r="N163" i="234"/>
  <c r="O163" i="234"/>
  <c r="P163" i="234"/>
  <c r="Q163" i="234"/>
  <c r="L164" i="234"/>
  <c r="M164" i="234"/>
  <c r="N164" i="234"/>
  <c r="O164" i="234"/>
  <c r="P164" i="234"/>
  <c r="Q164" i="234"/>
  <c r="L165" i="234"/>
  <c r="M165" i="234"/>
  <c r="N165" i="234"/>
  <c r="O165" i="234"/>
  <c r="P165" i="234"/>
  <c r="Q165" i="234"/>
  <c r="L166" i="234"/>
  <c r="M166" i="234"/>
  <c r="N166" i="234"/>
  <c r="O166" i="234"/>
  <c r="P166" i="234"/>
  <c r="Q166" i="234"/>
  <c r="B160" i="234"/>
  <c r="B161" i="234" s="1"/>
  <c r="B162" i="234" s="1"/>
  <c r="B163" i="234" s="1"/>
  <c r="B164" i="234" s="1"/>
  <c r="B165" i="234" s="1"/>
  <c r="B166" i="234" s="1"/>
  <c r="J150" i="234" l="1"/>
  <c r="I150" i="234"/>
  <c r="G137" i="317" a="1"/>
  <c r="G137" i="317" s="1"/>
  <c r="F137" i="317" a="1"/>
  <c r="F137" i="317" s="1"/>
  <c r="G136" i="317" a="1"/>
  <c r="G136" i="317" s="1"/>
  <c r="F136" i="317" a="1"/>
  <c r="F136" i="317" s="1"/>
  <c r="G135" i="317" a="1"/>
  <c r="G135" i="317" s="1"/>
  <c r="F135" i="317" a="1"/>
  <c r="F135" i="317" s="1"/>
  <c r="H137" i="317"/>
  <c r="H136" i="317"/>
  <c r="B143" i="317"/>
  <c r="H135" i="317"/>
  <c r="AC3" i="188"/>
  <c r="Z3" i="188"/>
  <c r="J260" i="317"/>
  <c r="J256" i="317"/>
  <c r="H100" i="318"/>
  <c r="P184" i="321" s="1"/>
  <c r="J90" i="318"/>
  <c r="I91" i="318"/>
  <c r="I92" i="318"/>
  <c r="I93" i="318"/>
  <c r="I94" i="318"/>
  <c r="I95" i="318"/>
  <c r="I96" i="318"/>
  <c r="I97" i="318"/>
  <c r="I98" i="318"/>
  <c r="B142" i="317"/>
  <c r="G141" i="317"/>
  <c r="B144" i="317" s="1"/>
  <c r="F141" i="317"/>
  <c r="K150" i="234"/>
  <c r="H150" i="234"/>
  <c r="G150" i="234"/>
  <c r="F150" i="234"/>
  <c r="E150" i="234"/>
  <c r="D150" i="234"/>
  <c r="B151" i="234"/>
  <c r="J151" i="234" l="1"/>
  <c r="I151" i="234"/>
  <c r="I100" i="318"/>
  <c r="Q184" i="321" s="1"/>
  <c r="M90" i="318"/>
  <c r="J91" i="318"/>
  <c r="J92" i="318"/>
  <c r="J93" i="318"/>
  <c r="J94" i="318"/>
  <c r="J95" i="318"/>
  <c r="J96" i="318"/>
  <c r="J97" i="318"/>
  <c r="J98" i="318"/>
  <c r="B152" i="234"/>
  <c r="K151" i="234"/>
  <c r="H151" i="234"/>
  <c r="G151" i="234"/>
  <c r="F151" i="234"/>
  <c r="E151" i="234"/>
  <c r="D151" i="234"/>
  <c r="C151" i="234"/>
  <c r="J152" i="234" l="1"/>
  <c r="I152" i="234"/>
  <c r="J100" i="318"/>
  <c r="R184" i="321" s="1"/>
  <c r="N90" i="318"/>
  <c r="M91" i="318"/>
  <c r="M92" i="318"/>
  <c r="M93" i="318"/>
  <c r="M94" i="318"/>
  <c r="M95" i="318"/>
  <c r="M96" i="318"/>
  <c r="M97" i="318"/>
  <c r="M98" i="318"/>
  <c r="B153" i="234"/>
  <c r="K152" i="234"/>
  <c r="H152" i="234"/>
  <c r="G152" i="234"/>
  <c r="F152" i="234"/>
  <c r="E152" i="234"/>
  <c r="D152" i="234"/>
  <c r="C152" i="234"/>
  <c r="J153" i="234" l="1"/>
  <c r="I153" i="234"/>
  <c r="M100" i="318"/>
  <c r="S184" i="321" s="1"/>
  <c r="O90" i="318"/>
  <c r="N91" i="318"/>
  <c r="N92" i="318"/>
  <c r="N93" i="318"/>
  <c r="N94" i="318"/>
  <c r="N95" i="318"/>
  <c r="N96" i="318"/>
  <c r="N97" i="318"/>
  <c r="N98" i="318"/>
  <c r="B154" i="234"/>
  <c r="K153" i="234"/>
  <c r="H153" i="234"/>
  <c r="G153" i="234"/>
  <c r="F153" i="234"/>
  <c r="E153" i="234"/>
  <c r="D153" i="234"/>
  <c r="C153" i="234"/>
  <c r="J154" i="234" l="1"/>
  <c r="I154" i="234"/>
  <c r="N100" i="318"/>
  <c r="T184" i="321" s="1"/>
  <c r="P90" i="318"/>
  <c r="O91" i="318"/>
  <c r="O92" i="318"/>
  <c r="O93" i="318"/>
  <c r="O94" i="318"/>
  <c r="O95" i="318"/>
  <c r="O96" i="318"/>
  <c r="O97" i="318"/>
  <c r="O98" i="318"/>
  <c r="B155" i="234"/>
  <c r="K154" i="234"/>
  <c r="H154" i="234"/>
  <c r="G154" i="234"/>
  <c r="F154" i="234"/>
  <c r="E154" i="234"/>
  <c r="D154" i="234"/>
  <c r="C154" i="234"/>
  <c r="J155" i="234" l="1"/>
  <c r="I155" i="234"/>
  <c r="O100" i="318"/>
  <c r="U184" i="321" s="1"/>
  <c r="Q90" i="318"/>
  <c r="P91" i="318"/>
  <c r="P92" i="318"/>
  <c r="P93" i="318"/>
  <c r="P94" i="318"/>
  <c r="P95" i="318"/>
  <c r="P96" i="318"/>
  <c r="P97" i="318"/>
  <c r="P98" i="318"/>
  <c r="B156" i="234"/>
  <c r="K155" i="234"/>
  <c r="H155" i="234"/>
  <c r="G155" i="234"/>
  <c r="F155" i="234"/>
  <c r="E155" i="234"/>
  <c r="D155" i="234"/>
  <c r="C155" i="234"/>
  <c r="J156" i="234" l="1"/>
  <c r="I156" i="234"/>
  <c r="I165" i="234"/>
  <c r="I163" i="234"/>
  <c r="I161" i="234"/>
  <c r="I159" i="234"/>
  <c r="J165" i="234"/>
  <c r="J163" i="234"/>
  <c r="J161" i="234"/>
  <c r="J159" i="234"/>
  <c r="P100" i="318"/>
  <c r="V184" i="321" s="1"/>
  <c r="R90" i="318"/>
  <c r="Q91" i="318"/>
  <c r="Q92" i="318"/>
  <c r="Q93" i="318"/>
  <c r="Q94" i="318"/>
  <c r="Q95" i="318"/>
  <c r="Q96" i="318"/>
  <c r="Q97" i="318"/>
  <c r="Q98" i="318"/>
  <c r="K156" i="234"/>
  <c r="H156" i="234"/>
  <c r="G156" i="234"/>
  <c r="F156" i="234"/>
  <c r="E156" i="234"/>
  <c r="D156" i="234"/>
  <c r="C156" i="234"/>
  <c r="I166" i="234" l="1"/>
  <c r="I164" i="234"/>
  <c r="I162" i="234"/>
  <c r="I160" i="234"/>
  <c r="J166" i="234"/>
  <c r="J164" i="234"/>
  <c r="J162" i="234"/>
  <c r="J160" i="234"/>
  <c r="Q100" i="318"/>
  <c r="W184" i="321" s="1"/>
  <c r="S90" i="318"/>
  <c r="R91" i="318"/>
  <c r="R92" i="318"/>
  <c r="R93" i="318"/>
  <c r="R94" i="318"/>
  <c r="R95" i="318"/>
  <c r="R96" i="318"/>
  <c r="R97" i="318"/>
  <c r="R98" i="318"/>
  <c r="C166" i="234"/>
  <c r="C165" i="234"/>
  <c r="C164" i="234"/>
  <c r="C163" i="234"/>
  <c r="C162" i="234"/>
  <c r="C161" i="234"/>
  <c r="C159" i="234"/>
  <c r="C160" i="234"/>
  <c r="D166" i="234"/>
  <c r="D165" i="234"/>
  <c r="D164" i="234"/>
  <c r="D163" i="234"/>
  <c r="D162" i="234"/>
  <c r="D160" i="234"/>
  <c r="D161" i="234"/>
  <c r="D159" i="234"/>
  <c r="E166" i="234"/>
  <c r="E165" i="234"/>
  <c r="E164" i="234"/>
  <c r="E163" i="234"/>
  <c r="E162" i="234"/>
  <c r="E160" i="234"/>
  <c r="E161" i="234"/>
  <c r="E159" i="234"/>
  <c r="F166" i="234"/>
  <c r="F165" i="234"/>
  <c r="F164" i="234"/>
  <c r="F163" i="234"/>
  <c r="F162" i="234"/>
  <c r="F160" i="234"/>
  <c r="F161" i="234"/>
  <c r="F159" i="234"/>
  <c r="G166" i="234"/>
  <c r="G165" i="234"/>
  <c r="G164" i="234"/>
  <c r="G163" i="234"/>
  <c r="G162" i="234"/>
  <c r="G160" i="234"/>
  <c r="G161" i="234"/>
  <c r="G159" i="234"/>
  <c r="H166" i="234"/>
  <c r="H165" i="234"/>
  <c r="H164" i="234"/>
  <c r="H163" i="234"/>
  <c r="H162" i="234"/>
  <c r="H160" i="234"/>
  <c r="H161" i="234"/>
  <c r="H159" i="234"/>
  <c r="K166" i="234"/>
  <c r="K165" i="234"/>
  <c r="K164" i="234"/>
  <c r="K163" i="234"/>
  <c r="K162" i="234"/>
  <c r="K160" i="234"/>
  <c r="K161" i="234"/>
  <c r="K159" i="234"/>
  <c r="R100" i="318" l="1"/>
  <c r="X184" i="321" s="1"/>
  <c r="T90" i="318"/>
  <c r="S91" i="318"/>
  <c r="S92" i="318"/>
  <c r="S93" i="318"/>
  <c r="S94" i="318"/>
  <c r="S95" i="318"/>
  <c r="S96" i="318"/>
  <c r="S97" i="318"/>
  <c r="S98" i="318"/>
  <c r="B168" i="234" a="1"/>
  <c r="S100" i="318" l="1"/>
  <c r="Y184" i="321" s="1"/>
  <c r="U90" i="318"/>
  <c r="T91" i="318"/>
  <c r="T92" i="318"/>
  <c r="T93" i="318"/>
  <c r="T94" i="318"/>
  <c r="T95" i="318"/>
  <c r="T96" i="318"/>
  <c r="T97" i="318"/>
  <c r="T98" i="318"/>
  <c r="L315" i="234"/>
  <c r="B315" i="234"/>
  <c r="L314" i="234"/>
  <c r="B314" i="234"/>
  <c r="L313" i="234"/>
  <c r="B313" i="234"/>
  <c r="L312" i="234"/>
  <c r="B312" i="234"/>
  <c r="L311" i="234"/>
  <c r="B311" i="234"/>
  <c r="L310" i="234"/>
  <c r="B310" i="234"/>
  <c r="L309" i="234"/>
  <c r="B309" i="234"/>
  <c r="L308" i="234"/>
  <c r="B308" i="234"/>
  <c r="L307" i="234"/>
  <c r="B307" i="234"/>
  <c r="L306" i="234"/>
  <c r="B306" i="234"/>
  <c r="L305" i="234"/>
  <c r="B305" i="234"/>
  <c r="L304" i="234"/>
  <c r="B304" i="234"/>
  <c r="L303" i="234"/>
  <c r="B303" i="234"/>
  <c r="L302" i="234"/>
  <c r="B302" i="234"/>
  <c r="L301" i="234"/>
  <c r="B301" i="234"/>
  <c r="T300" i="234"/>
  <c r="S300" i="234"/>
  <c r="R300" i="234"/>
  <c r="Q300" i="234"/>
  <c r="P300" i="234"/>
  <c r="O300" i="234"/>
  <c r="N300" i="234"/>
  <c r="M300" i="234"/>
  <c r="J300" i="234"/>
  <c r="I300" i="234"/>
  <c r="H300" i="234"/>
  <c r="G300" i="234"/>
  <c r="F300" i="234"/>
  <c r="E300" i="234"/>
  <c r="D300" i="234"/>
  <c r="C300" i="234"/>
  <c r="L296" i="234"/>
  <c r="B296" i="234"/>
  <c r="L295" i="234"/>
  <c r="B295" i="234"/>
  <c r="L294" i="234"/>
  <c r="B294" i="234"/>
  <c r="L293" i="234"/>
  <c r="B293" i="234"/>
  <c r="L292" i="234"/>
  <c r="B292" i="234"/>
  <c r="L291" i="234"/>
  <c r="B291" i="234"/>
  <c r="L290" i="234"/>
  <c r="B290" i="234"/>
  <c r="L289" i="234"/>
  <c r="B289" i="234"/>
  <c r="L288" i="234"/>
  <c r="B288" i="234"/>
  <c r="L287" i="234"/>
  <c r="B287" i="234"/>
  <c r="L286" i="234"/>
  <c r="B286" i="234"/>
  <c r="L285" i="234"/>
  <c r="B285" i="234"/>
  <c r="L284" i="234"/>
  <c r="B284" i="234"/>
  <c r="L283" i="234"/>
  <c r="B283" i="234"/>
  <c r="L282" i="234"/>
  <c r="B282" i="234"/>
  <c r="T281" i="234"/>
  <c r="S281" i="234"/>
  <c r="R281" i="234"/>
  <c r="Q281" i="234"/>
  <c r="P281" i="234"/>
  <c r="O281" i="234"/>
  <c r="N281" i="234"/>
  <c r="M281" i="234"/>
  <c r="J281" i="234"/>
  <c r="I281" i="234"/>
  <c r="H281" i="234"/>
  <c r="G281" i="234"/>
  <c r="F281" i="234"/>
  <c r="E281" i="234"/>
  <c r="D281" i="234"/>
  <c r="C281" i="234"/>
  <c r="L277" i="234"/>
  <c r="B277" i="234"/>
  <c r="L276" i="234"/>
  <c r="B276" i="234"/>
  <c r="L275" i="234"/>
  <c r="B275" i="234"/>
  <c r="L274" i="234"/>
  <c r="B274" i="234"/>
  <c r="L273" i="234"/>
  <c r="B273" i="234"/>
  <c r="L272" i="234"/>
  <c r="B272" i="234"/>
  <c r="L271" i="234"/>
  <c r="B271" i="234"/>
  <c r="L270" i="234"/>
  <c r="B270" i="234"/>
  <c r="L269" i="234"/>
  <c r="B269" i="234"/>
  <c r="L268" i="234"/>
  <c r="B268" i="234"/>
  <c r="L267" i="234"/>
  <c r="B267" i="234"/>
  <c r="L266" i="234"/>
  <c r="B266" i="234"/>
  <c r="L265" i="234"/>
  <c r="B265" i="234"/>
  <c r="L264" i="234"/>
  <c r="B264" i="234"/>
  <c r="L263" i="234"/>
  <c r="B263" i="234"/>
  <c r="T262" i="234"/>
  <c r="S262" i="234"/>
  <c r="R262" i="234"/>
  <c r="Q262" i="234"/>
  <c r="P262" i="234"/>
  <c r="O262" i="234"/>
  <c r="N262" i="234"/>
  <c r="M262" i="234"/>
  <c r="J262" i="234"/>
  <c r="I262" i="234"/>
  <c r="H262" i="234"/>
  <c r="G262" i="234"/>
  <c r="F262" i="234"/>
  <c r="E262" i="234"/>
  <c r="D262" i="234"/>
  <c r="C262" i="234"/>
  <c r="L258" i="234"/>
  <c r="B258" i="234"/>
  <c r="L257" i="234"/>
  <c r="B257" i="234"/>
  <c r="L256" i="234"/>
  <c r="B256" i="234"/>
  <c r="L255" i="234"/>
  <c r="B255" i="234"/>
  <c r="L254" i="234"/>
  <c r="B254" i="234"/>
  <c r="L253" i="234"/>
  <c r="B253" i="234"/>
  <c r="L252" i="234"/>
  <c r="B252" i="234"/>
  <c r="L251" i="234"/>
  <c r="B251" i="234"/>
  <c r="L250" i="234"/>
  <c r="B250" i="234"/>
  <c r="L249" i="234"/>
  <c r="B249" i="234"/>
  <c r="L248" i="234"/>
  <c r="B248" i="234"/>
  <c r="L247" i="234"/>
  <c r="B247" i="234"/>
  <c r="L246" i="234"/>
  <c r="B246" i="234"/>
  <c r="L245" i="234"/>
  <c r="B245" i="234"/>
  <c r="L244" i="234"/>
  <c r="B244" i="234"/>
  <c r="T243" i="234"/>
  <c r="S243" i="234"/>
  <c r="R243" i="234"/>
  <c r="Q243" i="234"/>
  <c r="P243" i="234"/>
  <c r="O243" i="234"/>
  <c r="N243" i="234"/>
  <c r="M243" i="234"/>
  <c r="J243" i="234"/>
  <c r="I243" i="234"/>
  <c r="H243" i="234"/>
  <c r="G243" i="234"/>
  <c r="F243" i="234"/>
  <c r="E243" i="234"/>
  <c r="D243" i="234"/>
  <c r="C243" i="234"/>
  <c r="L239" i="234"/>
  <c r="B239" i="234"/>
  <c r="L238" i="234"/>
  <c r="B238" i="234"/>
  <c r="L237" i="234"/>
  <c r="B237" i="234"/>
  <c r="L236" i="234"/>
  <c r="B236" i="234"/>
  <c r="L235" i="234"/>
  <c r="B235" i="234"/>
  <c r="L234" i="234"/>
  <c r="B234" i="234"/>
  <c r="L233" i="234"/>
  <c r="B233" i="234"/>
  <c r="L232" i="234"/>
  <c r="B232" i="234"/>
  <c r="L231" i="234"/>
  <c r="B231" i="234"/>
  <c r="L230" i="234"/>
  <c r="B230" i="234"/>
  <c r="L229" i="234"/>
  <c r="B229" i="234"/>
  <c r="L228" i="234"/>
  <c r="B228" i="234"/>
  <c r="L227" i="234"/>
  <c r="B227" i="234"/>
  <c r="L226" i="234"/>
  <c r="B226" i="234"/>
  <c r="L225" i="234"/>
  <c r="B225" i="234"/>
  <c r="T224" i="234"/>
  <c r="S224" i="234"/>
  <c r="R224" i="234"/>
  <c r="Q224" i="234"/>
  <c r="P224" i="234"/>
  <c r="O224" i="234"/>
  <c r="N224" i="234"/>
  <c r="M224" i="234"/>
  <c r="J224" i="234"/>
  <c r="I224" i="234"/>
  <c r="H224" i="234"/>
  <c r="G224" i="234"/>
  <c r="F224" i="234"/>
  <c r="E224" i="234"/>
  <c r="D224" i="234"/>
  <c r="C224" i="234"/>
  <c r="L220" i="234"/>
  <c r="B220" i="234"/>
  <c r="L219" i="234"/>
  <c r="B219" i="234"/>
  <c r="L218" i="234"/>
  <c r="B218" i="234"/>
  <c r="L217" i="234"/>
  <c r="B217" i="234"/>
  <c r="L216" i="234"/>
  <c r="B216" i="234"/>
  <c r="L215" i="234"/>
  <c r="B215" i="234"/>
  <c r="L214" i="234"/>
  <c r="B214" i="234"/>
  <c r="L213" i="234"/>
  <c r="B213" i="234"/>
  <c r="L212" i="234"/>
  <c r="B212" i="234"/>
  <c r="L211" i="234"/>
  <c r="B211" i="234"/>
  <c r="L210" i="234"/>
  <c r="B210" i="234"/>
  <c r="L209" i="234"/>
  <c r="B209" i="234"/>
  <c r="L208" i="234"/>
  <c r="B208" i="234"/>
  <c r="L207" i="234"/>
  <c r="B207" i="234"/>
  <c r="L206" i="234"/>
  <c r="B206" i="234"/>
  <c r="T205" i="234"/>
  <c r="S205" i="234"/>
  <c r="R205" i="234"/>
  <c r="Q205" i="234"/>
  <c r="P205" i="234"/>
  <c r="O205" i="234"/>
  <c r="N205" i="234"/>
  <c r="M205" i="234"/>
  <c r="J205" i="234"/>
  <c r="I205" i="234"/>
  <c r="H205" i="234"/>
  <c r="G205" i="234"/>
  <c r="F205" i="234"/>
  <c r="E205" i="234"/>
  <c r="D205" i="234"/>
  <c r="C205" i="234"/>
  <c r="T186" i="234"/>
  <c r="S186" i="234"/>
  <c r="R186" i="234"/>
  <c r="Q186" i="234"/>
  <c r="P186" i="234"/>
  <c r="O186" i="234"/>
  <c r="N186" i="234"/>
  <c r="M186" i="234"/>
  <c r="L201" i="234"/>
  <c r="L200" i="234"/>
  <c r="L199" i="234"/>
  <c r="L198" i="234"/>
  <c r="L197" i="234"/>
  <c r="L196" i="234"/>
  <c r="L195" i="234"/>
  <c r="L194" i="234"/>
  <c r="L193" i="234"/>
  <c r="L192" i="234"/>
  <c r="L191" i="234"/>
  <c r="L190" i="234"/>
  <c r="L189" i="234"/>
  <c r="L188" i="234"/>
  <c r="L187" i="234"/>
  <c r="B201" i="234"/>
  <c r="B200" i="234"/>
  <c r="B199" i="234"/>
  <c r="B198" i="234"/>
  <c r="B197" i="234"/>
  <c r="B196" i="234"/>
  <c r="B195" i="234"/>
  <c r="B194" i="234"/>
  <c r="B193" i="234"/>
  <c r="B192" i="234"/>
  <c r="B191" i="234"/>
  <c r="B190" i="234"/>
  <c r="B189" i="234"/>
  <c r="B188" i="234"/>
  <c r="B187" i="234"/>
  <c r="C187" i="234" s="1" a="1"/>
  <c r="C187" i="234" s="1"/>
  <c r="J186" i="234"/>
  <c r="I186" i="234"/>
  <c r="H186" i="234"/>
  <c r="G186" i="234"/>
  <c r="F186" i="234"/>
  <c r="E186" i="234"/>
  <c r="D186" i="234"/>
  <c r="C186" i="234"/>
  <c r="B168" i="234"/>
  <c r="AT11" i="321"/>
  <c r="AS11" i="321"/>
  <c r="AR11" i="321"/>
  <c r="AQ11" i="321"/>
  <c r="AP11" i="321"/>
  <c r="AO11" i="321"/>
  <c r="AN11" i="321"/>
  <c r="AM11" i="321"/>
  <c r="AL11" i="321"/>
  <c r="AK11" i="321"/>
  <c r="AJ11" i="321"/>
  <c r="AI11" i="321"/>
  <c r="AH11" i="321"/>
  <c r="AG11" i="321"/>
  <c r="AF11" i="321"/>
  <c r="AE11" i="321"/>
  <c r="AD11" i="321"/>
  <c r="AC11" i="321"/>
  <c r="AB11" i="321"/>
  <c r="AA11" i="321"/>
  <c r="Z11" i="321"/>
  <c r="Y11" i="321"/>
  <c r="X11" i="321"/>
  <c r="W11" i="321"/>
  <c r="V11" i="321"/>
  <c r="U11" i="321"/>
  <c r="T11" i="321"/>
  <c r="S11" i="321"/>
  <c r="R11" i="321"/>
  <c r="Q11" i="321"/>
  <c r="P11" i="321"/>
  <c r="O11" i="321"/>
  <c r="N11" i="321"/>
  <c r="M11" i="321"/>
  <c r="L11" i="321"/>
  <c r="D53" i="318"/>
  <c r="D58" i="318" s="1"/>
  <c r="E53" i="318"/>
  <c r="E58" i="318" s="1"/>
  <c r="F53" i="318"/>
  <c r="G53" i="318"/>
  <c r="G58" i="318" s="1"/>
  <c r="H53" i="318"/>
  <c r="H58" i="318" s="1"/>
  <c r="I53" i="318"/>
  <c r="J53" i="318"/>
  <c r="M53" i="318"/>
  <c r="N53" i="318"/>
  <c r="O53" i="318"/>
  <c r="P53" i="318"/>
  <c r="Q53" i="318"/>
  <c r="R53" i="318"/>
  <c r="S53" i="318"/>
  <c r="T53" i="318"/>
  <c r="U53" i="318"/>
  <c r="V53" i="318"/>
  <c r="W53" i="318"/>
  <c r="X53" i="318"/>
  <c r="Y53" i="318"/>
  <c r="Z53" i="318"/>
  <c r="AA53" i="318"/>
  <c r="AB53" i="318"/>
  <c r="AC53" i="318"/>
  <c r="AD53" i="318"/>
  <c r="AE53" i="318"/>
  <c r="AF53" i="318"/>
  <c r="AG53" i="318"/>
  <c r="AH53" i="318"/>
  <c r="AI53" i="318"/>
  <c r="AJ53" i="318"/>
  <c r="AK53" i="318"/>
  <c r="AL53" i="318"/>
  <c r="AM53" i="318"/>
  <c r="AN53" i="318"/>
  <c r="B51" i="318"/>
  <c r="B52" i="318"/>
  <c r="D42" i="318"/>
  <c r="E42" i="318"/>
  <c r="F42" i="318"/>
  <c r="G42" i="318"/>
  <c r="H42" i="318"/>
  <c r="I42" i="318"/>
  <c r="J42" i="318"/>
  <c r="M42" i="318"/>
  <c r="N42" i="318"/>
  <c r="M44" i="318" s="1"/>
  <c r="O42" i="318"/>
  <c r="P42" i="318"/>
  <c r="Q42" i="318"/>
  <c r="R42" i="318"/>
  <c r="S42" i="318"/>
  <c r="T42" i="318"/>
  <c r="U42" i="318"/>
  <c r="V42" i="318"/>
  <c r="W42" i="318"/>
  <c r="X42" i="318"/>
  <c r="Y42" i="318"/>
  <c r="Z42" i="318"/>
  <c r="AA42" i="318"/>
  <c r="AB42" i="318"/>
  <c r="AC42" i="318"/>
  <c r="AD42" i="318"/>
  <c r="AE42" i="318"/>
  <c r="AF42" i="318"/>
  <c r="AG42" i="318"/>
  <c r="AH42" i="318"/>
  <c r="AI42" i="318"/>
  <c r="AJ42" i="318"/>
  <c r="AK42" i="318"/>
  <c r="AL42" i="318"/>
  <c r="AM42" i="318"/>
  <c r="AN42" i="318"/>
  <c r="J132" i="317" a="1"/>
  <c r="J132" i="317" s="1"/>
  <c r="J131" i="317" a="1"/>
  <c r="J131" i="317" s="1"/>
  <c r="J130" i="317" a="1"/>
  <c r="J130" i="317" s="1"/>
  <c r="J129" i="317" a="1"/>
  <c r="J129" i="317" s="1"/>
  <c r="J128" i="317" a="1"/>
  <c r="J128" i="317" s="1"/>
  <c r="J127" i="317" a="1"/>
  <c r="J127" i="317" s="1"/>
  <c r="J126" i="317" a="1"/>
  <c r="J126" i="317" s="1"/>
  <c r="J125" i="317" a="1"/>
  <c r="J125" i="317" s="1"/>
  <c r="J124" i="317" a="1"/>
  <c r="J124" i="317" s="1"/>
  <c r="J123" i="317" a="1"/>
  <c r="J123" i="317" s="1"/>
  <c r="J122" i="317" a="1"/>
  <c r="J122" i="317" s="1"/>
  <c r="J121" i="317" a="1"/>
  <c r="J121" i="317" s="1"/>
  <c r="J120" i="317" a="1"/>
  <c r="J120" i="317" s="1"/>
  <c r="J119" i="317" a="1"/>
  <c r="J119" i="317" s="1"/>
  <c r="J118" i="317" a="1"/>
  <c r="J118" i="317" s="1"/>
  <c r="J117" i="317" a="1"/>
  <c r="J117" i="317" s="1"/>
  <c r="J116" i="317" a="1"/>
  <c r="J116" i="317" s="1"/>
  <c r="J115" i="317" a="1"/>
  <c r="J115" i="317" s="1"/>
  <c r="J114" i="317" a="1"/>
  <c r="J114" i="317" s="1"/>
  <c r="J113" i="317" a="1"/>
  <c r="J113" i="317" s="1"/>
  <c r="J112" i="317" a="1"/>
  <c r="J112" i="317" s="1"/>
  <c r="J111" i="317" a="1"/>
  <c r="J111" i="317" s="1"/>
  <c r="J110" i="317" a="1"/>
  <c r="J110" i="317" s="1"/>
  <c r="J109" i="317" a="1"/>
  <c r="J109" i="317" s="1"/>
  <c r="J108" i="317" a="1"/>
  <c r="J108" i="317" s="1"/>
  <c r="J107" i="317" a="1"/>
  <c r="J107" i="317" s="1"/>
  <c r="J106" i="317" a="1"/>
  <c r="J106" i="317" s="1"/>
  <c r="J104" i="317" a="1"/>
  <c r="J104" i="317" s="1"/>
  <c r="I132" i="317" a="1"/>
  <c r="I132" i="317" s="1"/>
  <c r="I131" i="317" a="1"/>
  <c r="I131" i="317" s="1"/>
  <c r="I130" i="317" a="1"/>
  <c r="I130" i="317" s="1"/>
  <c r="I129" i="317" a="1"/>
  <c r="I129" i="317" s="1"/>
  <c r="I128" i="317" a="1"/>
  <c r="I128" i="317" s="1"/>
  <c r="I127" i="317" a="1"/>
  <c r="I127" i="317" s="1"/>
  <c r="I126" i="317" a="1"/>
  <c r="I126" i="317" s="1"/>
  <c r="I125" i="317" a="1"/>
  <c r="I125" i="317" s="1"/>
  <c r="I124" i="317" a="1"/>
  <c r="I124" i="317" s="1"/>
  <c r="I122" i="317" a="1"/>
  <c r="I122" i="317" s="1"/>
  <c r="I121" i="317" a="1"/>
  <c r="I121" i="317" s="1"/>
  <c r="I120" i="317" a="1"/>
  <c r="I120" i="317" s="1"/>
  <c r="I119" i="317" a="1"/>
  <c r="I119" i="317" s="1"/>
  <c r="I118" i="317" a="1"/>
  <c r="I118" i="317" s="1"/>
  <c r="I117" i="317" a="1"/>
  <c r="I117" i="317" s="1"/>
  <c r="I116" i="317" a="1"/>
  <c r="I116" i="317" s="1"/>
  <c r="I115" i="317" a="1"/>
  <c r="I115" i="317" s="1"/>
  <c r="I114" i="317" a="1"/>
  <c r="I114" i="317" s="1"/>
  <c r="I113" i="317" a="1"/>
  <c r="I113" i="317" s="1"/>
  <c r="I112" i="317" a="1"/>
  <c r="I112" i="317" s="1"/>
  <c r="I111" i="317" a="1"/>
  <c r="I111" i="317" s="1"/>
  <c r="I110" i="317" a="1"/>
  <c r="I110" i="317" s="1"/>
  <c r="I109" i="317" a="1"/>
  <c r="I109" i="317" s="1"/>
  <c r="I108" i="317" a="1"/>
  <c r="I108" i="317" s="1"/>
  <c r="I107" i="317" a="1"/>
  <c r="I107" i="317" s="1"/>
  <c r="I106" i="317" a="1"/>
  <c r="I106" i="317" s="1"/>
  <c r="I105" i="317" a="1"/>
  <c r="I105" i="317" s="1"/>
  <c r="I104" i="317" a="1"/>
  <c r="I104" i="317" s="1"/>
  <c r="J103" i="317" a="1"/>
  <c r="J103" i="317"/>
  <c r="J133" i="317" s="1"/>
  <c r="I103" i="317" a="1"/>
  <c r="I103" i="317"/>
  <c r="I133" i="317" l="1"/>
  <c r="I232" i="317" s="1"/>
  <c r="U3" i="188"/>
  <c r="T100" i="318"/>
  <c r="Z184" i="321" s="1"/>
  <c r="V90" i="318"/>
  <c r="U91" i="318"/>
  <c r="U92" i="318"/>
  <c r="U93" i="318"/>
  <c r="U94" i="318"/>
  <c r="U95" i="318"/>
  <c r="U96" i="318"/>
  <c r="U97" i="318"/>
  <c r="U98" i="318"/>
  <c r="D54" i="318"/>
  <c r="AM44" i="318"/>
  <c r="AM43" i="318"/>
  <c r="AL44" i="318"/>
  <c r="AL43" i="318"/>
  <c r="AK44" i="318"/>
  <c r="AK43" i="318"/>
  <c r="AJ44" i="318"/>
  <c r="AJ43" i="318"/>
  <c r="AI44" i="318"/>
  <c r="AI43" i="318"/>
  <c r="AH44" i="318"/>
  <c r="AH43" i="318"/>
  <c r="AG44" i="318"/>
  <c r="AG43" i="318"/>
  <c r="AF44" i="318"/>
  <c r="AF43" i="318"/>
  <c r="AE44" i="318"/>
  <c r="AE43" i="318"/>
  <c r="AD44" i="318"/>
  <c r="AD43" i="318"/>
  <c r="AC44" i="318"/>
  <c r="AC43" i="318"/>
  <c r="AB44" i="318"/>
  <c r="AB43" i="318"/>
  <c r="AA44" i="318"/>
  <c r="AA43" i="318"/>
  <c r="Z44" i="318"/>
  <c r="Z43" i="318"/>
  <c r="Y44" i="318"/>
  <c r="Y43" i="318"/>
  <c r="X44" i="318"/>
  <c r="X43" i="318"/>
  <c r="W44" i="318"/>
  <c r="W43" i="318"/>
  <c r="V44" i="318"/>
  <c r="V43" i="318"/>
  <c r="U44" i="318"/>
  <c r="U43" i="318"/>
  <c r="T44" i="318"/>
  <c r="T43" i="318"/>
  <c r="S44" i="318"/>
  <c r="S43" i="318"/>
  <c r="R44" i="318"/>
  <c r="R43" i="318"/>
  <c r="Q44" i="318"/>
  <c r="Q43" i="318"/>
  <c r="P44" i="318"/>
  <c r="P43" i="318"/>
  <c r="O44" i="318"/>
  <c r="O43" i="318"/>
  <c r="N44" i="318"/>
  <c r="N43" i="318"/>
  <c r="M43" i="318"/>
  <c r="J44" i="318"/>
  <c r="J43" i="318"/>
  <c r="I44" i="318"/>
  <c r="I43" i="318"/>
  <c r="H44" i="318"/>
  <c r="H43" i="318"/>
  <c r="G44" i="318"/>
  <c r="G43" i="318"/>
  <c r="F44" i="318"/>
  <c r="F43" i="318"/>
  <c r="E44" i="318"/>
  <c r="E43" i="318"/>
  <c r="D44" i="318"/>
  <c r="D43" i="318"/>
  <c r="AN55" i="318"/>
  <c r="AN56" i="318"/>
  <c r="AN57" i="318"/>
  <c r="AN58" i="318"/>
  <c r="AN59" i="318"/>
  <c r="AN60" i="318"/>
  <c r="AN61" i="318"/>
  <c r="AN54" i="318"/>
  <c r="AM55" i="318"/>
  <c r="AM56" i="318"/>
  <c r="AM57" i="318"/>
  <c r="AM58" i="318"/>
  <c r="AM59" i="318"/>
  <c r="AM60" i="318"/>
  <c r="AM61" i="318"/>
  <c r="AM54" i="318"/>
  <c r="AL55" i="318"/>
  <c r="AL56" i="318"/>
  <c r="AL57" i="318"/>
  <c r="AL58" i="318"/>
  <c r="AL59" i="318"/>
  <c r="AL60" i="318"/>
  <c r="AL61" i="318"/>
  <c r="AL54" i="318"/>
  <c r="AK55" i="318"/>
  <c r="AK56" i="318"/>
  <c r="AK57" i="318"/>
  <c r="AK58" i="318"/>
  <c r="AK59" i="318"/>
  <c r="AK60" i="318"/>
  <c r="AK61" i="318"/>
  <c r="AK54" i="318"/>
  <c r="AJ55" i="318"/>
  <c r="AJ56" i="318"/>
  <c r="AJ57" i="318"/>
  <c r="AJ58" i="318"/>
  <c r="AJ59" i="318"/>
  <c r="AJ60" i="318"/>
  <c r="AJ61" i="318"/>
  <c r="AJ54" i="318"/>
  <c r="AI55" i="318"/>
  <c r="AI56" i="318"/>
  <c r="AI57" i="318"/>
  <c r="AI58" i="318"/>
  <c r="AI59" i="318"/>
  <c r="AI60" i="318"/>
  <c r="AI61" i="318"/>
  <c r="AI54" i="318"/>
  <c r="AH55" i="318"/>
  <c r="AH56" i="318"/>
  <c r="AH57" i="318"/>
  <c r="AH58" i="318"/>
  <c r="AH59" i="318"/>
  <c r="AH60" i="318"/>
  <c r="AH61" i="318"/>
  <c r="AH54" i="318"/>
  <c r="AG55" i="318"/>
  <c r="AG56" i="318"/>
  <c r="AG57" i="318"/>
  <c r="AG58" i="318"/>
  <c r="AG59" i="318"/>
  <c r="AG60" i="318"/>
  <c r="AG61" i="318"/>
  <c r="AG54" i="318"/>
  <c r="AF55" i="318"/>
  <c r="AF56" i="318"/>
  <c r="AF57" i="318"/>
  <c r="AF58" i="318"/>
  <c r="AF59" i="318"/>
  <c r="AF60" i="318"/>
  <c r="AF61" i="318"/>
  <c r="AF54" i="318"/>
  <c r="AE55" i="318"/>
  <c r="AE56" i="318"/>
  <c r="AE57" i="318"/>
  <c r="AE58" i="318"/>
  <c r="AE59" i="318"/>
  <c r="AE60" i="318"/>
  <c r="AE61" i="318"/>
  <c r="AE54" i="318"/>
  <c r="AD55" i="318"/>
  <c r="AD56" i="318"/>
  <c r="AD57" i="318"/>
  <c r="AD58" i="318"/>
  <c r="AD59" i="318"/>
  <c r="AD60" i="318"/>
  <c r="AD61" i="318"/>
  <c r="AD54" i="318"/>
  <c r="AC55" i="318"/>
  <c r="AC56" i="318"/>
  <c r="AC57" i="318"/>
  <c r="AC58" i="318"/>
  <c r="AC59" i="318"/>
  <c r="AC60" i="318"/>
  <c r="AC61" i="318"/>
  <c r="AC54" i="318"/>
  <c r="AB55" i="318"/>
  <c r="AB56" i="318"/>
  <c r="AB57" i="318"/>
  <c r="AB58" i="318"/>
  <c r="AB59" i="318"/>
  <c r="AB60" i="318"/>
  <c r="AB61" i="318"/>
  <c r="AB54" i="318"/>
  <c r="AA55" i="318"/>
  <c r="AA56" i="318"/>
  <c r="AA57" i="318"/>
  <c r="AA58" i="318"/>
  <c r="AA59" i="318"/>
  <c r="AA60" i="318"/>
  <c r="AA61" i="318"/>
  <c r="AA54" i="318"/>
  <c r="Z55" i="318"/>
  <c r="Z56" i="318"/>
  <c r="Z57" i="318"/>
  <c r="Z58" i="318"/>
  <c r="Z59" i="318"/>
  <c r="Z60" i="318"/>
  <c r="Z61" i="318"/>
  <c r="Z54" i="318"/>
  <c r="Y55" i="318"/>
  <c r="Y56" i="318"/>
  <c r="Y57" i="318"/>
  <c r="Y58" i="318"/>
  <c r="Y59" i="318"/>
  <c r="Y60" i="318"/>
  <c r="Y61" i="318"/>
  <c r="Y54" i="318"/>
  <c r="X55" i="318"/>
  <c r="X56" i="318"/>
  <c r="X57" i="318"/>
  <c r="X58" i="318"/>
  <c r="X59" i="318"/>
  <c r="X60" i="318"/>
  <c r="X61" i="318"/>
  <c r="X54" i="318"/>
  <c r="W55" i="318"/>
  <c r="W56" i="318"/>
  <c r="W57" i="318"/>
  <c r="W58" i="318"/>
  <c r="W59" i="318"/>
  <c r="W60" i="318"/>
  <c r="W61" i="318"/>
  <c r="W54" i="318"/>
  <c r="V55" i="318"/>
  <c r="V56" i="318"/>
  <c r="V57" i="318"/>
  <c r="V58" i="318"/>
  <c r="V59" i="318"/>
  <c r="V60" i="318"/>
  <c r="V61" i="318"/>
  <c r="V54" i="318"/>
  <c r="U55" i="318"/>
  <c r="U56" i="318"/>
  <c r="U57" i="318"/>
  <c r="U58" i="318"/>
  <c r="U59" i="318"/>
  <c r="U60" i="318"/>
  <c r="U61" i="318"/>
  <c r="U54" i="318"/>
  <c r="T55" i="318"/>
  <c r="T56" i="318"/>
  <c r="T57" i="318"/>
  <c r="T58" i="318"/>
  <c r="T59" i="318"/>
  <c r="T60" i="318"/>
  <c r="T61" i="318"/>
  <c r="T54" i="318"/>
  <c r="S55" i="318"/>
  <c r="S56" i="318"/>
  <c r="S57" i="318"/>
  <c r="S58" i="318"/>
  <c r="S59" i="318"/>
  <c r="S60" i="318"/>
  <c r="S61" i="318"/>
  <c r="S54" i="318"/>
  <c r="R55" i="318"/>
  <c r="R56" i="318"/>
  <c r="R57" i="318"/>
  <c r="R58" i="318"/>
  <c r="R59" i="318"/>
  <c r="R60" i="318"/>
  <c r="R61" i="318"/>
  <c r="R54" i="318"/>
  <c r="Q55" i="318"/>
  <c r="Q56" i="318"/>
  <c r="Q57" i="318"/>
  <c r="Q58" i="318"/>
  <c r="Q59" i="318"/>
  <c r="Q60" i="318"/>
  <c r="Q61" i="318"/>
  <c r="Q54" i="318"/>
  <c r="P55" i="318"/>
  <c r="P56" i="318"/>
  <c r="P57" i="318"/>
  <c r="P58" i="318"/>
  <c r="P59" i="318"/>
  <c r="P60" i="318"/>
  <c r="P61" i="318"/>
  <c r="P54" i="318"/>
  <c r="O55" i="318"/>
  <c r="O56" i="318"/>
  <c r="O57" i="318"/>
  <c r="O58" i="318"/>
  <c r="O59" i="318"/>
  <c r="O60" i="318"/>
  <c r="O61" i="318"/>
  <c r="O54" i="318"/>
  <c r="N55" i="318"/>
  <c r="N56" i="318"/>
  <c r="N57" i="318"/>
  <c r="N58" i="318"/>
  <c r="N59" i="318"/>
  <c r="N60" i="318"/>
  <c r="N61" i="318"/>
  <c r="N54" i="318"/>
  <c r="M55" i="318"/>
  <c r="M56" i="318"/>
  <c r="M57" i="318"/>
  <c r="M58" i="318"/>
  <c r="M59" i="318"/>
  <c r="M60" i="318"/>
  <c r="M61" i="318"/>
  <c r="M54" i="318"/>
  <c r="J55" i="318"/>
  <c r="J56" i="318"/>
  <c r="J57" i="318"/>
  <c r="J58" i="318"/>
  <c r="J59" i="318"/>
  <c r="J60" i="318"/>
  <c r="J61" i="318"/>
  <c r="J54" i="318"/>
  <c r="I55" i="318"/>
  <c r="I56" i="318"/>
  <c r="I57" i="318"/>
  <c r="I58" i="318"/>
  <c r="I59" i="318"/>
  <c r="I60" i="318"/>
  <c r="I61" i="318"/>
  <c r="I54" i="318"/>
  <c r="H55" i="318"/>
  <c r="H56" i="318"/>
  <c r="H57" i="318"/>
  <c r="H59" i="318"/>
  <c r="H60" i="318"/>
  <c r="H61" i="318"/>
  <c r="H54" i="318"/>
  <c r="G55" i="318"/>
  <c r="G56" i="318"/>
  <c r="G57" i="318"/>
  <c r="G59" i="318"/>
  <c r="G60" i="318"/>
  <c r="G61" i="318"/>
  <c r="G54" i="318"/>
  <c r="F55" i="318"/>
  <c r="F56" i="318"/>
  <c r="F57" i="318"/>
  <c r="F58" i="318"/>
  <c r="F59" i="318"/>
  <c r="F60" i="318"/>
  <c r="F61" i="318"/>
  <c r="F54" i="318"/>
  <c r="E55" i="318"/>
  <c r="E56" i="318"/>
  <c r="E57" i="318"/>
  <c r="E59" i="318"/>
  <c r="E60" i="318"/>
  <c r="E61" i="318"/>
  <c r="E54" i="318"/>
  <c r="D55" i="318"/>
  <c r="D56" i="318"/>
  <c r="D57" i="318"/>
  <c r="D59" i="318"/>
  <c r="D60" i="318"/>
  <c r="D61" i="318"/>
  <c r="T187" i="234" a="1"/>
  <c r="T187" i="234" s="1"/>
  <c r="S187" i="234" a="1"/>
  <c r="S187" i="234" s="1"/>
  <c r="R187" i="234" a="1"/>
  <c r="R187" i="234" s="1"/>
  <c r="Q187" i="234" a="1"/>
  <c r="Q187" i="234" s="1"/>
  <c r="P187" i="234" a="1"/>
  <c r="P187" i="234" s="1"/>
  <c r="O187" i="234" a="1"/>
  <c r="O187" i="234" s="1"/>
  <c r="N187" i="234" a="1"/>
  <c r="N187" i="234" s="1"/>
  <c r="M187" i="234" a="1"/>
  <c r="M187" i="234" s="1"/>
  <c r="L205" i="234"/>
  <c r="T188" i="234" a="1"/>
  <c r="T188" i="234" s="1"/>
  <c r="S188" i="234" a="1"/>
  <c r="S188" i="234" s="1"/>
  <c r="R188" i="234" a="1"/>
  <c r="R188" i="234" s="1"/>
  <c r="Q188" i="234" a="1"/>
  <c r="Q188" i="234" s="1"/>
  <c r="P188" i="234" a="1"/>
  <c r="P188" i="234" s="1"/>
  <c r="O188" i="234" a="1"/>
  <c r="O188" i="234" s="1"/>
  <c r="N188" i="234" a="1"/>
  <c r="N188" i="234" s="1"/>
  <c r="M188" i="234" a="1"/>
  <c r="M188" i="234" s="1"/>
  <c r="T189" i="234" a="1"/>
  <c r="T189" i="234" s="1"/>
  <c r="S189" i="234" a="1"/>
  <c r="S189" i="234" s="1"/>
  <c r="R189" i="234" a="1"/>
  <c r="R189" i="234" s="1"/>
  <c r="Q189" i="234" a="1"/>
  <c r="Q189" i="234" s="1"/>
  <c r="P189" i="234" a="1"/>
  <c r="P189" i="234" s="1"/>
  <c r="O189" i="234" a="1"/>
  <c r="O189" i="234" s="1"/>
  <c r="N189" i="234" a="1"/>
  <c r="N189" i="234" s="1"/>
  <c r="M189" i="234" a="1"/>
  <c r="M189" i="234" s="1"/>
  <c r="T190" i="234" a="1"/>
  <c r="T190" i="234" s="1"/>
  <c r="S190" i="234" a="1"/>
  <c r="S190" i="234" s="1"/>
  <c r="R190" i="234" a="1"/>
  <c r="R190" i="234" s="1"/>
  <c r="Q190" i="234" a="1"/>
  <c r="Q190" i="234" s="1"/>
  <c r="P190" i="234" a="1"/>
  <c r="P190" i="234" s="1"/>
  <c r="O190" i="234" a="1"/>
  <c r="O190" i="234" s="1"/>
  <c r="N190" i="234" a="1"/>
  <c r="N190" i="234" s="1"/>
  <c r="M190" i="234" a="1"/>
  <c r="M190" i="234" s="1"/>
  <c r="T191" i="234" a="1"/>
  <c r="T191" i="234" s="1"/>
  <c r="S191" i="234" a="1"/>
  <c r="S191" i="234" s="1"/>
  <c r="R191" i="234" a="1"/>
  <c r="R191" i="234" s="1"/>
  <c r="Q191" i="234" a="1"/>
  <c r="Q191" i="234" s="1"/>
  <c r="P191" i="234" a="1"/>
  <c r="P191" i="234" s="1"/>
  <c r="O191" i="234" a="1"/>
  <c r="O191" i="234" s="1"/>
  <c r="N191" i="234" a="1"/>
  <c r="N191" i="234" s="1"/>
  <c r="M191" i="234" a="1"/>
  <c r="M191" i="234" s="1"/>
  <c r="T192" i="234" a="1"/>
  <c r="T192" i="234" s="1"/>
  <c r="S192" i="234" a="1"/>
  <c r="S192" i="234" s="1"/>
  <c r="R192" i="234" a="1"/>
  <c r="R192" i="234" s="1"/>
  <c r="Q192" i="234" a="1"/>
  <c r="Q192" i="234" s="1"/>
  <c r="P192" i="234" a="1"/>
  <c r="P192" i="234" s="1"/>
  <c r="O192" i="234" a="1"/>
  <c r="O192" i="234" s="1"/>
  <c r="N192" i="234" a="1"/>
  <c r="N192" i="234" s="1"/>
  <c r="M192" i="234" a="1"/>
  <c r="M192" i="234" s="1"/>
  <c r="T193" i="234" a="1"/>
  <c r="T193" i="234" s="1"/>
  <c r="S193" i="234" a="1"/>
  <c r="S193" i="234" s="1"/>
  <c r="R193" i="234" a="1"/>
  <c r="R193" i="234" s="1"/>
  <c r="Q193" i="234" a="1"/>
  <c r="Q193" i="234" s="1"/>
  <c r="P193" i="234" a="1"/>
  <c r="P193" i="234" s="1"/>
  <c r="O193" i="234" a="1"/>
  <c r="O193" i="234" s="1"/>
  <c r="N193" i="234" a="1"/>
  <c r="N193" i="234" s="1"/>
  <c r="M193" i="234" a="1"/>
  <c r="M193" i="234" s="1"/>
  <c r="T194" i="234" a="1"/>
  <c r="T194" i="234" s="1"/>
  <c r="S194" i="234" a="1"/>
  <c r="S194" i="234" s="1"/>
  <c r="R194" i="234" a="1"/>
  <c r="R194" i="234" s="1"/>
  <c r="Q194" i="234" a="1"/>
  <c r="Q194" i="234" s="1"/>
  <c r="P194" i="234" a="1"/>
  <c r="P194" i="234" s="1"/>
  <c r="O194" i="234" a="1"/>
  <c r="O194" i="234" s="1"/>
  <c r="N194" i="234" a="1"/>
  <c r="N194" i="234" s="1"/>
  <c r="M194" i="234" a="1"/>
  <c r="M194" i="234" s="1"/>
  <c r="T195" i="234" a="1"/>
  <c r="T195" i="234" s="1"/>
  <c r="S195" i="234" a="1"/>
  <c r="S195" i="234" s="1"/>
  <c r="R195" i="234" a="1"/>
  <c r="R195" i="234" s="1"/>
  <c r="Q195" i="234" a="1"/>
  <c r="Q195" i="234" s="1"/>
  <c r="P195" i="234" a="1"/>
  <c r="P195" i="234" s="1"/>
  <c r="O195" i="234" a="1"/>
  <c r="O195" i="234" s="1"/>
  <c r="N195" i="234" a="1"/>
  <c r="N195" i="234" s="1"/>
  <c r="M195" i="234" a="1"/>
  <c r="M195" i="234" s="1"/>
  <c r="T196" i="234" a="1"/>
  <c r="T196" i="234" s="1"/>
  <c r="S196" i="234" a="1"/>
  <c r="S196" i="234" s="1"/>
  <c r="R196" i="234" a="1"/>
  <c r="R196" i="234" s="1"/>
  <c r="Q196" i="234" a="1"/>
  <c r="Q196" i="234" s="1"/>
  <c r="P196" i="234" a="1"/>
  <c r="P196" i="234" s="1"/>
  <c r="O196" i="234" a="1"/>
  <c r="O196" i="234" s="1"/>
  <c r="N196" i="234" a="1"/>
  <c r="N196" i="234" s="1"/>
  <c r="M196" i="234" a="1"/>
  <c r="M196" i="234" s="1"/>
  <c r="T197" i="234" a="1"/>
  <c r="T197" i="234" s="1"/>
  <c r="S197" i="234" a="1"/>
  <c r="S197" i="234" s="1"/>
  <c r="R197" i="234" a="1"/>
  <c r="R197" i="234" s="1"/>
  <c r="Q197" i="234" a="1"/>
  <c r="Q197" i="234" s="1"/>
  <c r="P197" i="234" a="1"/>
  <c r="P197" i="234" s="1"/>
  <c r="O197" i="234" a="1"/>
  <c r="O197" i="234" s="1"/>
  <c r="N197" i="234" a="1"/>
  <c r="N197" i="234" s="1"/>
  <c r="M197" i="234" a="1"/>
  <c r="M197" i="234" s="1"/>
  <c r="T198" i="234" a="1"/>
  <c r="T198" i="234" s="1"/>
  <c r="S198" i="234" a="1"/>
  <c r="S198" i="234" s="1"/>
  <c r="R198" i="234" a="1"/>
  <c r="R198" i="234" s="1"/>
  <c r="Q198" i="234" a="1"/>
  <c r="Q198" i="234" s="1"/>
  <c r="P198" i="234" a="1"/>
  <c r="P198" i="234" s="1"/>
  <c r="O198" i="234" a="1"/>
  <c r="O198" i="234" s="1"/>
  <c r="N198" i="234" a="1"/>
  <c r="N198" i="234" s="1"/>
  <c r="M198" i="234" a="1"/>
  <c r="M198" i="234" s="1"/>
  <c r="T199" i="234" a="1"/>
  <c r="T199" i="234" s="1"/>
  <c r="S199" i="234" a="1"/>
  <c r="S199" i="234" s="1"/>
  <c r="R199" i="234" a="1"/>
  <c r="R199" i="234" s="1"/>
  <c r="Q199" i="234" a="1"/>
  <c r="Q199" i="234" s="1"/>
  <c r="P199" i="234" a="1"/>
  <c r="P199" i="234" s="1"/>
  <c r="O199" i="234" a="1"/>
  <c r="O199" i="234" s="1"/>
  <c r="N199" i="234" a="1"/>
  <c r="N199" i="234" s="1"/>
  <c r="M199" i="234" a="1"/>
  <c r="M199" i="234" s="1"/>
  <c r="T200" i="234" a="1"/>
  <c r="T200" i="234" s="1"/>
  <c r="S200" i="234" a="1"/>
  <c r="S200" i="234" s="1"/>
  <c r="R200" i="234" a="1"/>
  <c r="R200" i="234" s="1"/>
  <c r="Q200" i="234" a="1"/>
  <c r="Q200" i="234" s="1"/>
  <c r="P200" i="234" a="1"/>
  <c r="P200" i="234" s="1"/>
  <c r="O200" i="234" a="1"/>
  <c r="O200" i="234" s="1"/>
  <c r="N200" i="234" a="1"/>
  <c r="N200" i="234" s="1"/>
  <c r="M200" i="234" a="1"/>
  <c r="M200" i="234" s="1"/>
  <c r="T201" i="234" a="1"/>
  <c r="T201" i="234" s="1"/>
  <c r="S201" i="234" a="1"/>
  <c r="S201" i="234" s="1"/>
  <c r="R201" i="234" a="1"/>
  <c r="R201" i="234" s="1"/>
  <c r="Q201" i="234" a="1"/>
  <c r="Q201" i="234" s="1"/>
  <c r="P201" i="234" a="1"/>
  <c r="P201" i="234" s="1"/>
  <c r="O201" i="234" a="1"/>
  <c r="O201" i="234" s="1"/>
  <c r="N201" i="234" a="1"/>
  <c r="N201" i="234" s="1"/>
  <c r="M201" i="234" a="1"/>
  <c r="M201" i="234" s="1"/>
  <c r="T206" i="234" a="1"/>
  <c r="T206" i="234" s="1"/>
  <c r="S206" i="234" a="1"/>
  <c r="S206" i="234" s="1"/>
  <c r="R206" i="234" a="1"/>
  <c r="R206" i="234" s="1"/>
  <c r="Q206" i="234" a="1"/>
  <c r="Q206" i="234" s="1"/>
  <c r="P206" i="234" a="1"/>
  <c r="P206" i="234" s="1"/>
  <c r="O206" i="234" a="1"/>
  <c r="O206" i="234" s="1"/>
  <c r="N206" i="234" a="1"/>
  <c r="N206" i="234" s="1"/>
  <c r="M206" i="234" a="1"/>
  <c r="M206" i="234" s="1"/>
  <c r="C206" i="234" a="1"/>
  <c r="C206" i="234" s="1"/>
  <c r="J206" i="234" a="1"/>
  <c r="J206" i="234" s="1"/>
  <c r="I206" i="234" a="1"/>
  <c r="I206" i="234" s="1"/>
  <c r="H206" i="234" a="1"/>
  <c r="H206" i="234" s="1"/>
  <c r="G206" i="234" a="1"/>
  <c r="G206" i="234" s="1"/>
  <c r="F206" i="234" a="1"/>
  <c r="F206" i="234" s="1"/>
  <c r="E206" i="234" a="1"/>
  <c r="E206" i="234" s="1"/>
  <c r="D206" i="234" a="1"/>
  <c r="D206" i="234" s="1"/>
  <c r="T207" i="234" a="1"/>
  <c r="T207" i="234" s="1"/>
  <c r="S207" i="234" a="1"/>
  <c r="S207" i="234" s="1"/>
  <c r="R207" i="234" a="1"/>
  <c r="R207" i="234" s="1"/>
  <c r="Q207" i="234" a="1"/>
  <c r="Q207" i="234" s="1"/>
  <c r="P207" i="234" a="1"/>
  <c r="P207" i="234" s="1"/>
  <c r="O207" i="234" a="1"/>
  <c r="O207" i="234" s="1"/>
  <c r="N207" i="234" a="1"/>
  <c r="N207" i="234" s="1"/>
  <c r="M207" i="234" a="1"/>
  <c r="M207" i="234" s="1"/>
  <c r="J207" i="234" a="1"/>
  <c r="J207" i="234" s="1"/>
  <c r="I207" i="234" a="1"/>
  <c r="I207" i="234" s="1"/>
  <c r="H207" i="234" a="1"/>
  <c r="H207" i="234" s="1"/>
  <c r="G207" i="234" a="1"/>
  <c r="G207" i="234" s="1"/>
  <c r="F207" i="234" a="1"/>
  <c r="F207" i="234" s="1"/>
  <c r="E207" i="234" a="1"/>
  <c r="E207" i="234" s="1"/>
  <c r="D207" i="234" a="1"/>
  <c r="D207" i="234" s="1"/>
  <c r="C207" i="234" a="1"/>
  <c r="C207" i="234" s="1"/>
  <c r="T208" i="234" a="1"/>
  <c r="T208" i="234" s="1"/>
  <c r="S208" i="234" a="1"/>
  <c r="S208" i="234" s="1"/>
  <c r="R208" i="234" a="1"/>
  <c r="R208" i="234" s="1"/>
  <c r="Q208" i="234" a="1"/>
  <c r="Q208" i="234" s="1"/>
  <c r="P208" i="234" a="1"/>
  <c r="P208" i="234" s="1"/>
  <c r="O208" i="234" a="1"/>
  <c r="O208" i="234" s="1"/>
  <c r="N208" i="234" a="1"/>
  <c r="N208" i="234" s="1"/>
  <c r="M208" i="234" a="1"/>
  <c r="M208" i="234" s="1"/>
  <c r="J208" i="234" a="1"/>
  <c r="J208" i="234" s="1"/>
  <c r="I208" i="234" a="1"/>
  <c r="I208" i="234" s="1"/>
  <c r="H208" i="234" a="1"/>
  <c r="H208" i="234" s="1"/>
  <c r="G208" i="234" a="1"/>
  <c r="G208" i="234" s="1"/>
  <c r="F208" i="234" a="1"/>
  <c r="F208" i="234" s="1"/>
  <c r="E208" i="234" a="1"/>
  <c r="E208" i="234" s="1"/>
  <c r="D208" i="234" a="1"/>
  <c r="D208" i="234" s="1"/>
  <c r="C208" i="234" a="1"/>
  <c r="C208" i="234" s="1"/>
  <c r="T209" i="234" a="1"/>
  <c r="T209" i="234" s="1"/>
  <c r="S209" i="234" a="1"/>
  <c r="S209" i="234" s="1"/>
  <c r="R209" i="234" a="1"/>
  <c r="R209" i="234" s="1"/>
  <c r="Q209" i="234" a="1"/>
  <c r="Q209" i="234" s="1"/>
  <c r="P209" i="234" a="1"/>
  <c r="P209" i="234" s="1"/>
  <c r="O209" i="234" a="1"/>
  <c r="O209" i="234" s="1"/>
  <c r="N209" i="234" a="1"/>
  <c r="N209" i="234" s="1"/>
  <c r="M209" i="234" a="1"/>
  <c r="M209" i="234" s="1"/>
  <c r="J209" i="234" a="1"/>
  <c r="J209" i="234" s="1"/>
  <c r="I209" i="234" a="1"/>
  <c r="I209" i="234" s="1"/>
  <c r="H209" i="234" a="1"/>
  <c r="H209" i="234" s="1"/>
  <c r="G209" i="234" a="1"/>
  <c r="G209" i="234" s="1"/>
  <c r="F209" i="234" a="1"/>
  <c r="F209" i="234" s="1"/>
  <c r="E209" i="234" a="1"/>
  <c r="E209" i="234" s="1"/>
  <c r="D209" i="234" a="1"/>
  <c r="D209" i="234" s="1"/>
  <c r="C209" i="234" a="1"/>
  <c r="C209" i="234" s="1"/>
  <c r="T210" i="234" a="1"/>
  <c r="T210" i="234" s="1"/>
  <c r="S210" i="234" a="1"/>
  <c r="S210" i="234" s="1"/>
  <c r="R210" i="234" a="1"/>
  <c r="R210" i="234" s="1"/>
  <c r="Q210" i="234" a="1"/>
  <c r="Q210" i="234" s="1"/>
  <c r="P210" i="234" a="1"/>
  <c r="P210" i="234" s="1"/>
  <c r="O210" i="234" a="1"/>
  <c r="O210" i="234" s="1"/>
  <c r="N210" i="234" a="1"/>
  <c r="N210" i="234" s="1"/>
  <c r="M210" i="234" a="1"/>
  <c r="M210" i="234" s="1"/>
  <c r="D210" i="234" a="1"/>
  <c r="D210" i="234" s="1"/>
  <c r="J210" i="234" a="1"/>
  <c r="J210" i="234" s="1"/>
  <c r="I210" i="234" a="1"/>
  <c r="I210" i="234" s="1"/>
  <c r="H210" i="234" a="1"/>
  <c r="H210" i="234" s="1"/>
  <c r="G210" i="234" a="1"/>
  <c r="G210" i="234" s="1"/>
  <c r="F210" i="234" a="1"/>
  <c r="F210" i="234" s="1"/>
  <c r="E210" i="234" a="1"/>
  <c r="E210" i="234" s="1"/>
  <c r="C210" i="234" a="1"/>
  <c r="C210" i="234" s="1"/>
  <c r="T211" i="234" a="1"/>
  <c r="T211" i="234" s="1"/>
  <c r="S211" i="234" a="1"/>
  <c r="S211" i="234" s="1"/>
  <c r="R211" i="234" a="1"/>
  <c r="R211" i="234" s="1"/>
  <c r="Q211" i="234" a="1"/>
  <c r="Q211" i="234" s="1"/>
  <c r="P211" i="234" a="1"/>
  <c r="P211" i="234" s="1"/>
  <c r="O211" i="234" a="1"/>
  <c r="O211" i="234" s="1"/>
  <c r="N211" i="234" a="1"/>
  <c r="N211" i="234" s="1"/>
  <c r="M211" i="234" a="1"/>
  <c r="M211" i="234" s="1"/>
  <c r="J211" i="234" a="1"/>
  <c r="J211" i="234" s="1"/>
  <c r="I211" i="234" a="1"/>
  <c r="I211" i="234" s="1"/>
  <c r="H211" i="234" a="1"/>
  <c r="H211" i="234" s="1"/>
  <c r="G211" i="234" a="1"/>
  <c r="G211" i="234" s="1"/>
  <c r="F211" i="234" a="1"/>
  <c r="F211" i="234" s="1"/>
  <c r="E211" i="234" a="1"/>
  <c r="E211" i="234" s="1"/>
  <c r="D211" i="234" a="1"/>
  <c r="D211" i="234" s="1"/>
  <c r="C211" i="234" a="1"/>
  <c r="C211" i="234" s="1"/>
  <c r="T212" i="234" a="1"/>
  <c r="T212" i="234" s="1"/>
  <c r="S212" i="234" a="1"/>
  <c r="S212" i="234" s="1"/>
  <c r="R212" i="234" a="1"/>
  <c r="R212" i="234" s="1"/>
  <c r="Q212" i="234" a="1"/>
  <c r="Q212" i="234" s="1"/>
  <c r="P212" i="234" a="1"/>
  <c r="P212" i="234" s="1"/>
  <c r="O212" i="234" a="1"/>
  <c r="O212" i="234" s="1"/>
  <c r="N212" i="234" a="1"/>
  <c r="N212" i="234" s="1"/>
  <c r="M212" i="234" a="1"/>
  <c r="M212" i="234" s="1"/>
  <c r="J212" i="234" a="1"/>
  <c r="J212" i="234" s="1"/>
  <c r="I212" i="234" a="1"/>
  <c r="I212" i="234" s="1"/>
  <c r="H212" i="234" a="1"/>
  <c r="H212" i="234" s="1"/>
  <c r="G212" i="234" a="1"/>
  <c r="G212" i="234" s="1"/>
  <c r="F212" i="234" a="1"/>
  <c r="F212" i="234" s="1"/>
  <c r="E212" i="234" a="1"/>
  <c r="E212" i="234" s="1"/>
  <c r="D212" i="234" a="1"/>
  <c r="D212" i="234" s="1"/>
  <c r="C212" i="234" a="1"/>
  <c r="C212" i="234" s="1"/>
  <c r="T213" i="234" a="1"/>
  <c r="T213" i="234" s="1"/>
  <c r="S213" i="234" a="1"/>
  <c r="S213" i="234" s="1"/>
  <c r="R213" i="234" a="1"/>
  <c r="R213" i="234" s="1"/>
  <c r="Q213" i="234" a="1"/>
  <c r="Q213" i="234" s="1"/>
  <c r="P213" i="234" a="1"/>
  <c r="P213" i="234" s="1"/>
  <c r="O213" i="234" a="1"/>
  <c r="O213" i="234" s="1"/>
  <c r="N213" i="234" a="1"/>
  <c r="N213" i="234" s="1"/>
  <c r="M213" i="234" a="1"/>
  <c r="M213" i="234" s="1"/>
  <c r="J213" i="234" a="1"/>
  <c r="J213" i="234" s="1"/>
  <c r="I213" i="234" a="1"/>
  <c r="I213" i="234" s="1"/>
  <c r="H213" i="234" a="1"/>
  <c r="H213" i="234" s="1"/>
  <c r="G213" i="234" a="1"/>
  <c r="G213" i="234" s="1"/>
  <c r="F213" i="234" a="1"/>
  <c r="F213" i="234" s="1"/>
  <c r="E213" i="234" a="1"/>
  <c r="E213" i="234" s="1"/>
  <c r="D213" i="234" a="1"/>
  <c r="D213" i="234" s="1"/>
  <c r="C213" i="234" a="1"/>
  <c r="C213" i="234" s="1"/>
  <c r="T214" i="234" a="1"/>
  <c r="T214" i="234" s="1"/>
  <c r="S214" i="234" a="1"/>
  <c r="S214" i="234" s="1"/>
  <c r="R214" i="234" a="1"/>
  <c r="R214" i="234" s="1"/>
  <c r="Q214" i="234" a="1"/>
  <c r="Q214" i="234" s="1"/>
  <c r="P214" i="234" a="1"/>
  <c r="P214" i="234" s="1"/>
  <c r="O214" i="234" a="1"/>
  <c r="O214" i="234" s="1"/>
  <c r="N214" i="234" a="1"/>
  <c r="N214" i="234" s="1"/>
  <c r="M214" i="234" a="1"/>
  <c r="M214" i="234" s="1"/>
  <c r="F214" i="234" a="1"/>
  <c r="F214" i="234" s="1"/>
  <c r="J214" i="234" a="1"/>
  <c r="J214" i="234" s="1"/>
  <c r="I214" i="234" a="1"/>
  <c r="I214" i="234" s="1"/>
  <c r="H214" i="234" a="1"/>
  <c r="H214" i="234" s="1"/>
  <c r="G214" i="234" a="1"/>
  <c r="G214" i="234" s="1"/>
  <c r="E214" i="234" a="1"/>
  <c r="E214" i="234" s="1"/>
  <c r="D214" i="234" a="1"/>
  <c r="D214" i="234" s="1"/>
  <c r="C214" i="234" a="1"/>
  <c r="C214" i="234" s="1"/>
  <c r="T215" i="234" a="1"/>
  <c r="T215" i="234" s="1"/>
  <c r="S215" i="234" a="1"/>
  <c r="S215" i="234" s="1"/>
  <c r="R215" i="234" a="1"/>
  <c r="R215" i="234" s="1"/>
  <c r="Q215" i="234" a="1"/>
  <c r="Q215" i="234" s="1"/>
  <c r="P215" i="234" a="1"/>
  <c r="P215" i="234" s="1"/>
  <c r="O215" i="234" a="1"/>
  <c r="O215" i="234" s="1"/>
  <c r="N215" i="234" a="1"/>
  <c r="N215" i="234" s="1"/>
  <c r="M215" i="234" a="1"/>
  <c r="M215" i="234" s="1"/>
  <c r="J215" i="234" a="1"/>
  <c r="J215" i="234" s="1"/>
  <c r="I215" i="234" a="1"/>
  <c r="I215" i="234" s="1"/>
  <c r="H215" i="234" a="1"/>
  <c r="H215" i="234" s="1"/>
  <c r="G215" i="234" a="1"/>
  <c r="G215" i="234" s="1"/>
  <c r="F215" i="234" a="1"/>
  <c r="F215" i="234" s="1"/>
  <c r="E215" i="234" a="1"/>
  <c r="E215" i="234" s="1"/>
  <c r="D215" i="234" a="1"/>
  <c r="D215" i="234" s="1"/>
  <c r="C215" i="234" a="1"/>
  <c r="C215" i="234" s="1"/>
  <c r="T216" i="234" a="1"/>
  <c r="T216" i="234" s="1"/>
  <c r="S216" i="234" a="1"/>
  <c r="S216" i="234" s="1"/>
  <c r="R216" i="234" a="1"/>
  <c r="R216" i="234" s="1"/>
  <c r="Q216" i="234" a="1"/>
  <c r="Q216" i="234" s="1"/>
  <c r="P216" i="234" a="1"/>
  <c r="P216" i="234" s="1"/>
  <c r="O216" i="234" a="1"/>
  <c r="O216" i="234" s="1"/>
  <c r="N216" i="234" a="1"/>
  <c r="N216" i="234" s="1"/>
  <c r="M216" i="234" a="1"/>
  <c r="M216" i="234" s="1"/>
  <c r="J216" i="234" a="1"/>
  <c r="J216" i="234" s="1"/>
  <c r="I216" i="234" a="1"/>
  <c r="I216" i="234" s="1"/>
  <c r="H216" i="234" a="1"/>
  <c r="H216" i="234" s="1"/>
  <c r="G216" i="234" a="1"/>
  <c r="G216" i="234" s="1"/>
  <c r="F216" i="234" a="1"/>
  <c r="F216" i="234" s="1"/>
  <c r="E216" i="234" a="1"/>
  <c r="E216" i="234" s="1"/>
  <c r="D216" i="234" a="1"/>
  <c r="D216" i="234" s="1"/>
  <c r="C216" i="234" a="1"/>
  <c r="C216" i="234" s="1"/>
  <c r="T217" i="234" a="1"/>
  <c r="T217" i="234" s="1"/>
  <c r="S217" i="234" a="1"/>
  <c r="S217" i="234" s="1"/>
  <c r="R217" i="234" a="1"/>
  <c r="R217" i="234" s="1"/>
  <c r="Q217" i="234" a="1"/>
  <c r="Q217" i="234" s="1"/>
  <c r="P217" i="234" a="1"/>
  <c r="P217" i="234" s="1"/>
  <c r="O217" i="234" a="1"/>
  <c r="O217" i="234" s="1"/>
  <c r="N217" i="234" a="1"/>
  <c r="N217" i="234" s="1"/>
  <c r="M217" i="234" a="1"/>
  <c r="M217" i="234" s="1"/>
  <c r="J217" i="234" a="1"/>
  <c r="J217" i="234" s="1"/>
  <c r="I217" i="234" a="1"/>
  <c r="I217" i="234" s="1"/>
  <c r="H217" i="234" a="1"/>
  <c r="H217" i="234" s="1"/>
  <c r="G217" i="234" a="1"/>
  <c r="G217" i="234" s="1"/>
  <c r="F217" i="234" a="1"/>
  <c r="F217" i="234" s="1"/>
  <c r="E217" i="234" a="1"/>
  <c r="E217" i="234" s="1"/>
  <c r="D217" i="234" a="1"/>
  <c r="D217" i="234" s="1"/>
  <c r="C217" i="234" a="1"/>
  <c r="C217" i="234" s="1"/>
  <c r="T218" i="234" a="1"/>
  <c r="T218" i="234" s="1"/>
  <c r="S218" i="234" a="1"/>
  <c r="S218" i="234" s="1"/>
  <c r="R218" i="234" a="1"/>
  <c r="R218" i="234" s="1"/>
  <c r="Q218" i="234" a="1"/>
  <c r="Q218" i="234" s="1"/>
  <c r="P218" i="234" a="1"/>
  <c r="P218" i="234" s="1"/>
  <c r="O218" i="234" a="1"/>
  <c r="O218" i="234" s="1"/>
  <c r="N218" i="234" a="1"/>
  <c r="N218" i="234" s="1"/>
  <c r="M218" i="234" a="1"/>
  <c r="M218" i="234" s="1"/>
  <c r="J218" i="234" a="1"/>
  <c r="J218" i="234" s="1"/>
  <c r="I218" i="234" a="1"/>
  <c r="I218" i="234" s="1"/>
  <c r="H218" i="234" a="1"/>
  <c r="H218" i="234" s="1"/>
  <c r="G218" i="234" a="1"/>
  <c r="G218" i="234" s="1"/>
  <c r="F218" i="234" a="1"/>
  <c r="F218" i="234" s="1"/>
  <c r="E218" i="234" a="1"/>
  <c r="E218" i="234" s="1"/>
  <c r="D218" i="234" a="1"/>
  <c r="D218" i="234" s="1"/>
  <c r="C218" i="234" a="1"/>
  <c r="C218" i="234" s="1"/>
  <c r="T219" i="234" a="1"/>
  <c r="T219" i="234" s="1"/>
  <c r="S219" i="234" a="1"/>
  <c r="S219" i="234" s="1"/>
  <c r="R219" i="234" a="1"/>
  <c r="R219" i="234" s="1"/>
  <c r="Q219" i="234" a="1"/>
  <c r="Q219" i="234" s="1"/>
  <c r="P219" i="234" a="1"/>
  <c r="P219" i="234" s="1"/>
  <c r="O219" i="234" a="1"/>
  <c r="O219" i="234" s="1"/>
  <c r="N219" i="234" a="1"/>
  <c r="N219" i="234" s="1"/>
  <c r="M219" i="234" a="1"/>
  <c r="M219" i="234" s="1"/>
  <c r="J219" i="234" a="1"/>
  <c r="J219" i="234" s="1"/>
  <c r="I219" i="234" a="1"/>
  <c r="I219" i="234" s="1"/>
  <c r="H219" i="234" a="1"/>
  <c r="H219" i="234" s="1"/>
  <c r="G219" i="234" a="1"/>
  <c r="G219" i="234" s="1"/>
  <c r="F219" i="234" a="1"/>
  <c r="F219" i="234" s="1"/>
  <c r="E219" i="234" a="1"/>
  <c r="E219" i="234" s="1"/>
  <c r="D219" i="234" a="1"/>
  <c r="D219" i="234" s="1"/>
  <c r="C219" i="234" a="1"/>
  <c r="C219" i="234" s="1"/>
  <c r="T220" i="234" a="1"/>
  <c r="T220" i="234" s="1"/>
  <c r="S220" i="234" a="1"/>
  <c r="S220" i="234" s="1"/>
  <c r="R220" i="234" a="1"/>
  <c r="R220" i="234" s="1"/>
  <c r="Q220" i="234" a="1"/>
  <c r="Q220" i="234" s="1"/>
  <c r="P220" i="234" a="1"/>
  <c r="P220" i="234" s="1"/>
  <c r="O220" i="234" a="1"/>
  <c r="O220" i="234" s="1"/>
  <c r="N220" i="234" a="1"/>
  <c r="N220" i="234" s="1"/>
  <c r="M220" i="234" a="1"/>
  <c r="M220" i="234" s="1"/>
  <c r="J220" i="234" a="1"/>
  <c r="J220" i="234" s="1"/>
  <c r="I220" i="234" a="1"/>
  <c r="I220" i="234" s="1"/>
  <c r="H220" i="234" a="1"/>
  <c r="H220" i="234" s="1"/>
  <c r="G220" i="234" a="1"/>
  <c r="G220" i="234" s="1"/>
  <c r="F220" i="234" a="1"/>
  <c r="F220" i="234" s="1"/>
  <c r="E220" i="234" a="1"/>
  <c r="E220" i="234" s="1"/>
  <c r="D220" i="234" a="1"/>
  <c r="D220" i="234" s="1"/>
  <c r="C220" i="234" a="1"/>
  <c r="C220" i="234" s="1"/>
  <c r="T225" i="234" a="1"/>
  <c r="T225" i="234" s="1"/>
  <c r="S225" i="234" a="1"/>
  <c r="S225" i="234" s="1"/>
  <c r="R225" i="234" a="1"/>
  <c r="R225" i="234" s="1"/>
  <c r="Q225" i="234" a="1"/>
  <c r="Q225" i="234" s="1"/>
  <c r="P225" i="234" a="1"/>
  <c r="P225" i="234" s="1"/>
  <c r="O225" i="234" a="1"/>
  <c r="O225" i="234" s="1"/>
  <c r="N225" i="234" a="1"/>
  <c r="N225" i="234" s="1"/>
  <c r="M225" i="234" a="1"/>
  <c r="M225" i="234" s="1"/>
  <c r="J225" i="234" a="1"/>
  <c r="J225" i="234" s="1"/>
  <c r="I225" i="234" a="1"/>
  <c r="I225" i="234" s="1"/>
  <c r="H225" i="234" a="1"/>
  <c r="H225" i="234" s="1"/>
  <c r="G225" i="234" a="1"/>
  <c r="G225" i="234" s="1"/>
  <c r="F225" i="234" a="1"/>
  <c r="F225" i="234" s="1"/>
  <c r="E225" i="234" a="1"/>
  <c r="E225" i="234" s="1"/>
  <c r="D225" i="234" a="1"/>
  <c r="D225" i="234" s="1"/>
  <c r="C225" i="234" a="1"/>
  <c r="C225" i="234" s="1"/>
  <c r="T226" i="234" a="1"/>
  <c r="T226" i="234" s="1"/>
  <c r="S226" i="234" a="1"/>
  <c r="S226" i="234" s="1"/>
  <c r="R226" i="234" a="1"/>
  <c r="R226" i="234" s="1"/>
  <c r="Q226" i="234" a="1"/>
  <c r="Q226" i="234" s="1"/>
  <c r="P226" i="234" a="1"/>
  <c r="P226" i="234" s="1"/>
  <c r="O226" i="234" a="1"/>
  <c r="O226" i="234" s="1"/>
  <c r="N226" i="234" a="1"/>
  <c r="N226" i="234" s="1"/>
  <c r="M226" i="234" a="1"/>
  <c r="M226" i="234" s="1"/>
  <c r="J226" i="234" a="1"/>
  <c r="J226" i="234" s="1"/>
  <c r="I226" i="234" a="1"/>
  <c r="I226" i="234" s="1"/>
  <c r="H226" i="234" a="1"/>
  <c r="H226" i="234" s="1"/>
  <c r="G226" i="234" a="1"/>
  <c r="G226" i="234" s="1"/>
  <c r="F226" i="234" a="1"/>
  <c r="F226" i="234" s="1"/>
  <c r="E226" i="234" a="1"/>
  <c r="E226" i="234" s="1"/>
  <c r="D226" i="234" a="1"/>
  <c r="D226" i="234" s="1"/>
  <c r="C226" i="234" a="1"/>
  <c r="C226" i="234" s="1"/>
  <c r="T227" i="234" a="1"/>
  <c r="T227" i="234" s="1"/>
  <c r="S227" i="234" a="1"/>
  <c r="S227" i="234" s="1"/>
  <c r="R227" i="234" a="1"/>
  <c r="R227" i="234" s="1"/>
  <c r="Q227" i="234" a="1"/>
  <c r="Q227" i="234" s="1"/>
  <c r="P227" i="234" a="1"/>
  <c r="P227" i="234" s="1"/>
  <c r="O227" i="234" a="1"/>
  <c r="O227" i="234" s="1"/>
  <c r="N227" i="234" a="1"/>
  <c r="N227" i="234" s="1"/>
  <c r="M227" i="234" a="1"/>
  <c r="M227" i="234" s="1"/>
  <c r="J227" i="234" a="1"/>
  <c r="J227" i="234" s="1"/>
  <c r="I227" i="234" a="1"/>
  <c r="I227" i="234" s="1"/>
  <c r="H227" i="234" a="1"/>
  <c r="H227" i="234" s="1"/>
  <c r="G227" i="234" a="1"/>
  <c r="G227" i="234" s="1"/>
  <c r="F227" i="234" a="1"/>
  <c r="F227" i="234" s="1"/>
  <c r="E227" i="234" a="1"/>
  <c r="E227" i="234" s="1"/>
  <c r="D227" i="234" a="1"/>
  <c r="D227" i="234" s="1"/>
  <c r="C227" i="234" a="1"/>
  <c r="C227" i="234" s="1"/>
  <c r="T228" i="234" a="1"/>
  <c r="T228" i="234" s="1"/>
  <c r="S228" i="234" a="1"/>
  <c r="S228" i="234" s="1"/>
  <c r="R228" i="234" a="1"/>
  <c r="R228" i="234" s="1"/>
  <c r="Q228" i="234" a="1"/>
  <c r="Q228" i="234" s="1"/>
  <c r="P228" i="234" a="1"/>
  <c r="P228" i="234" s="1"/>
  <c r="O228" i="234" a="1"/>
  <c r="O228" i="234" s="1"/>
  <c r="N228" i="234" a="1"/>
  <c r="N228" i="234" s="1"/>
  <c r="M228" i="234" a="1"/>
  <c r="M228" i="234" s="1"/>
  <c r="J228" i="234" a="1"/>
  <c r="J228" i="234" s="1"/>
  <c r="I228" i="234" a="1"/>
  <c r="I228" i="234" s="1"/>
  <c r="H228" i="234" a="1"/>
  <c r="H228" i="234" s="1"/>
  <c r="G228" i="234" a="1"/>
  <c r="G228" i="234" s="1"/>
  <c r="F228" i="234" a="1"/>
  <c r="F228" i="234" s="1"/>
  <c r="E228" i="234" a="1"/>
  <c r="E228" i="234" s="1"/>
  <c r="D228" i="234" a="1"/>
  <c r="D228" i="234" s="1"/>
  <c r="C228" i="234" a="1"/>
  <c r="C228" i="234" s="1"/>
  <c r="T229" i="234" a="1"/>
  <c r="T229" i="234" s="1"/>
  <c r="S229" i="234" a="1"/>
  <c r="S229" i="234" s="1"/>
  <c r="R229" i="234" a="1"/>
  <c r="R229" i="234" s="1"/>
  <c r="Q229" i="234" a="1"/>
  <c r="Q229" i="234" s="1"/>
  <c r="P229" i="234" a="1"/>
  <c r="P229" i="234" s="1"/>
  <c r="O229" i="234" a="1"/>
  <c r="O229" i="234" s="1"/>
  <c r="N229" i="234" a="1"/>
  <c r="N229" i="234" s="1"/>
  <c r="M229" i="234" a="1"/>
  <c r="M229" i="234" s="1"/>
  <c r="J229" i="234" a="1"/>
  <c r="J229" i="234" s="1"/>
  <c r="I229" i="234" a="1"/>
  <c r="I229" i="234" s="1"/>
  <c r="H229" i="234" a="1"/>
  <c r="H229" i="234" s="1"/>
  <c r="G229" i="234" a="1"/>
  <c r="G229" i="234" s="1"/>
  <c r="F229" i="234" a="1"/>
  <c r="F229" i="234" s="1"/>
  <c r="E229" i="234" a="1"/>
  <c r="E229" i="234" s="1"/>
  <c r="D229" i="234" a="1"/>
  <c r="D229" i="234" s="1"/>
  <c r="C229" i="234" a="1"/>
  <c r="C229" i="234" s="1"/>
  <c r="T230" i="234" a="1"/>
  <c r="T230" i="234" s="1"/>
  <c r="S230" i="234" a="1"/>
  <c r="S230" i="234" s="1"/>
  <c r="R230" i="234" a="1"/>
  <c r="R230" i="234" s="1"/>
  <c r="Q230" i="234" a="1"/>
  <c r="Q230" i="234" s="1"/>
  <c r="P230" i="234" a="1"/>
  <c r="P230" i="234" s="1"/>
  <c r="O230" i="234" a="1"/>
  <c r="O230" i="234" s="1"/>
  <c r="N230" i="234" a="1"/>
  <c r="N230" i="234" s="1"/>
  <c r="M230" i="234" a="1"/>
  <c r="M230" i="234" s="1"/>
  <c r="J230" i="234" a="1"/>
  <c r="J230" i="234" s="1"/>
  <c r="I230" i="234" a="1"/>
  <c r="I230" i="234" s="1"/>
  <c r="H230" i="234" a="1"/>
  <c r="H230" i="234" s="1"/>
  <c r="G230" i="234" a="1"/>
  <c r="G230" i="234" s="1"/>
  <c r="F230" i="234" a="1"/>
  <c r="F230" i="234" s="1"/>
  <c r="E230" i="234" a="1"/>
  <c r="E230" i="234" s="1"/>
  <c r="D230" i="234" a="1"/>
  <c r="D230" i="234" s="1"/>
  <c r="C230" i="234" a="1"/>
  <c r="C230" i="234" s="1"/>
  <c r="T231" i="234" a="1"/>
  <c r="T231" i="234" s="1"/>
  <c r="S231" i="234" a="1"/>
  <c r="S231" i="234" s="1"/>
  <c r="R231" i="234" a="1"/>
  <c r="R231" i="234" s="1"/>
  <c r="Q231" i="234" a="1"/>
  <c r="Q231" i="234" s="1"/>
  <c r="P231" i="234" a="1"/>
  <c r="P231" i="234" s="1"/>
  <c r="O231" i="234" a="1"/>
  <c r="O231" i="234" s="1"/>
  <c r="N231" i="234" a="1"/>
  <c r="N231" i="234" s="1"/>
  <c r="M231" i="234" a="1"/>
  <c r="M231" i="234" s="1"/>
  <c r="J231" i="234" a="1"/>
  <c r="J231" i="234" s="1"/>
  <c r="I231" i="234" a="1"/>
  <c r="I231" i="234" s="1"/>
  <c r="H231" i="234" a="1"/>
  <c r="H231" i="234" s="1"/>
  <c r="G231" i="234" a="1"/>
  <c r="G231" i="234" s="1"/>
  <c r="F231" i="234" a="1"/>
  <c r="F231" i="234" s="1"/>
  <c r="E231" i="234" a="1"/>
  <c r="E231" i="234" s="1"/>
  <c r="D231" i="234" a="1"/>
  <c r="D231" i="234" s="1"/>
  <c r="C231" i="234" a="1"/>
  <c r="C231" i="234" s="1"/>
  <c r="T232" i="234" a="1"/>
  <c r="T232" i="234" s="1"/>
  <c r="S232" i="234" a="1"/>
  <c r="S232" i="234" s="1"/>
  <c r="R232" i="234" a="1"/>
  <c r="R232" i="234" s="1"/>
  <c r="Q232" i="234" a="1"/>
  <c r="Q232" i="234" s="1"/>
  <c r="P232" i="234" a="1"/>
  <c r="P232" i="234" s="1"/>
  <c r="O232" i="234" a="1"/>
  <c r="O232" i="234" s="1"/>
  <c r="N232" i="234" a="1"/>
  <c r="N232" i="234" s="1"/>
  <c r="M232" i="234" a="1"/>
  <c r="M232" i="234" s="1"/>
  <c r="J232" i="234" a="1"/>
  <c r="J232" i="234" s="1"/>
  <c r="I232" i="234" a="1"/>
  <c r="I232" i="234" s="1"/>
  <c r="H232" i="234" a="1"/>
  <c r="H232" i="234" s="1"/>
  <c r="G232" i="234" a="1"/>
  <c r="G232" i="234" s="1"/>
  <c r="F232" i="234" a="1"/>
  <c r="F232" i="234" s="1"/>
  <c r="E232" i="234" a="1"/>
  <c r="E232" i="234" s="1"/>
  <c r="D232" i="234" a="1"/>
  <c r="D232" i="234" s="1"/>
  <c r="C232" i="234" a="1"/>
  <c r="C232" i="234" s="1"/>
  <c r="T233" i="234" a="1"/>
  <c r="T233" i="234" s="1"/>
  <c r="S233" i="234" a="1"/>
  <c r="S233" i="234" s="1"/>
  <c r="R233" i="234" a="1"/>
  <c r="R233" i="234" s="1"/>
  <c r="Q233" i="234" a="1"/>
  <c r="Q233" i="234" s="1"/>
  <c r="P233" i="234" a="1"/>
  <c r="P233" i="234" s="1"/>
  <c r="O233" i="234" a="1"/>
  <c r="O233" i="234" s="1"/>
  <c r="N233" i="234" a="1"/>
  <c r="N233" i="234" s="1"/>
  <c r="M233" i="234" a="1"/>
  <c r="M233" i="234" s="1"/>
  <c r="J233" i="234" a="1"/>
  <c r="J233" i="234" s="1"/>
  <c r="I233" i="234" a="1"/>
  <c r="I233" i="234" s="1"/>
  <c r="H233" i="234" a="1"/>
  <c r="H233" i="234" s="1"/>
  <c r="G233" i="234" a="1"/>
  <c r="G233" i="234" s="1"/>
  <c r="F233" i="234" a="1"/>
  <c r="F233" i="234" s="1"/>
  <c r="E233" i="234" a="1"/>
  <c r="E233" i="234" s="1"/>
  <c r="D233" i="234" a="1"/>
  <c r="D233" i="234" s="1"/>
  <c r="C233" i="234" a="1"/>
  <c r="C233" i="234" s="1"/>
  <c r="T234" i="234" a="1"/>
  <c r="T234" i="234" s="1"/>
  <c r="S234" i="234" a="1"/>
  <c r="S234" i="234" s="1"/>
  <c r="R234" i="234" a="1"/>
  <c r="R234" i="234" s="1"/>
  <c r="Q234" i="234" a="1"/>
  <c r="Q234" i="234" s="1"/>
  <c r="P234" i="234" a="1"/>
  <c r="P234" i="234" s="1"/>
  <c r="O234" i="234" a="1"/>
  <c r="O234" i="234" s="1"/>
  <c r="N234" i="234" a="1"/>
  <c r="N234" i="234" s="1"/>
  <c r="M234" i="234" a="1"/>
  <c r="M234" i="234" s="1"/>
  <c r="J234" i="234" a="1"/>
  <c r="J234" i="234" s="1"/>
  <c r="I234" i="234" a="1"/>
  <c r="I234" i="234" s="1"/>
  <c r="H234" i="234" a="1"/>
  <c r="H234" i="234" s="1"/>
  <c r="G234" i="234" a="1"/>
  <c r="G234" i="234" s="1"/>
  <c r="F234" i="234" a="1"/>
  <c r="F234" i="234" s="1"/>
  <c r="E234" i="234" a="1"/>
  <c r="E234" i="234" s="1"/>
  <c r="D234" i="234" a="1"/>
  <c r="D234" i="234" s="1"/>
  <c r="C234" i="234" a="1"/>
  <c r="C234" i="234" s="1"/>
  <c r="T235" i="234" a="1"/>
  <c r="T235" i="234" s="1"/>
  <c r="S235" i="234" a="1"/>
  <c r="S235" i="234" s="1"/>
  <c r="R235" i="234" a="1"/>
  <c r="R235" i="234" s="1"/>
  <c r="Q235" i="234" a="1"/>
  <c r="Q235" i="234" s="1"/>
  <c r="P235" i="234" a="1"/>
  <c r="P235" i="234" s="1"/>
  <c r="O235" i="234" a="1"/>
  <c r="O235" i="234" s="1"/>
  <c r="N235" i="234" a="1"/>
  <c r="N235" i="234" s="1"/>
  <c r="M235" i="234" a="1"/>
  <c r="M235" i="234" s="1"/>
  <c r="J235" i="234" a="1"/>
  <c r="J235" i="234" s="1"/>
  <c r="I235" i="234" a="1"/>
  <c r="I235" i="234" s="1"/>
  <c r="H235" i="234" a="1"/>
  <c r="H235" i="234" s="1"/>
  <c r="G235" i="234" a="1"/>
  <c r="G235" i="234" s="1"/>
  <c r="F235" i="234" a="1"/>
  <c r="F235" i="234" s="1"/>
  <c r="E235" i="234" a="1"/>
  <c r="E235" i="234" s="1"/>
  <c r="D235" i="234" a="1"/>
  <c r="D235" i="234" s="1"/>
  <c r="C235" i="234" a="1"/>
  <c r="C235" i="234" s="1"/>
  <c r="T236" i="234" a="1"/>
  <c r="T236" i="234" s="1"/>
  <c r="S236" i="234" a="1"/>
  <c r="S236" i="234" s="1"/>
  <c r="R236" i="234" a="1"/>
  <c r="R236" i="234" s="1"/>
  <c r="Q236" i="234" a="1"/>
  <c r="Q236" i="234" s="1"/>
  <c r="P236" i="234" a="1"/>
  <c r="P236" i="234" s="1"/>
  <c r="O236" i="234" a="1"/>
  <c r="O236" i="234" s="1"/>
  <c r="N236" i="234" a="1"/>
  <c r="N236" i="234" s="1"/>
  <c r="M236" i="234" a="1"/>
  <c r="M236" i="234" s="1"/>
  <c r="J236" i="234" a="1"/>
  <c r="J236" i="234" s="1"/>
  <c r="I236" i="234" a="1"/>
  <c r="I236" i="234" s="1"/>
  <c r="H236" i="234" a="1"/>
  <c r="H236" i="234" s="1"/>
  <c r="G236" i="234" a="1"/>
  <c r="G236" i="234" s="1"/>
  <c r="F236" i="234" a="1"/>
  <c r="F236" i="234" s="1"/>
  <c r="E236" i="234" a="1"/>
  <c r="E236" i="234" s="1"/>
  <c r="D236" i="234" a="1"/>
  <c r="D236" i="234" s="1"/>
  <c r="C236" i="234" a="1"/>
  <c r="C236" i="234" s="1"/>
  <c r="T237" i="234" a="1"/>
  <c r="T237" i="234" s="1"/>
  <c r="S237" i="234" a="1"/>
  <c r="S237" i="234" s="1"/>
  <c r="R237" i="234" a="1"/>
  <c r="R237" i="234" s="1"/>
  <c r="Q237" i="234" a="1"/>
  <c r="Q237" i="234" s="1"/>
  <c r="P237" i="234" a="1"/>
  <c r="P237" i="234" s="1"/>
  <c r="O237" i="234" a="1"/>
  <c r="O237" i="234" s="1"/>
  <c r="N237" i="234" a="1"/>
  <c r="N237" i="234" s="1"/>
  <c r="M237" i="234" a="1"/>
  <c r="M237" i="234" s="1"/>
  <c r="J237" i="234" a="1"/>
  <c r="J237" i="234" s="1"/>
  <c r="I237" i="234" a="1"/>
  <c r="I237" i="234" s="1"/>
  <c r="H237" i="234" a="1"/>
  <c r="H237" i="234" s="1"/>
  <c r="G237" i="234" a="1"/>
  <c r="G237" i="234" s="1"/>
  <c r="F237" i="234" a="1"/>
  <c r="F237" i="234" s="1"/>
  <c r="E237" i="234" a="1"/>
  <c r="E237" i="234" s="1"/>
  <c r="D237" i="234" a="1"/>
  <c r="D237" i="234" s="1"/>
  <c r="C237" i="234" a="1"/>
  <c r="C237" i="234" s="1"/>
  <c r="T238" i="234" a="1"/>
  <c r="T238" i="234" s="1"/>
  <c r="S238" i="234" a="1"/>
  <c r="S238" i="234" s="1"/>
  <c r="R238" i="234" a="1"/>
  <c r="R238" i="234" s="1"/>
  <c r="Q238" i="234" a="1"/>
  <c r="Q238" i="234" s="1"/>
  <c r="P238" i="234" a="1"/>
  <c r="P238" i="234" s="1"/>
  <c r="O238" i="234" a="1"/>
  <c r="O238" i="234" s="1"/>
  <c r="N238" i="234" a="1"/>
  <c r="N238" i="234" s="1"/>
  <c r="M238" i="234" a="1"/>
  <c r="M238" i="234" s="1"/>
  <c r="J238" i="234" a="1"/>
  <c r="J238" i="234" s="1"/>
  <c r="I238" i="234" a="1"/>
  <c r="I238" i="234" s="1"/>
  <c r="H238" i="234" a="1"/>
  <c r="H238" i="234" s="1"/>
  <c r="G238" i="234" a="1"/>
  <c r="G238" i="234" s="1"/>
  <c r="F238" i="234" a="1"/>
  <c r="F238" i="234" s="1"/>
  <c r="E238" i="234" a="1"/>
  <c r="E238" i="234" s="1"/>
  <c r="D238" i="234" a="1"/>
  <c r="D238" i="234" s="1"/>
  <c r="C238" i="234" a="1"/>
  <c r="C238" i="234" s="1"/>
  <c r="T239" i="234" a="1"/>
  <c r="T239" i="234" s="1"/>
  <c r="S239" i="234" a="1"/>
  <c r="S239" i="234" s="1"/>
  <c r="R239" i="234" a="1"/>
  <c r="R239" i="234" s="1"/>
  <c r="Q239" i="234" a="1"/>
  <c r="Q239" i="234" s="1"/>
  <c r="P239" i="234" a="1"/>
  <c r="P239" i="234" s="1"/>
  <c r="O239" i="234" a="1"/>
  <c r="O239" i="234" s="1"/>
  <c r="N239" i="234" a="1"/>
  <c r="N239" i="234" s="1"/>
  <c r="M239" i="234" a="1"/>
  <c r="M239" i="234" s="1"/>
  <c r="J239" i="234" a="1"/>
  <c r="J239" i="234" s="1"/>
  <c r="I239" i="234" a="1"/>
  <c r="I239" i="234" s="1"/>
  <c r="H239" i="234" a="1"/>
  <c r="H239" i="234" s="1"/>
  <c r="G239" i="234" a="1"/>
  <c r="G239" i="234" s="1"/>
  <c r="F239" i="234" a="1"/>
  <c r="F239" i="234" s="1"/>
  <c r="E239" i="234" a="1"/>
  <c r="E239" i="234" s="1"/>
  <c r="D239" i="234" a="1"/>
  <c r="D239" i="234" s="1"/>
  <c r="C239" i="234" a="1"/>
  <c r="C239" i="234" s="1"/>
  <c r="T244" i="234" a="1"/>
  <c r="T244" i="234" s="1"/>
  <c r="S244" i="234" a="1"/>
  <c r="S244" i="234" s="1"/>
  <c r="R244" i="234" a="1"/>
  <c r="R244" i="234" s="1"/>
  <c r="Q244" i="234" a="1"/>
  <c r="Q244" i="234" s="1"/>
  <c r="P244" i="234" a="1"/>
  <c r="P244" i="234" s="1"/>
  <c r="O244" i="234" a="1"/>
  <c r="O244" i="234" s="1"/>
  <c r="N244" i="234" a="1"/>
  <c r="N244" i="234" s="1"/>
  <c r="M244" i="234" a="1"/>
  <c r="M244" i="234" s="1"/>
  <c r="J244" i="234" a="1"/>
  <c r="J244" i="234" s="1"/>
  <c r="I244" i="234" a="1"/>
  <c r="I244" i="234" s="1"/>
  <c r="H244" i="234" a="1"/>
  <c r="H244" i="234" s="1"/>
  <c r="G244" i="234" a="1"/>
  <c r="G244" i="234" s="1"/>
  <c r="F244" i="234" a="1"/>
  <c r="F244" i="234" s="1"/>
  <c r="E244" i="234" a="1"/>
  <c r="E244" i="234" s="1"/>
  <c r="D244" i="234" a="1"/>
  <c r="D244" i="234" s="1"/>
  <c r="C244" i="234" a="1"/>
  <c r="C244" i="234" s="1"/>
  <c r="T245" i="234" a="1"/>
  <c r="T245" i="234" s="1"/>
  <c r="S245" i="234" a="1"/>
  <c r="S245" i="234" s="1"/>
  <c r="R245" i="234" a="1"/>
  <c r="R245" i="234" s="1"/>
  <c r="Q245" i="234" a="1"/>
  <c r="Q245" i="234" s="1"/>
  <c r="P245" i="234" a="1"/>
  <c r="P245" i="234" s="1"/>
  <c r="O245" i="234" a="1"/>
  <c r="O245" i="234" s="1"/>
  <c r="N245" i="234" a="1"/>
  <c r="N245" i="234" s="1"/>
  <c r="M245" i="234" a="1"/>
  <c r="M245" i="234" s="1"/>
  <c r="J245" i="234" a="1"/>
  <c r="J245" i="234" s="1"/>
  <c r="I245" i="234" a="1"/>
  <c r="I245" i="234" s="1"/>
  <c r="H245" i="234" a="1"/>
  <c r="H245" i="234" s="1"/>
  <c r="G245" i="234" a="1"/>
  <c r="G245" i="234" s="1"/>
  <c r="F245" i="234" a="1"/>
  <c r="F245" i="234" s="1"/>
  <c r="E245" i="234" a="1"/>
  <c r="E245" i="234" s="1"/>
  <c r="D245" i="234" a="1"/>
  <c r="D245" i="234" s="1"/>
  <c r="C245" i="234" a="1"/>
  <c r="C245" i="234" s="1"/>
  <c r="T246" i="234" a="1"/>
  <c r="T246" i="234" s="1"/>
  <c r="S246" i="234" a="1"/>
  <c r="S246" i="234" s="1"/>
  <c r="R246" i="234" a="1"/>
  <c r="R246" i="234" s="1"/>
  <c r="Q246" i="234" a="1"/>
  <c r="Q246" i="234" s="1"/>
  <c r="P246" i="234" a="1"/>
  <c r="P246" i="234" s="1"/>
  <c r="O246" i="234" a="1"/>
  <c r="O246" i="234" s="1"/>
  <c r="N246" i="234" a="1"/>
  <c r="N246" i="234" s="1"/>
  <c r="M246" i="234" a="1"/>
  <c r="M246" i="234" s="1"/>
  <c r="J246" i="234" a="1"/>
  <c r="J246" i="234" s="1"/>
  <c r="I246" i="234" a="1"/>
  <c r="I246" i="234" s="1"/>
  <c r="H246" i="234" a="1"/>
  <c r="H246" i="234" s="1"/>
  <c r="G246" i="234" a="1"/>
  <c r="G246" i="234" s="1"/>
  <c r="F246" i="234" a="1"/>
  <c r="F246" i="234" s="1"/>
  <c r="E246" i="234" a="1"/>
  <c r="E246" i="234" s="1"/>
  <c r="D246" i="234" a="1"/>
  <c r="D246" i="234" s="1"/>
  <c r="C246" i="234" a="1"/>
  <c r="C246" i="234" s="1"/>
  <c r="T247" i="234" a="1"/>
  <c r="T247" i="234" s="1"/>
  <c r="S247" i="234" a="1"/>
  <c r="S247" i="234" s="1"/>
  <c r="R247" i="234" a="1"/>
  <c r="R247" i="234" s="1"/>
  <c r="Q247" i="234" a="1"/>
  <c r="Q247" i="234" s="1"/>
  <c r="P247" i="234" a="1"/>
  <c r="P247" i="234" s="1"/>
  <c r="O247" i="234" a="1"/>
  <c r="O247" i="234" s="1"/>
  <c r="N247" i="234" a="1"/>
  <c r="N247" i="234" s="1"/>
  <c r="M247" i="234" a="1"/>
  <c r="M247" i="234" s="1"/>
  <c r="J247" i="234" a="1"/>
  <c r="J247" i="234" s="1"/>
  <c r="I247" i="234" a="1"/>
  <c r="I247" i="234" s="1"/>
  <c r="H247" i="234" a="1"/>
  <c r="H247" i="234" s="1"/>
  <c r="G247" i="234" a="1"/>
  <c r="G247" i="234" s="1"/>
  <c r="F247" i="234" a="1"/>
  <c r="F247" i="234" s="1"/>
  <c r="E247" i="234" a="1"/>
  <c r="E247" i="234" s="1"/>
  <c r="D247" i="234" a="1"/>
  <c r="D247" i="234" s="1"/>
  <c r="C247" i="234" a="1"/>
  <c r="C247" i="234" s="1"/>
  <c r="T248" i="234" a="1"/>
  <c r="T248" i="234" s="1"/>
  <c r="S248" i="234" a="1"/>
  <c r="S248" i="234" s="1"/>
  <c r="R248" i="234" a="1"/>
  <c r="R248" i="234" s="1"/>
  <c r="Q248" i="234" a="1"/>
  <c r="Q248" i="234" s="1"/>
  <c r="P248" i="234" a="1"/>
  <c r="P248" i="234" s="1"/>
  <c r="O248" i="234" a="1"/>
  <c r="O248" i="234" s="1"/>
  <c r="N248" i="234" a="1"/>
  <c r="N248" i="234" s="1"/>
  <c r="M248" i="234" a="1"/>
  <c r="M248" i="234" s="1"/>
  <c r="J248" i="234" a="1"/>
  <c r="J248" i="234" s="1"/>
  <c r="I248" i="234" a="1"/>
  <c r="I248" i="234" s="1"/>
  <c r="H248" i="234" a="1"/>
  <c r="H248" i="234" s="1"/>
  <c r="G248" i="234" a="1"/>
  <c r="G248" i="234" s="1"/>
  <c r="F248" i="234" a="1"/>
  <c r="F248" i="234" s="1"/>
  <c r="E248" i="234" a="1"/>
  <c r="E248" i="234" s="1"/>
  <c r="D248" i="234" a="1"/>
  <c r="D248" i="234" s="1"/>
  <c r="C248" i="234" a="1"/>
  <c r="C248" i="234" s="1"/>
  <c r="T249" i="234" a="1"/>
  <c r="T249" i="234" s="1"/>
  <c r="S249" i="234" a="1"/>
  <c r="S249" i="234" s="1"/>
  <c r="R249" i="234" a="1"/>
  <c r="R249" i="234" s="1"/>
  <c r="Q249" i="234" a="1"/>
  <c r="Q249" i="234" s="1"/>
  <c r="P249" i="234" a="1"/>
  <c r="P249" i="234" s="1"/>
  <c r="O249" i="234" a="1"/>
  <c r="O249" i="234" s="1"/>
  <c r="N249" i="234" a="1"/>
  <c r="N249" i="234" s="1"/>
  <c r="M249" i="234" a="1"/>
  <c r="M249" i="234" s="1"/>
  <c r="J249" i="234" a="1"/>
  <c r="J249" i="234" s="1"/>
  <c r="I249" i="234" a="1"/>
  <c r="I249" i="234" s="1"/>
  <c r="H249" i="234" a="1"/>
  <c r="H249" i="234" s="1"/>
  <c r="G249" i="234" a="1"/>
  <c r="G249" i="234" s="1"/>
  <c r="F249" i="234" a="1"/>
  <c r="F249" i="234" s="1"/>
  <c r="E249" i="234" a="1"/>
  <c r="E249" i="234" s="1"/>
  <c r="D249" i="234" a="1"/>
  <c r="D249" i="234" s="1"/>
  <c r="C249" i="234" a="1"/>
  <c r="C249" i="234" s="1"/>
  <c r="T250" i="234" a="1"/>
  <c r="T250" i="234" s="1"/>
  <c r="S250" i="234" a="1"/>
  <c r="S250" i="234" s="1"/>
  <c r="R250" i="234" a="1"/>
  <c r="R250" i="234" s="1"/>
  <c r="Q250" i="234" a="1"/>
  <c r="Q250" i="234" s="1"/>
  <c r="P250" i="234" a="1"/>
  <c r="P250" i="234" s="1"/>
  <c r="O250" i="234" a="1"/>
  <c r="O250" i="234" s="1"/>
  <c r="N250" i="234" a="1"/>
  <c r="N250" i="234" s="1"/>
  <c r="M250" i="234" a="1"/>
  <c r="M250" i="234" s="1"/>
  <c r="J250" i="234" a="1"/>
  <c r="J250" i="234" s="1"/>
  <c r="I250" i="234" a="1"/>
  <c r="I250" i="234" s="1"/>
  <c r="H250" i="234" a="1"/>
  <c r="H250" i="234" s="1"/>
  <c r="G250" i="234" a="1"/>
  <c r="G250" i="234" s="1"/>
  <c r="F250" i="234" a="1"/>
  <c r="F250" i="234" s="1"/>
  <c r="E250" i="234" a="1"/>
  <c r="E250" i="234" s="1"/>
  <c r="D250" i="234" a="1"/>
  <c r="D250" i="234" s="1"/>
  <c r="C250" i="234" a="1"/>
  <c r="C250" i="234" s="1"/>
  <c r="T251" i="234" a="1"/>
  <c r="T251" i="234" s="1"/>
  <c r="S251" i="234" a="1"/>
  <c r="S251" i="234" s="1"/>
  <c r="R251" i="234" a="1"/>
  <c r="R251" i="234" s="1"/>
  <c r="Q251" i="234" a="1"/>
  <c r="Q251" i="234" s="1"/>
  <c r="P251" i="234" a="1"/>
  <c r="P251" i="234" s="1"/>
  <c r="O251" i="234" a="1"/>
  <c r="O251" i="234" s="1"/>
  <c r="N251" i="234" a="1"/>
  <c r="N251" i="234" s="1"/>
  <c r="M251" i="234" a="1"/>
  <c r="M251" i="234" s="1"/>
  <c r="J251" i="234" a="1"/>
  <c r="J251" i="234" s="1"/>
  <c r="I251" i="234" a="1"/>
  <c r="I251" i="234" s="1"/>
  <c r="H251" i="234" a="1"/>
  <c r="H251" i="234" s="1"/>
  <c r="G251" i="234" a="1"/>
  <c r="G251" i="234" s="1"/>
  <c r="F251" i="234" a="1"/>
  <c r="F251" i="234" s="1"/>
  <c r="E251" i="234" a="1"/>
  <c r="E251" i="234" s="1"/>
  <c r="D251" i="234" a="1"/>
  <c r="D251" i="234" s="1"/>
  <c r="C251" i="234" a="1"/>
  <c r="C251" i="234" s="1"/>
  <c r="T252" i="234" a="1"/>
  <c r="T252" i="234" s="1"/>
  <c r="S252" i="234" a="1"/>
  <c r="S252" i="234" s="1"/>
  <c r="R252" i="234" a="1"/>
  <c r="R252" i="234" s="1"/>
  <c r="Q252" i="234" a="1"/>
  <c r="Q252" i="234" s="1"/>
  <c r="P252" i="234" a="1"/>
  <c r="P252" i="234" s="1"/>
  <c r="O252" i="234" a="1"/>
  <c r="O252" i="234" s="1"/>
  <c r="N252" i="234" a="1"/>
  <c r="N252" i="234" s="1"/>
  <c r="M252" i="234" a="1"/>
  <c r="M252" i="234" s="1"/>
  <c r="J252" i="234" a="1"/>
  <c r="J252" i="234" s="1"/>
  <c r="I252" i="234" a="1"/>
  <c r="I252" i="234" s="1"/>
  <c r="H252" i="234" a="1"/>
  <c r="H252" i="234" s="1"/>
  <c r="G252" i="234" a="1"/>
  <c r="G252" i="234" s="1"/>
  <c r="F252" i="234" a="1"/>
  <c r="F252" i="234" s="1"/>
  <c r="E252" i="234" a="1"/>
  <c r="E252" i="234" s="1"/>
  <c r="D252" i="234" a="1"/>
  <c r="D252" i="234" s="1"/>
  <c r="C252" i="234" a="1"/>
  <c r="C252" i="234" s="1"/>
  <c r="T253" i="234" a="1"/>
  <c r="T253" i="234" s="1"/>
  <c r="S253" i="234" a="1"/>
  <c r="S253" i="234" s="1"/>
  <c r="R253" i="234" a="1"/>
  <c r="R253" i="234" s="1"/>
  <c r="Q253" i="234" a="1"/>
  <c r="Q253" i="234" s="1"/>
  <c r="P253" i="234" a="1"/>
  <c r="P253" i="234" s="1"/>
  <c r="O253" i="234" a="1"/>
  <c r="O253" i="234" s="1"/>
  <c r="N253" i="234" a="1"/>
  <c r="N253" i="234" s="1"/>
  <c r="M253" i="234" a="1"/>
  <c r="M253" i="234" s="1"/>
  <c r="J253" i="234" a="1"/>
  <c r="J253" i="234" s="1"/>
  <c r="I253" i="234" a="1"/>
  <c r="I253" i="234" s="1"/>
  <c r="H253" i="234" a="1"/>
  <c r="H253" i="234" s="1"/>
  <c r="G253" i="234" a="1"/>
  <c r="G253" i="234" s="1"/>
  <c r="F253" i="234" a="1"/>
  <c r="F253" i="234" s="1"/>
  <c r="E253" i="234" a="1"/>
  <c r="E253" i="234" s="1"/>
  <c r="D253" i="234" a="1"/>
  <c r="D253" i="234" s="1"/>
  <c r="C253" i="234" a="1"/>
  <c r="C253" i="234" s="1"/>
  <c r="T254" i="234" a="1"/>
  <c r="T254" i="234" s="1"/>
  <c r="S254" i="234" a="1"/>
  <c r="S254" i="234" s="1"/>
  <c r="R254" i="234" a="1"/>
  <c r="R254" i="234" s="1"/>
  <c r="Q254" i="234" a="1"/>
  <c r="Q254" i="234" s="1"/>
  <c r="P254" i="234" a="1"/>
  <c r="P254" i="234" s="1"/>
  <c r="O254" i="234" a="1"/>
  <c r="O254" i="234" s="1"/>
  <c r="N254" i="234" a="1"/>
  <c r="N254" i="234" s="1"/>
  <c r="M254" i="234" a="1"/>
  <c r="M254" i="234" s="1"/>
  <c r="J254" i="234" a="1"/>
  <c r="J254" i="234" s="1"/>
  <c r="I254" i="234" a="1"/>
  <c r="I254" i="234" s="1"/>
  <c r="H254" i="234" a="1"/>
  <c r="H254" i="234" s="1"/>
  <c r="G254" i="234" a="1"/>
  <c r="G254" i="234" s="1"/>
  <c r="F254" i="234" a="1"/>
  <c r="F254" i="234" s="1"/>
  <c r="E254" i="234" a="1"/>
  <c r="E254" i="234" s="1"/>
  <c r="D254" i="234" a="1"/>
  <c r="D254" i="234" s="1"/>
  <c r="C254" i="234" a="1"/>
  <c r="C254" i="234" s="1"/>
  <c r="T255" i="234" a="1"/>
  <c r="T255" i="234" s="1"/>
  <c r="S255" i="234" a="1"/>
  <c r="S255" i="234" s="1"/>
  <c r="R255" i="234" a="1"/>
  <c r="R255" i="234" s="1"/>
  <c r="Q255" i="234" a="1"/>
  <c r="Q255" i="234" s="1"/>
  <c r="P255" i="234" a="1"/>
  <c r="P255" i="234" s="1"/>
  <c r="O255" i="234" a="1"/>
  <c r="O255" i="234" s="1"/>
  <c r="N255" i="234" a="1"/>
  <c r="N255" i="234" s="1"/>
  <c r="M255" i="234" a="1"/>
  <c r="M255" i="234" s="1"/>
  <c r="J255" i="234" a="1"/>
  <c r="J255" i="234" s="1"/>
  <c r="I255" i="234" a="1"/>
  <c r="I255" i="234" s="1"/>
  <c r="H255" i="234" a="1"/>
  <c r="H255" i="234" s="1"/>
  <c r="G255" i="234" a="1"/>
  <c r="G255" i="234" s="1"/>
  <c r="F255" i="234" a="1"/>
  <c r="F255" i="234" s="1"/>
  <c r="E255" i="234" a="1"/>
  <c r="E255" i="234" s="1"/>
  <c r="D255" i="234" a="1"/>
  <c r="D255" i="234" s="1"/>
  <c r="C255" i="234" a="1"/>
  <c r="C255" i="234" s="1"/>
  <c r="T256" i="234" a="1"/>
  <c r="T256" i="234" s="1"/>
  <c r="S256" i="234" a="1"/>
  <c r="S256" i="234" s="1"/>
  <c r="R256" i="234" a="1"/>
  <c r="R256" i="234" s="1"/>
  <c r="Q256" i="234" a="1"/>
  <c r="Q256" i="234" s="1"/>
  <c r="P256" i="234" a="1"/>
  <c r="P256" i="234" s="1"/>
  <c r="O256" i="234" a="1"/>
  <c r="O256" i="234" s="1"/>
  <c r="N256" i="234" a="1"/>
  <c r="N256" i="234" s="1"/>
  <c r="M256" i="234" a="1"/>
  <c r="M256" i="234" s="1"/>
  <c r="J256" i="234" a="1"/>
  <c r="J256" i="234" s="1"/>
  <c r="I256" i="234" a="1"/>
  <c r="I256" i="234" s="1"/>
  <c r="H256" i="234" a="1"/>
  <c r="H256" i="234" s="1"/>
  <c r="G256" i="234" a="1"/>
  <c r="G256" i="234" s="1"/>
  <c r="F256" i="234" a="1"/>
  <c r="F256" i="234" s="1"/>
  <c r="E256" i="234" a="1"/>
  <c r="E256" i="234" s="1"/>
  <c r="D256" i="234" a="1"/>
  <c r="D256" i="234" s="1"/>
  <c r="C256" i="234" a="1"/>
  <c r="C256" i="234" s="1"/>
  <c r="T257" i="234" a="1"/>
  <c r="T257" i="234" s="1"/>
  <c r="S257" i="234" a="1"/>
  <c r="S257" i="234" s="1"/>
  <c r="R257" i="234" a="1"/>
  <c r="R257" i="234" s="1"/>
  <c r="Q257" i="234" a="1"/>
  <c r="Q257" i="234" s="1"/>
  <c r="P257" i="234" a="1"/>
  <c r="P257" i="234" s="1"/>
  <c r="O257" i="234" a="1"/>
  <c r="O257" i="234" s="1"/>
  <c r="N257" i="234" a="1"/>
  <c r="N257" i="234" s="1"/>
  <c r="M257" i="234" a="1"/>
  <c r="M257" i="234" s="1"/>
  <c r="J257" i="234" a="1"/>
  <c r="J257" i="234" s="1"/>
  <c r="I257" i="234" a="1"/>
  <c r="I257" i="234" s="1"/>
  <c r="H257" i="234" a="1"/>
  <c r="H257" i="234" s="1"/>
  <c r="G257" i="234" a="1"/>
  <c r="G257" i="234" s="1"/>
  <c r="F257" i="234" a="1"/>
  <c r="F257" i="234" s="1"/>
  <c r="E257" i="234" a="1"/>
  <c r="E257" i="234" s="1"/>
  <c r="D257" i="234" a="1"/>
  <c r="D257" i="234" s="1"/>
  <c r="C257" i="234" a="1"/>
  <c r="C257" i="234" s="1"/>
  <c r="T258" i="234" a="1"/>
  <c r="T258" i="234" s="1"/>
  <c r="S258" i="234" a="1"/>
  <c r="S258" i="234" s="1"/>
  <c r="R258" i="234" a="1"/>
  <c r="R258" i="234" s="1"/>
  <c r="Q258" i="234" a="1"/>
  <c r="Q258" i="234" s="1"/>
  <c r="P258" i="234" a="1"/>
  <c r="P258" i="234" s="1"/>
  <c r="O258" i="234" a="1"/>
  <c r="O258" i="234" s="1"/>
  <c r="N258" i="234" a="1"/>
  <c r="N258" i="234" s="1"/>
  <c r="M258" i="234" a="1"/>
  <c r="M258" i="234" s="1"/>
  <c r="J258" i="234" a="1"/>
  <c r="J258" i="234" s="1"/>
  <c r="I258" i="234" a="1"/>
  <c r="I258" i="234" s="1"/>
  <c r="H258" i="234" a="1"/>
  <c r="H258" i="234" s="1"/>
  <c r="G258" i="234" a="1"/>
  <c r="G258" i="234" s="1"/>
  <c r="F258" i="234" a="1"/>
  <c r="F258" i="234" s="1"/>
  <c r="E258" i="234" a="1"/>
  <c r="E258" i="234" s="1"/>
  <c r="D258" i="234" a="1"/>
  <c r="D258" i="234" s="1"/>
  <c r="C258" i="234" a="1"/>
  <c r="C258" i="234" s="1"/>
  <c r="T263" i="234" a="1"/>
  <c r="T263" i="234" s="1"/>
  <c r="S263" i="234" a="1"/>
  <c r="S263" i="234" s="1"/>
  <c r="R263" i="234" a="1"/>
  <c r="R263" i="234" s="1"/>
  <c r="Q263" i="234" a="1"/>
  <c r="Q263" i="234" s="1"/>
  <c r="P263" i="234" a="1"/>
  <c r="P263" i="234" s="1"/>
  <c r="O263" i="234" a="1"/>
  <c r="O263" i="234" s="1"/>
  <c r="N263" i="234" a="1"/>
  <c r="N263" i="234" s="1"/>
  <c r="M263" i="234" a="1"/>
  <c r="M263" i="234" s="1"/>
  <c r="J263" i="234" a="1"/>
  <c r="J263" i="234" s="1"/>
  <c r="I263" i="234" a="1"/>
  <c r="I263" i="234" s="1"/>
  <c r="H263" i="234" a="1"/>
  <c r="H263" i="234" s="1"/>
  <c r="G263" i="234" a="1"/>
  <c r="G263" i="234" s="1"/>
  <c r="F263" i="234" a="1"/>
  <c r="F263" i="234" s="1"/>
  <c r="E263" i="234" a="1"/>
  <c r="E263" i="234" s="1"/>
  <c r="D263" i="234" a="1"/>
  <c r="D263" i="234" s="1"/>
  <c r="C263" i="234" a="1"/>
  <c r="C263" i="234" s="1"/>
  <c r="T264" i="234" a="1"/>
  <c r="T264" i="234" s="1"/>
  <c r="S264" i="234" a="1"/>
  <c r="S264" i="234" s="1"/>
  <c r="R264" i="234" a="1"/>
  <c r="R264" i="234" s="1"/>
  <c r="Q264" i="234" a="1"/>
  <c r="Q264" i="234" s="1"/>
  <c r="P264" i="234" a="1"/>
  <c r="P264" i="234" s="1"/>
  <c r="O264" i="234" a="1"/>
  <c r="O264" i="234" s="1"/>
  <c r="N264" i="234" a="1"/>
  <c r="N264" i="234" s="1"/>
  <c r="M264" i="234" a="1"/>
  <c r="M264" i="234" s="1"/>
  <c r="J264" i="234" a="1"/>
  <c r="J264" i="234" s="1"/>
  <c r="I264" i="234" a="1"/>
  <c r="I264" i="234" s="1"/>
  <c r="H264" i="234" a="1"/>
  <c r="H264" i="234" s="1"/>
  <c r="G264" i="234" a="1"/>
  <c r="G264" i="234" s="1"/>
  <c r="F264" i="234" a="1"/>
  <c r="F264" i="234" s="1"/>
  <c r="E264" i="234" a="1"/>
  <c r="E264" i="234" s="1"/>
  <c r="D264" i="234" a="1"/>
  <c r="D264" i="234" s="1"/>
  <c r="C264" i="234" a="1"/>
  <c r="C264" i="234" s="1"/>
  <c r="T265" i="234" a="1"/>
  <c r="T265" i="234" s="1"/>
  <c r="S265" i="234" a="1"/>
  <c r="S265" i="234" s="1"/>
  <c r="R265" i="234" a="1"/>
  <c r="R265" i="234" s="1"/>
  <c r="Q265" i="234" a="1"/>
  <c r="Q265" i="234" s="1"/>
  <c r="P265" i="234" a="1"/>
  <c r="P265" i="234" s="1"/>
  <c r="O265" i="234" a="1"/>
  <c r="O265" i="234" s="1"/>
  <c r="N265" i="234" a="1"/>
  <c r="N265" i="234" s="1"/>
  <c r="M265" i="234" a="1"/>
  <c r="M265" i="234" s="1"/>
  <c r="J265" i="234" a="1"/>
  <c r="J265" i="234" s="1"/>
  <c r="I265" i="234" a="1"/>
  <c r="I265" i="234" s="1"/>
  <c r="H265" i="234" a="1"/>
  <c r="H265" i="234" s="1"/>
  <c r="G265" i="234" a="1"/>
  <c r="G265" i="234" s="1"/>
  <c r="F265" i="234" a="1"/>
  <c r="F265" i="234" s="1"/>
  <c r="E265" i="234" a="1"/>
  <c r="E265" i="234" s="1"/>
  <c r="D265" i="234" a="1"/>
  <c r="D265" i="234" s="1"/>
  <c r="C265" i="234" a="1"/>
  <c r="C265" i="234" s="1"/>
  <c r="T266" i="234" a="1"/>
  <c r="T266" i="234" s="1"/>
  <c r="S266" i="234" a="1"/>
  <c r="S266" i="234" s="1"/>
  <c r="R266" i="234" a="1"/>
  <c r="R266" i="234" s="1"/>
  <c r="Q266" i="234" a="1"/>
  <c r="Q266" i="234" s="1"/>
  <c r="P266" i="234" a="1"/>
  <c r="P266" i="234" s="1"/>
  <c r="O266" i="234" a="1"/>
  <c r="O266" i="234" s="1"/>
  <c r="N266" i="234" a="1"/>
  <c r="N266" i="234" s="1"/>
  <c r="M266" i="234" a="1"/>
  <c r="M266" i="234" s="1"/>
  <c r="J266" i="234" a="1"/>
  <c r="J266" i="234" s="1"/>
  <c r="I266" i="234" a="1"/>
  <c r="I266" i="234" s="1"/>
  <c r="H266" i="234" a="1"/>
  <c r="H266" i="234" s="1"/>
  <c r="G266" i="234" a="1"/>
  <c r="G266" i="234" s="1"/>
  <c r="F266" i="234" a="1"/>
  <c r="F266" i="234" s="1"/>
  <c r="E266" i="234" a="1"/>
  <c r="E266" i="234" s="1"/>
  <c r="D266" i="234" a="1"/>
  <c r="D266" i="234" s="1"/>
  <c r="C266" i="234" a="1"/>
  <c r="C266" i="234" s="1"/>
  <c r="T267" i="234" a="1"/>
  <c r="T267" i="234" s="1"/>
  <c r="S267" i="234" a="1"/>
  <c r="S267" i="234" s="1"/>
  <c r="R267" i="234" a="1"/>
  <c r="R267" i="234" s="1"/>
  <c r="Q267" i="234" a="1"/>
  <c r="Q267" i="234" s="1"/>
  <c r="P267" i="234" a="1"/>
  <c r="P267" i="234" s="1"/>
  <c r="O267" i="234" a="1"/>
  <c r="O267" i="234" s="1"/>
  <c r="N267" i="234" a="1"/>
  <c r="N267" i="234" s="1"/>
  <c r="M267" i="234" a="1"/>
  <c r="M267" i="234" s="1"/>
  <c r="J267" i="234" a="1"/>
  <c r="J267" i="234" s="1"/>
  <c r="I267" i="234" a="1"/>
  <c r="I267" i="234" s="1"/>
  <c r="H267" i="234" a="1"/>
  <c r="H267" i="234" s="1"/>
  <c r="G267" i="234" a="1"/>
  <c r="G267" i="234" s="1"/>
  <c r="F267" i="234" a="1"/>
  <c r="F267" i="234" s="1"/>
  <c r="E267" i="234" a="1"/>
  <c r="E267" i="234" s="1"/>
  <c r="D267" i="234" a="1"/>
  <c r="D267" i="234" s="1"/>
  <c r="C267" i="234" a="1"/>
  <c r="C267" i="234" s="1"/>
  <c r="T268" i="234" a="1"/>
  <c r="T268" i="234" s="1"/>
  <c r="S268" i="234" a="1"/>
  <c r="S268" i="234" s="1"/>
  <c r="R268" i="234" a="1"/>
  <c r="R268" i="234" s="1"/>
  <c r="Q268" i="234" a="1"/>
  <c r="Q268" i="234" s="1"/>
  <c r="P268" i="234" a="1"/>
  <c r="P268" i="234" s="1"/>
  <c r="O268" i="234" a="1"/>
  <c r="O268" i="234" s="1"/>
  <c r="N268" i="234" a="1"/>
  <c r="N268" i="234" s="1"/>
  <c r="M268" i="234" a="1"/>
  <c r="M268" i="234" s="1"/>
  <c r="J268" i="234" a="1"/>
  <c r="J268" i="234" s="1"/>
  <c r="I268" i="234" a="1"/>
  <c r="I268" i="234" s="1"/>
  <c r="H268" i="234" a="1"/>
  <c r="H268" i="234" s="1"/>
  <c r="G268" i="234" a="1"/>
  <c r="G268" i="234" s="1"/>
  <c r="F268" i="234" a="1"/>
  <c r="F268" i="234" s="1"/>
  <c r="E268" i="234" a="1"/>
  <c r="E268" i="234" s="1"/>
  <c r="D268" i="234" a="1"/>
  <c r="D268" i="234" s="1"/>
  <c r="C268" i="234" a="1"/>
  <c r="C268" i="234" s="1"/>
  <c r="T269" i="234" a="1"/>
  <c r="T269" i="234" s="1"/>
  <c r="S269" i="234" a="1"/>
  <c r="S269" i="234" s="1"/>
  <c r="R269" i="234" a="1"/>
  <c r="R269" i="234" s="1"/>
  <c r="Q269" i="234" a="1"/>
  <c r="Q269" i="234" s="1"/>
  <c r="P269" i="234" a="1"/>
  <c r="P269" i="234" s="1"/>
  <c r="O269" i="234" a="1"/>
  <c r="O269" i="234" s="1"/>
  <c r="N269" i="234" a="1"/>
  <c r="N269" i="234" s="1"/>
  <c r="M269" i="234" a="1"/>
  <c r="M269" i="234" s="1"/>
  <c r="J269" i="234" a="1"/>
  <c r="J269" i="234" s="1"/>
  <c r="I269" i="234" a="1"/>
  <c r="I269" i="234" s="1"/>
  <c r="H269" i="234" a="1"/>
  <c r="H269" i="234" s="1"/>
  <c r="G269" i="234" a="1"/>
  <c r="G269" i="234" s="1"/>
  <c r="F269" i="234" a="1"/>
  <c r="F269" i="234" s="1"/>
  <c r="E269" i="234" a="1"/>
  <c r="E269" i="234" s="1"/>
  <c r="D269" i="234" a="1"/>
  <c r="D269" i="234" s="1"/>
  <c r="C269" i="234" a="1"/>
  <c r="C269" i="234" s="1"/>
  <c r="T270" i="234" a="1"/>
  <c r="T270" i="234" s="1"/>
  <c r="S270" i="234" a="1"/>
  <c r="S270" i="234" s="1"/>
  <c r="R270" i="234" a="1"/>
  <c r="R270" i="234" s="1"/>
  <c r="Q270" i="234" a="1"/>
  <c r="Q270" i="234" s="1"/>
  <c r="P270" i="234" a="1"/>
  <c r="P270" i="234" s="1"/>
  <c r="O270" i="234" a="1"/>
  <c r="O270" i="234" s="1"/>
  <c r="N270" i="234" a="1"/>
  <c r="N270" i="234" s="1"/>
  <c r="M270" i="234" a="1"/>
  <c r="M270" i="234" s="1"/>
  <c r="J270" i="234" a="1"/>
  <c r="J270" i="234" s="1"/>
  <c r="I270" i="234" a="1"/>
  <c r="I270" i="234" s="1"/>
  <c r="H270" i="234" a="1"/>
  <c r="H270" i="234" s="1"/>
  <c r="G270" i="234" a="1"/>
  <c r="G270" i="234" s="1"/>
  <c r="F270" i="234" a="1"/>
  <c r="F270" i="234" s="1"/>
  <c r="E270" i="234" a="1"/>
  <c r="E270" i="234" s="1"/>
  <c r="D270" i="234" a="1"/>
  <c r="D270" i="234" s="1"/>
  <c r="C270" i="234" a="1"/>
  <c r="C270" i="234" s="1"/>
  <c r="T271" i="234" a="1"/>
  <c r="T271" i="234" s="1"/>
  <c r="S271" i="234" a="1"/>
  <c r="S271" i="234" s="1"/>
  <c r="R271" i="234" a="1"/>
  <c r="R271" i="234" s="1"/>
  <c r="Q271" i="234" a="1"/>
  <c r="Q271" i="234" s="1"/>
  <c r="P271" i="234" a="1"/>
  <c r="P271" i="234" s="1"/>
  <c r="O271" i="234" a="1"/>
  <c r="O271" i="234" s="1"/>
  <c r="N271" i="234" a="1"/>
  <c r="N271" i="234" s="1"/>
  <c r="M271" i="234" a="1"/>
  <c r="M271" i="234" s="1"/>
  <c r="J271" i="234" a="1"/>
  <c r="J271" i="234" s="1"/>
  <c r="I271" i="234" a="1"/>
  <c r="I271" i="234" s="1"/>
  <c r="H271" i="234" a="1"/>
  <c r="H271" i="234" s="1"/>
  <c r="G271" i="234" a="1"/>
  <c r="G271" i="234" s="1"/>
  <c r="F271" i="234" a="1"/>
  <c r="F271" i="234" s="1"/>
  <c r="E271" i="234" a="1"/>
  <c r="E271" i="234" s="1"/>
  <c r="D271" i="234" a="1"/>
  <c r="D271" i="234" s="1"/>
  <c r="C271" i="234" a="1"/>
  <c r="C271" i="234" s="1"/>
  <c r="T272" i="234" a="1"/>
  <c r="T272" i="234" s="1"/>
  <c r="S272" i="234" a="1"/>
  <c r="S272" i="234" s="1"/>
  <c r="R272" i="234" a="1"/>
  <c r="R272" i="234" s="1"/>
  <c r="Q272" i="234" a="1"/>
  <c r="Q272" i="234" s="1"/>
  <c r="P272" i="234" a="1"/>
  <c r="P272" i="234" s="1"/>
  <c r="O272" i="234" a="1"/>
  <c r="O272" i="234" s="1"/>
  <c r="N272" i="234" a="1"/>
  <c r="N272" i="234" s="1"/>
  <c r="M272" i="234" a="1"/>
  <c r="M272" i="234" s="1"/>
  <c r="J272" i="234" a="1"/>
  <c r="J272" i="234" s="1"/>
  <c r="I272" i="234" a="1"/>
  <c r="I272" i="234" s="1"/>
  <c r="H272" i="234" a="1"/>
  <c r="H272" i="234" s="1"/>
  <c r="G272" i="234" a="1"/>
  <c r="G272" i="234" s="1"/>
  <c r="F272" i="234" a="1"/>
  <c r="F272" i="234" s="1"/>
  <c r="E272" i="234" a="1"/>
  <c r="E272" i="234" s="1"/>
  <c r="D272" i="234" a="1"/>
  <c r="D272" i="234" s="1"/>
  <c r="C272" i="234" a="1"/>
  <c r="C272" i="234" s="1"/>
  <c r="T273" i="234" a="1"/>
  <c r="T273" i="234" s="1"/>
  <c r="S273" i="234" a="1"/>
  <c r="S273" i="234" s="1"/>
  <c r="R273" i="234" a="1"/>
  <c r="R273" i="234" s="1"/>
  <c r="Q273" i="234" a="1"/>
  <c r="Q273" i="234" s="1"/>
  <c r="P273" i="234" a="1"/>
  <c r="P273" i="234" s="1"/>
  <c r="O273" i="234" a="1"/>
  <c r="O273" i="234" s="1"/>
  <c r="N273" i="234" a="1"/>
  <c r="N273" i="234" s="1"/>
  <c r="M273" i="234" a="1"/>
  <c r="M273" i="234" s="1"/>
  <c r="J273" i="234" a="1"/>
  <c r="J273" i="234" s="1"/>
  <c r="I273" i="234" a="1"/>
  <c r="I273" i="234" s="1"/>
  <c r="H273" i="234" a="1"/>
  <c r="H273" i="234" s="1"/>
  <c r="G273" i="234" a="1"/>
  <c r="G273" i="234" s="1"/>
  <c r="F273" i="234" a="1"/>
  <c r="F273" i="234" s="1"/>
  <c r="E273" i="234" a="1"/>
  <c r="E273" i="234" s="1"/>
  <c r="D273" i="234" a="1"/>
  <c r="D273" i="234" s="1"/>
  <c r="C273" i="234" a="1"/>
  <c r="C273" i="234" s="1"/>
  <c r="T274" i="234" a="1"/>
  <c r="T274" i="234" s="1"/>
  <c r="S274" i="234" a="1"/>
  <c r="S274" i="234" s="1"/>
  <c r="R274" i="234" a="1"/>
  <c r="R274" i="234" s="1"/>
  <c r="Q274" i="234" a="1"/>
  <c r="Q274" i="234" s="1"/>
  <c r="P274" i="234" a="1"/>
  <c r="P274" i="234" s="1"/>
  <c r="O274" i="234" a="1"/>
  <c r="O274" i="234" s="1"/>
  <c r="N274" i="234" a="1"/>
  <c r="N274" i="234" s="1"/>
  <c r="M274" i="234" a="1"/>
  <c r="M274" i="234" s="1"/>
  <c r="J274" i="234" a="1"/>
  <c r="J274" i="234" s="1"/>
  <c r="I274" i="234" a="1"/>
  <c r="I274" i="234" s="1"/>
  <c r="H274" i="234" a="1"/>
  <c r="H274" i="234" s="1"/>
  <c r="G274" i="234" a="1"/>
  <c r="G274" i="234" s="1"/>
  <c r="F274" i="234" a="1"/>
  <c r="F274" i="234" s="1"/>
  <c r="E274" i="234" a="1"/>
  <c r="E274" i="234" s="1"/>
  <c r="D274" i="234" a="1"/>
  <c r="D274" i="234" s="1"/>
  <c r="C274" i="234" a="1"/>
  <c r="C274" i="234" s="1"/>
  <c r="T275" i="234" a="1"/>
  <c r="T275" i="234" s="1"/>
  <c r="S275" i="234" a="1"/>
  <c r="S275" i="234" s="1"/>
  <c r="R275" i="234" a="1"/>
  <c r="R275" i="234" s="1"/>
  <c r="Q275" i="234" a="1"/>
  <c r="Q275" i="234" s="1"/>
  <c r="P275" i="234" a="1"/>
  <c r="P275" i="234" s="1"/>
  <c r="O275" i="234" a="1"/>
  <c r="O275" i="234" s="1"/>
  <c r="N275" i="234" a="1"/>
  <c r="N275" i="234" s="1"/>
  <c r="M275" i="234" a="1"/>
  <c r="M275" i="234" s="1"/>
  <c r="J275" i="234" a="1"/>
  <c r="J275" i="234" s="1"/>
  <c r="I275" i="234" a="1"/>
  <c r="I275" i="234" s="1"/>
  <c r="H275" i="234" a="1"/>
  <c r="H275" i="234" s="1"/>
  <c r="G275" i="234" a="1"/>
  <c r="G275" i="234" s="1"/>
  <c r="F275" i="234" a="1"/>
  <c r="F275" i="234" s="1"/>
  <c r="E275" i="234" a="1"/>
  <c r="E275" i="234" s="1"/>
  <c r="D275" i="234" a="1"/>
  <c r="D275" i="234" s="1"/>
  <c r="C275" i="234" a="1"/>
  <c r="C275" i="234" s="1"/>
  <c r="T276" i="234" a="1"/>
  <c r="T276" i="234" s="1"/>
  <c r="S276" i="234" a="1"/>
  <c r="S276" i="234" s="1"/>
  <c r="R276" i="234" a="1"/>
  <c r="R276" i="234" s="1"/>
  <c r="Q276" i="234" a="1"/>
  <c r="Q276" i="234" s="1"/>
  <c r="P276" i="234" a="1"/>
  <c r="P276" i="234" s="1"/>
  <c r="O276" i="234" a="1"/>
  <c r="O276" i="234" s="1"/>
  <c r="N276" i="234" a="1"/>
  <c r="N276" i="234" s="1"/>
  <c r="M276" i="234" a="1"/>
  <c r="M276" i="234" s="1"/>
  <c r="J276" i="234" a="1"/>
  <c r="J276" i="234" s="1"/>
  <c r="I276" i="234" a="1"/>
  <c r="I276" i="234" s="1"/>
  <c r="H276" i="234" a="1"/>
  <c r="H276" i="234" s="1"/>
  <c r="G276" i="234" a="1"/>
  <c r="G276" i="234" s="1"/>
  <c r="F276" i="234" a="1"/>
  <c r="F276" i="234" s="1"/>
  <c r="E276" i="234" a="1"/>
  <c r="E276" i="234" s="1"/>
  <c r="D276" i="234" a="1"/>
  <c r="D276" i="234" s="1"/>
  <c r="C276" i="234" a="1"/>
  <c r="C276" i="234" s="1"/>
  <c r="T277" i="234" a="1"/>
  <c r="T277" i="234" s="1"/>
  <c r="S277" i="234" a="1"/>
  <c r="S277" i="234" s="1"/>
  <c r="R277" i="234" a="1"/>
  <c r="R277" i="234" s="1"/>
  <c r="Q277" i="234" a="1"/>
  <c r="Q277" i="234" s="1"/>
  <c r="P277" i="234" a="1"/>
  <c r="P277" i="234" s="1"/>
  <c r="O277" i="234" a="1"/>
  <c r="O277" i="234" s="1"/>
  <c r="N277" i="234" a="1"/>
  <c r="N277" i="234" s="1"/>
  <c r="M277" i="234" a="1"/>
  <c r="M277" i="234" s="1"/>
  <c r="J277" i="234" a="1"/>
  <c r="J277" i="234" s="1"/>
  <c r="I277" i="234" a="1"/>
  <c r="I277" i="234" s="1"/>
  <c r="H277" i="234" a="1"/>
  <c r="H277" i="234" s="1"/>
  <c r="G277" i="234" a="1"/>
  <c r="G277" i="234" s="1"/>
  <c r="F277" i="234" a="1"/>
  <c r="F277" i="234" s="1"/>
  <c r="E277" i="234" a="1"/>
  <c r="E277" i="234" s="1"/>
  <c r="D277" i="234" a="1"/>
  <c r="D277" i="234" s="1"/>
  <c r="C277" i="234" a="1"/>
  <c r="C277" i="234" s="1"/>
  <c r="T301" i="234" a="1"/>
  <c r="T301" i="234" s="1"/>
  <c r="S301" i="234" a="1"/>
  <c r="S301" i="234" s="1"/>
  <c r="R301" i="234" a="1"/>
  <c r="R301" i="234" s="1"/>
  <c r="Q301" i="234" a="1"/>
  <c r="Q301" i="234" s="1"/>
  <c r="P301" i="234" a="1"/>
  <c r="P301" i="234" s="1"/>
  <c r="O301" i="234" a="1"/>
  <c r="O301" i="234" s="1"/>
  <c r="N301" i="234" a="1"/>
  <c r="N301" i="234" s="1"/>
  <c r="M301" i="234" a="1"/>
  <c r="M301" i="234" s="1"/>
  <c r="J301" i="234" a="1"/>
  <c r="J301" i="234" s="1"/>
  <c r="I301" i="234" a="1"/>
  <c r="I301" i="234" s="1"/>
  <c r="H301" i="234" a="1"/>
  <c r="H301" i="234" s="1"/>
  <c r="G301" i="234" a="1"/>
  <c r="G301" i="234" s="1"/>
  <c r="F301" i="234" a="1"/>
  <c r="F301" i="234" s="1"/>
  <c r="E301" i="234" a="1"/>
  <c r="E301" i="234" s="1"/>
  <c r="D301" i="234" a="1"/>
  <c r="D301" i="234" s="1"/>
  <c r="C301" i="234" a="1"/>
  <c r="C301" i="234" s="1"/>
  <c r="T302" i="234" a="1"/>
  <c r="T302" i="234" s="1"/>
  <c r="S302" i="234" a="1"/>
  <c r="S302" i="234" s="1"/>
  <c r="R302" i="234" a="1"/>
  <c r="R302" i="234" s="1"/>
  <c r="Q302" i="234" a="1"/>
  <c r="Q302" i="234" s="1"/>
  <c r="P302" i="234" a="1"/>
  <c r="P302" i="234" s="1"/>
  <c r="O302" i="234" a="1"/>
  <c r="O302" i="234" s="1"/>
  <c r="N302" i="234" a="1"/>
  <c r="N302" i="234" s="1"/>
  <c r="M302" i="234" a="1"/>
  <c r="M302" i="234" s="1"/>
  <c r="J302" i="234" a="1"/>
  <c r="J302" i="234" s="1"/>
  <c r="I302" i="234" a="1"/>
  <c r="I302" i="234" s="1"/>
  <c r="H302" i="234" a="1"/>
  <c r="H302" i="234" s="1"/>
  <c r="G302" i="234" a="1"/>
  <c r="G302" i="234" s="1"/>
  <c r="F302" i="234" a="1"/>
  <c r="F302" i="234" s="1"/>
  <c r="E302" i="234" a="1"/>
  <c r="E302" i="234" s="1"/>
  <c r="D302" i="234" a="1"/>
  <c r="D302" i="234" s="1"/>
  <c r="C302" i="234" a="1"/>
  <c r="C302" i="234" s="1"/>
  <c r="T303" i="234" a="1"/>
  <c r="T303" i="234" s="1"/>
  <c r="S303" i="234" a="1"/>
  <c r="S303" i="234" s="1"/>
  <c r="R303" i="234" a="1"/>
  <c r="R303" i="234" s="1"/>
  <c r="Q303" i="234" a="1"/>
  <c r="Q303" i="234" s="1"/>
  <c r="P303" i="234" a="1"/>
  <c r="P303" i="234" s="1"/>
  <c r="O303" i="234" a="1"/>
  <c r="O303" i="234" s="1"/>
  <c r="N303" i="234" a="1"/>
  <c r="N303" i="234" s="1"/>
  <c r="M303" i="234" a="1"/>
  <c r="M303" i="234" s="1"/>
  <c r="J303" i="234" a="1"/>
  <c r="J303" i="234" s="1"/>
  <c r="I303" i="234" a="1"/>
  <c r="I303" i="234" s="1"/>
  <c r="H303" i="234" a="1"/>
  <c r="H303" i="234" s="1"/>
  <c r="G303" i="234" a="1"/>
  <c r="G303" i="234" s="1"/>
  <c r="F303" i="234" a="1"/>
  <c r="F303" i="234" s="1"/>
  <c r="E303" i="234" a="1"/>
  <c r="E303" i="234" s="1"/>
  <c r="D303" i="234" a="1"/>
  <c r="D303" i="234" s="1"/>
  <c r="C303" i="234" a="1"/>
  <c r="C303" i="234" s="1"/>
  <c r="T304" i="234" a="1"/>
  <c r="T304" i="234" s="1"/>
  <c r="S304" i="234" a="1"/>
  <c r="S304" i="234" s="1"/>
  <c r="R304" i="234" a="1"/>
  <c r="R304" i="234" s="1"/>
  <c r="Q304" i="234" a="1"/>
  <c r="Q304" i="234" s="1"/>
  <c r="P304" i="234" a="1"/>
  <c r="P304" i="234" s="1"/>
  <c r="O304" i="234" a="1"/>
  <c r="O304" i="234" s="1"/>
  <c r="N304" i="234" a="1"/>
  <c r="N304" i="234" s="1"/>
  <c r="M304" i="234" a="1"/>
  <c r="M304" i="234" s="1"/>
  <c r="J304" i="234" a="1"/>
  <c r="J304" i="234" s="1"/>
  <c r="I304" i="234" a="1"/>
  <c r="I304" i="234" s="1"/>
  <c r="H304" i="234" a="1"/>
  <c r="H304" i="234" s="1"/>
  <c r="G304" i="234" a="1"/>
  <c r="G304" i="234" s="1"/>
  <c r="F304" i="234" a="1"/>
  <c r="F304" i="234" s="1"/>
  <c r="E304" i="234" a="1"/>
  <c r="E304" i="234" s="1"/>
  <c r="D304" i="234" a="1"/>
  <c r="D304" i="234" s="1"/>
  <c r="C304" i="234" a="1"/>
  <c r="C304" i="234" s="1"/>
  <c r="T305" i="234" a="1"/>
  <c r="T305" i="234" s="1"/>
  <c r="S305" i="234" a="1"/>
  <c r="S305" i="234" s="1"/>
  <c r="R305" i="234" a="1"/>
  <c r="R305" i="234" s="1"/>
  <c r="Q305" i="234" a="1"/>
  <c r="Q305" i="234" s="1"/>
  <c r="P305" i="234" a="1"/>
  <c r="P305" i="234" s="1"/>
  <c r="O305" i="234" a="1"/>
  <c r="O305" i="234" s="1"/>
  <c r="N305" i="234" a="1"/>
  <c r="N305" i="234" s="1"/>
  <c r="M305" i="234" a="1"/>
  <c r="M305" i="234" s="1"/>
  <c r="J305" i="234" a="1"/>
  <c r="J305" i="234" s="1"/>
  <c r="I305" i="234" a="1"/>
  <c r="I305" i="234" s="1"/>
  <c r="H305" i="234" a="1"/>
  <c r="H305" i="234" s="1"/>
  <c r="G305" i="234" a="1"/>
  <c r="G305" i="234" s="1"/>
  <c r="F305" i="234" a="1"/>
  <c r="F305" i="234" s="1"/>
  <c r="E305" i="234" a="1"/>
  <c r="E305" i="234" s="1"/>
  <c r="D305" i="234" a="1"/>
  <c r="D305" i="234" s="1"/>
  <c r="C305" i="234" a="1"/>
  <c r="C305" i="234" s="1"/>
  <c r="T306" i="234" a="1"/>
  <c r="T306" i="234" s="1"/>
  <c r="S306" i="234" a="1"/>
  <c r="S306" i="234" s="1"/>
  <c r="R306" i="234" a="1"/>
  <c r="R306" i="234" s="1"/>
  <c r="Q306" i="234" a="1"/>
  <c r="Q306" i="234" s="1"/>
  <c r="P306" i="234" a="1"/>
  <c r="P306" i="234" s="1"/>
  <c r="O306" i="234" a="1"/>
  <c r="O306" i="234" s="1"/>
  <c r="N306" i="234" a="1"/>
  <c r="N306" i="234" s="1"/>
  <c r="M306" i="234" a="1"/>
  <c r="M306" i="234" s="1"/>
  <c r="J306" i="234" a="1"/>
  <c r="J306" i="234" s="1"/>
  <c r="I306" i="234" a="1"/>
  <c r="I306" i="234" s="1"/>
  <c r="H306" i="234" a="1"/>
  <c r="H306" i="234" s="1"/>
  <c r="G306" i="234" a="1"/>
  <c r="G306" i="234" s="1"/>
  <c r="F306" i="234" a="1"/>
  <c r="F306" i="234" s="1"/>
  <c r="E306" i="234" a="1"/>
  <c r="E306" i="234" s="1"/>
  <c r="D306" i="234" a="1"/>
  <c r="D306" i="234" s="1"/>
  <c r="C306" i="234" a="1"/>
  <c r="C306" i="234" s="1"/>
  <c r="T307" i="234" a="1"/>
  <c r="T307" i="234" s="1"/>
  <c r="S307" i="234" a="1"/>
  <c r="S307" i="234" s="1"/>
  <c r="R307" i="234" a="1"/>
  <c r="R307" i="234" s="1"/>
  <c r="Q307" i="234" a="1"/>
  <c r="Q307" i="234" s="1"/>
  <c r="P307" i="234" a="1"/>
  <c r="P307" i="234" s="1"/>
  <c r="O307" i="234" a="1"/>
  <c r="O307" i="234" s="1"/>
  <c r="N307" i="234" a="1"/>
  <c r="N307" i="234" s="1"/>
  <c r="M307" i="234" a="1"/>
  <c r="M307" i="234" s="1"/>
  <c r="J307" i="234" a="1"/>
  <c r="J307" i="234" s="1"/>
  <c r="I307" i="234" a="1"/>
  <c r="I307" i="234" s="1"/>
  <c r="H307" i="234" a="1"/>
  <c r="H307" i="234" s="1"/>
  <c r="G307" i="234" a="1"/>
  <c r="G307" i="234" s="1"/>
  <c r="F307" i="234" a="1"/>
  <c r="F307" i="234" s="1"/>
  <c r="E307" i="234" a="1"/>
  <c r="E307" i="234" s="1"/>
  <c r="D307" i="234" a="1"/>
  <c r="D307" i="234" s="1"/>
  <c r="C307" i="234" a="1"/>
  <c r="C307" i="234" s="1"/>
  <c r="T308" i="234" a="1"/>
  <c r="T308" i="234" s="1"/>
  <c r="S308" i="234" a="1"/>
  <c r="S308" i="234" s="1"/>
  <c r="R308" i="234" a="1"/>
  <c r="R308" i="234" s="1"/>
  <c r="Q308" i="234" a="1"/>
  <c r="Q308" i="234" s="1"/>
  <c r="P308" i="234" a="1"/>
  <c r="P308" i="234" s="1"/>
  <c r="O308" i="234" a="1"/>
  <c r="O308" i="234" s="1"/>
  <c r="N308" i="234" a="1"/>
  <c r="N308" i="234" s="1"/>
  <c r="M308" i="234" a="1"/>
  <c r="M308" i="234" s="1"/>
  <c r="J308" i="234" a="1"/>
  <c r="J308" i="234" s="1"/>
  <c r="I308" i="234" a="1"/>
  <c r="I308" i="234" s="1"/>
  <c r="H308" i="234" a="1"/>
  <c r="H308" i="234" s="1"/>
  <c r="G308" i="234" a="1"/>
  <c r="G308" i="234" s="1"/>
  <c r="F308" i="234" a="1"/>
  <c r="F308" i="234" s="1"/>
  <c r="E308" i="234" a="1"/>
  <c r="E308" i="234" s="1"/>
  <c r="D308" i="234" a="1"/>
  <c r="D308" i="234" s="1"/>
  <c r="C308" i="234" a="1"/>
  <c r="C308" i="234" s="1"/>
  <c r="T309" i="234" a="1"/>
  <c r="T309" i="234" s="1"/>
  <c r="S309" i="234" a="1"/>
  <c r="S309" i="234" s="1"/>
  <c r="R309" i="234" a="1"/>
  <c r="R309" i="234" s="1"/>
  <c r="Q309" i="234" a="1"/>
  <c r="Q309" i="234" s="1"/>
  <c r="P309" i="234" a="1"/>
  <c r="P309" i="234" s="1"/>
  <c r="O309" i="234" a="1"/>
  <c r="O309" i="234" s="1"/>
  <c r="N309" i="234" a="1"/>
  <c r="N309" i="234" s="1"/>
  <c r="M309" i="234" a="1"/>
  <c r="M309" i="234" s="1"/>
  <c r="J309" i="234" a="1"/>
  <c r="J309" i="234" s="1"/>
  <c r="I309" i="234" a="1"/>
  <c r="I309" i="234" s="1"/>
  <c r="H309" i="234" a="1"/>
  <c r="H309" i="234" s="1"/>
  <c r="G309" i="234" a="1"/>
  <c r="G309" i="234" s="1"/>
  <c r="F309" i="234" a="1"/>
  <c r="F309" i="234" s="1"/>
  <c r="E309" i="234" a="1"/>
  <c r="E309" i="234" s="1"/>
  <c r="D309" i="234" a="1"/>
  <c r="D309" i="234" s="1"/>
  <c r="C309" i="234" a="1"/>
  <c r="C309" i="234" s="1"/>
  <c r="T310" i="234" a="1"/>
  <c r="T310" i="234" s="1"/>
  <c r="S310" i="234" a="1"/>
  <c r="S310" i="234" s="1"/>
  <c r="R310" i="234" a="1"/>
  <c r="R310" i="234" s="1"/>
  <c r="Q310" i="234" a="1"/>
  <c r="Q310" i="234" s="1"/>
  <c r="P310" i="234" a="1"/>
  <c r="P310" i="234" s="1"/>
  <c r="O310" i="234" a="1"/>
  <c r="O310" i="234" s="1"/>
  <c r="N310" i="234" a="1"/>
  <c r="N310" i="234" s="1"/>
  <c r="M310" i="234" a="1"/>
  <c r="M310" i="234" s="1"/>
  <c r="J310" i="234" a="1"/>
  <c r="J310" i="234" s="1"/>
  <c r="I310" i="234" a="1"/>
  <c r="I310" i="234" s="1"/>
  <c r="H310" i="234" a="1"/>
  <c r="H310" i="234" s="1"/>
  <c r="G310" i="234" a="1"/>
  <c r="G310" i="234" s="1"/>
  <c r="F310" i="234" a="1"/>
  <c r="F310" i="234" s="1"/>
  <c r="E310" i="234" a="1"/>
  <c r="E310" i="234" s="1"/>
  <c r="D310" i="234" a="1"/>
  <c r="D310" i="234" s="1"/>
  <c r="C310" i="234" a="1"/>
  <c r="C310" i="234" s="1"/>
  <c r="T311" i="234" a="1"/>
  <c r="T311" i="234" s="1"/>
  <c r="S311" i="234" a="1"/>
  <c r="S311" i="234" s="1"/>
  <c r="R311" i="234" a="1"/>
  <c r="R311" i="234" s="1"/>
  <c r="Q311" i="234" a="1"/>
  <c r="Q311" i="234" s="1"/>
  <c r="P311" i="234" a="1"/>
  <c r="P311" i="234" s="1"/>
  <c r="O311" i="234" a="1"/>
  <c r="O311" i="234" s="1"/>
  <c r="N311" i="234" a="1"/>
  <c r="N311" i="234" s="1"/>
  <c r="M311" i="234" a="1"/>
  <c r="M311" i="234" s="1"/>
  <c r="J311" i="234" a="1"/>
  <c r="J311" i="234" s="1"/>
  <c r="I311" i="234" a="1"/>
  <c r="I311" i="234" s="1"/>
  <c r="H311" i="234" a="1"/>
  <c r="H311" i="234" s="1"/>
  <c r="G311" i="234" a="1"/>
  <c r="G311" i="234" s="1"/>
  <c r="F311" i="234" a="1"/>
  <c r="F311" i="234" s="1"/>
  <c r="E311" i="234" a="1"/>
  <c r="E311" i="234" s="1"/>
  <c r="D311" i="234" a="1"/>
  <c r="D311" i="234" s="1"/>
  <c r="C311" i="234" a="1"/>
  <c r="C311" i="234" s="1"/>
  <c r="T312" i="234" a="1"/>
  <c r="T312" i="234" s="1"/>
  <c r="S312" i="234" a="1"/>
  <c r="S312" i="234" s="1"/>
  <c r="R312" i="234" a="1"/>
  <c r="R312" i="234" s="1"/>
  <c r="Q312" i="234" a="1"/>
  <c r="Q312" i="234" s="1"/>
  <c r="P312" i="234" a="1"/>
  <c r="P312" i="234" s="1"/>
  <c r="O312" i="234" a="1"/>
  <c r="O312" i="234" s="1"/>
  <c r="N312" i="234" a="1"/>
  <c r="N312" i="234" s="1"/>
  <c r="M312" i="234" a="1"/>
  <c r="M312" i="234" s="1"/>
  <c r="J312" i="234" a="1"/>
  <c r="J312" i="234" s="1"/>
  <c r="I312" i="234" a="1"/>
  <c r="I312" i="234" s="1"/>
  <c r="H312" i="234" a="1"/>
  <c r="H312" i="234" s="1"/>
  <c r="G312" i="234" a="1"/>
  <c r="G312" i="234" s="1"/>
  <c r="F312" i="234" a="1"/>
  <c r="F312" i="234" s="1"/>
  <c r="E312" i="234" a="1"/>
  <c r="E312" i="234" s="1"/>
  <c r="D312" i="234" a="1"/>
  <c r="D312" i="234" s="1"/>
  <c r="C312" i="234" a="1"/>
  <c r="C312" i="234" s="1"/>
  <c r="T313" i="234" a="1"/>
  <c r="T313" i="234" s="1"/>
  <c r="S313" i="234" a="1"/>
  <c r="S313" i="234" s="1"/>
  <c r="R313" i="234" a="1"/>
  <c r="R313" i="234" s="1"/>
  <c r="Q313" i="234" a="1"/>
  <c r="Q313" i="234" s="1"/>
  <c r="P313" i="234" a="1"/>
  <c r="P313" i="234" s="1"/>
  <c r="O313" i="234" a="1"/>
  <c r="O313" i="234" s="1"/>
  <c r="N313" i="234" a="1"/>
  <c r="N313" i="234" s="1"/>
  <c r="M313" i="234" a="1"/>
  <c r="M313" i="234" s="1"/>
  <c r="J313" i="234" a="1"/>
  <c r="J313" i="234" s="1"/>
  <c r="I313" i="234" a="1"/>
  <c r="I313" i="234" s="1"/>
  <c r="H313" i="234" a="1"/>
  <c r="H313" i="234" s="1"/>
  <c r="G313" i="234" a="1"/>
  <c r="G313" i="234" s="1"/>
  <c r="F313" i="234" a="1"/>
  <c r="F313" i="234" s="1"/>
  <c r="E313" i="234" a="1"/>
  <c r="E313" i="234" s="1"/>
  <c r="D313" i="234" a="1"/>
  <c r="D313" i="234" s="1"/>
  <c r="C313" i="234" a="1"/>
  <c r="C313" i="234" s="1"/>
  <c r="T314" i="234" a="1"/>
  <c r="T314" i="234" s="1"/>
  <c r="S314" i="234" a="1"/>
  <c r="S314" i="234" s="1"/>
  <c r="R314" i="234" a="1"/>
  <c r="R314" i="234" s="1"/>
  <c r="Q314" i="234" a="1"/>
  <c r="Q314" i="234" s="1"/>
  <c r="P314" i="234" a="1"/>
  <c r="P314" i="234" s="1"/>
  <c r="O314" i="234" a="1"/>
  <c r="O314" i="234" s="1"/>
  <c r="N314" i="234" a="1"/>
  <c r="N314" i="234" s="1"/>
  <c r="M314" i="234" a="1"/>
  <c r="M314" i="234" s="1"/>
  <c r="J314" i="234" a="1"/>
  <c r="J314" i="234" s="1"/>
  <c r="I314" i="234" a="1"/>
  <c r="I314" i="234" s="1"/>
  <c r="H314" i="234" a="1"/>
  <c r="H314" i="234" s="1"/>
  <c r="G314" i="234" a="1"/>
  <c r="G314" i="234" s="1"/>
  <c r="F314" i="234" a="1"/>
  <c r="F314" i="234" s="1"/>
  <c r="E314" i="234" a="1"/>
  <c r="E314" i="234" s="1"/>
  <c r="D314" i="234" a="1"/>
  <c r="D314" i="234" s="1"/>
  <c r="C314" i="234" a="1"/>
  <c r="C314" i="234" s="1"/>
  <c r="T315" i="234" a="1"/>
  <c r="T315" i="234" s="1"/>
  <c r="S315" i="234" a="1"/>
  <c r="S315" i="234" s="1"/>
  <c r="R315" i="234" a="1"/>
  <c r="R315" i="234" s="1"/>
  <c r="Q315" i="234" a="1"/>
  <c r="Q315" i="234" s="1"/>
  <c r="P315" i="234" a="1"/>
  <c r="P315" i="234" s="1"/>
  <c r="O315" i="234" a="1"/>
  <c r="O315" i="234" s="1"/>
  <c r="N315" i="234" a="1"/>
  <c r="N315" i="234" s="1"/>
  <c r="M315" i="234" a="1"/>
  <c r="M315" i="234" s="1"/>
  <c r="J315" i="234" a="1"/>
  <c r="J315" i="234" s="1"/>
  <c r="I315" i="234" a="1"/>
  <c r="I315" i="234" s="1"/>
  <c r="H315" i="234" a="1"/>
  <c r="H315" i="234" s="1"/>
  <c r="G315" i="234" a="1"/>
  <c r="G315" i="234" s="1"/>
  <c r="F315" i="234" a="1"/>
  <c r="F315" i="234" s="1"/>
  <c r="E315" i="234" a="1"/>
  <c r="E315" i="234" s="1"/>
  <c r="D315" i="234" a="1"/>
  <c r="D315" i="234" s="1"/>
  <c r="C315" i="234" a="1"/>
  <c r="C315" i="234" s="1"/>
  <c r="L300" i="234"/>
  <c r="U315" i="234"/>
  <c r="K315" i="234"/>
  <c r="L224" i="234"/>
  <c r="U220" i="234"/>
  <c r="K220" i="234"/>
  <c r="L243" i="234"/>
  <c r="U236" i="234"/>
  <c r="K236" i="234"/>
  <c r="U238" i="234"/>
  <c r="K238" i="234"/>
  <c r="U239" i="234"/>
  <c r="K239" i="234"/>
  <c r="L262" i="234"/>
  <c r="U253" i="234"/>
  <c r="U255" i="234"/>
  <c r="U256" i="234"/>
  <c r="U258" i="234"/>
  <c r="L281" i="234"/>
  <c r="U270" i="234"/>
  <c r="K270" i="234"/>
  <c r="U272" i="234"/>
  <c r="K272" i="234"/>
  <c r="U273" i="234"/>
  <c r="K273" i="234"/>
  <c r="U275" i="234"/>
  <c r="K275" i="234"/>
  <c r="U277" i="234"/>
  <c r="K277" i="234"/>
  <c r="U201" i="234"/>
  <c r="J201" i="234" a="1"/>
  <c r="J201" i="234" s="1"/>
  <c r="I201" i="234" a="1"/>
  <c r="I201" i="234" s="1"/>
  <c r="H201" i="234" a="1"/>
  <c r="H201" i="234" s="1"/>
  <c r="G201" i="234" a="1"/>
  <c r="G201" i="234" s="1"/>
  <c r="F201" i="234" a="1"/>
  <c r="F201" i="234" s="1"/>
  <c r="E201" i="234" a="1"/>
  <c r="E201" i="234" s="1"/>
  <c r="D201" i="234" a="1"/>
  <c r="D201" i="234" s="1"/>
  <c r="C201" i="234" a="1"/>
  <c r="C201" i="234" s="1"/>
  <c r="U200" i="234"/>
  <c r="J200" i="234" a="1"/>
  <c r="J200" i="234" s="1"/>
  <c r="I200" i="234" a="1"/>
  <c r="I200" i="234" s="1"/>
  <c r="H200" i="234" a="1"/>
  <c r="H200" i="234" s="1"/>
  <c r="G200" i="234" a="1"/>
  <c r="G200" i="234" s="1"/>
  <c r="F200" i="234" a="1"/>
  <c r="F200" i="234" s="1"/>
  <c r="E200" i="234" a="1"/>
  <c r="E200" i="234" s="1"/>
  <c r="D200" i="234" a="1"/>
  <c r="D200" i="234" s="1"/>
  <c r="C200" i="234" a="1"/>
  <c r="C200" i="234" s="1"/>
  <c r="U199" i="234"/>
  <c r="J199" i="234" a="1"/>
  <c r="J199" i="234" s="1"/>
  <c r="I199" i="234" a="1"/>
  <c r="I199" i="234" s="1"/>
  <c r="H199" i="234" a="1"/>
  <c r="H199" i="234" s="1"/>
  <c r="G199" i="234" a="1"/>
  <c r="G199" i="234" s="1"/>
  <c r="F199" i="234" a="1"/>
  <c r="F199" i="234" s="1"/>
  <c r="E199" i="234" a="1"/>
  <c r="E199" i="234" s="1"/>
  <c r="D199" i="234" a="1"/>
  <c r="D199" i="234" s="1"/>
  <c r="C199" i="234" a="1"/>
  <c r="C199" i="234" s="1"/>
  <c r="U198" i="234"/>
  <c r="J198" i="234" a="1"/>
  <c r="J198" i="234" s="1"/>
  <c r="I198" i="234" a="1"/>
  <c r="I198" i="234" s="1"/>
  <c r="H198" i="234" a="1"/>
  <c r="H198" i="234" s="1"/>
  <c r="G198" i="234" a="1"/>
  <c r="G198" i="234" s="1"/>
  <c r="F198" i="234" a="1"/>
  <c r="F198" i="234" s="1"/>
  <c r="E198" i="234" a="1"/>
  <c r="E198" i="234" s="1"/>
  <c r="D198" i="234" a="1"/>
  <c r="D198" i="234" s="1"/>
  <c r="C198" i="234" a="1"/>
  <c r="C198" i="234" s="1"/>
  <c r="U197" i="234"/>
  <c r="J197" i="234" a="1"/>
  <c r="J197" i="234" s="1"/>
  <c r="I197" i="234" a="1"/>
  <c r="I197" i="234" s="1"/>
  <c r="H197" i="234" a="1"/>
  <c r="H197" i="234" s="1"/>
  <c r="G197" i="234" a="1"/>
  <c r="G197" i="234" s="1"/>
  <c r="F197" i="234" a="1"/>
  <c r="F197" i="234" s="1"/>
  <c r="E197" i="234" a="1"/>
  <c r="E197" i="234" s="1"/>
  <c r="D197" i="234" a="1"/>
  <c r="D197" i="234" s="1"/>
  <c r="C197" i="234" a="1"/>
  <c r="C197" i="234" s="1"/>
  <c r="U196" i="234"/>
  <c r="J196" i="234" a="1"/>
  <c r="J196" i="234" s="1"/>
  <c r="I196" i="234" a="1"/>
  <c r="I196" i="234" s="1"/>
  <c r="H196" i="234" a="1"/>
  <c r="H196" i="234" s="1"/>
  <c r="G196" i="234" a="1"/>
  <c r="G196" i="234" s="1"/>
  <c r="F196" i="234" a="1"/>
  <c r="F196" i="234" s="1"/>
  <c r="E196" i="234" a="1"/>
  <c r="E196" i="234" s="1"/>
  <c r="D196" i="234" a="1"/>
  <c r="D196" i="234" s="1"/>
  <c r="C196" i="234" a="1"/>
  <c r="C196" i="234" s="1"/>
  <c r="U195" i="234"/>
  <c r="J195" i="234" a="1"/>
  <c r="J195" i="234" s="1"/>
  <c r="I195" i="234" a="1"/>
  <c r="I195" i="234" s="1"/>
  <c r="H195" i="234" a="1"/>
  <c r="H195" i="234" s="1"/>
  <c r="G195" i="234" a="1"/>
  <c r="G195" i="234" s="1"/>
  <c r="F195" i="234" a="1"/>
  <c r="F195" i="234" s="1"/>
  <c r="E195" i="234" a="1"/>
  <c r="E195" i="234" s="1"/>
  <c r="D195" i="234" a="1"/>
  <c r="D195" i="234" s="1"/>
  <c r="C195" i="234" a="1"/>
  <c r="C195" i="234" s="1"/>
  <c r="U194" i="234"/>
  <c r="J194" i="234" a="1"/>
  <c r="J194" i="234" s="1"/>
  <c r="I194" i="234" a="1"/>
  <c r="I194" i="234" s="1"/>
  <c r="H194" i="234" a="1"/>
  <c r="H194" i="234" s="1"/>
  <c r="G194" i="234" a="1"/>
  <c r="G194" i="234" s="1"/>
  <c r="F194" i="234" a="1"/>
  <c r="F194" i="234" s="1"/>
  <c r="E194" i="234" a="1"/>
  <c r="E194" i="234" s="1"/>
  <c r="D194" i="234" a="1"/>
  <c r="D194" i="234" s="1"/>
  <c r="C194" i="234" a="1"/>
  <c r="C194" i="234" s="1"/>
  <c r="U193" i="234"/>
  <c r="J193" i="234" a="1"/>
  <c r="J193" i="234" s="1"/>
  <c r="I193" i="234" a="1"/>
  <c r="I193" i="234" s="1"/>
  <c r="H193" i="234" a="1"/>
  <c r="H193" i="234" s="1"/>
  <c r="G193" i="234" a="1"/>
  <c r="G193" i="234" s="1"/>
  <c r="F193" i="234" a="1"/>
  <c r="F193" i="234" s="1"/>
  <c r="E193" i="234" a="1"/>
  <c r="E193" i="234" s="1"/>
  <c r="D193" i="234" a="1"/>
  <c r="D193" i="234" s="1"/>
  <c r="C193" i="234" a="1"/>
  <c r="C193" i="234" s="1"/>
  <c r="U192" i="234"/>
  <c r="J192" i="234" a="1"/>
  <c r="J192" i="234" s="1"/>
  <c r="I192" i="234" a="1"/>
  <c r="I192" i="234" s="1"/>
  <c r="H192" i="234" a="1"/>
  <c r="H192" i="234" s="1"/>
  <c r="G192" i="234" a="1"/>
  <c r="G192" i="234" s="1"/>
  <c r="F192" i="234" a="1"/>
  <c r="F192" i="234" s="1"/>
  <c r="E192" i="234" a="1"/>
  <c r="E192" i="234" s="1"/>
  <c r="D192" i="234" a="1"/>
  <c r="D192" i="234" s="1"/>
  <c r="C192" i="234" a="1"/>
  <c r="C192" i="234" s="1"/>
  <c r="U191" i="234"/>
  <c r="J191" i="234" a="1"/>
  <c r="J191" i="234" s="1"/>
  <c r="I191" i="234" a="1"/>
  <c r="I191" i="234" s="1"/>
  <c r="H191" i="234" a="1"/>
  <c r="H191" i="234" s="1"/>
  <c r="G191" i="234" a="1"/>
  <c r="G191" i="234" s="1"/>
  <c r="F191" i="234" a="1"/>
  <c r="F191" i="234" s="1"/>
  <c r="E191" i="234" a="1"/>
  <c r="E191" i="234" s="1"/>
  <c r="D191" i="234" a="1"/>
  <c r="D191" i="234" s="1"/>
  <c r="C191" i="234" a="1"/>
  <c r="C191" i="234" s="1"/>
  <c r="U190" i="234"/>
  <c r="F190" i="234" a="1"/>
  <c r="F190" i="234" s="1"/>
  <c r="J190" i="234" a="1"/>
  <c r="J190" i="234" s="1"/>
  <c r="I190" i="234" a="1"/>
  <c r="I190" i="234" s="1"/>
  <c r="H190" i="234" a="1"/>
  <c r="H190" i="234" s="1"/>
  <c r="G190" i="234" a="1"/>
  <c r="G190" i="234" s="1"/>
  <c r="E190" i="234" a="1"/>
  <c r="E190" i="234" s="1"/>
  <c r="D190" i="234" a="1"/>
  <c r="D190" i="234" s="1"/>
  <c r="C190" i="234" a="1"/>
  <c r="C190" i="234" s="1"/>
  <c r="U189" i="234"/>
  <c r="J189" i="234" a="1"/>
  <c r="J189" i="234" s="1"/>
  <c r="I189" i="234" a="1"/>
  <c r="I189" i="234" s="1"/>
  <c r="H189" i="234" a="1"/>
  <c r="H189" i="234" s="1"/>
  <c r="G189" i="234" a="1"/>
  <c r="G189" i="234" s="1"/>
  <c r="F189" i="234" a="1"/>
  <c r="F189" i="234" s="1"/>
  <c r="E189" i="234" a="1"/>
  <c r="E189" i="234" s="1"/>
  <c r="D189" i="234" a="1"/>
  <c r="D189" i="234" s="1"/>
  <c r="C189" i="234" a="1"/>
  <c r="C189" i="234" s="1"/>
  <c r="U188" i="234"/>
  <c r="J188" i="234" a="1"/>
  <c r="J188" i="234" s="1"/>
  <c r="I188" i="234" a="1"/>
  <c r="I188" i="234" s="1"/>
  <c r="H188" i="234" a="1"/>
  <c r="H188" i="234" s="1"/>
  <c r="G188" i="234" a="1"/>
  <c r="G188" i="234" s="1"/>
  <c r="F188" i="234" a="1"/>
  <c r="F188" i="234" s="1"/>
  <c r="E188" i="234" a="1"/>
  <c r="E188" i="234" s="1"/>
  <c r="D188" i="234" a="1"/>
  <c r="D188" i="234" s="1"/>
  <c r="C188" i="234" a="1"/>
  <c r="C188" i="234" s="1"/>
  <c r="T202" i="234"/>
  <c r="S202" i="234"/>
  <c r="R202" i="234"/>
  <c r="Q202" i="234"/>
  <c r="P202" i="234"/>
  <c r="O202" i="234"/>
  <c r="N202" i="234"/>
  <c r="J187" i="234" a="1"/>
  <c r="J187" i="234" s="1"/>
  <c r="I187" i="234" a="1"/>
  <c r="I187" i="234" s="1"/>
  <c r="H187" i="234" a="1"/>
  <c r="H187" i="234" s="1"/>
  <c r="G187" i="234" a="1"/>
  <c r="G187" i="234" s="1"/>
  <c r="F187" i="234" a="1"/>
  <c r="F187" i="234" s="1"/>
  <c r="E187" i="234" a="1"/>
  <c r="E187" i="234" s="1"/>
  <c r="D187" i="234" a="1"/>
  <c r="D187" i="234" s="1"/>
  <c r="L186" i="234"/>
  <c r="B79" i="318"/>
  <c r="B80" i="318"/>
  <c r="B81" i="318"/>
  <c r="B82" i="318"/>
  <c r="B83" i="318"/>
  <c r="B84" i="318"/>
  <c r="B85" i="318"/>
  <c r="B78" i="318"/>
  <c r="O3" i="188" l="1"/>
  <c r="K258" i="234"/>
  <c r="K256" i="234"/>
  <c r="K255" i="234"/>
  <c r="K253" i="234"/>
  <c r="E202" i="234"/>
  <c r="J202" i="234"/>
  <c r="S114" i="321" s="1"/>
  <c r="F202" i="234"/>
  <c r="D202" i="234"/>
  <c r="K188" i="234"/>
  <c r="G202" i="234"/>
  <c r="H202" i="234"/>
  <c r="Q114" i="321" s="1"/>
  <c r="I202" i="234"/>
  <c r="R114" i="321" s="1"/>
  <c r="B54" i="318"/>
  <c r="B91" i="318"/>
  <c r="B61" i="318"/>
  <c r="B98" i="318"/>
  <c r="B60" i="318"/>
  <c r="B97" i="318"/>
  <c r="B59" i="318"/>
  <c r="B96" i="318"/>
  <c r="B58" i="318"/>
  <c r="B95" i="318"/>
  <c r="B57" i="318"/>
  <c r="B94" i="318"/>
  <c r="B56" i="318"/>
  <c r="B93" i="318"/>
  <c r="B55" i="318"/>
  <c r="B92" i="318"/>
  <c r="U100" i="318"/>
  <c r="AA184" i="321" s="1"/>
  <c r="W90" i="318"/>
  <c r="V91" i="318"/>
  <c r="V92" i="318"/>
  <c r="V93" i="318"/>
  <c r="V94" i="318"/>
  <c r="V95" i="318"/>
  <c r="V96" i="318"/>
  <c r="V97" i="318"/>
  <c r="V98" i="318"/>
  <c r="M114" i="321"/>
  <c r="N114" i="321"/>
  <c r="O114" i="321"/>
  <c r="P114" i="321"/>
  <c r="M126" i="321"/>
  <c r="N126" i="321"/>
  <c r="O126" i="321"/>
  <c r="P126" i="321"/>
  <c r="Q126" i="321"/>
  <c r="R126" i="321"/>
  <c r="S126" i="321"/>
  <c r="K189" i="234"/>
  <c r="K190" i="234"/>
  <c r="K191" i="234"/>
  <c r="K192" i="234"/>
  <c r="K193" i="234"/>
  <c r="K194" i="234"/>
  <c r="K195" i="234"/>
  <c r="K196" i="234"/>
  <c r="K197" i="234"/>
  <c r="K198" i="234"/>
  <c r="K199" i="234"/>
  <c r="K200" i="234"/>
  <c r="K201" i="234"/>
  <c r="K187" i="234"/>
  <c r="C202" i="234"/>
  <c r="U187" i="234"/>
  <c r="M202" i="234"/>
  <c r="B68" i="318"/>
  <c r="B44" i="318" s="1"/>
  <c r="B69" i="318"/>
  <c r="B45" i="318" s="1"/>
  <c r="B70" i="318"/>
  <c r="B46" i="318" s="1"/>
  <c r="B71" i="318"/>
  <c r="B47" i="318" s="1"/>
  <c r="B72" i="318"/>
  <c r="B48" i="318" s="1"/>
  <c r="B73" i="318"/>
  <c r="B49" i="318" s="1"/>
  <c r="B74" i="318"/>
  <c r="B50" i="318" s="1"/>
  <c r="B67" i="318"/>
  <c r="B43" i="318" s="1"/>
  <c r="D66" i="318"/>
  <c r="D77" i="318"/>
  <c r="V100" i="318" l="1"/>
  <c r="AB184" i="321" s="1"/>
  <c r="X90" i="318"/>
  <c r="W91" i="318"/>
  <c r="W92" i="318"/>
  <c r="W93" i="318"/>
  <c r="W94" i="318"/>
  <c r="W95" i="318"/>
  <c r="W96" i="318"/>
  <c r="W97" i="318"/>
  <c r="W98" i="318"/>
  <c r="D79" i="318"/>
  <c r="D80" i="318"/>
  <c r="D81" i="318"/>
  <c r="D82" i="318"/>
  <c r="D83" i="318"/>
  <c r="D84" i="318"/>
  <c r="D85" i="318"/>
  <c r="D78" i="318"/>
  <c r="D68" i="318"/>
  <c r="D69" i="318"/>
  <c r="D70" i="318"/>
  <c r="D71" i="318"/>
  <c r="D72" i="318"/>
  <c r="D73" i="318"/>
  <c r="D74" i="318"/>
  <c r="D67" i="318"/>
  <c r="K307" i="234"/>
  <c r="U307" i="234"/>
  <c r="K313" i="234"/>
  <c r="U313" i="234"/>
  <c r="K304" i="234"/>
  <c r="U304" i="234"/>
  <c r="K306" i="234"/>
  <c r="U306" i="234"/>
  <c r="K309" i="234"/>
  <c r="U309" i="234"/>
  <c r="K311" i="234"/>
  <c r="U311" i="234"/>
  <c r="U219" i="234"/>
  <c r="K218" i="234"/>
  <c r="U234" i="234"/>
  <c r="U218" i="234"/>
  <c r="K217" i="234"/>
  <c r="U233" i="234"/>
  <c r="U217" i="234"/>
  <c r="K216" i="234"/>
  <c r="U232" i="234"/>
  <c r="U216" i="234"/>
  <c r="K215" i="234"/>
  <c r="U231" i="234"/>
  <c r="U215" i="234"/>
  <c r="K214" i="234"/>
  <c r="U230" i="234"/>
  <c r="U214" i="234"/>
  <c r="K213" i="234"/>
  <c r="U229" i="234"/>
  <c r="U213" i="234"/>
  <c r="K212" i="234"/>
  <c r="U228" i="234"/>
  <c r="U212" i="234"/>
  <c r="K211" i="234"/>
  <c r="U227" i="234"/>
  <c r="U211" i="234"/>
  <c r="K210" i="234"/>
  <c r="U226" i="234"/>
  <c r="K226" i="234"/>
  <c r="U210" i="234"/>
  <c r="K209" i="234"/>
  <c r="U209" i="234"/>
  <c r="K208" i="234"/>
  <c r="U208" i="234"/>
  <c r="K207" i="234"/>
  <c r="U207" i="234"/>
  <c r="J221" i="234"/>
  <c r="T221" i="234"/>
  <c r="I221" i="234"/>
  <c r="S221" i="234"/>
  <c r="H221" i="234"/>
  <c r="R221" i="234"/>
  <c r="G221" i="234"/>
  <c r="Q221" i="234"/>
  <c r="F221" i="234"/>
  <c r="P221" i="234"/>
  <c r="E221" i="234"/>
  <c r="O221" i="234"/>
  <c r="D221" i="234"/>
  <c r="N221" i="234"/>
  <c r="C221" i="234"/>
  <c r="K206" i="234"/>
  <c r="M221" i="234"/>
  <c r="U206" i="234"/>
  <c r="U202" i="234"/>
  <c r="L126" i="321"/>
  <c r="K202" i="234"/>
  <c r="L114" i="321"/>
  <c r="E66" i="318"/>
  <c r="E77" i="318"/>
  <c r="W100" i="318" l="1"/>
  <c r="AC184" i="321" s="1"/>
  <c r="Y90" i="318"/>
  <c r="X91" i="318"/>
  <c r="X92" i="318"/>
  <c r="X93" i="318"/>
  <c r="X94" i="318"/>
  <c r="X95" i="318"/>
  <c r="X96" i="318"/>
  <c r="X97" i="318"/>
  <c r="X98" i="318"/>
  <c r="E79" i="318"/>
  <c r="E80" i="318"/>
  <c r="E81" i="318"/>
  <c r="E82" i="318"/>
  <c r="E83" i="318"/>
  <c r="E84" i="318"/>
  <c r="E85" i="318"/>
  <c r="E78" i="318"/>
  <c r="E69" i="318"/>
  <c r="E70" i="318"/>
  <c r="E71" i="318"/>
  <c r="E72" i="318"/>
  <c r="E73" i="318"/>
  <c r="E74" i="318"/>
  <c r="E67" i="318"/>
  <c r="E68" i="318"/>
  <c r="U221" i="234"/>
  <c r="L115" i="321"/>
  <c r="M115" i="321"/>
  <c r="N115" i="321"/>
  <c r="O115" i="321"/>
  <c r="P115" i="321"/>
  <c r="Q115" i="321"/>
  <c r="R115" i="321"/>
  <c r="S115" i="321"/>
  <c r="K221" i="234"/>
  <c r="K225" i="234"/>
  <c r="U225" i="234"/>
  <c r="D240" i="234"/>
  <c r="N240" i="234"/>
  <c r="E240" i="234"/>
  <c r="O240" i="234"/>
  <c r="F240" i="234"/>
  <c r="P240" i="234"/>
  <c r="G240" i="234"/>
  <c r="Q240" i="234"/>
  <c r="H240" i="234"/>
  <c r="R240" i="234"/>
  <c r="I240" i="234"/>
  <c r="S240" i="234"/>
  <c r="J240" i="234"/>
  <c r="T240" i="234"/>
  <c r="K227" i="234"/>
  <c r="K228" i="234"/>
  <c r="K229" i="234"/>
  <c r="K230" i="234"/>
  <c r="K231" i="234"/>
  <c r="K232" i="234"/>
  <c r="K233" i="234"/>
  <c r="K234" i="234"/>
  <c r="K219" i="234"/>
  <c r="D63" i="318"/>
  <c r="L166" i="321" s="1"/>
  <c r="L168" i="321" s="1"/>
  <c r="D87" i="318"/>
  <c r="F66" i="318"/>
  <c r="F72" i="318" s="1"/>
  <c r="F77" i="318"/>
  <c r="F84" i="318" l="1"/>
  <c r="F82" i="318"/>
  <c r="L165" i="321"/>
  <c r="L167" i="321"/>
  <c r="X100" i="318"/>
  <c r="AD184" i="321" s="1"/>
  <c r="Z90" i="318"/>
  <c r="Y91" i="318"/>
  <c r="Y92" i="318"/>
  <c r="Y93" i="318"/>
  <c r="Y94" i="318"/>
  <c r="Y95" i="318"/>
  <c r="Y96" i="318"/>
  <c r="Y97" i="318"/>
  <c r="Y98" i="318"/>
  <c r="F79" i="318"/>
  <c r="F80" i="318"/>
  <c r="F81" i="318"/>
  <c r="F83" i="318"/>
  <c r="F85" i="318"/>
  <c r="F78" i="318"/>
  <c r="F69" i="318"/>
  <c r="F70" i="318"/>
  <c r="F71" i="318"/>
  <c r="F73" i="318"/>
  <c r="F74" i="318"/>
  <c r="F67" i="318"/>
  <c r="F68" i="318"/>
  <c r="S127" i="321"/>
  <c r="S116" i="321"/>
  <c r="R127" i="321"/>
  <c r="R116" i="321"/>
  <c r="Q127" i="321"/>
  <c r="Q116" i="321"/>
  <c r="P127" i="321"/>
  <c r="P116" i="321"/>
  <c r="O127" i="321"/>
  <c r="O116" i="321"/>
  <c r="N127" i="321"/>
  <c r="N116" i="321"/>
  <c r="M127" i="321"/>
  <c r="M116" i="321"/>
  <c r="K235" i="234"/>
  <c r="U252" i="234"/>
  <c r="C240" i="234"/>
  <c r="U235" i="234"/>
  <c r="M240" i="234"/>
  <c r="K251" i="234"/>
  <c r="U268" i="234"/>
  <c r="U251" i="234"/>
  <c r="K250" i="234"/>
  <c r="U267" i="234"/>
  <c r="U250" i="234"/>
  <c r="K249" i="234"/>
  <c r="U266" i="234"/>
  <c r="U249" i="234"/>
  <c r="K248" i="234"/>
  <c r="U265" i="234"/>
  <c r="U248" i="234"/>
  <c r="K247" i="234"/>
  <c r="U264" i="234"/>
  <c r="K264" i="234"/>
  <c r="U247" i="234"/>
  <c r="K246" i="234"/>
  <c r="U246" i="234"/>
  <c r="K245" i="234"/>
  <c r="U245" i="234"/>
  <c r="K244" i="234"/>
  <c r="U244" i="234"/>
  <c r="T259" i="234"/>
  <c r="S259" i="234"/>
  <c r="R259" i="234"/>
  <c r="Q259" i="234"/>
  <c r="P259" i="234"/>
  <c r="O259" i="234"/>
  <c r="N259" i="234"/>
  <c r="K237" i="234"/>
  <c r="U237" i="234"/>
  <c r="E63" i="318"/>
  <c r="M166" i="321" s="1"/>
  <c r="M168" i="321" s="1"/>
  <c r="E87" i="318"/>
  <c r="G66" i="318"/>
  <c r="G70" i="318" s="1"/>
  <c r="G77" i="318"/>
  <c r="M165" i="321" l="1"/>
  <c r="M167" i="321" s="1"/>
  <c r="Y100" i="318"/>
  <c r="AE184" i="321" s="1"/>
  <c r="AA90" i="318"/>
  <c r="Z91" i="318"/>
  <c r="Z92" i="318"/>
  <c r="Z93" i="318"/>
  <c r="Z94" i="318"/>
  <c r="Z95" i="318"/>
  <c r="Z96" i="318"/>
  <c r="Z97" i="318"/>
  <c r="Z98" i="318"/>
  <c r="G79" i="318"/>
  <c r="G80" i="318"/>
  <c r="G81" i="318"/>
  <c r="G82" i="318"/>
  <c r="G83" i="318"/>
  <c r="G84" i="318"/>
  <c r="G85" i="318"/>
  <c r="G78" i="318"/>
  <c r="G69" i="318"/>
  <c r="G71" i="318"/>
  <c r="G72" i="318"/>
  <c r="G73" i="318"/>
  <c r="G74" i="318"/>
  <c r="G67" i="318"/>
  <c r="G68" i="318"/>
  <c r="M128" i="321"/>
  <c r="N128" i="321"/>
  <c r="O128" i="321"/>
  <c r="P128" i="321"/>
  <c r="Q128" i="321"/>
  <c r="R128" i="321"/>
  <c r="S128" i="321"/>
  <c r="U240" i="234"/>
  <c r="L127" i="321"/>
  <c r="L116" i="321"/>
  <c r="K254" i="234"/>
  <c r="U254" i="234"/>
  <c r="D259" i="234"/>
  <c r="E259" i="234"/>
  <c r="F259" i="234"/>
  <c r="G259" i="234"/>
  <c r="H259" i="234"/>
  <c r="I259" i="234"/>
  <c r="J259" i="234"/>
  <c r="K263" i="234"/>
  <c r="U263" i="234"/>
  <c r="K265" i="234"/>
  <c r="K266" i="234"/>
  <c r="K267" i="234"/>
  <c r="K268" i="234"/>
  <c r="K240" i="234"/>
  <c r="K252" i="234"/>
  <c r="F63" i="318"/>
  <c r="N166" i="321" s="1"/>
  <c r="N168" i="321" s="1"/>
  <c r="F87" i="318"/>
  <c r="H66" i="318"/>
  <c r="H77" i="318"/>
  <c r="N165" i="321" l="1"/>
  <c r="N167" i="321" s="1"/>
  <c r="Z100" i="318"/>
  <c r="AF184" i="321" s="1"/>
  <c r="AB90" i="318"/>
  <c r="AA91" i="318"/>
  <c r="AA92" i="318"/>
  <c r="AA93" i="318"/>
  <c r="AA94" i="318"/>
  <c r="AA95" i="318"/>
  <c r="AA96" i="318"/>
  <c r="AA97" i="318"/>
  <c r="AA98" i="318"/>
  <c r="H79" i="318"/>
  <c r="H80" i="318"/>
  <c r="H81" i="318"/>
  <c r="H82" i="318"/>
  <c r="H83" i="318"/>
  <c r="H84" i="318"/>
  <c r="H85" i="318"/>
  <c r="H78" i="318"/>
  <c r="H69" i="318"/>
  <c r="H70" i="318"/>
  <c r="H71" i="318"/>
  <c r="H72" i="318"/>
  <c r="H73" i="318"/>
  <c r="H74" i="318"/>
  <c r="H67" i="318"/>
  <c r="H68" i="318"/>
  <c r="S117" i="321"/>
  <c r="R117" i="321"/>
  <c r="Q117" i="321"/>
  <c r="P117" i="321"/>
  <c r="O117" i="321"/>
  <c r="N117" i="321"/>
  <c r="M117" i="321"/>
  <c r="U302" i="234"/>
  <c r="K302" i="234"/>
  <c r="K269" i="234"/>
  <c r="U269" i="234"/>
  <c r="K257" i="234"/>
  <c r="C259" i="234"/>
  <c r="U257" i="234"/>
  <c r="M259" i="234"/>
  <c r="T278" i="234"/>
  <c r="S278" i="234"/>
  <c r="R278" i="234"/>
  <c r="Q278" i="234"/>
  <c r="P278" i="234"/>
  <c r="O278" i="234"/>
  <c r="N278" i="234"/>
  <c r="K271" i="234"/>
  <c r="U271" i="234"/>
  <c r="G63" i="318"/>
  <c r="O166" i="321" s="1"/>
  <c r="O168" i="321" s="1"/>
  <c r="G87" i="318"/>
  <c r="I66" i="318"/>
  <c r="I77" i="318"/>
  <c r="O165" i="321" l="1"/>
  <c r="O167" i="321" s="1"/>
  <c r="AA100" i="318"/>
  <c r="AG184" i="321" s="1"/>
  <c r="AC90" i="318"/>
  <c r="AB91" i="318"/>
  <c r="AB92" i="318"/>
  <c r="AB93" i="318"/>
  <c r="AB94" i="318"/>
  <c r="AB95" i="318"/>
  <c r="AB96" i="318"/>
  <c r="AB97" i="318"/>
  <c r="AB98" i="318"/>
  <c r="I79" i="318"/>
  <c r="I81" i="318"/>
  <c r="I82" i="318"/>
  <c r="I83" i="318"/>
  <c r="I84" i="318"/>
  <c r="I85" i="318"/>
  <c r="I80" i="318"/>
  <c r="I78" i="318"/>
  <c r="I69" i="318"/>
  <c r="I70" i="318"/>
  <c r="I71" i="318"/>
  <c r="I72" i="318"/>
  <c r="I73" i="318"/>
  <c r="I74" i="318"/>
  <c r="I67" i="318"/>
  <c r="I68" i="318"/>
  <c r="M129" i="321"/>
  <c r="N129" i="321"/>
  <c r="O129" i="321"/>
  <c r="P129" i="321"/>
  <c r="Q129" i="321"/>
  <c r="R129" i="321"/>
  <c r="S129" i="321"/>
  <c r="U259" i="234"/>
  <c r="L128" i="321"/>
  <c r="L117" i="321"/>
  <c r="U303" i="234"/>
  <c r="K303" i="234"/>
  <c r="K301" i="234"/>
  <c r="U301" i="234"/>
  <c r="D278" i="234"/>
  <c r="E278" i="234"/>
  <c r="F278" i="234"/>
  <c r="G278" i="234"/>
  <c r="H278" i="234"/>
  <c r="I278" i="234"/>
  <c r="J278" i="234"/>
  <c r="K259" i="234"/>
  <c r="U276" i="234"/>
  <c r="K274" i="234"/>
  <c r="C278" i="234"/>
  <c r="U274" i="234"/>
  <c r="M278" i="234"/>
  <c r="H63" i="318"/>
  <c r="P166" i="321" s="1"/>
  <c r="P168" i="321" s="1"/>
  <c r="H87" i="318"/>
  <c r="J66" i="318"/>
  <c r="J77" i="318"/>
  <c r="P165" i="321" l="1"/>
  <c r="P167" i="321" s="1"/>
  <c r="AB100" i="318"/>
  <c r="AH184" i="321" s="1"/>
  <c r="AD90" i="318"/>
  <c r="AC91" i="318"/>
  <c r="AC92" i="318"/>
  <c r="AC93" i="318"/>
  <c r="AC94" i="318"/>
  <c r="AC95" i="318"/>
  <c r="AC96" i="318"/>
  <c r="AC97" i="318"/>
  <c r="AC98" i="318"/>
  <c r="J79" i="318"/>
  <c r="J81" i="318"/>
  <c r="J82" i="318"/>
  <c r="J83" i="318"/>
  <c r="J84" i="318"/>
  <c r="J85" i="318"/>
  <c r="J80" i="318"/>
  <c r="J78" i="318"/>
  <c r="J69" i="318"/>
  <c r="J70" i="318"/>
  <c r="J71" i="318"/>
  <c r="J72" i="318"/>
  <c r="J73" i="318"/>
  <c r="J74" i="318"/>
  <c r="J67" i="318"/>
  <c r="J68" i="318"/>
  <c r="U278" i="234"/>
  <c r="L129" i="321"/>
  <c r="L118" i="321"/>
  <c r="S118" i="321"/>
  <c r="R118" i="321"/>
  <c r="Q118" i="321"/>
  <c r="P118" i="321"/>
  <c r="O118" i="321"/>
  <c r="N118" i="321"/>
  <c r="M118" i="321"/>
  <c r="K305" i="234"/>
  <c r="U305" i="234"/>
  <c r="K278" i="234"/>
  <c r="K276" i="234"/>
  <c r="I63" i="318"/>
  <c r="Q166" i="321" s="1"/>
  <c r="Q168" i="321" s="1"/>
  <c r="I87" i="318"/>
  <c r="M66" i="318"/>
  <c r="M77" i="318"/>
  <c r="Q165" i="321" l="1"/>
  <c r="Q167" i="321" s="1"/>
  <c r="AC100" i="318"/>
  <c r="AI184" i="321" s="1"/>
  <c r="AE90" i="318"/>
  <c r="AD91" i="318"/>
  <c r="AD92" i="318"/>
  <c r="AD93" i="318"/>
  <c r="AD94" i="318"/>
  <c r="AD95" i="318"/>
  <c r="AD96" i="318"/>
  <c r="AD97" i="318"/>
  <c r="AD98" i="318"/>
  <c r="M79" i="318"/>
  <c r="M81" i="318"/>
  <c r="M82" i="318"/>
  <c r="M83" i="318"/>
  <c r="M84" i="318"/>
  <c r="M85" i="318"/>
  <c r="M80" i="318"/>
  <c r="M78" i="318"/>
  <c r="M69" i="318"/>
  <c r="M70" i="318"/>
  <c r="M71" i="318"/>
  <c r="M72" i="318"/>
  <c r="M73" i="318"/>
  <c r="M74" i="318"/>
  <c r="M67" i="318"/>
  <c r="M68" i="318"/>
  <c r="K308" i="234"/>
  <c r="U308" i="234"/>
  <c r="N316" i="234"/>
  <c r="D316" i="234"/>
  <c r="M120" i="321" s="1"/>
  <c r="O316" i="234"/>
  <c r="E316" i="234"/>
  <c r="N120" i="321" s="1"/>
  <c r="P316" i="234"/>
  <c r="F316" i="234"/>
  <c r="O120" i="321" s="1"/>
  <c r="Q316" i="234"/>
  <c r="G316" i="234"/>
  <c r="P120" i="321" s="1"/>
  <c r="R316" i="234"/>
  <c r="H316" i="234"/>
  <c r="Q120" i="321" s="1"/>
  <c r="S316" i="234"/>
  <c r="I316" i="234"/>
  <c r="R120" i="321" s="1"/>
  <c r="T316" i="234"/>
  <c r="J316" i="234"/>
  <c r="S120" i="321" s="1"/>
  <c r="U312" i="234"/>
  <c r="K312" i="234"/>
  <c r="J63" i="318"/>
  <c r="R166" i="321" s="1"/>
  <c r="R168" i="321" s="1"/>
  <c r="J87" i="318"/>
  <c r="N66" i="318"/>
  <c r="N77" i="318"/>
  <c r="R165" i="321" l="1"/>
  <c r="R167" i="321" s="1"/>
  <c r="AD100" i="318"/>
  <c r="AJ184" i="321" s="1"/>
  <c r="AF90" i="318"/>
  <c r="AE91" i="318"/>
  <c r="AE92" i="318"/>
  <c r="AE93" i="318"/>
  <c r="AE94" i="318"/>
  <c r="AE95" i="318"/>
  <c r="AE96" i="318"/>
  <c r="AE97" i="318"/>
  <c r="AE98" i="318"/>
  <c r="N79" i="318"/>
  <c r="N81" i="318"/>
  <c r="N82" i="318"/>
  <c r="N83" i="318"/>
  <c r="N84" i="318"/>
  <c r="N85" i="318"/>
  <c r="N80" i="318"/>
  <c r="N78" i="318"/>
  <c r="N69" i="318"/>
  <c r="N70" i="318"/>
  <c r="N71" i="318"/>
  <c r="N72" i="318"/>
  <c r="N73" i="318"/>
  <c r="N74" i="318"/>
  <c r="N67" i="318"/>
  <c r="N68" i="318"/>
  <c r="K310" i="234"/>
  <c r="U310" i="234"/>
  <c r="M63" i="318"/>
  <c r="S166" i="321" s="1"/>
  <c r="S168" i="321" s="1"/>
  <c r="M87" i="318"/>
  <c r="O66" i="318"/>
  <c r="O77" i="318"/>
  <c r="S165" i="321" l="1"/>
  <c r="S167" i="321" s="1"/>
  <c r="AE100" i="318"/>
  <c r="AK184" i="321" s="1"/>
  <c r="AG90" i="318"/>
  <c r="AF91" i="318"/>
  <c r="AF92" i="318"/>
  <c r="AF93" i="318"/>
  <c r="AF94" i="318"/>
  <c r="AF95" i="318"/>
  <c r="AF96" i="318"/>
  <c r="AF97" i="318"/>
  <c r="AF98" i="318"/>
  <c r="O79" i="318"/>
  <c r="O81" i="318"/>
  <c r="O82" i="318"/>
  <c r="O83" i="318"/>
  <c r="O84" i="318"/>
  <c r="O85" i="318"/>
  <c r="O80" i="318"/>
  <c r="O78" i="318"/>
  <c r="O69" i="318"/>
  <c r="O70" i="318"/>
  <c r="O71" i="318"/>
  <c r="O72" i="318"/>
  <c r="O73" i="318"/>
  <c r="O74" i="318"/>
  <c r="O67" i="318"/>
  <c r="O68" i="318"/>
  <c r="K314" i="234"/>
  <c r="C316" i="234"/>
  <c r="L120" i="321" s="1"/>
  <c r="U314" i="234"/>
  <c r="M316" i="234"/>
  <c r="N63" i="318"/>
  <c r="T166" i="321" s="1"/>
  <c r="T168" i="321" s="1"/>
  <c r="N87" i="318"/>
  <c r="P66" i="318"/>
  <c r="P77" i="318"/>
  <c r="T165" i="321" l="1"/>
  <c r="T167" i="321" s="1"/>
  <c r="AF100" i="318"/>
  <c r="AL184" i="321" s="1"/>
  <c r="AH90" i="318"/>
  <c r="AG91" i="318"/>
  <c r="AG92" i="318"/>
  <c r="AG93" i="318"/>
  <c r="AG94" i="318"/>
  <c r="AG95" i="318"/>
  <c r="AG96" i="318"/>
  <c r="AG97" i="318"/>
  <c r="AG98" i="318"/>
  <c r="P79" i="318"/>
  <c r="P81" i="318"/>
  <c r="P82" i="318"/>
  <c r="P83" i="318"/>
  <c r="P84" i="318"/>
  <c r="P85" i="318"/>
  <c r="P80" i="318"/>
  <c r="P78" i="318"/>
  <c r="P69" i="318"/>
  <c r="P70" i="318"/>
  <c r="P71" i="318"/>
  <c r="P72" i="318"/>
  <c r="P73" i="318"/>
  <c r="P74" i="318"/>
  <c r="P67" i="318"/>
  <c r="P68" i="318"/>
  <c r="U316" i="234"/>
  <c r="K316" i="234"/>
  <c r="O63" i="318"/>
  <c r="U166" i="321" s="1"/>
  <c r="U168" i="321" s="1"/>
  <c r="O87" i="318"/>
  <c r="Q66" i="318"/>
  <c r="Q77" i="318"/>
  <c r="U165" i="321" l="1"/>
  <c r="U167" i="321" s="1"/>
  <c r="AG100" i="318"/>
  <c r="AM184" i="321" s="1"/>
  <c r="AI90" i="318"/>
  <c r="AH91" i="318"/>
  <c r="AH92" i="318"/>
  <c r="AH93" i="318"/>
  <c r="AH94" i="318"/>
  <c r="AH95" i="318"/>
  <c r="AH96" i="318"/>
  <c r="AH97" i="318"/>
  <c r="AH98" i="318"/>
  <c r="Q79" i="318"/>
  <c r="Q81" i="318"/>
  <c r="Q82" i="318"/>
  <c r="Q83" i="318"/>
  <c r="Q84" i="318"/>
  <c r="Q85" i="318"/>
  <c r="Q80" i="318"/>
  <c r="Q78" i="318"/>
  <c r="Q69" i="318"/>
  <c r="Q70" i="318"/>
  <c r="Q71" i="318"/>
  <c r="Q72" i="318"/>
  <c r="Q73" i="318"/>
  <c r="Q74" i="318"/>
  <c r="Q67" i="318"/>
  <c r="Q68" i="318"/>
  <c r="P63" i="318"/>
  <c r="V166" i="321" s="1"/>
  <c r="V168" i="321" s="1"/>
  <c r="P87" i="318"/>
  <c r="R66" i="318"/>
  <c r="R77" i="318"/>
  <c r="V165" i="321" l="1"/>
  <c r="V167" i="321" s="1"/>
  <c r="AH100" i="318"/>
  <c r="AN184" i="321" s="1"/>
  <c r="AJ90" i="318"/>
  <c r="AI91" i="318"/>
  <c r="AI92" i="318"/>
  <c r="AI93" i="318"/>
  <c r="AI94" i="318"/>
  <c r="AI95" i="318"/>
  <c r="AI96" i="318"/>
  <c r="AI97" i="318"/>
  <c r="AI98" i="318"/>
  <c r="R79" i="318"/>
  <c r="R81" i="318"/>
  <c r="R82" i="318"/>
  <c r="R83" i="318"/>
  <c r="R84" i="318"/>
  <c r="R85" i="318"/>
  <c r="R80" i="318"/>
  <c r="R78" i="318"/>
  <c r="R69" i="318"/>
  <c r="R70" i="318"/>
  <c r="R71" i="318"/>
  <c r="R72" i="318"/>
  <c r="R73" i="318"/>
  <c r="R74" i="318"/>
  <c r="R67" i="318"/>
  <c r="R68" i="318"/>
  <c r="Q63" i="318"/>
  <c r="W166" i="321" s="1"/>
  <c r="W168" i="321" s="1"/>
  <c r="Q87" i="318"/>
  <c r="S66" i="318"/>
  <c r="S77" i="318"/>
  <c r="W165" i="321" l="1"/>
  <c r="W167" i="321" s="1"/>
  <c r="AI100" i="318"/>
  <c r="AO184" i="321" s="1"/>
  <c r="AK90" i="318"/>
  <c r="AJ91" i="318"/>
  <c r="AJ92" i="318"/>
  <c r="AJ93" i="318"/>
  <c r="AJ94" i="318"/>
  <c r="AJ95" i="318"/>
  <c r="AJ96" i="318"/>
  <c r="AJ97" i="318"/>
  <c r="AJ98" i="318"/>
  <c r="S79" i="318"/>
  <c r="S81" i="318"/>
  <c r="S82" i="318"/>
  <c r="S83" i="318"/>
  <c r="S84" i="318"/>
  <c r="S85" i="318"/>
  <c r="S80" i="318"/>
  <c r="S78" i="318"/>
  <c r="S69" i="318"/>
  <c r="S70" i="318"/>
  <c r="S71" i="318"/>
  <c r="S72" i="318"/>
  <c r="S73" i="318"/>
  <c r="S74" i="318"/>
  <c r="S67" i="318"/>
  <c r="S68" i="318"/>
  <c r="R63" i="318"/>
  <c r="X166" i="321" s="1"/>
  <c r="X168" i="321" s="1"/>
  <c r="R87" i="318"/>
  <c r="T66" i="318"/>
  <c r="T77" i="318"/>
  <c r="X165" i="321" l="1"/>
  <c r="X167" i="321" s="1"/>
  <c r="AJ100" i="318"/>
  <c r="AP184" i="321" s="1"/>
  <c r="AL90" i="318"/>
  <c r="AK91" i="318"/>
  <c r="AK92" i="318"/>
  <c r="AK93" i="318"/>
  <c r="AK94" i="318"/>
  <c r="AK95" i="318"/>
  <c r="AK96" i="318"/>
  <c r="AK97" i="318"/>
  <c r="AK98" i="318"/>
  <c r="T79" i="318"/>
  <c r="T81" i="318"/>
  <c r="T82" i="318"/>
  <c r="T83" i="318"/>
  <c r="T84" i="318"/>
  <c r="T85" i="318"/>
  <c r="T80" i="318"/>
  <c r="T78" i="318"/>
  <c r="T69" i="318"/>
  <c r="T70" i="318"/>
  <c r="T71" i="318"/>
  <c r="T72" i="318"/>
  <c r="T73" i="318"/>
  <c r="T74" i="318"/>
  <c r="T67" i="318"/>
  <c r="T68" i="318"/>
  <c r="S63" i="318"/>
  <c r="Y166" i="321" s="1"/>
  <c r="Y168" i="321" s="1"/>
  <c r="S87" i="318"/>
  <c r="U66" i="318"/>
  <c r="U77" i="318"/>
  <c r="Y165" i="321" l="1"/>
  <c r="Y167" i="321" s="1"/>
  <c r="AK100" i="318"/>
  <c r="AQ184" i="321" s="1"/>
  <c r="AM90" i="318"/>
  <c r="AL91" i="318"/>
  <c r="AL92" i="318"/>
  <c r="AL93" i="318"/>
  <c r="AL94" i="318"/>
  <c r="AL95" i="318"/>
  <c r="AL96" i="318"/>
  <c r="AL97" i="318"/>
  <c r="AL98" i="318"/>
  <c r="U79" i="318"/>
  <c r="U81" i="318"/>
  <c r="U82" i="318"/>
  <c r="U83" i="318"/>
  <c r="U84" i="318"/>
  <c r="U85" i="318"/>
  <c r="U80" i="318"/>
  <c r="U78" i="318"/>
  <c r="U69" i="318"/>
  <c r="U70" i="318"/>
  <c r="U71" i="318"/>
  <c r="U72" i="318"/>
  <c r="U73" i="318"/>
  <c r="U74" i="318"/>
  <c r="U67" i="318"/>
  <c r="U68" i="318"/>
  <c r="T63" i="318"/>
  <c r="Z166" i="321" s="1"/>
  <c r="Z168" i="321" s="1"/>
  <c r="T87" i="318"/>
  <c r="V66" i="318"/>
  <c r="V77" i="318"/>
  <c r="Z165" i="321" l="1"/>
  <c r="Z167" i="321"/>
  <c r="AL100" i="318"/>
  <c r="AR184" i="321" s="1"/>
  <c r="AN90" i="318"/>
  <c r="AM91" i="318"/>
  <c r="AM92" i="318"/>
  <c r="AM93" i="318"/>
  <c r="AM94" i="318"/>
  <c r="AM95" i="318"/>
  <c r="AM96" i="318"/>
  <c r="AM97" i="318"/>
  <c r="AM98" i="318"/>
  <c r="V79" i="318"/>
  <c r="V81" i="318"/>
  <c r="V82" i="318"/>
  <c r="V83" i="318"/>
  <c r="V84" i="318"/>
  <c r="V85" i="318"/>
  <c r="V80" i="318"/>
  <c r="V78" i="318"/>
  <c r="V69" i="318"/>
  <c r="V70" i="318"/>
  <c r="V71" i="318"/>
  <c r="V72" i="318"/>
  <c r="V73" i="318"/>
  <c r="V74" i="318"/>
  <c r="V67" i="318"/>
  <c r="V68" i="318"/>
  <c r="U63" i="318"/>
  <c r="AA166" i="321" s="1"/>
  <c r="AA168" i="321" s="1"/>
  <c r="U87" i="318"/>
  <c r="W66" i="318"/>
  <c r="W77" i="318"/>
  <c r="AA165" i="321" l="1"/>
  <c r="AA167" i="321"/>
  <c r="AM100" i="318"/>
  <c r="AS184" i="321" s="1"/>
  <c r="AN91" i="318"/>
  <c r="AN92" i="318"/>
  <c r="AN93" i="318"/>
  <c r="AN94" i="318"/>
  <c r="AN95" i="318"/>
  <c r="AN96" i="318"/>
  <c r="AN97" i="318"/>
  <c r="AN98" i="318"/>
  <c r="W79" i="318"/>
  <c r="W81" i="318"/>
  <c r="W82" i="318"/>
  <c r="W83" i="318"/>
  <c r="W84" i="318"/>
  <c r="W85" i="318"/>
  <c r="W80" i="318"/>
  <c r="W78" i="318"/>
  <c r="W69" i="318"/>
  <c r="W70" i="318"/>
  <c r="W71" i="318"/>
  <c r="W72" i="318"/>
  <c r="W73" i="318"/>
  <c r="W74" i="318"/>
  <c r="W67" i="318"/>
  <c r="W68" i="318"/>
  <c r="V63" i="318"/>
  <c r="AB166" i="321" s="1"/>
  <c r="AB168" i="321" s="1"/>
  <c r="V87" i="318"/>
  <c r="X66" i="318"/>
  <c r="X77" i="318"/>
  <c r="AB165" i="321" l="1"/>
  <c r="AB167" i="321"/>
  <c r="AN100" i="318"/>
  <c r="AT184" i="321" s="1"/>
  <c r="X79" i="318"/>
  <c r="X81" i="318"/>
  <c r="X82" i="318"/>
  <c r="X83" i="318"/>
  <c r="X84" i="318"/>
  <c r="X85" i="318"/>
  <c r="X80" i="318"/>
  <c r="X78" i="318"/>
  <c r="X69" i="318"/>
  <c r="X70" i="318"/>
  <c r="X71" i="318"/>
  <c r="X72" i="318"/>
  <c r="X73" i="318"/>
  <c r="X74" i="318"/>
  <c r="X67" i="318"/>
  <c r="X68" i="318"/>
  <c r="W63" i="318"/>
  <c r="AC166" i="321" s="1"/>
  <c r="AC168" i="321" s="1"/>
  <c r="W87" i="318"/>
  <c r="Y66" i="318"/>
  <c r="Y77" i="318"/>
  <c r="AC165" i="321" l="1"/>
  <c r="AC167" i="321"/>
  <c r="Y79" i="318"/>
  <c r="Y81" i="318"/>
  <c r="Y82" i="318"/>
  <c r="Y83" i="318"/>
  <c r="Y84" i="318"/>
  <c r="Y85" i="318"/>
  <c r="Y80" i="318"/>
  <c r="Y78" i="318"/>
  <c r="Y69" i="318"/>
  <c r="Y70" i="318"/>
  <c r="Y71" i="318"/>
  <c r="Y72" i="318"/>
  <c r="Y73" i="318"/>
  <c r="Y74" i="318"/>
  <c r="Y67" i="318"/>
  <c r="Y68" i="318"/>
  <c r="X63" i="318"/>
  <c r="AD166" i="321" s="1"/>
  <c r="AD168" i="321" s="1"/>
  <c r="X87" i="318"/>
  <c r="Z66" i="318"/>
  <c r="Z77" i="318"/>
  <c r="AD165" i="321" l="1"/>
  <c r="AD167" i="321"/>
  <c r="Z79" i="318"/>
  <c r="Z81" i="318"/>
  <c r="Z82" i="318"/>
  <c r="Z83" i="318"/>
  <c r="Z84" i="318"/>
  <c r="Z85" i="318"/>
  <c r="Z80" i="318"/>
  <c r="Z78" i="318"/>
  <c r="Z69" i="318"/>
  <c r="Z70" i="318"/>
  <c r="Z71" i="318"/>
  <c r="Z72" i="318"/>
  <c r="Z73" i="318"/>
  <c r="Z74" i="318"/>
  <c r="Z67" i="318"/>
  <c r="Z68" i="318"/>
  <c r="Y63" i="318"/>
  <c r="AE166" i="321" s="1"/>
  <c r="AE168" i="321" s="1"/>
  <c r="Y87" i="318"/>
  <c r="AA66" i="318"/>
  <c r="AA77" i="318"/>
  <c r="AE165" i="321" l="1"/>
  <c r="AE167" i="321"/>
  <c r="AA79" i="318"/>
  <c r="AA81" i="318"/>
  <c r="AA82" i="318"/>
  <c r="AA83" i="318"/>
  <c r="AA84" i="318"/>
  <c r="AA85" i="318"/>
  <c r="AA80" i="318"/>
  <c r="AA78" i="318"/>
  <c r="AA69" i="318"/>
  <c r="AA70" i="318"/>
  <c r="AA71" i="318"/>
  <c r="AA72" i="318"/>
  <c r="AA73" i="318"/>
  <c r="AA74" i="318"/>
  <c r="AA67" i="318"/>
  <c r="AA68" i="318"/>
  <c r="Z63" i="318"/>
  <c r="AF166" i="321" s="1"/>
  <c r="AF168" i="321" s="1"/>
  <c r="Z87" i="318"/>
  <c r="AB66" i="318"/>
  <c r="AB77" i="318"/>
  <c r="AF165" i="321" l="1"/>
  <c r="AF167" i="321"/>
  <c r="AB79" i="318"/>
  <c r="AB81" i="318"/>
  <c r="AB82" i="318"/>
  <c r="AB83" i="318"/>
  <c r="AB84" i="318"/>
  <c r="AB85" i="318"/>
  <c r="AB80" i="318"/>
  <c r="AB78" i="318"/>
  <c r="AB69" i="318"/>
  <c r="AB70" i="318"/>
  <c r="AB71" i="318"/>
  <c r="AB72" i="318"/>
  <c r="AB73" i="318"/>
  <c r="AB74" i="318"/>
  <c r="AB67" i="318"/>
  <c r="AB68" i="318"/>
  <c r="AA63" i="318"/>
  <c r="AG166" i="321" s="1"/>
  <c r="AG168" i="321" s="1"/>
  <c r="AA87" i="318"/>
  <c r="AC66" i="318"/>
  <c r="AC77" i="318"/>
  <c r="AG165" i="321" l="1"/>
  <c r="AG167" i="321"/>
  <c r="AC79" i="318"/>
  <c r="AC81" i="318"/>
  <c r="AC82" i="318"/>
  <c r="AC83" i="318"/>
  <c r="AC84" i="318"/>
  <c r="AC85" i="318"/>
  <c r="AC80" i="318"/>
  <c r="AC78" i="318"/>
  <c r="AC69" i="318"/>
  <c r="AC70" i="318"/>
  <c r="AC71" i="318"/>
  <c r="AC72" i="318"/>
  <c r="AC73" i="318"/>
  <c r="AC74" i="318"/>
  <c r="AC67" i="318"/>
  <c r="AC68" i="318"/>
  <c r="AB63" i="318"/>
  <c r="AH166" i="321" s="1"/>
  <c r="AH168" i="321" s="1"/>
  <c r="AB87" i="318"/>
  <c r="AD66" i="318"/>
  <c r="AD77" i="318"/>
  <c r="AH165" i="321" l="1"/>
  <c r="AH167" i="321"/>
  <c r="AD79" i="318"/>
  <c r="AD81" i="318"/>
  <c r="AD82" i="318"/>
  <c r="AD83" i="318"/>
  <c r="AD84" i="318"/>
  <c r="AD85" i="318"/>
  <c r="AD80" i="318"/>
  <c r="AD78" i="318"/>
  <c r="AD69" i="318"/>
  <c r="AD70" i="318"/>
  <c r="AD71" i="318"/>
  <c r="AD72" i="318"/>
  <c r="AD73" i="318"/>
  <c r="AD74" i="318"/>
  <c r="AD67" i="318"/>
  <c r="AD68" i="318"/>
  <c r="AC63" i="318"/>
  <c r="AI166" i="321" s="1"/>
  <c r="AI168" i="321" s="1"/>
  <c r="AC87" i="318"/>
  <c r="AE66" i="318"/>
  <c r="AE77" i="318"/>
  <c r="AI165" i="321" l="1"/>
  <c r="AI167" i="321"/>
  <c r="AE79" i="318"/>
  <c r="AE81" i="318"/>
  <c r="AE82" i="318"/>
  <c r="AE83" i="318"/>
  <c r="AE84" i="318"/>
  <c r="AE85" i="318"/>
  <c r="AE80" i="318"/>
  <c r="AE78" i="318"/>
  <c r="AE69" i="318"/>
  <c r="AE70" i="318"/>
  <c r="AE71" i="318"/>
  <c r="AE72" i="318"/>
  <c r="AE73" i="318"/>
  <c r="AE74" i="318"/>
  <c r="AE67" i="318"/>
  <c r="AE68" i="318"/>
  <c r="AD63" i="318"/>
  <c r="AJ166" i="321" s="1"/>
  <c r="AJ168" i="321" s="1"/>
  <c r="AD87" i="318"/>
  <c r="AF66" i="318"/>
  <c r="AF77" i="318"/>
  <c r="AJ165" i="321" l="1"/>
  <c r="AJ167" i="321"/>
  <c r="AF79" i="318"/>
  <c r="AF81" i="318"/>
  <c r="AF82" i="318"/>
  <c r="AF83" i="318"/>
  <c r="AF84" i="318"/>
  <c r="AF85" i="318"/>
  <c r="AF80" i="318"/>
  <c r="AF78" i="318"/>
  <c r="AF69" i="318"/>
  <c r="AF70" i="318"/>
  <c r="AF71" i="318"/>
  <c r="AF72" i="318"/>
  <c r="AF73" i="318"/>
  <c r="AF74" i="318"/>
  <c r="AF67" i="318"/>
  <c r="AF68" i="318"/>
  <c r="AE63" i="318"/>
  <c r="AK166" i="321" s="1"/>
  <c r="AK168" i="321" s="1"/>
  <c r="AE87" i="318"/>
  <c r="AG66" i="318"/>
  <c r="AG77" i="318"/>
  <c r="AK165" i="321" l="1"/>
  <c r="AK167" i="321"/>
  <c r="AG79" i="318"/>
  <c r="AG81" i="318"/>
  <c r="AG82" i="318"/>
  <c r="AG83" i="318"/>
  <c r="AG84" i="318"/>
  <c r="AG85" i="318"/>
  <c r="AG80" i="318"/>
  <c r="AG78" i="318"/>
  <c r="AG69" i="318"/>
  <c r="AG70" i="318"/>
  <c r="AG71" i="318"/>
  <c r="AG72" i="318"/>
  <c r="AG73" i="318"/>
  <c r="AG74" i="318"/>
  <c r="AG67" i="318"/>
  <c r="AG68" i="318"/>
  <c r="AF63" i="318"/>
  <c r="AL166" i="321" s="1"/>
  <c r="AL168" i="321" s="1"/>
  <c r="AF87" i="318"/>
  <c r="AH66" i="318"/>
  <c r="AH77" i="318"/>
  <c r="AL165" i="321" l="1"/>
  <c r="AL167" i="321"/>
  <c r="AH79" i="318"/>
  <c r="AH81" i="318"/>
  <c r="AH82" i="318"/>
  <c r="AH83" i="318"/>
  <c r="AH84" i="318"/>
  <c r="AH85" i="318"/>
  <c r="AH80" i="318"/>
  <c r="AH78" i="318"/>
  <c r="AH69" i="318"/>
  <c r="AH70" i="318"/>
  <c r="AH71" i="318"/>
  <c r="AH72" i="318"/>
  <c r="AH73" i="318"/>
  <c r="AH74" i="318"/>
  <c r="AH67" i="318"/>
  <c r="AH68" i="318"/>
  <c r="AG63" i="318"/>
  <c r="AM166" i="321" s="1"/>
  <c r="AM168" i="321" s="1"/>
  <c r="AG87" i="318"/>
  <c r="AI66" i="318"/>
  <c r="AI77" i="318"/>
  <c r="AM165" i="321" l="1"/>
  <c r="AM167" i="321"/>
  <c r="AI79" i="318"/>
  <c r="AI81" i="318"/>
  <c r="AI82" i="318"/>
  <c r="AI83" i="318"/>
  <c r="AI84" i="318"/>
  <c r="AI85" i="318"/>
  <c r="AI80" i="318"/>
  <c r="AI78" i="318"/>
  <c r="AI69" i="318"/>
  <c r="AI70" i="318"/>
  <c r="AI71" i="318"/>
  <c r="AI72" i="318"/>
  <c r="AI73" i="318"/>
  <c r="AI74" i="318"/>
  <c r="AI67" i="318"/>
  <c r="AI68" i="318"/>
  <c r="AH63" i="318"/>
  <c r="AN166" i="321" s="1"/>
  <c r="AN168" i="321" s="1"/>
  <c r="AH87" i="318"/>
  <c r="AJ66" i="318"/>
  <c r="AJ77" i="318"/>
  <c r="AN165" i="321" l="1"/>
  <c r="AN167" i="321"/>
  <c r="AJ79" i="318"/>
  <c r="AJ81" i="318"/>
  <c r="AJ82" i="318"/>
  <c r="AJ83" i="318"/>
  <c r="AJ84" i="318"/>
  <c r="AJ85" i="318"/>
  <c r="AJ80" i="318"/>
  <c r="AJ78" i="318"/>
  <c r="AJ69" i="318"/>
  <c r="AJ70" i="318"/>
  <c r="AJ71" i="318"/>
  <c r="AJ72" i="318"/>
  <c r="AJ73" i="318"/>
  <c r="AJ74" i="318"/>
  <c r="AJ67" i="318"/>
  <c r="AJ68" i="318"/>
  <c r="AI63" i="318"/>
  <c r="AO166" i="321" s="1"/>
  <c r="AO168" i="321" s="1"/>
  <c r="AI87" i="318"/>
  <c r="AK66" i="318"/>
  <c r="AK77" i="318"/>
  <c r="AO165" i="321" l="1"/>
  <c r="AO167" i="321"/>
  <c r="AK79" i="318"/>
  <c r="AK81" i="318"/>
  <c r="AK82" i="318"/>
  <c r="AK83" i="318"/>
  <c r="AK84" i="318"/>
  <c r="AK85" i="318"/>
  <c r="AK80" i="318"/>
  <c r="AK78" i="318"/>
  <c r="AK69" i="318"/>
  <c r="AK70" i="318"/>
  <c r="AK71" i="318"/>
  <c r="AK72" i="318"/>
  <c r="AK73" i="318"/>
  <c r="AK74" i="318"/>
  <c r="AK67" i="318"/>
  <c r="AK68" i="318"/>
  <c r="AJ63" i="318"/>
  <c r="AP166" i="321" s="1"/>
  <c r="AP168" i="321" s="1"/>
  <c r="AJ87" i="318"/>
  <c r="AL66" i="318"/>
  <c r="AL77" i="318"/>
  <c r="AP165" i="321" l="1"/>
  <c r="AP167" i="321"/>
  <c r="AL79" i="318"/>
  <c r="AL81" i="318"/>
  <c r="AL82" i="318"/>
  <c r="AL83" i="318"/>
  <c r="AL84" i="318"/>
  <c r="AL85" i="318"/>
  <c r="AL80" i="318"/>
  <c r="AL78" i="318"/>
  <c r="AL69" i="318"/>
  <c r="AL70" i="318"/>
  <c r="AL71" i="318"/>
  <c r="AL72" i="318"/>
  <c r="AL73" i="318"/>
  <c r="AL74" i="318"/>
  <c r="AL67" i="318"/>
  <c r="AL68" i="318"/>
  <c r="AK63" i="318"/>
  <c r="AQ166" i="321" s="1"/>
  <c r="AQ168" i="321" s="1"/>
  <c r="AK87" i="318"/>
  <c r="AM66" i="318"/>
  <c r="AM77" i="318"/>
  <c r="AQ165" i="321" l="1"/>
  <c r="AQ167" i="321"/>
  <c r="AM79" i="318"/>
  <c r="AM81" i="318"/>
  <c r="AM82" i="318"/>
  <c r="AM83" i="318"/>
  <c r="AM84" i="318"/>
  <c r="AM85" i="318"/>
  <c r="AM80" i="318"/>
  <c r="AM78" i="318"/>
  <c r="AM69" i="318"/>
  <c r="AM70" i="318"/>
  <c r="AM71" i="318"/>
  <c r="AM72" i="318"/>
  <c r="AM73" i="318"/>
  <c r="AM74" i="318"/>
  <c r="AM67" i="318"/>
  <c r="AM68" i="318"/>
  <c r="AL63" i="318"/>
  <c r="AR166" i="321" s="1"/>
  <c r="AR168" i="321" s="1"/>
  <c r="AL87" i="318"/>
  <c r="AN66" i="318"/>
  <c r="AN77" i="318"/>
  <c r="AR165" i="321" l="1"/>
  <c r="AR167" i="321"/>
  <c r="AN79" i="318"/>
  <c r="AN81" i="318"/>
  <c r="AN82" i="318"/>
  <c r="AN83" i="318"/>
  <c r="AN84" i="318"/>
  <c r="AN85" i="318"/>
  <c r="AN80" i="318"/>
  <c r="AN78" i="318"/>
  <c r="AN69" i="318"/>
  <c r="AN70" i="318"/>
  <c r="AN71" i="318"/>
  <c r="AN72" i="318"/>
  <c r="AN73" i="318"/>
  <c r="AN74" i="318"/>
  <c r="AN67" i="318"/>
  <c r="AN68" i="318"/>
  <c r="AM63" i="318"/>
  <c r="AS166" i="321" s="1"/>
  <c r="AS168" i="321" s="1"/>
  <c r="AM87" i="318"/>
  <c r="AT146" i="321"/>
  <c r="AS146" i="321"/>
  <c r="AR146" i="321"/>
  <c r="AQ146" i="321"/>
  <c r="AP146" i="321"/>
  <c r="AO146" i="321"/>
  <c r="AN146" i="321"/>
  <c r="AM146" i="321"/>
  <c r="AL146" i="321"/>
  <c r="AK146" i="321"/>
  <c r="AJ146" i="321"/>
  <c r="AI146" i="321"/>
  <c r="Z146" i="321"/>
  <c r="Y146" i="321"/>
  <c r="X146" i="321"/>
  <c r="W146" i="321"/>
  <c r="V146" i="321"/>
  <c r="U146" i="321"/>
  <c r="T146" i="321"/>
  <c r="S146" i="321"/>
  <c r="R146" i="321"/>
  <c r="Q146" i="321"/>
  <c r="P146" i="321"/>
  <c r="O146" i="321"/>
  <c r="N146" i="321"/>
  <c r="M146" i="321"/>
  <c r="AS165" i="321" l="1"/>
  <c r="AS167" i="321"/>
  <c r="AN63" i="318"/>
  <c r="AT166" i="321" s="1"/>
  <c r="AT168" i="321" s="1"/>
  <c r="AN87" i="318"/>
  <c r="AT165" i="321" l="1"/>
  <c r="AT167" i="321"/>
  <c r="E49" i="321"/>
  <c r="D49" i="321"/>
  <c r="C49" i="321"/>
  <c r="E48" i="321"/>
  <c r="D48" i="321"/>
  <c r="C48" i="321"/>
  <c r="E47" i="321"/>
  <c r="D47" i="321"/>
  <c r="C47" i="321"/>
  <c r="E46" i="321"/>
  <c r="D46" i="321"/>
  <c r="C46" i="321"/>
  <c r="E45" i="321"/>
  <c r="D45" i="321"/>
  <c r="C45" i="321"/>
  <c r="E44" i="321"/>
  <c r="D44" i="321"/>
  <c r="C44" i="321"/>
  <c r="E43" i="321"/>
  <c r="D43" i="321"/>
  <c r="C43" i="321"/>
  <c r="E42" i="321"/>
  <c r="D42" i="321"/>
  <c r="C42" i="321"/>
  <c r="E41" i="321"/>
  <c r="D41" i="321"/>
  <c r="C41" i="321"/>
  <c r="E40" i="321"/>
  <c r="D40" i="321"/>
  <c r="C40" i="321"/>
  <c r="E39" i="321"/>
  <c r="D39" i="321"/>
  <c r="L39" i="321" s="1" a="1"/>
  <c r="L39" i="321" s="1"/>
  <c r="M39" i="321" s="1" a="1"/>
  <c r="M39" i="321" s="1"/>
  <c r="N39" i="321" s="1" a="1"/>
  <c r="N39" i="321" s="1"/>
  <c r="O39" i="321" s="1" a="1"/>
  <c r="O39" i="321" s="1"/>
  <c r="P39" i="321" s="1" a="1"/>
  <c r="P39" i="321" s="1"/>
  <c r="Q39" i="321" s="1" a="1"/>
  <c r="Q39" i="321" s="1"/>
  <c r="R39" i="321" s="1" a="1"/>
  <c r="R39" i="321" s="1"/>
  <c r="S39" i="321" s="1" a="1"/>
  <c r="S39" i="321" s="1"/>
  <c r="C39" i="321"/>
  <c r="E38" i="321"/>
  <c r="D38" i="321"/>
  <c r="C38" i="321"/>
  <c r="E37" i="321"/>
  <c r="D37" i="321"/>
  <c r="C37" i="321"/>
  <c r="E36" i="321"/>
  <c r="D36" i="321"/>
  <c r="C36" i="321"/>
  <c r="E35" i="321"/>
  <c r="D35" i="321"/>
  <c r="C35" i="321"/>
  <c r="E34" i="321"/>
  <c r="D34" i="321"/>
  <c r="C34" i="321"/>
  <c r="E33" i="321"/>
  <c r="D33" i="321"/>
  <c r="L33" i="321" s="1" a="1"/>
  <c r="L33" i="321" s="1"/>
  <c r="M33" i="321" s="1" a="1"/>
  <c r="M33" i="321" s="1"/>
  <c r="N33" i="321" s="1" a="1"/>
  <c r="N33" i="321" s="1"/>
  <c r="O33" i="321" s="1" a="1"/>
  <c r="O33" i="321" s="1"/>
  <c r="P33" i="321" s="1" a="1"/>
  <c r="P33" i="321" s="1"/>
  <c r="Q33" i="321" s="1" a="1"/>
  <c r="Q33" i="321" s="1"/>
  <c r="R33" i="321" s="1" a="1"/>
  <c r="R33" i="321" s="1"/>
  <c r="S33" i="321" s="1" a="1"/>
  <c r="S33" i="321" s="1"/>
  <c r="C33" i="321"/>
  <c r="E32" i="321"/>
  <c r="D32" i="321"/>
  <c r="L32" i="321" s="1" a="1"/>
  <c r="L32" i="321" s="1"/>
  <c r="M32" i="321" s="1" a="1"/>
  <c r="M32" i="321" s="1"/>
  <c r="N32" i="321" s="1" a="1"/>
  <c r="N32" i="321" s="1"/>
  <c r="O32" i="321" s="1" a="1"/>
  <c r="O32" i="321" s="1"/>
  <c r="P32" i="321" s="1" a="1"/>
  <c r="P32" i="321" s="1"/>
  <c r="Q32" i="321" s="1" a="1"/>
  <c r="Q32" i="321" s="1"/>
  <c r="R32" i="321" s="1" a="1"/>
  <c r="R32" i="321" s="1"/>
  <c r="S32" i="321" s="1" a="1"/>
  <c r="S32" i="321" s="1"/>
  <c r="C32" i="321"/>
  <c r="E31" i="321"/>
  <c r="D31" i="321"/>
  <c r="L31" i="321" s="1" a="1"/>
  <c r="L31" i="321" s="1"/>
  <c r="M31" i="321" s="1" a="1"/>
  <c r="M31" i="321" s="1"/>
  <c r="N31" i="321" s="1" a="1"/>
  <c r="N31" i="321" s="1"/>
  <c r="O31" i="321" s="1" a="1"/>
  <c r="O31" i="321" s="1"/>
  <c r="P31" i="321" s="1" a="1"/>
  <c r="P31" i="321" s="1"/>
  <c r="Q31" i="321" s="1" a="1"/>
  <c r="Q31" i="321" s="1"/>
  <c r="R31" i="321" s="1" a="1"/>
  <c r="R31" i="321" s="1"/>
  <c r="S31" i="321" s="1" a="1"/>
  <c r="S31" i="321" s="1"/>
  <c r="C31" i="321"/>
  <c r="E30" i="321"/>
  <c r="D30" i="321"/>
  <c r="C30" i="321"/>
  <c r="E29" i="321"/>
  <c r="D29" i="321"/>
  <c r="C29" i="321"/>
  <c r="E28" i="321"/>
  <c r="D28" i="321"/>
  <c r="C28" i="321"/>
  <c r="E27" i="321"/>
  <c r="D27" i="321"/>
  <c r="C27" i="321"/>
  <c r="E26" i="321"/>
  <c r="D26" i="321"/>
  <c r="C26" i="321"/>
  <c r="E25" i="321"/>
  <c r="D25" i="321"/>
  <c r="C25" i="321"/>
  <c r="E24" i="321"/>
  <c r="D24" i="321"/>
  <c r="C24" i="321"/>
  <c r="E23" i="321"/>
  <c r="D23" i="321"/>
  <c r="C23" i="321"/>
  <c r="E22" i="321"/>
  <c r="D22" i="321"/>
  <c r="C22" i="321"/>
  <c r="E21" i="321"/>
  <c r="D21" i="321"/>
  <c r="C21" i="321"/>
  <c r="E20" i="321"/>
  <c r="C13" i="318" s="1"/>
  <c r="C20" i="321"/>
  <c r="AT12" i="321"/>
  <c r="AS12" i="321"/>
  <c r="AR12" i="321"/>
  <c r="AQ12" i="321"/>
  <c r="AP12" i="321"/>
  <c r="AO12" i="321"/>
  <c r="AN12" i="321"/>
  <c r="AM12" i="321"/>
  <c r="AL12" i="321"/>
  <c r="AK12" i="321"/>
  <c r="AJ12" i="321"/>
  <c r="AI12" i="321"/>
  <c r="AH12" i="321"/>
  <c r="AG12" i="321"/>
  <c r="AF12" i="321"/>
  <c r="AE12" i="321"/>
  <c r="AD12" i="321"/>
  <c r="AC12" i="321"/>
  <c r="AB12" i="321"/>
  <c r="AA12" i="321"/>
  <c r="Z12" i="321"/>
  <c r="Y12" i="321"/>
  <c r="X12" i="321"/>
  <c r="W12" i="321"/>
  <c r="V12" i="321"/>
  <c r="U12" i="321"/>
  <c r="T12" i="321"/>
  <c r="S12" i="321"/>
  <c r="R12" i="321"/>
  <c r="Q12" i="321"/>
  <c r="P12" i="321"/>
  <c r="O12" i="321"/>
  <c r="N12" i="321"/>
  <c r="M12" i="321"/>
  <c r="L12" i="321"/>
  <c r="AI145" i="321" l="1"/>
  <c r="AJ145" i="321"/>
  <c r="AK145" i="321"/>
  <c r="AL145" i="321"/>
  <c r="AM145" i="321"/>
  <c r="AN145" i="321"/>
  <c r="AO145" i="321"/>
  <c r="AP145" i="321"/>
  <c r="AQ145" i="321"/>
  <c r="AR145" i="321"/>
  <c r="AS145" i="321"/>
  <c r="AT145" i="321"/>
  <c r="L34" i="321" a="1"/>
  <c r="L34" i="321" s="1"/>
  <c r="M34" i="321" s="1" a="1"/>
  <c r="M34" i="321" s="1"/>
  <c r="N34" i="321" s="1" a="1"/>
  <c r="N34" i="321" s="1"/>
  <c r="O34" i="321" s="1" a="1"/>
  <c r="O34" i="321" s="1"/>
  <c r="P34" i="321" s="1" a="1"/>
  <c r="P34" i="321" s="1"/>
  <c r="Q34" i="321" s="1" a="1"/>
  <c r="Q34" i="321" s="1"/>
  <c r="R34" i="321" s="1" a="1"/>
  <c r="R34" i="321" s="1"/>
  <c r="S34" i="321" s="1" a="1"/>
  <c r="S34" i="321" s="1"/>
  <c r="T34" i="321" s="1"/>
  <c r="U34" i="321" s="1"/>
  <c r="V34" i="321" s="1"/>
  <c r="W34" i="321" s="1"/>
  <c r="X34" i="321" s="1"/>
  <c r="Y34" i="321" s="1"/>
  <c r="L35" i="321" a="1"/>
  <c r="L35" i="321" s="1"/>
  <c r="M35" i="321" s="1" a="1"/>
  <c r="M35" i="321" s="1"/>
  <c r="N35" i="321" s="1" a="1"/>
  <c r="N35" i="321" s="1"/>
  <c r="O35" i="321" s="1" a="1"/>
  <c r="O35" i="321" s="1"/>
  <c r="P35" i="321" s="1" a="1"/>
  <c r="P35" i="321" s="1"/>
  <c r="Q35" i="321" s="1" a="1"/>
  <c r="Q35" i="321" s="1"/>
  <c r="R35" i="321" s="1" a="1"/>
  <c r="R35" i="321" s="1"/>
  <c r="S35" i="321" s="1" a="1"/>
  <c r="S35" i="321" s="1"/>
  <c r="T35" i="321" s="1"/>
  <c r="U35" i="321" s="1"/>
  <c r="V35" i="321" s="1"/>
  <c r="W35" i="321" s="1"/>
  <c r="X35" i="321" s="1"/>
  <c r="Y35" i="321" s="1"/>
  <c r="L36" i="321" a="1"/>
  <c r="L36" i="321" s="1"/>
  <c r="M36" i="321" s="1" a="1"/>
  <c r="M36" i="321" s="1"/>
  <c r="N36" i="321" s="1" a="1"/>
  <c r="N36" i="321" s="1"/>
  <c r="O36" i="321" s="1" a="1"/>
  <c r="O36" i="321" s="1"/>
  <c r="P36" i="321" s="1" a="1"/>
  <c r="P36" i="321" s="1"/>
  <c r="Q36" i="321" s="1" a="1"/>
  <c r="Q36" i="321" s="1"/>
  <c r="R36" i="321" s="1" a="1"/>
  <c r="R36" i="321" s="1"/>
  <c r="S36" i="321" s="1" a="1"/>
  <c r="S36" i="321" s="1"/>
  <c r="T36" i="321" s="1"/>
  <c r="U36" i="321" s="1"/>
  <c r="V36" i="321" s="1"/>
  <c r="W36" i="321" s="1"/>
  <c r="X36" i="321" s="1"/>
  <c r="Y36" i="321" s="1"/>
  <c r="L37" i="321" a="1"/>
  <c r="L37" i="321" s="1"/>
  <c r="M37" i="321" s="1" a="1"/>
  <c r="M37" i="321" s="1"/>
  <c r="N37" i="321" s="1" a="1"/>
  <c r="N37" i="321" s="1"/>
  <c r="O37" i="321" s="1" a="1"/>
  <c r="O37" i="321" s="1"/>
  <c r="P37" i="321" s="1" a="1"/>
  <c r="P37" i="321" s="1"/>
  <c r="Q37" i="321" s="1" a="1"/>
  <c r="Q37" i="321" s="1"/>
  <c r="R37" i="321" s="1" a="1"/>
  <c r="R37" i="321" s="1"/>
  <c r="S37" i="321" s="1" a="1"/>
  <c r="S37" i="321" s="1"/>
  <c r="T37" i="321" s="1"/>
  <c r="U37" i="321" s="1"/>
  <c r="V37" i="321" s="1"/>
  <c r="W37" i="321" s="1"/>
  <c r="X37" i="321" s="1"/>
  <c r="Y37" i="321" s="1"/>
  <c r="L38" i="321" a="1"/>
  <c r="L38" i="321" s="1"/>
  <c r="M38" i="321" s="1" a="1"/>
  <c r="M38" i="321" s="1"/>
  <c r="N38" i="321" s="1" a="1"/>
  <c r="N38" i="321" s="1"/>
  <c r="O38" i="321" s="1" a="1"/>
  <c r="O38" i="321" s="1"/>
  <c r="P38" i="321" s="1" a="1"/>
  <c r="P38" i="321" s="1"/>
  <c r="Q38" i="321" s="1" a="1"/>
  <c r="Q38" i="321" s="1"/>
  <c r="R38" i="321" s="1" a="1"/>
  <c r="R38" i="321" s="1"/>
  <c r="S38" i="321" s="1" a="1"/>
  <c r="S38" i="321" s="1"/>
  <c r="T38" i="321" s="1"/>
  <c r="U38" i="321" s="1"/>
  <c r="V38" i="321" s="1"/>
  <c r="W38" i="321" s="1"/>
  <c r="X38" i="321" s="1"/>
  <c r="Y38" i="321" s="1"/>
  <c r="L40" i="321" a="1"/>
  <c r="L40" i="321" s="1"/>
  <c r="M40" i="321" s="1" a="1"/>
  <c r="M40" i="321" s="1"/>
  <c r="N40" i="321" s="1" a="1"/>
  <c r="N40" i="321" s="1"/>
  <c r="O40" i="321" s="1" a="1"/>
  <c r="O40" i="321" s="1"/>
  <c r="P40" i="321" s="1" a="1"/>
  <c r="P40" i="321" s="1"/>
  <c r="Q40" i="321" s="1" a="1"/>
  <c r="Q40" i="321" s="1"/>
  <c r="R40" i="321" s="1" a="1"/>
  <c r="R40" i="321" s="1"/>
  <c r="S40" i="321" s="1" a="1"/>
  <c r="S40" i="321" s="1"/>
  <c r="T40" i="321" s="1"/>
  <c r="U40" i="321" s="1"/>
  <c r="V40" i="321" s="1"/>
  <c r="W40" i="321" s="1"/>
  <c r="X40" i="321" s="1"/>
  <c r="Y40" i="321" s="1"/>
  <c r="L41" i="321" a="1"/>
  <c r="L41" i="321" s="1"/>
  <c r="M41" i="321" s="1" a="1"/>
  <c r="M41" i="321" s="1"/>
  <c r="N41" i="321" s="1" a="1"/>
  <c r="N41" i="321" s="1"/>
  <c r="O41" i="321" s="1" a="1"/>
  <c r="O41" i="321" s="1"/>
  <c r="P41" i="321" s="1" a="1"/>
  <c r="P41" i="321" s="1"/>
  <c r="Q41" i="321" s="1" a="1"/>
  <c r="Q41" i="321" s="1"/>
  <c r="R41" i="321" s="1" a="1"/>
  <c r="R41" i="321" s="1"/>
  <c r="S41" i="321" s="1" a="1"/>
  <c r="S41" i="321" s="1"/>
  <c r="T41" i="321" s="1"/>
  <c r="U41" i="321" s="1"/>
  <c r="V41" i="321" s="1"/>
  <c r="W41" i="321" s="1"/>
  <c r="X41" i="321" s="1"/>
  <c r="Y41" i="321" s="1"/>
  <c r="L42" i="321" a="1"/>
  <c r="L42" i="321" s="1"/>
  <c r="M42" i="321" s="1" a="1"/>
  <c r="M42" i="321" s="1"/>
  <c r="N42" i="321" s="1" a="1"/>
  <c r="N42" i="321" s="1"/>
  <c r="O42" i="321" s="1" a="1"/>
  <c r="O42" i="321" s="1"/>
  <c r="P42" i="321" s="1" a="1"/>
  <c r="P42" i="321" s="1"/>
  <c r="Q42" i="321" s="1" a="1"/>
  <c r="Q42" i="321" s="1"/>
  <c r="R42" i="321" s="1" a="1"/>
  <c r="R42" i="321" s="1"/>
  <c r="S42" i="321" s="1" a="1"/>
  <c r="S42" i="321" s="1"/>
  <c r="T42" i="321" s="1"/>
  <c r="U42" i="321" s="1"/>
  <c r="V42" i="321" s="1"/>
  <c r="W42" i="321" s="1"/>
  <c r="X42" i="321" s="1"/>
  <c r="Y42" i="321" s="1"/>
  <c r="L43" i="321" a="1"/>
  <c r="L43" i="321" s="1"/>
  <c r="M43" i="321" s="1" a="1"/>
  <c r="M43" i="321" s="1"/>
  <c r="N43" i="321" s="1" a="1"/>
  <c r="N43" i="321" s="1"/>
  <c r="O43" i="321" s="1" a="1"/>
  <c r="O43" i="321" s="1"/>
  <c r="P43" i="321" s="1" a="1"/>
  <c r="P43" i="321" s="1"/>
  <c r="Q43" i="321" s="1" a="1"/>
  <c r="Q43" i="321" s="1"/>
  <c r="R43" i="321" s="1" a="1"/>
  <c r="R43" i="321" s="1"/>
  <c r="S43" i="321" s="1" a="1"/>
  <c r="S43" i="321" s="1"/>
  <c r="T43" i="321" s="1"/>
  <c r="U43" i="321" s="1"/>
  <c r="V43" i="321" s="1"/>
  <c r="W43" i="321" s="1"/>
  <c r="X43" i="321" s="1"/>
  <c r="Y43" i="321" s="1"/>
  <c r="L44" i="321" a="1"/>
  <c r="L44" i="321" s="1"/>
  <c r="M44" i="321" s="1" a="1"/>
  <c r="M44" i="321" s="1"/>
  <c r="N44" i="321" s="1" a="1"/>
  <c r="N44" i="321" s="1"/>
  <c r="O44" i="321" s="1" a="1"/>
  <c r="O44" i="321" s="1"/>
  <c r="P44" i="321" s="1" a="1"/>
  <c r="P44" i="321" s="1"/>
  <c r="Q44" i="321" s="1" a="1"/>
  <c r="Q44" i="321" s="1"/>
  <c r="R44" i="321" s="1" a="1"/>
  <c r="R44" i="321" s="1"/>
  <c r="S44" i="321" s="1" a="1"/>
  <c r="S44" i="321" s="1"/>
  <c r="T44" i="321" s="1"/>
  <c r="U44" i="321" s="1"/>
  <c r="V44" i="321" s="1"/>
  <c r="W44" i="321" s="1"/>
  <c r="X44" i="321" s="1"/>
  <c r="Y44" i="321" s="1"/>
  <c r="L45" i="321" a="1"/>
  <c r="L45" i="321" s="1"/>
  <c r="M45" i="321" s="1" a="1"/>
  <c r="M45" i="321" s="1"/>
  <c r="N45" i="321" s="1" a="1"/>
  <c r="N45" i="321" s="1"/>
  <c r="O45" i="321" s="1" a="1"/>
  <c r="O45" i="321" s="1"/>
  <c r="P45" i="321" s="1" a="1"/>
  <c r="P45" i="321" s="1"/>
  <c r="Q45" i="321" s="1" a="1"/>
  <c r="Q45" i="321" s="1"/>
  <c r="R45" i="321" s="1" a="1"/>
  <c r="R45" i="321" s="1"/>
  <c r="S45" i="321" s="1" a="1"/>
  <c r="S45" i="321" s="1"/>
  <c r="T45" i="321" s="1"/>
  <c r="U45" i="321" s="1"/>
  <c r="V45" i="321" s="1"/>
  <c r="W45" i="321" s="1"/>
  <c r="X45" i="321" s="1"/>
  <c r="Y45" i="321" s="1"/>
  <c r="L46" i="321" a="1"/>
  <c r="L46" i="321" s="1"/>
  <c r="M46" i="321" s="1" a="1"/>
  <c r="M46" i="321" s="1"/>
  <c r="N46" i="321" s="1" a="1"/>
  <c r="N46" i="321" s="1"/>
  <c r="O46" i="321" s="1" a="1"/>
  <c r="O46" i="321" s="1"/>
  <c r="P46" i="321" s="1" a="1"/>
  <c r="P46" i="321" s="1"/>
  <c r="Q46" i="321" s="1" a="1"/>
  <c r="Q46" i="321" s="1"/>
  <c r="R46" i="321" s="1" a="1"/>
  <c r="R46" i="321" s="1"/>
  <c r="S46" i="321" s="1" a="1"/>
  <c r="S46" i="321" s="1"/>
  <c r="T46" i="321" s="1"/>
  <c r="U46" i="321" s="1"/>
  <c r="V46" i="321" s="1"/>
  <c r="W46" i="321" s="1"/>
  <c r="X46" i="321" s="1"/>
  <c r="Y46" i="321" s="1"/>
  <c r="L47" i="321" a="1"/>
  <c r="L47" i="321" s="1"/>
  <c r="M47" i="321" s="1" a="1"/>
  <c r="M47" i="321" s="1"/>
  <c r="N47" i="321" s="1" a="1"/>
  <c r="N47" i="321" s="1"/>
  <c r="O47" i="321" s="1" a="1"/>
  <c r="O47" i="321" s="1"/>
  <c r="P47" i="321" s="1" a="1"/>
  <c r="P47" i="321" s="1"/>
  <c r="Q47" i="321" s="1" a="1"/>
  <c r="Q47" i="321" s="1"/>
  <c r="R47" i="321" s="1" a="1"/>
  <c r="R47" i="321" s="1"/>
  <c r="S47" i="321" s="1" a="1"/>
  <c r="S47" i="321" s="1"/>
  <c r="T47" i="321" s="1"/>
  <c r="U47" i="321" s="1"/>
  <c r="V47" i="321" s="1"/>
  <c r="W47" i="321" s="1"/>
  <c r="X47" i="321" s="1"/>
  <c r="Y47" i="321" s="1"/>
  <c r="L48" i="321" a="1"/>
  <c r="L48" i="321" s="1"/>
  <c r="M48" i="321" s="1" a="1"/>
  <c r="M48" i="321" s="1"/>
  <c r="N48" i="321" s="1" a="1"/>
  <c r="N48" i="321" s="1"/>
  <c r="O48" i="321" s="1" a="1"/>
  <c r="O48" i="321" s="1"/>
  <c r="P48" i="321" s="1" a="1"/>
  <c r="P48" i="321" s="1"/>
  <c r="Q48" i="321" s="1" a="1"/>
  <c r="Q48" i="321" s="1"/>
  <c r="R48" i="321" s="1" a="1"/>
  <c r="R48" i="321" s="1"/>
  <c r="S48" i="321" s="1" a="1"/>
  <c r="S48" i="321" s="1"/>
  <c r="T48" i="321" s="1"/>
  <c r="U48" i="321" s="1"/>
  <c r="V48" i="321" s="1"/>
  <c r="W48" i="321" s="1"/>
  <c r="X48" i="321" s="1"/>
  <c r="Y48" i="321" s="1"/>
  <c r="L49" i="321" a="1"/>
  <c r="L49" i="321" s="1"/>
  <c r="M49" i="321" s="1" a="1"/>
  <c r="M49" i="321" s="1"/>
  <c r="N49" i="321" s="1" a="1"/>
  <c r="N49" i="321" s="1"/>
  <c r="O49" i="321" s="1" a="1"/>
  <c r="O49" i="321" s="1"/>
  <c r="P49" i="321" s="1" a="1"/>
  <c r="P49" i="321" s="1"/>
  <c r="Q49" i="321" s="1" a="1"/>
  <c r="Q49" i="321" s="1"/>
  <c r="R49" i="321" s="1" a="1"/>
  <c r="R49" i="321" s="1"/>
  <c r="S49" i="321" s="1" a="1"/>
  <c r="S49" i="321" s="1"/>
  <c r="T49" i="321" s="1"/>
  <c r="U49" i="321" s="1"/>
  <c r="V49" i="321" s="1"/>
  <c r="W49" i="321" s="1"/>
  <c r="X49" i="321" s="1"/>
  <c r="Y49" i="321" s="1"/>
  <c r="AI135" i="321"/>
  <c r="AJ135" i="321"/>
  <c r="AK135" i="321"/>
  <c r="AL135" i="321"/>
  <c r="AM135" i="321"/>
  <c r="AN135" i="321"/>
  <c r="AO135" i="321"/>
  <c r="AP135" i="321"/>
  <c r="AQ135" i="321"/>
  <c r="AR135" i="321"/>
  <c r="AS135" i="321"/>
  <c r="AT135" i="321"/>
  <c r="Z34" i="321"/>
  <c r="AA34" i="321" s="1"/>
  <c r="AB34" i="321" s="1"/>
  <c r="AC34" i="321" s="1"/>
  <c r="AD34" i="321" s="1"/>
  <c r="AE34" i="321" s="1"/>
  <c r="AF34" i="321" s="1"/>
  <c r="AG34" i="321" s="1"/>
  <c r="AH34" i="321" s="1"/>
  <c r="AI34" i="321" s="1"/>
  <c r="AJ34" i="321" s="1"/>
  <c r="AK34" i="321" s="1"/>
  <c r="AL34" i="321" s="1"/>
  <c r="AM34" i="321" s="1"/>
  <c r="AN34" i="321" s="1"/>
  <c r="AO34" i="321" s="1"/>
  <c r="AP34" i="321" s="1"/>
  <c r="AQ34" i="321" s="1"/>
  <c r="AR34" i="321" s="1"/>
  <c r="AS34" i="321" s="1"/>
  <c r="AT34" i="321" s="1"/>
  <c r="Z35" i="321"/>
  <c r="AA35" i="321" s="1"/>
  <c r="AB35" i="321" s="1"/>
  <c r="AC35" i="321" s="1"/>
  <c r="AD35" i="321" s="1"/>
  <c r="AE35" i="321" s="1"/>
  <c r="AF35" i="321" s="1"/>
  <c r="AG35" i="321" s="1"/>
  <c r="AH35" i="321" s="1"/>
  <c r="AI35" i="321" s="1"/>
  <c r="AJ35" i="321" s="1"/>
  <c r="AK35" i="321" s="1"/>
  <c r="AL35" i="321" s="1"/>
  <c r="AM35" i="321" s="1"/>
  <c r="AN35" i="321" s="1"/>
  <c r="AO35" i="321" s="1"/>
  <c r="AP35" i="321" s="1"/>
  <c r="AQ35" i="321" s="1"/>
  <c r="AR35" i="321" s="1"/>
  <c r="AS35" i="321" s="1"/>
  <c r="AT35" i="321" s="1"/>
  <c r="Z36" i="321"/>
  <c r="AA36" i="321" s="1"/>
  <c r="AB36" i="321" s="1"/>
  <c r="AC36" i="321" s="1"/>
  <c r="AD36" i="321" s="1"/>
  <c r="AE36" i="321" s="1"/>
  <c r="AF36" i="321" s="1"/>
  <c r="AG36" i="321" s="1"/>
  <c r="AH36" i="321" s="1"/>
  <c r="AI36" i="321" s="1"/>
  <c r="AJ36" i="321" s="1"/>
  <c r="AK36" i="321" s="1"/>
  <c r="AL36" i="321" s="1"/>
  <c r="AM36" i="321" s="1"/>
  <c r="AN36" i="321" s="1"/>
  <c r="AO36" i="321" s="1"/>
  <c r="AP36" i="321" s="1"/>
  <c r="AQ36" i="321" s="1"/>
  <c r="AR36" i="321" s="1"/>
  <c r="AS36" i="321" s="1"/>
  <c r="AT36" i="321" s="1"/>
  <c r="Z37" i="321"/>
  <c r="AA37" i="321" s="1"/>
  <c r="AB37" i="321" s="1"/>
  <c r="AC37" i="321" s="1"/>
  <c r="AD37" i="321" s="1"/>
  <c r="AE37" i="321" s="1"/>
  <c r="AF37" i="321" s="1"/>
  <c r="AG37" i="321" s="1"/>
  <c r="AH37" i="321" s="1"/>
  <c r="AI37" i="321" s="1"/>
  <c r="AJ37" i="321" s="1"/>
  <c r="AK37" i="321" s="1"/>
  <c r="AL37" i="321" s="1"/>
  <c r="AM37" i="321" s="1"/>
  <c r="AN37" i="321" s="1"/>
  <c r="AO37" i="321" s="1"/>
  <c r="AP37" i="321" s="1"/>
  <c r="AQ37" i="321" s="1"/>
  <c r="AR37" i="321" s="1"/>
  <c r="AS37" i="321" s="1"/>
  <c r="AT37" i="321" s="1"/>
  <c r="Z38" i="321"/>
  <c r="AA38" i="321" s="1"/>
  <c r="AB38" i="321" s="1"/>
  <c r="AC38" i="321" s="1"/>
  <c r="AD38" i="321" s="1"/>
  <c r="AE38" i="321" s="1"/>
  <c r="AF38" i="321" s="1"/>
  <c r="AG38" i="321" s="1"/>
  <c r="AH38" i="321" s="1"/>
  <c r="AI38" i="321" s="1"/>
  <c r="AJ38" i="321" s="1"/>
  <c r="AK38" i="321" s="1"/>
  <c r="AL38" i="321" s="1"/>
  <c r="AM38" i="321" s="1"/>
  <c r="AN38" i="321" s="1"/>
  <c r="AO38" i="321" s="1"/>
  <c r="AP38" i="321" s="1"/>
  <c r="AQ38" i="321" s="1"/>
  <c r="AR38" i="321" s="1"/>
  <c r="AS38" i="321" s="1"/>
  <c r="AT38" i="321" s="1"/>
  <c r="Z40" i="321"/>
  <c r="AA40" i="321" s="1"/>
  <c r="AB40" i="321" s="1"/>
  <c r="AC40" i="321" s="1"/>
  <c r="AD40" i="321" s="1"/>
  <c r="AE40" i="321" s="1"/>
  <c r="AF40" i="321" s="1"/>
  <c r="AG40" i="321" s="1"/>
  <c r="AH40" i="321" s="1"/>
  <c r="AI40" i="321" s="1"/>
  <c r="AJ40" i="321" s="1"/>
  <c r="AK40" i="321" s="1"/>
  <c r="AL40" i="321" s="1"/>
  <c r="AM40" i="321" s="1"/>
  <c r="AN40" i="321" s="1"/>
  <c r="AO40" i="321" s="1"/>
  <c r="AP40" i="321" s="1"/>
  <c r="AQ40" i="321" s="1"/>
  <c r="AR40" i="321" s="1"/>
  <c r="AS40" i="321" s="1"/>
  <c r="AT40" i="321" s="1"/>
  <c r="Z41" i="321"/>
  <c r="AA41" i="321" s="1"/>
  <c r="AB41" i="321" s="1"/>
  <c r="AC41" i="321" s="1"/>
  <c r="AD41" i="321" s="1"/>
  <c r="AE41" i="321" s="1"/>
  <c r="AF41" i="321" s="1"/>
  <c r="AG41" i="321" s="1"/>
  <c r="AH41" i="321" s="1"/>
  <c r="AI41" i="321" s="1"/>
  <c r="AJ41" i="321" s="1"/>
  <c r="AK41" i="321" s="1"/>
  <c r="AL41" i="321" s="1"/>
  <c r="AM41" i="321" s="1"/>
  <c r="AN41" i="321" s="1"/>
  <c r="AO41" i="321" s="1"/>
  <c r="AP41" i="321" s="1"/>
  <c r="AQ41" i="321" s="1"/>
  <c r="AR41" i="321" s="1"/>
  <c r="AS41" i="321" s="1"/>
  <c r="AT41" i="321" s="1"/>
  <c r="Z42" i="321"/>
  <c r="AA42" i="321" s="1"/>
  <c r="AB42" i="321" s="1"/>
  <c r="AC42" i="321" s="1"/>
  <c r="AD42" i="321" s="1"/>
  <c r="AE42" i="321" s="1"/>
  <c r="AF42" i="321" s="1"/>
  <c r="AG42" i="321" s="1"/>
  <c r="AH42" i="321" s="1"/>
  <c r="AI42" i="321" s="1"/>
  <c r="AJ42" i="321" s="1"/>
  <c r="AK42" i="321" s="1"/>
  <c r="AL42" i="321" s="1"/>
  <c r="AM42" i="321" s="1"/>
  <c r="AN42" i="321" s="1"/>
  <c r="AO42" i="321" s="1"/>
  <c r="AP42" i="321" s="1"/>
  <c r="AQ42" i="321" s="1"/>
  <c r="AR42" i="321" s="1"/>
  <c r="AS42" i="321" s="1"/>
  <c r="AT42" i="321" s="1"/>
  <c r="Z43" i="321"/>
  <c r="AA43" i="321" s="1"/>
  <c r="AB43" i="321" s="1"/>
  <c r="AC43" i="321" s="1"/>
  <c r="AD43" i="321" s="1"/>
  <c r="AE43" i="321" s="1"/>
  <c r="AF43" i="321" s="1"/>
  <c r="AG43" i="321" s="1"/>
  <c r="AH43" i="321" s="1"/>
  <c r="AI43" i="321" s="1"/>
  <c r="AJ43" i="321" s="1"/>
  <c r="AK43" i="321" s="1"/>
  <c r="AL43" i="321" s="1"/>
  <c r="AM43" i="321" s="1"/>
  <c r="AN43" i="321" s="1"/>
  <c r="AO43" i="321" s="1"/>
  <c r="AP43" i="321" s="1"/>
  <c r="AQ43" i="321" s="1"/>
  <c r="AR43" i="321" s="1"/>
  <c r="AS43" i="321" s="1"/>
  <c r="AT43" i="321" s="1"/>
  <c r="Z44" i="321"/>
  <c r="AA44" i="321" s="1"/>
  <c r="AB44" i="321" s="1"/>
  <c r="AC44" i="321" s="1"/>
  <c r="AD44" i="321" s="1"/>
  <c r="AE44" i="321" s="1"/>
  <c r="AF44" i="321" s="1"/>
  <c r="AG44" i="321" s="1"/>
  <c r="AH44" i="321" s="1"/>
  <c r="AI44" i="321" s="1"/>
  <c r="AJ44" i="321" s="1"/>
  <c r="AK44" i="321" s="1"/>
  <c r="AL44" i="321" s="1"/>
  <c r="AM44" i="321" s="1"/>
  <c r="AN44" i="321" s="1"/>
  <c r="AO44" i="321" s="1"/>
  <c r="AP44" i="321" s="1"/>
  <c r="AQ44" i="321" s="1"/>
  <c r="AR44" i="321" s="1"/>
  <c r="AS44" i="321" s="1"/>
  <c r="AT44" i="321" s="1"/>
  <c r="Z45" i="321"/>
  <c r="AA45" i="321" s="1"/>
  <c r="AB45" i="321" s="1"/>
  <c r="AC45" i="321" s="1"/>
  <c r="AD45" i="321" s="1"/>
  <c r="AE45" i="321" s="1"/>
  <c r="AF45" i="321" s="1"/>
  <c r="AG45" i="321" s="1"/>
  <c r="AH45" i="321" s="1"/>
  <c r="AI45" i="321" s="1"/>
  <c r="AJ45" i="321" s="1"/>
  <c r="AK45" i="321" s="1"/>
  <c r="AL45" i="321" s="1"/>
  <c r="AM45" i="321" s="1"/>
  <c r="AN45" i="321" s="1"/>
  <c r="AO45" i="321" s="1"/>
  <c r="AP45" i="321" s="1"/>
  <c r="AQ45" i="321" s="1"/>
  <c r="AR45" i="321" s="1"/>
  <c r="AS45" i="321" s="1"/>
  <c r="AT45" i="321" s="1"/>
  <c r="Z46" i="321"/>
  <c r="AA46" i="321" s="1"/>
  <c r="AB46" i="321" s="1"/>
  <c r="AC46" i="321" s="1"/>
  <c r="AD46" i="321" s="1"/>
  <c r="AE46" i="321" s="1"/>
  <c r="AF46" i="321" s="1"/>
  <c r="AG46" i="321" s="1"/>
  <c r="AH46" i="321" s="1"/>
  <c r="AI46" i="321" s="1"/>
  <c r="AJ46" i="321" s="1"/>
  <c r="AK46" i="321" s="1"/>
  <c r="AL46" i="321" s="1"/>
  <c r="AM46" i="321" s="1"/>
  <c r="AN46" i="321" s="1"/>
  <c r="AO46" i="321" s="1"/>
  <c r="AP46" i="321" s="1"/>
  <c r="AQ46" i="321" s="1"/>
  <c r="AR46" i="321" s="1"/>
  <c r="AS46" i="321" s="1"/>
  <c r="AT46" i="321" s="1"/>
  <c r="Z47" i="321"/>
  <c r="AA47" i="321" s="1"/>
  <c r="AB47" i="321" s="1"/>
  <c r="AC47" i="321" s="1"/>
  <c r="AD47" i="321" s="1"/>
  <c r="AE47" i="321" s="1"/>
  <c r="AF47" i="321" s="1"/>
  <c r="AG47" i="321" s="1"/>
  <c r="AH47" i="321" s="1"/>
  <c r="AI47" i="321" s="1"/>
  <c r="AJ47" i="321" s="1"/>
  <c r="AK47" i="321" s="1"/>
  <c r="AL47" i="321" s="1"/>
  <c r="AM47" i="321" s="1"/>
  <c r="AN47" i="321" s="1"/>
  <c r="AO47" i="321" s="1"/>
  <c r="AP47" i="321" s="1"/>
  <c r="AQ47" i="321" s="1"/>
  <c r="AR47" i="321" s="1"/>
  <c r="AS47" i="321" s="1"/>
  <c r="AT47" i="321" s="1"/>
  <c r="Z48" i="321"/>
  <c r="AA48" i="321" s="1"/>
  <c r="AB48" i="321" s="1"/>
  <c r="AC48" i="321" s="1"/>
  <c r="AD48" i="321" s="1"/>
  <c r="AE48" i="321" s="1"/>
  <c r="AF48" i="321" s="1"/>
  <c r="AG48" i="321" s="1"/>
  <c r="AH48" i="321" s="1"/>
  <c r="AI48" i="321" s="1"/>
  <c r="AJ48" i="321" s="1"/>
  <c r="AK48" i="321" s="1"/>
  <c r="AL48" i="321" s="1"/>
  <c r="AM48" i="321" s="1"/>
  <c r="AN48" i="321" s="1"/>
  <c r="AO48" i="321" s="1"/>
  <c r="AP48" i="321" s="1"/>
  <c r="AQ48" i="321" s="1"/>
  <c r="AR48" i="321" s="1"/>
  <c r="AS48" i="321" s="1"/>
  <c r="AT48" i="321" s="1"/>
  <c r="Z49" i="321"/>
  <c r="AA49" i="321" s="1"/>
  <c r="AB49" i="321" s="1"/>
  <c r="AC49" i="321" s="1"/>
  <c r="AD49" i="321" s="1"/>
  <c r="AE49" i="321" s="1"/>
  <c r="AF49" i="321" s="1"/>
  <c r="AG49" i="321" s="1"/>
  <c r="AH49" i="321" s="1"/>
  <c r="AI49" i="321" s="1"/>
  <c r="AJ49" i="321" s="1"/>
  <c r="AK49" i="321" s="1"/>
  <c r="AL49" i="321" s="1"/>
  <c r="AM49" i="321" s="1"/>
  <c r="AN49" i="321" s="1"/>
  <c r="AO49" i="321" s="1"/>
  <c r="AP49" i="321" s="1"/>
  <c r="AQ49" i="321" s="1"/>
  <c r="AR49" i="321" s="1"/>
  <c r="AS49" i="321" s="1"/>
  <c r="AT49" i="321" s="1"/>
  <c r="T31" i="321"/>
  <c r="U31" i="321" s="1"/>
  <c r="V31" i="321" s="1"/>
  <c r="W31" i="321" s="1"/>
  <c r="X31" i="321" s="1"/>
  <c r="Y31" i="321" s="1"/>
  <c r="Z31" i="321" s="1"/>
  <c r="AA31" i="321" s="1"/>
  <c r="AB31" i="321" s="1"/>
  <c r="AC31" i="321" s="1"/>
  <c r="AD31" i="321" s="1"/>
  <c r="AE31" i="321" s="1"/>
  <c r="AF31" i="321" s="1"/>
  <c r="AG31" i="321" s="1"/>
  <c r="AH31" i="321" s="1"/>
  <c r="AI31" i="321" s="1"/>
  <c r="AJ31" i="321" s="1"/>
  <c r="AK31" i="321" s="1"/>
  <c r="AL31" i="321" s="1"/>
  <c r="AM31" i="321" s="1"/>
  <c r="AN31" i="321" s="1"/>
  <c r="AO31" i="321" s="1"/>
  <c r="AP31" i="321" s="1"/>
  <c r="AQ31" i="321" s="1"/>
  <c r="AR31" i="321" s="1"/>
  <c r="AS31" i="321" s="1"/>
  <c r="AT31" i="321" s="1"/>
  <c r="T32" i="321"/>
  <c r="U32" i="321" s="1"/>
  <c r="V32" i="321" s="1"/>
  <c r="W32" i="321" s="1"/>
  <c r="X32" i="321" s="1"/>
  <c r="Y32" i="321" s="1"/>
  <c r="Z32" i="321" s="1"/>
  <c r="AA32" i="321" s="1"/>
  <c r="AB32" i="321" s="1"/>
  <c r="AC32" i="321" s="1"/>
  <c r="AD32" i="321" s="1"/>
  <c r="AE32" i="321" s="1"/>
  <c r="AF32" i="321" s="1"/>
  <c r="AG32" i="321" s="1"/>
  <c r="AH32" i="321" s="1"/>
  <c r="AI32" i="321" s="1"/>
  <c r="AJ32" i="321" s="1"/>
  <c r="AK32" i="321" s="1"/>
  <c r="AL32" i="321" s="1"/>
  <c r="AM32" i="321" s="1"/>
  <c r="AN32" i="321" s="1"/>
  <c r="AO32" i="321" s="1"/>
  <c r="AP32" i="321" s="1"/>
  <c r="AQ32" i="321" s="1"/>
  <c r="AR32" i="321" s="1"/>
  <c r="AS32" i="321" s="1"/>
  <c r="AT32" i="321" s="1"/>
  <c r="T33" i="321"/>
  <c r="U33" i="321" s="1"/>
  <c r="V33" i="321" s="1"/>
  <c r="W33" i="321" s="1"/>
  <c r="X33" i="321" s="1"/>
  <c r="Y33" i="321" s="1"/>
  <c r="Z33" i="321" s="1"/>
  <c r="AA33" i="321" s="1"/>
  <c r="AB33" i="321" s="1"/>
  <c r="AC33" i="321" s="1"/>
  <c r="AD33" i="321" s="1"/>
  <c r="AE33" i="321" s="1"/>
  <c r="AF33" i="321" s="1"/>
  <c r="AG33" i="321" s="1"/>
  <c r="AH33" i="321" s="1"/>
  <c r="AI33" i="321" s="1"/>
  <c r="AJ33" i="321" s="1"/>
  <c r="AK33" i="321" s="1"/>
  <c r="AL33" i="321" s="1"/>
  <c r="AM33" i="321" s="1"/>
  <c r="AN33" i="321" s="1"/>
  <c r="AO33" i="321" s="1"/>
  <c r="AP33" i="321" s="1"/>
  <c r="AQ33" i="321" s="1"/>
  <c r="AR33" i="321" s="1"/>
  <c r="AS33" i="321" s="1"/>
  <c r="AT33" i="321" s="1"/>
  <c r="T39" i="321" l="1"/>
  <c r="U39" i="321" s="1"/>
  <c r="V39" i="321" s="1"/>
  <c r="W39" i="321" s="1"/>
  <c r="X39" i="321" s="1"/>
  <c r="Y39" i="321" s="1"/>
  <c r="Z39" i="321" s="1"/>
  <c r="AA39" i="321" s="1"/>
  <c r="AB39" i="321" s="1"/>
  <c r="AC39" i="321" s="1"/>
  <c r="AD39" i="321" s="1"/>
  <c r="AE39" i="321" s="1"/>
  <c r="AF39" i="321" s="1"/>
  <c r="AG39" i="321" s="1"/>
  <c r="AH39" i="321" s="1"/>
  <c r="AI39" i="321" s="1"/>
  <c r="AJ39" i="321" s="1"/>
  <c r="AK39" i="321" s="1"/>
  <c r="AL39" i="321" s="1"/>
  <c r="AM39" i="321" s="1"/>
  <c r="AN39" i="321" s="1"/>
  <c r="AO39" i="321" s="1"/>
  <c r="AP39" i="321" s="1"/>
  <c r="AQ39" i="321" s="1"/>
  <c r="AR39" i="321" s="1"/>
  <c r="AS39" i="321" s="1"/>
  <c r="AT39" i="321" s="1"/>
  <c r="B24" i="318" l="1"/>
  <c r="B23" i="318"/>
  <c r="B22" i="318"/>
  <c r="F172" i="317"/>
  <c r="J172" i="317" s="1"/>
  <c r="F173" i="317"/>
  <c r="J173" i="317" s="1"/>
  <c r="F174" i="317"/>
  <c r="J174" i="317" s="1"/>
  <c r="F175" i="317"/>
  <c r="J175" i="317" s="1"/>
  <c r="F176" i="317"/>
  <c r="J176" i="317" s="1"/>
  <c r="J152" i="317"/>
  <c r="J153" i="317"/>
  <c r="J154" i="317"/>
  <c r="J155" i="317"/>
  <c r="J156" i="317"/>
  <c r="J157" i="317"/>
  <c r="J158" i="317"/>
  <c r="J246" i="317"/>
  <c r="I246" i="317" s="1"/>
  <c r="D133" i="317"/>
  <c r="Y3" i="188" s="1"/>
  <c r="D72" i="317"/>
  <c r="F184" i="317"/>
  <c r="J184" i="317" s="1"/>
  <c r="F183" i="317"/>
  <c r="J183" i="317" s="1"/>
  <c r="F182" i="317"/>
  <c r="J182" i="317" s="1"/>
  <c r="F181" i="317"/>
  <c r="J181" i="317" s="1"/>
  <c r="F180" i="317"/>
  <c r="J180" i="317" s="1"/>
  <c r="F179" i="317"/>
  <c r="J179" i="317" s="1"/>
  <c r="F178" i="317"/>
  <c r="J178" i="317" s="1"/>
  <c r="F177" i="317"/>
  <c r="J177" i="317" s="1"/>
  <c r="F171" i="317"/>
  <c r="J171" i="317" s="1"/>
  <c r="F170" i="317"/>
  <c r="J170" i="317" s="1"/>
  <c r="F165" i="317"/>
  <c r="J165" i="317" s="1"/>
  <c r="F164" i="317"/>
  <c r="J164" i="317" s="1"/>
  <c r="F163" i="317"/>
  <c r="J163" i="317" s="1"/>
  <c r="F162" i="317"/>
  <c r="J162" i="317" s="1"/>
  <c r="J161" i="317"/>
  <c r="J160" i="317"/>
  <c r="J159" i="317"/>
  <c r="J151" i="317"/>
  <c r="F1" i="317"/>
  <c r="B74" i="317" l="1"/>
  <c r="H3" i="188"/>
  <c r="D138" i="317" a="1"/>
  <c r="D138" i="317" s="1"/>
  <c r="D139" i="317" a="1"/>
  <c r="D139" i="317" s="1"/>
  <c r="J185" i="317"/>
  <c r="J252" i="317" s="1"/>
  <c r="J259" i="317"/>
  <c r="J253" i="317"/>
  <c r="I253" i="317" s="1"/>
  <c r="D75" i="321"/>
  <c r="G139" i="317" l="1" a="1"/>
  <c r="G139" i="317" s="1"/>
  <c r="F139" i="317" a="1"/>
  <c r="F139" i="317" s="1"/>
  <c r="G138" i="317" a="1"/>
  <c r="G138" i="317" s="1"/>
  <c r="F138" i="317" a="1"/>
  <c r="F138" i="317" s="1"/>
  <c r="AB3" i="188"/>
  <c r="H139" i="317"/>
  <c r="AA3" i="188"/>
  <c r="H138" i="317"/>
  <c r="J272" i="317"/>
  <c r="C11" i="318" s="1"/>
  <c r="D11" i="318" s="1"/>
  <c r="C22" i="318"/>
  <c r="T282" i="234" a="1"/>
  <c r="T282" i="234" s="1"/>
  <c r="S282" i="234" a="1"/>
  <c r="S282" i="234" s="1"/>
  <c r="R282" i="234" a="1"/>
  <c r="R282" i="234" s="1"/>
  <c r="Q282" i="234" a="1"/>
  <c r="Q282" i="234" s="1"/>
  <c r="P282" i="234" a="1"/>
  <c r="P282" i="234" s="1"/>
  <c r="O282" i="234" a="1"/>
  <c r="O282" i="234" s="1"/>
  <c r="N282" i="234" a="1"/>
  <c r="N282" i="234" s="1"/>
  <c r="M282" i="234" a="1"/>
  <c r="M282" i="234" s="1"/>
  <c r="T283" i="234" a="1"/>
  <c r="T283" i="234" s="1"/>
  <c r="S283" i="234" a="1"/>
  <c r="S283" i="234" s="1"/>
  <c r="R283" i="234" a="1"/>
  <c r="R283" i="234" s="1"/>
  <c r="Q283" i="234" a="1"/>
  <c r="Q283" i="234" s="1"/>
  <c r="P283" i="234" a="1"/>
  <c r="P283" i="234" s="1"/>
  <c r="O283" i="234" a="1"/>
  <c r="O283" i="234" s="1"/>
  <c r="N283" i="234" a="1"/>
  <c r="N283" i="234" s="1"/>
  <c r="M283" i="234" a="1"/>
  <c r="M283" i="234" s="1"/>
  <c r="U283" i="234" s="1"/>
  <c r="T284" i="234" a="1"/>
  <c r="T284" i="234" s="1"/>
  <c r="S284" i="234" a="1"/>
  <c r="S284" i="234" s="1"/>
  <c r="R284" i="234" a="1"/>
  <c r="R284" i="234" s="1"/>
  <c r="Q284" i="234" a="1"/>
  <c r="Q284" i="234" s="1"/>
  <c r="P284" i="234" a="1"/>
  <c r="P284" i="234" s="1"/>
  <c r="O284" i="234" a="1"/>
  <c r="O284" i="234" s="1"/>
  <c r="N284" i="234" a="1"/>
  <c r="N284" i="234" s="1"/>
  <c r="M284" i="234" a="1"/>
  <c r="M284" i="234" s="1"/>
  <c r="U284" i="234" s="1"/>
  <c r="T285" i="234" a="1"/>
  <c r="T285" i="234" s="1"/>
  <c r="S285" i="234" a="1"/>
  <c r="S285" i="234" s="1"/>
  <c r="R285" i="234" a="1"/>
  <c r="R285" i="234" s="1"/>
  <c r="Q285" i="234" a="1"/>
  <c r="Q285" i="234" s="1"/>
  <c r="P285" i="234" a="1"/>
  <c r="P285" i="234" s="1"/>
  <c r="O285" i="234" a="1"/>
  <c r="O285" i="234" s="1"/>
  <c r="N285" i="234" a="1"/>
  <c r="N285" i="234" s="1"/>
  <c r="M285" i="234" a="1"/>
  <c r="M285" i="234" s="1"/>
  <c r="U285" i="234" s="1"/>
  <c r="T286" i="234" a="1"/>
  <c r="T286" i="234" s="1"/>
  <c r="S286" i="234" a="1"/>
  <c r="S286" i="234" s="1"/>
  <c r="R286" i="234" a="1"/>
  <c r="R286" i="234" s="1"/>
  <c r="Q286" i="234" a="1"/>
  <c r="Q286" i="234" s="1"/>
  <c r="P286" i="234" a="1"/>
  <c r="P286" i="234" s="1"/>
  <c r="O286" i="234" a="1"/>
  <c r="O286" i="234" s="1"/>
  <c r="N286" i="234" a="1"/>
  <c r="N286" i="234" s="1"/>
  <c r="M286" i="234" a="1"/>
  <c r="M286" i="234" s="1"/>
  <c r="U286" i="234" s="1"/>
  <c r="T287" i="234" a="1"/>
  <c r="T287" i="234" s="1"/>
  <c r="S287" i="234" a="1"/>
  <c r="S287" i="234" s="1"/>
  <c r="R287" i="234" a="1"/>
  <c r="R287" i="234" s="1"/>
  <c r="Q287" i="234" a="1"/>
  <c r="Q287" i="234" s="1"/>
  <c r="P287" i="234" a="1"/>
  <c r="P287" i="234" s="1"/>
  <c r="O287" i="234" a="1"/>
  <c r="O287" i="234" s="1"/>
  <c r="N287" i="234" a="1"/>
  <c r="N287" i="234" s="1"/>
  <c r="M287" i="234" a="1"/>
  <c r="M287" i="234" s="1"/>
  <c r="U287" i="234" s="1"/>
  <c r="T288" i="234" a="1"/>
  <c r="T288" i="234" s="1"/>
  <c r="S288" i="234" a="1"/>
  <c r="S288" i="234" s="1"/>
  <c r="R288" i="234" a="1"/>
  <c r="R288" i="234" s="1"/>
  <c r="Q288" i="234" a="1"/>
  <c r="Q288" i="234" s="1"/>
  <c r="P288" i="234" a="1"/>
  <c r="P288" i="234" s="1"/>
  <c r="O288" i="234" a="1"/>
  <c r="O288" i="234" s="1"/>
  <c r="N288" i="234" a="1"/>
  <c r="N288" i="234" s="1"/>
  <c r="M288" i="234" a="1"/>
  <c r="M288" i="234" s="1"/>
  <c r="U288" i="234" s="1"/>
  <c r="T289" i="234" a="1"/>
  <c r="T289" i="234" s="1"/>
  <c r="S289" i="234" a="1"/>
  <c r="S289" i="234" s="1"/>
  <c r="R289" i="234" a="1"/>
  <c r="R289" i="234" s="1"/>
  <c r="Q289" i="234" a="1"/>
  <c r="Q289" i="234" s="1"/>
  <c r="P289" i="234" a="1"/>
  <c r="P289" i="234" s="1"/>
  <c r="O289" i="234" a="1"/>
  <c r="O289" i="234" s="1"/>
  <c r="N289" i="234" a="1"/>
  <c r="N289" i="234" s="1"/>
  <c r="M289" i="234" a="1"/>
  <c r="M289" i="234" s="1"/>
  <c r="U289" i="234" s="1"/>
  <c r="T290" i="234" a="1"/>
  <c r="T290" i="234" s="1"/>
  <c r="S290" i="234" a="1"/>
  <c r="S290" i="234" s="1"/>
  <c r="R290" i="234" a="1"/>
  <c r="R290" i="234" s="1"/>
  <c r="Q290" i="234" a="1"/>
  <c r="Q290" i="234" s="1"/>
  <c r="P290" i="234" a="1"/>
  <c r="P290" i="234" s="1"/>
  <c r="O290" i="234" a="1"/>
  <c r="O290" i="234" s="1"/>
  <c r="N290" i="234" a="1"/>
  <c r="N290" i="234" s="1"/>
  <c r="M290" i="234" a="1"/>
  <c r="M290" i="234" s="1"/>
  <c r="U290" i="234" s="1"/>
  <c r="T291" i="234" a="1"/>
  <c r="T291" i="234" s="1"/>
  <c r="S291" i="234" a="1"/>
  <c r="S291" i="234" s="1"/>
  <c r="R291" i="234" a="1"/>
  <c r="R291" i="234" s="1"/>
  <c r="Q291" i="234" a="1"/>
  <c r="Q291" i="234" s="1"/>
  <c r="P291" i="234" a="1"/>
  <c r="P291" i="234" s="1"/>
  <c r="O291" i="234" a="1"/>
  <c r="O291" i="234" s="1"/>
  <c r="N291" i="234" a="1"/>
  <c r="N291" i="234" s="1"/>
  <c r="M291" i="234" a="1"/>
  <c r="M291" i="234" s="1"/>
  <c r="U291" i="234" s="1"/>
  <c r="T292" i="234" a="1"/>
  <c r="T292" i="234" s="1"/>
  <c r="S292" i="234" a="1"/>
  <c r="S292" i="234" s="1"/>
  <c r="R292" i="234" a="1"/>
  <c r="R292" i="234" s="1"/>
  <c r="Q292" i="234" a="1"/>
  <c r="Q292" i="234" s="1"/>
  <c r="P292" i="234" a="1"/>
  <c r="P292" i="234" s="1"/>
  <c r="O292" i="234" a="1"/>
  <c r="O292" i="234" s="1"/>
  <c r="N292" i="234" a="1"/>
  <c r="N292" i="234" s="1"/>
  <c r="M292" i="234" a="1"/>
  <c r="M292" i="234" s="1"/>
  <c r="U292" i="234" s="1"/>
  <c r="T293" i="234" a="1"/>
  <c r="T293" i="234" s="1"/>
  <c r="S293" i="234" a="1"/>
  <c r="S293" i="234" s="1"/>
  <c r="R293" i="234" a="1"/>
  <c r="R293" i="234" s="1"/>
  <c r="Q293" i="234" a="1"/>
  <c r="Q293" i="234" s="1"/>
  <c r="P293" i="234" a="1"/>
  <c r="P293" i="234" s="1"/>
  <c r="O293" i="234" a="1"/>
  <c r="O293" i="234" s="1"/>
  <c r="N293" i="234" a="1"/>
  <c r="N293" i="234" s="1"/>
  <c r="M293" i="234" a="1"/>
  <c r="M293" i="234" s="1"/>
  <c r="U293" i="234" s="1"/>
  <c r="T294" i="234" a="1"/>
  <c r="T294" i="234" s="1"/>
  <c r="S294" i="234" a="1"/>
  <c r="S294" i="234" s="1"/>
  <c r="R294" i="234" a="1"/>
  <c r="R294" i="234" s="1"/>
  <c r="Q294" i="234" a="1"/>
  <c r="Q294" i="234" s="1"/>
  <c r="P294" i="234" a="1"/>
  <c r="P294" i="234" s="1"/>
  <c r="O294" i="234" a="1"/>
  <c r="O294" i="234" s="1"/>
  <c r="N294" i="234" a="1"/>
  <c r="N294" i="234" s="1"/>
  <c r="M294" i="234" a="1"/>
  <c r="M294" i="234" s="1"/>
  <c r="U294" i="234" s="1"/>
  <c r="T295" i="234" a="1"/>
  <c r="T295" i="234" s="1"/>
  <c r="S295" i="234" a="1"/>
  <c r="S295" i="234" s="1"/>
  <c r="R295" i="234" a="1"/>
  <c r="R295" i="234" s="1"/>
  <c r="Q295" i="234" a="1"/>
  <c r="Q295" i="234" s="1"/>
  <c r="P295" i="234" a="1"/>
  <c r="P295" i="234" s="1"/>
  <c r="O295" i="234" a="1"/>
  <c r="O295" i="234" s="1"/>
  <c r="N295" i="234" a="1"/>
  <c r="N295" i="234" s="1"/>
  <c r="M295" i="234" a="1"/>
  <c r="M295" i="234" s="1"/>
  <c r="U295" i="234" s="1"/>
  <c r="T296" i="234" a="1"/>
  <c r="T296" i="234" s="1"/>
  <c r="S296" i="234" a="1"/>
  <c r="S296" i="234" s="1"/>
  <c r="R296" i="234" a="1"/>
  <c r="R296" i="234" s="1"/>
  <c r="Q296" i="234" a="1"/>
  <c r="Q296" i="234" s="1"/>
  <c r="P296" i="234" a="1"/>
  <c r="P296" i="234" s="1"/>
  <c r="O296" i="234" a="1"/>
  <c r="O296" i="234" s="1"/>
  <c r="N296" i="234" a="1"/>
  <c r="N296" i="234" s="1"/>
  <c r="M296" i="234" a="1"/>
  <c r="M296" i="234" s="1"/>
  <c r="U296" i="234" s="1"/>
  <c r="J282" i="234" a="1"/>
  <c r="J282" i="234" s="1"/>
  <c r="I282" i="234" a="1"/>
  <c r="I282" i="234" s="1"/>
  <c r="H282" i="234" a="1"/>
  <c r="H282" i="234" s="1"/>
  <c r="G282" i="234" a="1"/>
  <c r="G282" i="234" s="1"/>
  <c r="F282" i="234" a="1"/>
  <c r="F282" i="234" s="1"/>
  <c r="E282" i="234" a="1"/>
  <c r="E282" i="234" s="1"/>
  <c r="D282" i="234" a="1"/>
  <c r="D282" i="234" s="1"/>
  <c r="C282" i="234" a="1"/>
  <c r="C282" i="234" s="1"/>
  <c r="J283" i="234" a="1"/>
  <c r="J283" i="234" s="1"/>
  <c r="I283" i="234" a="1"/>
  <c r="I283" i="234" s="1"/>
  <c r="H283" i="234" a="1"/>
  <c r="H283" i="234" s="1"/>
  <c r="G283" i="234" a="1"/>
  <c r="G283" i="234" s="1"/>
  <c r="F283" i="234" a="1"/>
  <c r="F283" i="234" s="1"/>
  <c r="E283" i="234" a="1"/>
  <c r="E283" i="234" s="1"/>
  <c r="D283" i="234" a="1"/>
  <c r="D283" i="234" s="1"/>
  <c r="C283" i="234" a="1"/>
  <c r="C283" i="234" s="1"/>
  <c r="K283" i="234" s="1"/>
  <c r="J284" i="234" a="1"/>
  <c r="J284" i="234" s="1"/>
  <c r="I284" i="234" a="1"/>
  <c r="I284" i="234" s="1"/>
  <c r="H284" i="234" a="1"/>
  <c r="H284" i="234" s="1"/>
  <c r="G284" i="234" a="1"/>
  <c r="G284" i="234" s="1"/>
  <c r="F284" i="234" a="1"/>
  <c r="F284" i="234" s="1"/>
  <c r="E284" i="234" a="1"/>
  <c r="E284" i="234" s="1"/>
  <c r="D284" i="234" a="1"/>
  <c r="D284" i="234" s="1"/>
  <c r="C284" i="234" a="1"/>
  <c r="C284" i="234" s="1"/>
  <c r="K284" i="234" s="1"/>
  <c r="J285" i="234" a="1"/>
  <c r="J285" i="234" s="1"/>
  <c r="I285" i="234" a="1"/>
  <c r="I285" i="234" s="1"/>
  <c r="H285" i="234" a="1"/>
  <c r="H285" i="234" s="1"/>
  <c r="G285" i="234" a="1"/>
  <c r="G285" i="234" s="1"/>
  <c r="F285" i="234" a="1"/>
  <c r="F285" i="234" s="1"/>
  <c r="E285" i="234" a="1"/>
  <c r="E285" i="234" s="1"/>
  <c r="D285" i="234" a="1"/>
  <c r="D285" i="234" s="1"/>
  <c r="C285" i="234" a="1"/>
  <c r="C285" i="234" s="1"/>
  <c r="K285" i="234" s="1"/>
  <c r="J286" i="234" a="1"/>
  <c r="J286" i="234" s="1"/>
  <c r="I286" i="234" a="1"/>
  <c r="I286" i="234" s="1"/>
  <c r="H286" i="234" a="1"/>
  <c r="H286" i="234" s="1"/>
  <c r="G286" i="234" a="1"/>
  <c r="G286" i="234" s="1"/>
  <c r="F286" i="234" a="1"/>
  <c r="F286" i="234" s="1"/>
  <c r="E286" i="234" a="1"/>
  <c r="E286" i="234" s="1"/>
  <c r="D286" i="234" a="1"/>
  <c r="D286" i="234" s="1"/>
  <c r="C286" i="234" a="1"/>
  <c r="C286" i="234" s="1"/>
  <c r="K286" i="234" s="1"/>
  <c r="J287" i="234" a="1"/>
  <c r="J287" i="234" s="1"/>
  <c r="I287" i="234" a="1"/>
  <c r="I287" i="234" s="1"/>
  <c r="H287" i="234" a="1"/>
  <c r="H287" i="234" s="1"/>
  <c r="G287" i="234" a="1"/>
  <c r="G287" i="234" s="1"/>
  <c r="F287" i="234" a="1"/>
  <c r="F287" i="234" s="1"/>
  <c r="E287" i="234" a="1"/>
  <c r="E287" i="234" s="1"/>
  <c r="D287" i="234" a="1"/>
  <c r="D287" i="234" s="1"/>
  <c r="C287" i="234" a="1"/>
  <c r="C287" i="234" s="1"/>
  <c r="K287" i="234" s="1"/>
  <c r="J288" i="234" a="1"/>
  <c r="J288" i="234" s="1"/>
  <c r="I288" i="234" a="1"/>
  <c r="I288" i="234" s="1"/>
  <c r="H288" i="234" a="1"/>
  <c r="H288" i="234" s="1"/>
  <c r="G288" i="234" a="1"/>
  <c r="G288" i="234" s="1"/>
  <c r="F288" i="234" a="1"/>
  <c r="F288" i="234" s="1"/>
  <c r="E288" i="234" a="1"/>
  <c r="E288" i="234" s="1"/>
  <c r="D288" i="234" a="1"/>
  <c r="D288" i="234" s="1"/>
  <c r="C288" i="234" a="1"/>
  <c r="C288" i="234" s="1"/>
  <c r="K288" i="234" s="1"/>
  <c r="J289" i="234" a="1"/>
  <c r="J289" i="234" s="1"/>
  <c r="I289" i="234" a="1"/>
  <c r="I289" i="234" s="1"/>
  <c r="H289" i="234" a="1"/>
  <c r="H289" i="234" s="1"/>
  <c r="G289" i="234" a="1"/>
  <c r="G289" i="234" s="1"/>
  <c r="F289" i="234" a="1"/>
  <c r="F289" i="234" s="1"/>
  <c r="E289" i="234" a="1"/>
  <c r="E289" i="234" s="1"/>
  <c r="D289" i="234" a="1"/>
  <c r="D289" i="234" s="1"/>
  <c r="C289" i="234" a="1"/>
  <c r="C289" i="234" s="1"/>
  <c r="K289" i="234" s="1"/>
  <c r="J290" i="234" a="1"/>
  <c r="J290" i="234" s="1"/>
  <c r="I290" i="234" a="1"/>
  <c r="I290" i="234" s="1"/>
  <c r="H290" i="234" a="1"/>
  <c r="H290" i="234" s="1"/>
  <c r="G290" i="234" a="1"/>
  <c r="G290" i="234" s="1"/>
  <c r="F290" i="234" a="1"/>
  <c r="F290" i="234" s="1"/>
  <c r="E290" i="234" a="1"/>
  <c r="E290" i="234" s="1"/>
  <c r="D290" i="234" a="1"/>
  <c r="D290" i="234" s="1"/>
  <c r="C290" i="234" a="1"/>
  <c r="C290" i="234" s="1"/>
  <c r="K290" i="234" s="1"/>
  <c r="J291" i="234" a="1"/>
  <c r="J291" i="234" s="1"/>
  <c r="I291" i="234" a="1"/>
  <c r="I291" i="234" s="1"/>
  <c r="H291" i="234" a="1"/>
  <c r="H291" i="234" s="1"/>
  <c r="G291" i="234" a="1"/>
  <c r="G291" i="234" s="1"/>
  <c r="F291" i="234" a="1"/>
  <c r="F291" i="234" s="1"/>
  <c r="E291" i="234" a="1"/>
  <c r="E291" i="234" s="1"/>
  <c r="D291" i="234" a="1"/>
  <c r="D291" i="234" s="1"/>
  <c r="C291" i="234" a="1"/>
  <c r="C291" i="234" s="1"/>
  <c r="K291" i="234" s="1"/>
  <c r="J292" i="234" a="1"/>
  <c r="J292" i="234" s="1"/>
  <c r="I292" i="234" a="1"/>
  <c r="I292" i="234" s="1"/>
  <c r="H292" i="234" a="1"/>
  <c r="H292" i="234" s="1"/>
  <c r="G292" i="234" a="1"/>
  <c r="G292" i="234" s="1"/>
  <c r="F292" i="234" a="1"/>
  <c r="F292" i="234" s="1"/>
  <c r="E292" i="234" a="1"/>
  <c r="E292" i="234" s="1"/>
  <c r="D292" i="234" a="1"/>
  <c r="D292" i="234" s="1"/>
  <c r="C292" i="234" a="1"/>
  <c r="C292" i="234" s="1"/>
  <c r="K292" i="234" s="1"/>
  <c r="J293" i="234" a="1"/>
  <c r="J293" i="234" s="1"/>
  <c r="I293" i="234" a="1"/>
  <c r="I293" i="234" s="1"/>
  <c r="H293" i="234" a="1"/>
  <c r="H293" i="234" s="1"/>
  <c r="G293" i="234" a="1"/>
  <c r="G293" i="234" s="1"/>
  <c r="F293" i="234" a="1"/>
  <c r="F293" i="234" s="1"/>
  <c r="E293" i="234" a="1"/>
  <c r="E293" i="234" s="1"/>
  <c r="D293" i="234" a="1"/>
  <c r="D293" i="234" s="1"/>
  <c r="C293" i="234" a="1"/>
  <c r="C293" i="234" s="1"/>
  <c r="K293" i="234" s="1"/>
  <c r="J294" i="234" a="1"/>
  <c r="J294" i="234" s="1"/>
  <c r="I294" i="234" a="1"/>
  <c r="I294" i="234" s="1"/>
  <c r="H294" i="234" a="1"/>
  <c r="H294" i="234" s="1"/>
  <c r="G294" i="234" a="1"/>
  <c r="G294" i="234" s="1"/>
  <c r="F294" i="234" a="1"/>
  <c r="F294" i="234" s="1"/>
  <c r="E294" i="234" a="1"/>
  <c r="E294" i="234" s="1"/>
  <c r="D294" i="234" a="1"/>
  <c r="D294" i="234" s="1"/>
  <c r="C294" i="234" a="1"/>
  <c r="C294" i="234" s="1"/>
  <c r="K294" i="234" s="1"/>
  <c r="J295" i="234" a="1"/>
  <c r="J295" i="234" s="1"/>
  <c r="I295" i="234" a="1"/>
  <c r="I295" i="234" s="1"/>
  <c r="H295" i="234" a="1"/>
  <c r="H295" i="234" s="1"/>
  <c r="G295" i="234" a="1"/>
  <c r="G295" i="234" s="1"/>
  <c r="F295" i="234" a="1"/>
  <c r="F295" i="234" s="1"/>
  <c r="E295" i="234" a="1"/>
  <c r="E295" i="234" s="1"/>
  <c r="D295" i="234" a="1"/>
  <c r="D295" i="234" s="1"/>
  <c r="C295" i="234" a="1"/>
  <c r="C295" i="234" s="1"/>
  <c r="K295" i="234" s="1"/>
  <c r="J296" i="234" a="1"/>
  <c r="J296" i="234" s="1"/>
  <c r="I296" i="234" a="1"/>
  <c r="I296" i="234" s="1"/>
  <c r="H296" i="234" a="1"/>
  <c r="H296" i="234" s="1"/>
  <c r="G296" i="234" a="1"/>
  <c r="G296" i="234" s="1"/>
  <c r="F296" i="234" a="1"/>
  <c r="F296" i="234" s="1"/>
  <c r="E296" i="234" a="1"/>
  <c r="E296" i="234" s="1"/>
  <c r="D296" i="234" a="1"/>
  <c r="D296" i="234" s="1"/>
  <c r="C296" i="234" a="1"/>
  <c r="C296" i="234" s="1"/>
  <c r="K296" i="234" s="1"/>
  <c r="J166" i="317"/>
  <c r="J251" i="317" s="1"/>
  <c r="G75" i="321"/>
  <c r="J255" i="317" l="1"/>
  <c r="J187" i="317"/>
  <c r="J232" i="317" s="1"/>
  <c r="K282" i="234"/>
  <c r="C297" i="234"/>
  <c r="D297" i="234"/>
  <c r="E297" i="234"/>
  <c r="E29" i="234" s="1"/>
  <c r="F297" i="234"/>
  <c r="G297" i="234"/>
  <c r="H297" i="234"/>
  <c r="I297" i="234"/>
  <c r="J297" i="234"/>
  <c r="U282" i="234"/>
  <c r="M297" i="234"/>
  <c r="N297" i="234"/>
  <c r="O297" i="234"/>
  <c r="N130" i="321" s="1"/>
  <c r="P297" i="234"/>
  <c r="Q297" i="234"/>
  <c r="R297" i="234"/>
  <c r="S297" i="234"/>
  <c r="T297" i="234"/>
  <c r="J271" i="317" l="1"/>
  <c r="AM3" i="188"/>
  <c r="V3" i="188"/>
  <c r="J250" i="317"/>
  <c r="S130" i="321"/>
  <c r="J30" i="234"/>
  <c r="R130" i="321"/>
  <c r="I30" i="234"/>
  <c r="Q130" i="321"/>
  <c r="H30" i="234"/>
  <c r="P130" i="321"/>
  <c r="G30" i="234"/>
  <c r="O130" i="321"/>
  <c r="F30" i="234"/>
  <c r="E30" i="234"/>
  <c r="M130" i="321"/>
  <c r="D30" i="234"/>
  <c r="U297" i="234"/>
  <c r="L130" i="321"/>
  <c r="C30" i="234"/>
  <c r="K30" i="234" s="1"/>
  <c r="S119" i="321"/>
  <c r="S121" i="321" s="1"/>
  <c r="J29" i="234"/>
  <c r="R119" i="321"/>
  <c r="R121" i="321" s="1"/>
  <c r="I29" i="234"/>
  <c r="Q119" i="321"/>
  <c r="Q121" i="321" s="1"/>
  <c r="H29" i="234"/>
  <c r="P119" i="321"/>
  <c r="P121" i="321" s="1"/>
  <c r="G29" i="234"/>
  <c r="O119" i="321"/>
  <c r="O121" i="321" s="1"/>
  <c r="F29" i="234"/>
  <c r="N119" i="321"/>
  <c r="N121" i="321" s="1"/>
  <c r="M119" i="321"/>
  <c r="M121" i="321" s="1"/>
  <c r="D29" i="234"/>
  <c r="L119" i="321"/>
  <c r="L121" i="321" s="1"/>
  <c r="K297" i="234"/>
  <c r="C29" i="234"/>
  <c r="AN3" i="188"/>
  <c r="J261" i="317"/>
  <c r="J257" i="317"/>
  <c r="J265" i="317" s="1"/>
  <c r="F26" i="305"/>
  <c r="F25" i="305"/>
  <c r="AO3" i="188" l="1"/>
  <c r="C10" i="318"/>
  <c r="C35" i="318" s="1"/>
  <c r="L137" i="321"/>
  <c r="M137" i="321"/>
  <c r="N137" i="321"/>
  <c r="O137" i="321"/>
  <c r="P137" i="321"/>
  <c r="Q137" i="321"/>
  <c r="R137" i="321"/>
  <c r="S137" i="321"/>
  <c r="J267" i="317" l="1"/>
  <c r="J273" i="317"/>
  <c r="J274" i="317" s="1"/>
  <c r="C12" i="318"/>
  <c r="AT188" i="321"/>
  <c r="AS188" i="321"/>
  <c r="AR188" i="321"/>
  <c r="AQ188" i="321"/>
  <c r="AP188" i="321"/>
  <c r="AO188" i="321"/>
  <c r="AN188" i="321"/>
  <c r="AM188" i="321"/>
  <c r="AL188" i="321"/>
  <c r="AK188" i="321"/>
  <c r="AJ188" i="321"/>
  <c r="AI188" i="321"/>
  <c r="AH188" i="321"/>
  <c r="AG188" i="321"/>
  <c r="L188" i="321"/>
  <c r="AK3" i="188"/>
  <c r="I266" i="317" a="1"/>
  <c r="I266" i="317" s="1"/>
  <c r="AP3" i="188"/>
  <c r="L14" i="321"/>
  <c r="L156" i="321"/>
  <c r="L79" i="321"/>
  <c r="M79" i="321" s="1"/>
  <c r="N79" i="321" s="1"/>
  <c r="O79" i="321" s="1"/>
  <c r="P79" i="321" s="1"/>
  <c r="Q79" i="321" s="1"/>
  <c r="R79" i="321" s="1"/>
  <c r="S79" i="321" s="1"/>
  <c r="T79" i="321" s="1"/>
  <c r="U79" i="321" s="1"/>
  <c r="V79" i="321" s="1"/>
  <c r="W79" i="321" s="1"/>
  <c r="X79" i="321" s="1"/>
  <c r="Y79" i="321" s="1"/>
  <c r="Z79" i="321" s="1"/>
  <c r="AA79" i="321" s="1"/>
  <c r="AB79" i="321" s="1"/>
  <c r="AC79" i="321" s="1"/>
  <c r="AD79" i="321" s="1"/>
  <c r="AE79" i="321" s="1"/>
  <c r="AF79" i="321" s="1"/>
  <c r="AG79" i="321" s="1"/>
  <c r="AH79" i="321" s="1"/>
  <c r="AI79" i="321" s="1"/>
  <c r="AJ79" i="321" s="1"/>
  <c r="AK79" i="321" s="1"/>
  <c r="AL79" i="321" s="1"/>
  <c r="AM79" i="321" s="1"/>
  <c r="AN79" i="321" s="1"/>
  <c r="AO79" i="321" s="1"/>
  <c r="AP79" i="321" s="1"/>
  <c r="AQ79" i="321" s="1"/>
  <c r="AR79" i="321" s="1"/>
  <c r="AS79" i="321" s="1"/>
  <c r="AT79" i="321" s="1"/>
  <c r="L61" i="321"/>
  <c r="M61" i="321" s="1"/>
  <c r="N61" i="321" s="1"/>
  <c r="O61" i="321" s="1"/>
  <c r="P61" i="321" s="1"/>
  <c r="Q61" i="321" s="1"/>
  <c r="R61" i="321" s="1"/>
  <c r="S61" i="321" s="1"/>
  <c r="T61" i="321" s="1"/>
  <c r="U61" i="321" s="1"/>
  <c r="V61" i="321" s="1"/>
  <c r="W61" i="321" s="1"/>
  <c r="X61" i="321" s="1"/>
  <c r="Y61" i="321" s="1"/>
  <c r="Z61" i="321" s="1"/>
  <c r="AA61" i="321" s="1"/>
  <c r="AB61" i="321" s="1"/>
  <c r="AC61" i="321" s="1"/>
  <c r="AD61" i="321" s="1"/>
  <c r="AE61" i="321" s="1"/>
  <c r="AF61" i="321" s="1"/>
  <c r="AG61" i="321" s="1"/>
  <c r="AH61" i="321" s="1"/>
  <c r="AI61" i="321" s="1"/>
  <c r="AJ61" i="321" s="1"/>
  <c r="AK61" i="321" s="1"/>
  <c r="AL61" i="321" s="1"/>
  <c r="AM61" i="321" s="1"/>
  <c r="AN61" i="321" s="1"/>
  <c r="AO61" i="321" s="1"/>
  <c r="AP61" i="321" s="1"/>
  <c r="AQ61" i="321" s="1"/>
  <c r="AR61" i="321" s="1"/>
  <c r="AS61" i="321" s="1"/>
  <c r="AT61" i="321" s="1"/>
  <c r="L109" i="321"/>
  <c r="L8" i="321"/>
  <c r="B14" i="34"/>
  <c r="D14" i="34" s="1"/>
  <c r="F30" i="305"/>
  <c r="F29" i="305"/>
  <c r="F28" i="305"/>
  <c r="F27" i="305"/>
  <c r="L20" i="321" l="1" a="1"/>
  <c r="L20" i="321" s="1"/>
  <c r="L26" i="321" a="1"/>
  <c r="L26" i="321" s="1"/>
  <c r="L27" i="321" a="1"/>
  <c r="L27" i="321" s="1"/>
  <c r="L29" i="321" a="1"/>
  <c r="L29" i="321" s="1"/>
  <c r="M156" i="321"/>
  <c r="L21" i="321" a="1"/>
  <c r="L21" i="321" s="1"/>
  <c r="L22" i="321" a="1"/>
  <c r="L22" i="321" s="1"/>
  <c r="L23" i="321" a="1"/>
  <c r="L23" i="321" s="1"/>
  <c r="L24" i="321" a="1"/>
  <c r="L24" i="321" s="1"/>
  <c r="L25" i="321" a="1"/>
  <c r="L25" i="321" s="1"/>
  <c r="L28" i="321" a="1"/>
  <c r="L28" i="321" s="1"/>
  <c r="L30" i="321" a="1"/>
  <c r="L30" i="321" s="1"/>
  <c r="L169" i="321"/>
  <c r="N169" i="321"/>
  <c r="AT169" i="321"/>
  <c r="AS169" i="321"/>
  <c r="AR169" i="321"/>
  <c r="AQ169" i="321"/>
  <c r="AP169" i="321"/>
  <c r="AO169" i="321"/>
  <c r="AN169" i="321"/>
  <c r="AM169" i="321"/>
  <c r="AL169" i="321"/>
  <c r="AK169" i="321"/>
  <c r="AJ169" i="321"/>
  <c r="AI169" i="321"/>
  <c r="AH169" i="321"/>
  <c r="AG169" i="321"/>
  <c r="AF169" i="321"/>
  <c r="AE169" i="321"/>
  <c r="AD169" i="321"/>
  <c r="AC169" i="321"/>
  <c r="AB169" i="321"/>
  <c r="AA169" i="321"/>
  <c r="Z169" i="321"/>
  <c r="Y169" i="321"/>
  <c r="X169" i="321"/>
  <c r="W169" i="321"/>
  <c r="V169" i="321"/>
  <c r="V141" i="321" s="1"/>
  <c r="U169" i="321"/>
  <c r="U141" i="321" s="1"/>
  <c r="T169" i="321"/>
  <c r="T141" i="321" s="1"/>
  <c r="M169" i="321"/>
  <c r="O169" i="321"/>
  <c r="P169" i="321"/>
  <c r="Q169" i="321"/>
  <c r="R169" i="321"/>
  <c r="S169" i="321"/>
  <c r="L10" i="321"/>
  <c r="M8" i="321"/>
  <c r="M109" i="321"/>
  <c r="M14" i="321"/>
  <c r="L86" i="321" l="1"/>
  <c r="L100" i="321"/>
  <c r="L70" i="321"/>
  <c r="L66" i="321"/>
  <c r="M29" i="321" a="1"/>
  <c r="M29" i="321" s="1"/>
  <c r="M27" i="321" a="1"/>
  <c r="M27" i="321" s="1"/>
  <c r="M26" i="321" a="1"/>
  <c r="M26" i="321" s="1"/>
  <c r="L97" i="321"/>
  <c r="L57" i="321"/>
  <c r="L94" i="321"/>
  <c r="L93" i="321"/>
  <c r="L92" i="321"/>
  <c r="L91" i="321"/>
  <c r="L88" i="321"/>
  <c r="N156" i="321"/>
  <c r="O156" i="321" s="1"/>
  <c r="P156" i="321" s="1"/>
  <c r="Q156" i="321" s="1"/>
  <c r="R156" i="321" s="1"/>
  <c r="S156" i="321" s="1"/>
  <c r="T156" i="321" s="1"/>
  <c r="U156" i="321" s="1"/>
  <c r="V156" i="321" s="1"/>
  <c r="W156" i="321" s="1"/>
  <c r="X156" i="321" s="1"/>
  <c r="Y156" i="321" s="1"/>
  <c r="Z156" i="321" s="1"/>
  <c r="AA156" i="321" s="1"/>
  <c r="AB156" i="321" s="1"/>
  <c r="AC156" i="321" s="1"/>
  <c r="AD156" i="321" s="1"/>
  <c r="AE156" i="321" s="1"/>
  <c r="AF156" i="321" s="1"/>
  <c r="AG156" i="321" s="1"/>
  <c r="AH156" i="321" s="1"/>
  <c r="AI156" i="321" s="1"/>
  <c r="AJ156" i="321" s="1"/>
  <c r="AK156" i="321" s="1"/>
  <c r="AL156" i="321" s="1"/>
  <c r="AM156" i="321" s="1"/>
  <c r="AN156" i="321" s="1"/>
  <c r="AO156" i="321" s="1"/>
  <c r="AP156" i="321" s="1"/>
  <c r="AQ156" i="321" s="1"/>
  <c r="AR156" i="321" s="1"/>
  <c r="AS156" i="321" s="1"/>
  <c r="AT156" i="321" s="1"/>
  <c r="C31" i="234"/>
  <c r="L148" i="321"/>
  <c r="L56" i="321"/>
  <c r="L150" i="321"/>
  <c r="L149" i="321"/>
  <c r="L151" i="321"/>
  <c r="M30" i="321" a="1"/>
  <c r="M30" i="321" s="1"/>
  <c r="M28" i="321" a="1"/>
  <c r="M28" i="321" s="1"/>
  <c r="M25" i="321" a="1"/>
  <c r="M25" i="321" s="1"/>
  <c r="M24" i="321" a="1"/>
  <c r="M24" i="321" s="1"/>
  <c r="M23" i="321" a="1"/>
  <c r="M23" i="321" s="1"/>
  <c r="M22" i="321" a="1"/>
  <c r="M22" i="321" s="1"/>
  <c r="M21" i="321" a="1"/>
  <c r="M21" i="321" s="1"/>
  <c r="M20" i="321" a="1"/>
  <c r="M20" i="321" s="1"/>
  <c r="D31" i="234" s="1"/>
  <c r="N14" i="321"/>
  <c r="O14" i="321" s="1"/>
  <c r="P14" i="321" s="1"/>
  <c r="Q14" i="321" s="1"/>
  <c r="R14" i="321" s="1"/>
  <c r="S14" i="321" s="1"/>
  <c r="T14" i="321" s="1"/>
  <c r="U14" i="321" s="1"/>
  <c r="V14" i="321" s="1"/>
  <c r="W14" i="321" s="1"/>
  <c r="X14" i="321" s="1"/>
  <c r="Y14" i="321" s="1"/>
  <c r="Z14" i="321" s="1"/>
  <c r="AA14" i="321" s="1"/>
  <c r="AB14" i="321" s="1"/>
  <c r="AC14" i="321" s="1"/>
  <c r="N109" i="321"/>
  <c r="M10" i="321"/>
  <c r="M103" i="321" s="1"/>
  <c r="N8" i="321"/>
  <c r="L67" i="321"/>
  <c r="L101" i="321"/>
  <c r="L73" i="321"/>
  <c r="L72" i="321"/>
  <c r="L71" i="321"/>
  <c r="L104" i="321"/>
  <c r="L103" i="321"/>
  <c r="L102" i="321"/>
  <c r="L69" i="321"/>
  <c r="L68" i="321"/>
  <c r="M86" i="321" l="1"/>
  <c r="M92" i="321"/>
  <c r="M94" i="321"/>
  <c r="M91" i="321"/>
  <c r="M93" i="321"/>
  <c r="N26" i="321" a="1"/>
  <c r="N26" i="321" s="1"/>
  <c r="O26" i="321" s="1" a="1"/>
  <c r="O26" i="321" s="1"/>
  <c r="P26" i="321" s="1" a="1"/>
  <c r="P26" i="321" s="1"/>
  <c r="Q26" i="321" s="1" a="1"/>
  <c r="Q26" i="321" s="1"/>
  <c r="R26" i="321" s="1" a="1"/>
  <c r="R26" i="321" s="1"/>
  <c r="S26" i="321" s="1" a="1"/>
  <c r="S26" i="321" s="1"/>
  <c r="T26" i="321" s="1"/>
  <c r="U26" i="321" s="1"/>
  <c r="V26" i="321" s="1"/>
  <c r="W26" i="321" s="1"/>
  <c r="X26" i="321" s="1"/>
  <c r="Y26" i="321" s="1"/>
  <c r="Z26" i="321" s="1"/>
  <c r="AA26" i="321" s="1"/>
  <c r="AB26" i="321" s="1"/>
  <c r="AC26" i="321" s="1"/>
  <c r="AD26" i="321" s="1"/>
  <c r="AE26" i="321" s="1"/>
  <c r="AF26" i="321" s="1"/>
  <c r="AG26" i="321" s="1"/>
  <c r="AH26" i="321" s="1"/>
  <c r="AI26" i="321" s="1"/>
  <c r="AJ26" i="321" s="1"/>
  <c r="AK26" i="321" s="1"/>
  <c r="AL26" i="321" s="1"/>
  <c r="AM26" i="321" s="1"/>
  <c r="AN26" i="321" s="1"/>
  <c r="AO26" i="321" s="1"/>
  <c r="AP26" i="321" s="1"/>
  <c r="AQ26" i="321" s="1"/>
  <c r="AR26" i="321" s="1"/>
  <c r="AS26" i="321" s="1"/>
  <c r="AT26" i="321" s="1"/>
  <c r="N27" i="321" a="1"/>
  <c r="N27" i="321" s="1"/>
  <c r="O27" i="321" s="1" a="1"/>
  <c r="O27" i="321" s="1"/>
  <c r="P27" i="321" s="1" a="1"/>
  <c r="P27" i="321" s="1"/>
  <c r="Q27" i="321" s="1" a="1"/>
  <c r="Q27" i="321" s="1"/>
  <c r="R27" i="321" s="1" a="1"/>
  <c r="R27" i="321" s="1"/>
  <c r="S27" i="321" s="1" a="1"/>
  <c r="S27" i="321" s="1"/>
  <c r="T27" i="321" s="1"/>
  <c r="U27" i="321" s="1"/>
  <c r="V27" i="321" s="1"/>
  <c r="W27" i="321" s="1"/>
  <c r="X27" i="321" s="1"/>
  <c r="Y27" i="321" s="1"/>
  <c r="Z27" i="321" s="1"/>
  <c r="AA27" i="321" s="1"/>
  <c r="AB27" i="321" s="1"/>
  <c r="AC27" i="321" s="1"/>
  <c r="AD27" i="321" s="1"/>
  <c r="AE27" i="321" s="1"/>
  <c r="AF27" i="321" s="1"/>
  <c r="AG27" i="321" s="1"/>
  <c r="AH27" i="321" s="1"/>
  <c r="AI27" i="321" s="1"/>
  <c r="AJ27" i="321" s="1"/>
  <c r="AK27" i="321" s="1"/>
  <c r="AL27" i="321" s="1"/>
  <c r="AM27" i="321" s="1"/>
  <c r="AN27" i="321" s="1"/>
  <c r="AO27" i="321" s="1"/>
  <c r="AP27" i="321" s="1"/>
  <c r="AQ27" i="321" s="1"/>
  <c r="AR27" i="321" s="1"/>
  <c r="AS27" i="321" s="1"/>
  <c r="AT27" i="321" s="1"/>
  <c r="N29" i="321" a="1"/>
  <c r="N29" i="321" s="1"/>
  <c r="O29" i="321" s="1" a="1"/>
  <c r="O29" i="321" s="1"/>
  <c r="P29" i="321" s="1" a="1"/>
  <c r="P29" i="321" s="1"/>
  <c r="Q29" i="321" s="1" a="1"/>
  <c r="Q29" i="321" s="1"/>
  <c r="R29" i="321" s="1" a="1"/>
  <c r="R29" i="321" s="1"/>
  <c r="S29" i="321" s="1" a="1"/>
  <c r="S29" i="321" s="1"/>
  <c r="T29" i="321" s="1"/>
  <c r="U29" i="321" s="1"/>
  <c r="V29" i="321" s="1"/>
  <c r="W29" i="321" s="1"/>
  <c r="X29" i="321" s="1"/>
  <c r="Y29" i="321" s="1"/>
  <c r="Z29" i="321" s="1"/>
  <c r="AA29" i="321" s="1"/>
  <c r="AB29" i="321" s="1"/>
  <c r="AC29" i="321" s="1"/>
  <c r="AD29" i="321" s="1"/>
  <c r="AE29" i="321" s="1"/>
  <c r="AF29" i="321" s="1"/>
  <c r="AG29" i="321" s="1"/>
  <c r="AH29" i="321" s="1"/>
  <c r="AI29" i="321" s="1"/>
  <c r="AJ29" i="321" s="1"/>
  <c r="AK29" i="321" s="1"/>
  <c r="AL29" i="321" s="1"/>
  <c r="AM29" i="321" s="1"/>
  <c r="AN29" i="321" s="1"/>
  <c r="AO29" i="321" s="1"/>
  <c r="AP29" i="321" s="1"/>
  <c r="AQ29" i="321" s="1"/>
  <c r="AR29" i="321" s="1"/>
  <c r="AS29" i="321" s="1"/>
  <c r="AT29" i="321" s="1"/>
  <c r="M56" i="321"/>
  <c r="M57" i="321"/>
  <c r="N20" i="321" a="1"/>
  <c r="N20" i="321" s="1"/>
  <c r="N21" i="321" a="1"/>
  <c r="N21" i="321" s="1"/>
  <c r="O21" i="321" s="1" a="1"/>
  <c r="O21" i="321" s="1"/>
  <c r="P21" i="321" s="1" a="1"/>
  <c r="P21" i="321" s="1"/>
  <c r="Q21" i="321" s="1" a="1"/>
  <c r="Q21" i="321" s="1"/>
  <c r="R21" i="321" s="1" a="1"/>
  <c r="R21" i="321" s="1"/>
  <c r="S21" i="321" s="1" a="1"/>
  <c r="S21" i="321" s="1"/>
  <c r="N22" i="321" a="1"/>
  <c r="N22" i="321" s="1"/>
  <c r="O22" i="321" s="1" a="1"/>
  <c r="O22" i="321" s="1"/>
  <c r="P22" i="321" s="1" a="1"/>
  <c r="P22" i="321" s="1"/>
  <c r="Q22" i="321" s="1" a="1"/>
  <c r="Q22" i="321" s="1"/>
  <c r="R22" i="321" s="1" a="1"/>
  <c r="R22" i="321" s="1"/>
  <c r="S22" i="321" s="1" a="1"/>
  <c r="S22" i="321" s="1"/>
  <c r="N23" i="321" a="1"/>
  <c r="N23" i="321" s="1"/>
  <c r="O23" i="321" s="1" a="1"/>
  <c r="O23" i="321" s="1"/>
  <c r="P23" i="321" s="1" a="1"/>
  <c r="P23" i="321" s="1"/>
  <c r="Q23" i="321" s="1" a="1"/>
  <c r="Q23" i="321" s="1"/>
  <c r="R23" i="321" s="1" a="1"/>
  <c r="R23" i="321" s="1"/>
  <c r="S23" i="321" s="1" a="1"/>
  <c r="S23" i="321" s="1"/>
  <c r="N24" i="321" a="1"/>
  <c r="N24" i="321" s="1"/>
  <c r="O24" i="321" s="1" a="1"/>
  <c r="O24" i="321" s="1"/>
  <c r="P24" i="321" s="1" a="1"/>
  <c r="P24" i="321" s="1"/>
  <c r="Q24" i="321" s="1" a="1"/>
  <c r="Q24" i="321" s="1"/>
  <c r="R24" i="321" s="1" a="1"/>
  <c r="R24" i="321" s="1"/>
  <c r="S24" i="321" s="1" a="1"/>
  <c r="S24" i="321" s="1"/>
  <c r="N25" i="321" a="1"/>
  <c r="N25" i="321" s="1"/>
  <c r="O25" i="321" s="1" a="1"/>
  <c r="O25" i="321" s="1"/>
  <c r="P25" i="321" s="1" a="1"/>
  <c r="P25" i="321" s="1"/>
  <c r="Q25" i="321" s="1" a="1"/>
  <c r="Q25" i="321" s="1"/>
  <c r="R25" i="321" s="1" a="1"/>
  <c r="R25" i="321" s="1"/>
  <c r="S25" i="321" s="1" a="1"/>
  <c r="S25" i="321" s="1"/>
  <c r="N28" i="321" a="1"/>
  <c r="N28" i="321" s="1"/>
  <c r="O28" i="321" s="1" a="1"/>
  <c r="O28" i="321" s="1"/>
  <c r="P28" i="321" s="1" a="1"/>
  <c r="P28" i="321" s="1"/>
  <c r="Q28" i="321" s="1" a="1"/>
  <c r="Q28" i="321" s="1"/>
  <c r="R28" i="321" s="1" a="1"/>
  <c r="R28" i="321" s="1"/>
  <c r="S28" i="321" s="1" a="1"/>
  <c r="S28" i="321" s="1"/>
  <c r="N30" i="321" a="1"/>
  <c r="N30" i="321" s="1"/>
  <c r="O30" i="321" s="1" a="1"/>
  <c r="O30" i="321" s="1"/>
  <c r="P30" i="321" s="1" a="1"/>
  <c r="P30" i="321" s="1"/>
  <c r="Q30" i="321" s="1" a="1"/>
  <c r="Q30" i="321" s="1"/>
  <c r="R30" i="321" s="1" a="1"/>
  <c r="R30" i="321" s="1"/>
  <c r="S30" i="321" s="1" a="1"/>
  <c r="S30" i="321" s="1"/>
  <c r="T30" i="321" s="1"/>
  <c r="U30" i="321" s="1"/>
  <c r="V30" i="321" s="1"/>
  <c r="W30" i="321" s="1"/>
  <c r="X30" i="321" s="1"/>
  <c r="Y30" i="321" s="1"/>
  <c r="Z30" i="321" s="1"/>
  <c r="AA30" i="321" s="1"/>
  <c r="AB30" i="321" s="1"/>
  <c r="AC30" i="321" s="1"/>
  <c r="AD30" i="321"/>
  <c r="L95" i="321"/>
  <c r="L77" i="321"/>
  <c r="N10" i="321"/>
  <c r="O8" i="321"/>
  <c r="M73" i="321"/>
  <c r="M72" i="321"/>
  <c r="M71" i="321"/>
  <c r="M104" i="321"/>
  <c r="M102" i="321"/>
  <c r="M101" i="321"/>
  <c r="M100" i="321"/>
  <c r="M70" i="321"/>
  <c r="M69" i="321"/>
  <c r="M68" i="321"/>
  <c r="M67" i="321"/>
  <c r="M66" i="321"/>
  <c r="M95" i="321"/>
  <c r="O109" i="321"/>
  <c r="N86" i="321" l="1"/>
  <c r="N94" i="321"/>
  <c r="N92" i="321"/>
  <c r="N91" i="321"/>
  <c r="N93" i="321"/>
  <c r="E31" i="234"/>
  <c r="N56" i="321"/>
  <c r="N57" i="321"/>
  <c r="O20" i="321" a="1"/>
  <c r="O20" i="321" s="1"/>
  <c r="F31" i="234" s="1"/>
  <c r="AE30" i="321"/>
  <c r="P109" i="321"/>
  <c r="M77" i="321"/>
  <c r="O10" i="321"/>
  <c r="O104" i="321" s="1"/>
  <c r="P8" i="321"/>
  <c r="N73" i="321"/>
  <c r="N72" i="321"/>
  <c r="N71" i="321"/>
  <c r="N104" i="321"/>
  <c r="N103" i="321"/>
  <c r="N102" i="321"/>
  <c r="N101" i="321"/>
  <c r="N100" i="321"/>
  <c r="N70" i="321"/>
  <c r="N69" i="321"/>
  <c r="N68" i="321"/>
  <c r="N67" i="321"/>
  <c r="N66" i="321"/>
  <c r="O94" i="321" l="1"/>
  <c r="O92" i="321"/>
  <c r="O91" i="321"/>
  <c r="O93" i="321"/>
  <c r="O56" i="321"/>
  <c r="O57" i="321"/>
  <c r="N95" i="321"/>
  <c r="P20" i="321" a="1"/>
  <c r="P20" i="321" s="1"/>
  <c r="G31" i="234" s="1"/>
  <c r="AF30" i="321"/>
  <c r="N77" i="321"/>
  <c r="P10" i="321"/>
  <c r="Q8" i="321"/>
  <c r="O86" i="321"/>
  <c r="O73" i="321"/>
  <c r="O72" i="321"/>
  <c r="O71" i="321"/>
  <c r="O103" i="321"/>
  <c r="O102" i="321"/>
  <c r="O101" i="321"/>
  <c r="O100" i="321"/>
  <c r="O70" i="321"/>
  <c r="O69" i="321"/>
  <c r="O68" i="321"/>
  <c r="O67" i="321"/>
  <c r="O66" i="321"/>
  <c r="Q109" i="321"/>
  <c r="P94" i="321" l="1"/>
  <c r="P92" i="321"/>
  <c r="P91" i="321"/>
  <c r="P93" i="321"/>
  <c r="P70" i="321"/>
  <c r="P56" i="321"/>
  <c r="P57" i="321"/>
  <c r="O95" i="321"/>
  <c r="Q20" i="321" a="1"/>
  <c r="Q20" i="321" s="1"/>
  <c r="H31" i="234" s="1"/>
  <c r="AG30" i="321"/>
  <c r="R109" i="321"/>
  <c r="O77" i="321"/>
  <c r="Q10" i="321"/>
  <c r="R8" i="321"/>
  <c r="P69" i="321"/>
  <c r="P86" i="321"/>
  <c r="P73" i="321"/>
  <c r="P72" i="321"/>
  <c r="P71" i="321"/>
  <c r="P104" i="321"/>
  <c r="P103" i="321"/>
  <c r="P102" i="321"/>
  <c r="P101" i="321"/>
  <c r="P100" i="321"/>
  <c r="P68" i="321"/>
  <c r="P67" i="321"/>
  <c r="P66" i="321"/>
  <c r="Q94" i="321" l="1"/>
  <c r="Q92" i="321"/>
  <c r="Q91" i="321"/>
  <c r="Q93" i="321"/>
  <c r="P95" i="321"/>
  <c r="Q56" i="321"/>
  <c r="Q57" i="321"/>
  <c r="R20" i="321" a="1"/>
  <c r="R20" i="321" s="1"/>
  <c r="I31" i="234" s="1"/>
  <c r="AH30" i="321"/>
  <c r="P77" i="321"/>
  <c r="R10" i="321"/>
  <c r="S8" i="321"/>
  <c r="Q86" i="321"/>
  <c r="Q73" i="321"/>
  <c r="Q72" i="321"/>
  <c r="Q71" i="321"/>
  <c r="Q104" i="321"/>
  <c r="Q103" i="321"/>
  <c r="Q102" i="321"/>
  <c r="Q101" i="321"/>
  <c r="Q100" i="321"/>
  <c r="Q70" i="321"/>
  <c r="Q69" i="321"/>
  <c r="Q68" i="321"/>
  <c r="Q67" i="321"/>
  <c r="Q66" i="321"/>
  <c r="S109" i="321"/>
  <c r="R94" i="321" l="1"/>
  <c r="R92" i="321"/>
  <c r="R91" i="321"/>
  <c r="R93" i="321"/>
  <c r="R56" i="321"/>
  <c r="R57" i="321"/>
  <c r="Q95" i="321"/>
  <c r="S20" i="321" a="1"/>
  <c r="S20" i="321" s="1"/>
  <c r="J31" i="234" s="1"/>
  <c r="K31" i="234" s="1"/>
  <c r="AI30" i="321"/>
  <c r="T109" i="321"/>
  <c r="Q77" i="321"/>
  <c r="S10" i="321"/>
  <c r="T8" i="321"/>
  <c r="R86" i="321"/>
  <c r="R73" i="321"/>
  <c r="R72" i="321"/>
  <c r="R71" i="321"/>
  <c r="R104" i="321"/>
  <c r="R103" i="321"/>
  <c r="R102" i="321"/>
  <c r="R101" i="321"/>
  <c r="R100" i="321"/>
  <c r="R70" i="321"/>
  <c r="R69" i="321"/>
  <c r="R68" i="321"/>
  <c r="R67" i="321"/>
  <c r="R66" i="321"/>
  <c r="S94" i="321" l="1"/>
  <c r="S92" i="321"/>
  <c r="S91" i="321"/>
  <c r="S93" i="321"/>
  <c r="S56" i="321"/>
  <c r="S57" i="321"/>
  <c r="R95" i="321"/>
  <c r="AJ30" i="321"/>
  <c r="R77" i="321"/>
  <c r="T10" i="321"/>
  <c r="U8" i="321"/>
  <c r="S86" i="321"/>
  <c r="S73" i="321"/>
  <c r="S72" i="321"/>
  <c r="S71" i="321"/>
  <c r="S104" i="321"/>
  <c r="S103" i="321"/>
  <c r="S102" i="321"/>
  <c r="S101" i="321"/>
  <c r="S100" i="321"/>
  <c r="S70" i="321"/>
  <c r="S69" i="321"/>
  <c r="S68" i="321"/>
  <c r="S67" i="321"/>
  <c r="S66" i="321"/>
  <c r="U109" i="321"/>
  <c r="T94" i="321" l="1"/>
  <c r="T92" i="321"/>
  <c r="T91" i="321"/>
  <c r="T93" i="321"/>
  <c r="T56" i="321"/>
  <c r="T57" i="321"/>
  <c r="S95" i="321"/>
  <c r="AK30" i="321"/>
  <c r="V109" i="321"/>
  <c r="S77" i="321"/>
  <c r="U10" i="321"/>
  <c r="V8" i="321"/>
  <c r="T86" i="321"/>
  <c r="T73" i="321"/>
  <c r="T72" i="321"/>
  <c r="T71" i="321"/>
  <c r="T104" i="321"/>
  <c r="T103" i="321"/>
  <c r="T102" i="321"/>
  <c r="T101" i="321"/>
  <c r="T100" i="321"/>
  <c r="T70" i="321"/>
  <c r="T69" i="321"/>
  <c r="T68" i="321"/>
  <c r="T67" i="321"/>
  <c r="T66" i="321"/>
  <c r="U94" i="321" l="1"/>
  <c r="U92" i="321"/>
  <c r="U91" i="321"/>
  <c r="U93" i="321"/>
  <c r="T95" i="321"/>
  <c r="AL30" i="321"/>
  <c r="T77" i="321"/>
  <c r="V10" i="321"/>
  <c r="W8" i="321"/>
  <c r="U86" i="321"/>
  <c r="U73" i="321"/>
  <c r="U72" i="321"/>
  <c r="U71" i="321"/>
  <c r="U104" i="321"/>
  <c r="U103" i="321"/>
  <c r="U102" i="321"/>
  <c r="U101" i="321"/>
  <c r="U100" i="321"/>
  <c r="U70" i="321"/>
  <c r="U69" i="321"/>
  <c r="U68" i="321"/>
  <c r="U67" i="321"/>
  <c r="U66" i="321"/>
  <c r="W109" i="321"/>
  <c r="V94" i="321" l="1"/>
  <c r="V92" i="321"/>
  <c r="V91" i="321"/>
  <c r="V93" i="321"/>
  <c r="U95" i="321"/>
  <c r="AM30" i="321"/>
  <c r="X109" i="321"/>
  <c r="U77" i="321"/>
  <c r="W10" i="321"/>
  <c r="X8" i="321"/>
  <c r="V86" i="321"/>
  <c r="V73" i="321"/>
  <c r="V72" i="321"/>
  <c r="V71" i="321"/>
  <c r="V104" i="321"/>
  <c r="V103" i="321"/>
  <c r="V102" i="321"/>
  <c r="V100" i="321"/>
  <c r="V70" i="321"/>
  <c r="V69" i="321"/>
  <c r="V68" i="321"/>
  <c r="V67" i="321"/>
  <c r="V66" i="321"/>
  <c r="V95" i="321"/>
  <c r="W94" i="321" l="1"/>
  <c r="W92" i="321"/>
  <c r="W91" i="321"/>
  <c r="W93" i="321"/>
  <c r="AN30" i="321"/>
  <c r="V77" i="321"/>
  <c r="X10" i="321"/>
  <c r="Y8" i="321"/>
  <c r="W86" i="321"/>
  <c r="W73" i="321"/>
  <c r="W72" i="321"/>
  <c r="W71" i="321"/>
  <c r="W104" i="321"/>
  <c r="W103" i="321"/>
  <c r="W102" i="321"/>
  <c r="W101" i="321"/>
  <c r="W100" i="321"/>
  <c r="W70" i="321"/>
  <c r="W69" i="321"/>
  <c r="W68" i="321"/>
  <c r="W67" i="321"/>
  <c r="W66" i="321"/>
  <c r="W95" i="321"/>
  <c r="Y109" i="321"/>
  <c r="X94" i="321" l="1"/>
  <c r="X92" i="321"/>
  <c r="X91" i="321"/>
  <c r="X93" i="321"/>
  <c r="AO30" i="321"/>
  <c r="Z109" i="321"/>
  <c r="W77" i="321"/>
  <c r="Y10" i="321"/>
  <c r="Z8" i="321"/>
  <c r="X86" i="321"/>
  <c r="X73" i="321"/>
  <c r="X72" i="321"/>
  <c r="X71" i="321"/>
  <c r="X104" i="321"/>
  <c r="X103" i="321"/>
  <c r="X102" i="321"/>
  <c r="X101" i="321"/>
  <c r="X100" i="321"/>
  <c r="X70" i="321"/>
  <c r="X69" i="321"/>
  <c r="X68" i="321"/>
  <c r="X67" i="321"/>
  <c r="X66" i="321"/>
  <c r="X95" i="321"/>
  <c r="Y94" i="321" l="1"/>
  <c r="Y92" i="321"/>
  <c r="Y91" i="321"/>
  <c r="Y93" i="321"/>
  <c r="AP30" i="321"/>
  <c r="X77" i="321"/>
  <c r="Z10" i="321"/>
  <c r="AA8" i="321"/>
  <c r="Y86" i="321"/>
  <c r="Y73" i="321"/>
  <c r="Y72" i="321"/>
  <c r="Y71" i="321"/>
  <c r="Y104" i="321"/>
  <c r="Y103" i="321"/>
  <c r="Y102" i="321"/>
  <c r="Y101" i="321"/>
  <c r="Y100" i="321"/>
  <c r="Y70" i="321"/>
  <c r="Y69" i="321"/>
  <c r="Y68" i="321"/>
  <c r="Y67" i="321"/>
  <c r="Y66" i="321"/>
  <c r="AA109" i="321"/>
  <c r="Z94" i="321" l="1"/>
  <c r="Z92" i="321"/>
  <c r="Z91" i="321"/>
  <c r="Z93" i="321"/>
  <c r="Y95" i="321"/>
  <c r="AQ30" i="321"/>
  <c r="AB109" i="321"/>
  <c r="Y77" i="321"/>
  <c r="AA10" i="321"/>
  <c r="AB8" i="321"/>
  <c r="Z86" i="321"/>
  <c r="Z73" i="321"/>
  <c r="Z72" i="321"/>
  <c r="Z71" i="321"/>
  <c r="Z104" i="321"/>
  <c r="Z103" i="321"/>
  <c r="Z102" i="321"/>
  <c r="Z101" i="321"/>
  <c r="Z100" i="321"/>
  <c r="Z70" i="321"/>
  <c r="Z69" i="321"/>
  <c r="Z68" i="321"/>
  <c r="Z67" i="321"/>
  <c r="Z66" i="321"/>
  <c r="AA94" i="321" l="1"/>
  <c r="AA92" i="321"/>
  <c r="AA91" i="321"/>
  <c r="AA93" i="321"/>
  <c r="Z95" i="321"/>
  <c r="AR30" i="321"/>
  <c r="Z77" i="321"/>
  <c r="AB10" i="321"/>
  <c r="AC8" i="321"/>
  <c r="AA86" i="321"/>
  <c r="AA73" i="321"/>
  <c r="AA72" i="321"/>
  <c r="AA71" i="321"/>
  <c r="AA104" i="321"/>
  <c r="AA103" i="321"/>
  <c r="AA102" i="321"/>
  <c r="AA101" i="321"/>
  <c r="AA100" i="321"/>
  <c r="AA70" i="321"/>
  <c r="AA69" i="321"/>
  <c r="AA68" i="321"/>
  <c r="AA67" i="321"/>
  <c r="AA66" i="321"/>
  <c r="AC109" i="321"/>
  <c r="T25" i="321"/>
  <c r="U25" i="321" s="1"/>
  <c r="V25" i="321" s="1"/>
  <c r="W25" i="321" s="1"/>
  <c r="X25" i="321" s="1"/>
  <c r="Y25" i="321" s="1"/>
  <c r="Z25" i="321" s="1"/>
  <c r="AA25" i="321" s="1"/>
  <c r="AB25" i="321" s="1"/>
  <c r="AC25" i="321" s="1"/>
  <c r="AD25" i="321" s="1"/>
  <c r="AE25" i="321" s="1"/>
  <c r="AF25" i="321" s="1"/>
  <c r="AG25" i="321" s="1"/>
  <c r="AH25" i="321" s="1"/>
  <c r="AI25" i="321" s="1"/>
  <c r="AJ25" i="321" s="1"/>
  <c r="AK25" i="321" s="1"/>
  <c r="AL25" i="321" s="1"/>
  <c r="AM25" i="321" s="1"/>
  <c r="AN25" i="321" s="1"/>
  <c r="AO25" i="321" s="1"/>
  <c r="AP25" i="321" s="1"/>
  <c r="AQ25" i="321" s="1"/>
  <c r="AR25" i="321" s="1"/>
  <c r="AS25" i="321" s="1"/>
  <c r="AT25" i="321" s="1"/>
  <c r="T24" i="321"/>
  <c r="U24" i="321" s="1"/>
  <c r="V24" i="321" s="1"/>
  <c r="W24" i="321" s="1"/>
  <c r="X24" i="321" s="1"/>
  <c r="Y24" i="321" s="1"/>
  <c r="Z24" i="321" s="1"/>
  <c r="AA24" i="321" s="1"/>
  <c r="AB24" i="321" s="1"/>
  <c r="AC24" i="321" s="1"/>
  <c r="AD24" i="321" s="1"/>
  <c r="AE24" i="321" s="1"/>
  <c r="AF24" i="321" s="1"/>
  <c r="AG24" i="321" s="1"/>
  <c r="AH24" i="321" s="1"/>
  <c r="AI24" i="321" s="1"/>
  <c r="AJ24" i="321" s="1"/>
  <c r="AK24" i="321" s="1"/>
  <c r="AL24" i="321" s="1"/>
  <c r="AM24" i="321" s="1"/>
  <c r="AN24" i="321" s="1"/>
  <c r="AO24" i="321" s="1"/>
  <c r="AP24" i="321" s="1"/>
  <c r="AQ24" i="321" s="1"/>
  <c r="AR24" i="321" s="1"/>
  <c r="AS24" i="321" s="1"/>
  <c r="AT24" i="321" s="1"/>
  <c r="T22" i="321"/>
  <c r="U22" i="321" s="1"/>
  <c r="V22" i="321" s="1"/>
  <c r="W22" i="321" s="1"/>
  <c r="X22" i="321" s="1"/>
  <c r="Y22" i="321" s="1"/>
  <c r="Z22" i="321" s="1"/>
  <c r="AA22" i="321" s="1"/>
  <c r="AB22" i="321" s="1"/>
  <c r="AC22" i="321" s="1"/>
  <c r="AD22" i="321" s="1"/>
  <c r="AE22" i="321" s="1"/>
  <c r="AF22" i="321" s="1"/>
  <c r="AG22" i="321" s="1"/>
  <c r="AH22" i="321" s="1"/>
  <c r="AI22" i="321" s="1"/>
  <c r="AJ22" i="321" s="1"/>
  <c r="AK22" i="321" s="1"/>
  <c r="AL22" i="321" s="1"/>
  <c r="AM22" i="321" s="1"/>
  <c r="AN22" i="321" s="1"/>
  <c r="AO22" i="321" s="1"/>
  <c r="AP22" i="321" s="1"/>
  <c r="AQ22" i="321" s="1"/>
  <c r="AR22" i="321" s="1"/>
  <c r="AS22" i="321" s="1"/>
  <c r="AT22" i="321" s="1"/>
  <c r="T23" i="321"/>
  <c r="U23" i="321" s="1"/>
  <c r="V23" i="321" s="1"/>
  <c r="W23" i="321" s="1"/>
  <c r="X23" i="321" s="1"/>
  <c r="Y23" i="321" s="1"/>
  <c r="Z23" i="321" s="1"/>
  <c r="AA23" i="321" s="1"/>
  <c r="AB23" i="321" s="1"/>
  <c r="AC23" i="321" s="1"/>
  <c r="AD23" i="321" s="1"/>
  <c r="AE23" i="321" s="1"/>
  <c r="AF23" i="321" s="1"/>
  <c r="AG23" i="321" s="1"/>
  <c r="AH23" i="321" s="1"/>
  <c r="AI23" i="321" s="1"/>
  <c r="AJ23" i="321" s="1"/>
  <c r="AK23" i="321" s="1"/>
  <c r="AL23" i="321" s="1"/>
  <c r="AM23" i="321" s="1"/>
  <c r="AN23" i="321" s="1"/>
  <c r="AO23" i="321" s="1"/>
  <c r="AP23" i="321" s="1"/>
  <c r="AQ23" i="321" s="1"/>
  <c r="AR23" i="321" s="1"/>
  <c r="AS23" i="321" s="1"/>
  <c r="AT23" i="321" s="1"/>
  <c r="AB94" i="321" l="1"/>
  <c r="AB92" i="321"/>
  <c r="AB91" i="321"/>
  <c r="AB93" i="321"/>
  <c r="AA95" i="321"/>
  <c r="L133" i="321" a="1"/>
  <c r="L133" i="321" s="1"/>
  <c r="L143" i="321" s="1"/>
  <c r="L132" i="321" a="1"/>
  <c r="L132" i="321" s="1"/>
  <c r="L131" i="321" a="1"/>
  <c r="L131" i="321" s="1"/>
  <c r="L122" i="321" a="1"/>
  <c r="L122" i="321" s="1"/>
  <c r="L123" i="321" a="1"/>
  <c r="L123" i="321" s="1"/>
  <c r="AS30" i="321"/>
  <c r="AD109" i="321"/>
  <c r="AA77" i="321"/>
  <c r="AC10" i="321"/>
  <c r="AD8" i="321"/>
  <c r="AB86" i="321"/>
  <c r="AB73" i="321"/>
  <c r="AB72" i="321"/>
  <c r="AB71" i="321"/>
  <c r="AB104" i="321"/>
  <c r="AB103" i="321"/>
  <c r="AB102" i="321"/>
  <c r="AB101" i="321"/>
  <c r="AB100" i="321"/>
  <c r="AB70" i="321"/>
  <c r="AB69" i="321"/>
  <c r="AB68" i="321"/>
  <c r="AB67" i="321"/>
  <c r="AB66" i="321"/>
  <c r="L51" i="321"/>
  <c r="M97" i="321" s="1"/>
  <c r="M51" i="321"/>
  <c r="N97" i="321" s="1"/>
  <c r="AC94" i="321" l="1"/>
  <c r="AC92" i="321"/>
  <c r="AC91" i="321"/>
  <c r="AC93" i="321"/>
  <c r="AB95" i="321"/>
  <c r="M150" i="321"/>
  <c r="M131" i="321" a="1"/>
  <c r="M131" i="321" s="1"/>
  <c r="M123" i="321" a="1"/>
  <c r="M123" i="321" s="1"/>
  <c r="M122" i="321" a="1"/>
  <c r="M122" i="321" s="1"/>
  <c r="M132" i="321" a="1"/>
  <c r="M132" i="321" s="1"/>
  <c r="M133" i="321" a="1"/>
  <c r="M133" i="321" s="1"/>
  <c r="M143" i="321" s="1"/>
  <c r="AA135" i="321"/>
  <c r="L142" i="321"/>
  <c r="AA145" i="321" s="1"/>
  <c r="L140" i="321"/>
  <c r="L141" i="321" s="1"/>
  <c r="AA137" i="321"/>
  <c r="AT30" i="321"/>
  <c r="AB77" i="321"/>
  <c r="AD10" i="321"/>
  <c r="AE8" i="321"/>
  <c r="AC86" i="321"/>
  <c r="AC73" i="321"/>
  <c r="AC72" i="321"/>
  <c r="AC71" i="321"/>
  <c r="AC104" i="321"/>
  <c r="AC103" i="321"/>
  <c r="AC102" i="321"/>
  <c r="AC101" i="321"/>
  <c r="AC100" i="321"/>
  <c r="AC70" i="321"/>
  <c r="AC69" i="321"/>
  <c r="AC68" i="321"/>
  <c r="AC67" i="321"/>
  <c r="AC66" i="321"/>
  <c r="AC95" i="321"/>
  <c r="AE109" i="321"/>
  <c r="N51" i="321"/>
  <c r="O97" i="321" s="1"/>
  <c r="AD94" i="321" l="1"/>
  <c r="AD92" i="321"/>
  <c r="AD91" i="321"/>
  <c r="AD93" i="321"/>
  <c r="M148" i="321"/>
  <c r="M149" i="321"/>
  <c r="AB146" i="321"/>
  <c r="N150" i="321"/>
  <c r="N131" i="321" a="1"/>
  <c r="N131" i="321" s="1"/>
  <c r="N122" i="321" a="1"/>
  <c r="N122" i="321" s="1"/>
  <c r="N123" i="321" a="1"/>
  <c r="N123" i="321" s="1"/>
  <c r="N133" i="321" a="1"/>
  <c r="N133" i="321" s="1"/>
  <c r="N143" i="321" s="1"/>
  <c r="N132" i="321" a="1"/>
  <c r="N132" i="321" s="1"/>
  <c r="O132" i="321" s="1" a="1"/>
  <c r="O132" i="321" s="1"/>
  <c r="AB135" i="321"/>
  <c r="M142" i="321"/>
  <c r="AB145" i="321" s="1"/>
  <c r="M140" i="321"/>
  <c r="M141" i="321" s="1"/>
  <c r="AA146" i="321"/>
  <c r="AB137" i="321"/>
  <c r="AF109" i="321"/>
  <c r="AC77" i="321"/>
  <c r="AE10" i="321"/>
  <c r="AF8" i="321"/>
  <c r="AD100" i="321"/>
  <c r="AD101" i="321"/>
  <c r="AD102" i="321"/>
  <c r="AD103" i="321"/>
  <c r="AD104" i="321"/>
  <c r="AD66" i="321"/>
  <c r="AD67" i="321"/>
  <c r="AD68" i="321"/>
  <c r="AD69" i="321"/>
  <c r="AD70" i="321"/>
  <c r="AD71" i="321"/>
  <c r="AD72" i="321"/>
  <c r="AD73" i="321"/>
  <c r="AD86" i="321"/>
  <c r="O51" i="321"/>
  <c r="P97" i="321" s="1"/>
  <c r="AE94" i="321" l="1"/>
  <c r="AE92" i="321"/>
  <c r="AE91" i="321"/>
  <c r="AE93" i="321"/>
  <c r="AD95" i="321"/>
  <c r="N148" i="321"/>
  <c r="N149" i="321"/>
  <c r="AC146" i="321"/>
  <c r="O150" i="321"/>
  <c r="O131" i="321" a="1"/>
  <c r="O131" i="321" s="1"/>
  <c r="O123" i="321" a="1"/>
  <c r="O123" i="321" s="1"/>
  <c r="O122" i="321" a="1"/>
  <c r="O122" i="321" s="1"/>
  <c r="O133" i="321" a="1"/>
  <c r="O133" i="321" s="1"/>
  <c r="O143" i="321" s="1"/>
  <c r="AC135" i="321"/>
  <c r="N142" i="321"/>
  <c r="AC145" i="321" s="1"/>
  <c r="N140" i="321"/>
  <c r="N141" i="321" s="1"/>
  <c r="AC137" i="321"/>
  <c r="M151" i="321"/>
  <c r="AD77" i="321"/>
  <c r="AF10" i="321"/>
  <c r="AG8" i="321"/>
  <c r="AE100" i="321"/>
  <c r="AE101" i="321"/>
  <c r="AE102" i="321"/>
  <c r="AE103" i="321"/>
  <c r="AE104" i="321"/>
  <c r="AE66" i="321"/>
  <c r="AE67" i="321"/>
  <c r="AE68" i="321"/>
  <c r="AE69" i="321"/>
  <c r="AE70" i="321"/>
  <c r="AE71" i="321"/>
  <c r="AE72" i="321"/>
  <c r="AE73" i="321"/>
  <c r="AE86" i="321"/>
  <c r="AG109" i="321"/>
  <c r="P51" i="321"/>
  <c r="Q97" i="321" s="1"/>
  <c r="T28" i="321"/>
  <c r="U28" i="321" s="1"/>
  <c r="V28" i="321" s="1"/>
  <c r="W28" i="321" s="1"/>
  <c r="X28" i="321"/>
  <c r="Y28" i="321" s="1"/>
  <c r="Z28" i="321" s="1"/>
  <c r="AA28" i="321" s="1"/>
  <c r="AB28" i="321" s="1"/>
  <c r="AC28" i="321" s="1"/>
  <c r="AD28" i="321" s="1"/>
  <c r="AE28" i="321" s="1"/>
  <c r="AF28" i="321" s="1"/>
  <c r="AG28" i="321" s="1"/>
  <c r="AH28" i="321" s="1"/>
  <c r="AI28" i="321" s="1"/>
  <c r="AJ28" i="321" s="1"/>
  <c r="AK28" i="321" s="1"/>
  <c r="AL28" i="321" s="1"/>
  <c r="AM28" i="321" s="1"/>
  <c r="AN28" i="321" s="1"/>
  <c r="AO28" i="321" s="1"/>
  <c r="AP28" i="321" s="1"/>
  <c r="AQ28" i="321" s="1"/>
  <c r="AR28" i="321" s="1"/>
  <c r="AS28" i="321" s="1"/>
  <c r="AT28" i="321" s="1"/>
  <c r="AF94" i="321" l="1"/>
  <c r="AF92" i="321"/>
  <c r="AF91" i="321"/>
  <c r="AF93" i="321"/>
  <c r="AE95" i="321"/>
  <c r="N151" i="321"/>
  <c r="O148" i="321"/>
  <c r="O149" i="321"/>
  <c r="P150" i="321"/>
  <c r="P131" i="321" a="1"/>
  <c r="P131" i="321" s="1"/>
  <c r="P122" i="321" a="1"/>
  <c r="P122" i="321" s="1"/>
  <c r="P123" i="321" a="1"/>
  <c r="P123" i="321" s="1"/>
  <c r="P133" i="321" a="1"/>
  <c r="P133" i="321" s="1"/>
  <c r="P143" i="321" s="1"/>
  <c r="P132" i="321" a="1"/>
  <c r="P132" i="321" s="1"/>
  <c r="AD146" i="321"/>
  <c r="AD135" i="321"/>
  <c r="O142" i="321"/>
  <c r="AD145" i="321" s="1"/>
  <c r="O140" i="321"/>
  <c r="O141" i="321" s="1"/>
  <c r="AD137" i="321"/>
  <c r="AH109" i="321"/>
  <c r="AE77" i="321"/>
  <c r="AG10" i="321"/>
  <c r="AH8" i="321"/>
  <c r="AF100" i="321"/>
  <c r="AF101" i="321"/>
  <c r="AF102" i="321"/>
  <c r="AF103" i="321"/>
  <c r="AF104" i="321"/>
  <c r="AF66" i="321"/>
  <c r="AF67" i="321"/>
  <c r="AF68" i="321"/>
  <c r="AF69" i="321"/>
  <c r="AF70" i="321"/>
  <c r="AF71" i="321"/>
  <c r="AF72" i="321"/>
  <c r="AF73" i="321"/>
  <c r="AF86" i="321"/>
  <c r="AF95" i="321"/>
  <c r="Q51" i="321"/>
  <c r="R97" i="321" s="1"/>
  <c r="AG94" i="321" l="1"/>
  <c r="AG92" i="321"/>
  <c r="AG91" i="321"/>
  <c r="AG93" i="321"/>
  <c r="P148" i="321"/>
  <c r="P149" i="321"/>
  <c r="AE146" i="321"/>
  <c r="Q150" i="321"/>
  <c r="Q131" i="321" a="1"/>
  <c r="Q131" i="321" s="1"/>
  <c r="Q123" i="321" a="1"/>
  <c r="Q123" i="321" s="1"/>
  <c r="Q122" i="321" a="1"/>
  <c r="Q122" i="321" s="1"/>
  <c r="Q132" i="321" a="1"/>
  <c r="Q132" i="321" s="1"/>
  <c r="Q133" i="321" a="1"/>
  <c r="Q133" i="321" s="1"/>
  <c r="Q143" i="321" s="1"/>
  <c r="AE135" i="321"/>
  <c r="P142" i="321"/>
  <c r="AE145" i="321" s="1"/>
  <c r="P140" i="321"/>
  <c r="P141" i="321" s="1"/>
  <c r="AE137" i="321"/>
  <c r="O151" i="321"/>
  <c r="AF77" i="321"/>
  <c r="AH10" i="321"/>
  <c r="AI8" i="321"/>
  <c r="AG100" i="321"/>
  <c r="AG101" i="321"/>
  <c r="AG102" i="321"/>
  <c r="AG103" i="321"/>
  <c r="AG104" i="321"/>
  <c r="AG66" i="321"/>
  <c r="AG67" i="321"/>
  <c r="AG68" i="321"/>
  <c r="AG69" i="321"/>
  <c r="AG70" i="321"/>
  <c r="AG71" i="321"/>
  <c r="AG72" i="321"/>
  <c r="AG73" i="321"/>
  <c r="AG86" i="321"/>
  <c r="AG95" i="321"/>
  <c r="AI109" i="321"/>
  <c r="R51" i="321"/>
  <c r="S97" i="321" s="1"/>
  <c r="AH94" i="321" l="1"/>
  <c r="AH92" i="321"/>
  <c r="AH91" i="321"/>
  <c r="AH93" i="321"/>
  <c r="P151" i="321"/>
  <c r="Q148" i="321"/>
  <c r="Q149" i="321"/>
  <c r="R150" i="321"/>
  <c r="R131" i="321" a="1"/>
  <c r="R131" i="321" s="1"/>
  <c r="R122" i="321" a="1"/>
  <c r="R122" i="321" s="1"/>
  <c r="R123" i="321" a="1"/>
  <c r="R123" i="321" s="1"/>
  <c r="R133" i="321" a="1"/>
  <c r="R133" i="321" s="1"/>
  <c r="R143" i="321" s="1"/>
  <c r="R132" i="321" a="1"/>
  <c r="R132" i="321" s="1"/>
  <c r="AF146" i="321"/>
  <c r="AF135" i="321"/>
  <c r="Q142" i="321"/>
  <c r="AF145" i="321" s="1"/>
  <c r="Q140" i="321"/>
  <c r="Q141" i="321" s="1"/>
  <c r="AF137" i="321"/>
  <c r="AJ109" i="321"/>
  <c r="AG77" i="321"/>
  <c r="AI10" i="321"/>
  <c r="AJ8" i="321"/>
  <c r="AH100" i="321"/>
  <c r="AH101" i="321"/>
  <c r="AH102" i="321"/>
  <c r="AH103" i="321"/>
  <c r="AH104" i="321"/>
  <c r="AH66" i="321"/>
  <c r="AH67" i="321"/>
  <c r="AH68" i="321"/>
  <c r="AH69" i="321"/>
  <c r="AH70" i="321"/>
  <c r="AH71" i="321"/>
  <c r="AH72" i="321"/>
  <c r="AH73" i="321"/>
  <c r="AH86" i="321"/>
  <c r="AH95" i="321"/>
  <c r="T20" i="321"/>
  <c r="S51" i="321"/>
  <c r="T97" i="321" s="1"/>
  <c r="T51" i="321"/>
  <c r="U97" i="321" s="1"/>
  <c r="AI94" i="321" l="1"/>
  <c r="AI92" i="321"/>
  <c r="AI91" i="321"/>
  <c r="AI93" i="321"/>
  <c r="U51" i="321"/>
  <c r="V97" i="321" s="1"/>
  <c r="R148" i="321"/>
  <c r="R149" i="321"/>
  <c r="AG146" i="321"/>
  <c r="S150" i="321"/>
  <c r="S131" i="321" a="1"/>
  <c r="S131" i="321" s="1"/>
  <c r="S123" i="321" a="1"/>
  <c r="S123" i="321" s="1"/>
  <c r="S122" i="321" a="1"/>
  <c r="S122" i="321" s="1"/>
  <c r="S132" i="321" a="1"/>
  <c r="S132" i="321" s="1"/>
  <c r="S133" i="321" a="1"/>
  <c r="S133" i="321" s="1"/>
  <c r="S143" i="321" s="1"/>
  <c r="AG135" i="321"/>
  <c r="R142" i="321"/>
  <c r="AG145" i="321" s="1"/>
  <c r="R140" i="321"/>
  <c r="R141" i="321" s="1"/>
  <c r="AG137" i="321"/>
  <c r="Q151" i="321"/>
  <c r="R151" i="321"/>
  <c r="T21" i="321"/>
  <c r="AH77" i="321"/>
  <c r="AJ10" i="321"/>
  <c r="AK8" i="321"/>
  <c r="AI100" i="321"/>
  <c r="AI101" i="321"/>
  <c r="AI102" i="321"/>
  <c r="AI103" i="321"/>
  <c r="AI104" i="321"/>
  <c r="AI66" i="321"/>
  <c r="AI67" i="321"/>
  <c r="AI68" i="321"/>
  <c r="AI69" i="321"/>
  <c r="AI70" i="321"/>
  <c r="AI71" i="321"/>
  <c r="AI72" i="321"/>
  <c r="AI73" i="321"/>
  <c r="AI86" i="321"/>
  <c r="AK109" i="321"/>
  <c r="U20" i="321"/>
  <c r="AJ94" i="321" l="1"/>
  <c r="AJ92" i="321"/>
  <c r="AJ91" i="321"/>
  <c r="AJ93" i="321"/>
  <c r="AI95" i="321"/>
  <c r="U56" i="321"/>
  <c r="U57" i="321"/>
  <c r="V51" i="321"/>
  <c r="W97" i="321" s="1"/>
  <c r="S148" i="321"/>
  <c r="S149" i="321"/>
  <c r="AH150" i="321"/>
  <c r="AG150" i="321"/>
  <c r="AF150" i="321"/>
  <c r="AE150" i="321"/>
  <c r="AD150" i="321"/>
  <c r="AC150" i="321"/>
  <c r="AB150" i="321"/>
  <c r="AA150" i="321"/>
  <c r="Z150" i="321"/>
  <c r="Y150" i="321"/>
  <c r="X150" i="321"/>
  <c r="W150" i="321"/>
  <c r="V150" i="321"/>
  <c r="U150" i="321"/>
  <c r="T150" i="321"/>
  <c r="AH146" i="321"/>
  <c r="AH135" i="321"/>
  <c r="S142" i="321"/>
  <c r="AH145" i="321" s="1"/>
  <c r="S140" i="321"/>
  <c r="S141" i="321" s="1"/>
  <c r="AH137" i="321"/>
  <c r="U21" i="321"/>
  <c r="AL109" i="321"/>
  <c r="AI77" i="321"/>
  <c r="AK10" i="321"/>
  <c r="AL8" i="321"/>
  <c r="AJ100" i="321"/>
  <c r="AJ101" i="321"/>
  <c r="AJ102" i="321"/>
  <c r="AJ103" i="321"/>
  <c r="AJ104" i="321"/>
  <c r="AJ66" i="321"/>
  <c r="AJ67" i="321"/>
  <c r="AJ68" i="321"/>
  <c r="AJ69" i="321"/>
  <c r="AJ70" i="321"/>
  <c r="AJ71" i="321"/>
  <c r="AJ72" i="321"/>
  <c r="AJ73" i="321"/>
  <c r="AJ86" i="321"/>
  <c r="V20" i="321"/>
  <c r="K29" i="234"/>
  <c r="B23" i="234" s="1"/>
  <c r="AK94" i="321" l="1"/>
  <c r="AK92" i="321"/>
  <c r="AK91" i="321"/>
  <c r="AK93" i="321"/>
  <c r="AJ95" i="321"/>
  <c r="V56" i="321"/>
  <c r="V57" i="321"/>
  <c r="W51" i="321"/>
  <c r="X97" i="321" s="1"/>
  <c r="T148" i="321"/>
  <c r="U148" i="321"/>
  <c r="V148" i="321"/>
  <c r="W148" i="321"/>
  <c r="X148" i="321"/>
  <c r="Y148" i="321"/>
  <c r="Z148" i="321"/>
  <c r="AA148" i="321"/>
  <c r="AB148" i="321"/>
  <c r="AC148" i="321"/>
  <c r="AD148" i="321"/>
  <c r="AE148" i="321"/>
  <c r="AF148" i="321"/>
  <c r="AG148" i="321"/>
  <c r="AH148" i="321"/>
  <c r="AI148" i="321"/>
  <c r="AJ148" i="321"/>
  <c r="AK148" i="321"/>
  <c r="AK149" i="321"/>
  <c r="AJ149" i="321"/>
  <c r="AI149" i="321"/>
  <c r="AH149" i="321"/>
  <c r="AG149" i="321"/>
  <c r="AF149" i="321"/>
  <c r="AE149" i="321"/>
  <c r="AD149" i="321"/>
  <c r="AC149" i="321"/>
  <c r="AB149" i="321"/>
  <c r="AA149" i="321"/>
  <c r="Z149" i="321"/>
  <c r="Y149" i="321"/>
  <c r="X149" i="321"/>
  <c r="W149" i="321"/>
  <c r="V149" i="321"/>
  <c r="U149" i="321"/>
  <c r="T149" i="321"/>
  <c r="AK150" i="321"/>
  <c r="AJ150" i="321"/>
  <c r="AI150" i="321"/>
  <c r="AI137" i="321"/>
  <c r="T151" i="321"/>
  <c r="S151" i="321"/>
  <c r="V21" i="321"/>
  <c r="AJ77" i="321"/>
  <c r="AL10" i="321"/>
  <c r="AM8" i="321"/>
  <c r="AK100" i="321"/>
  <c r="AK101" i="321"/>
  <c r="AK102" i="321"/>
  <c r="AK103" i="321"/>
  <c r="AK104" i="321"/>
  <c r="AK66" i="321"/>
  <c r="AK67" i="321"/>
  <c r="AK68" i="321"/>
  <c r="AK69" i="321"/>
  <c r="AK70" i="321"/>
  <c r="AK71" i="321"/>
  <c r="AK72" i="321"/>
  <c r="AK73" i="321"/>
  <c r="AK86" i="321"/>
  <c r="AK95" i="321"/>
  <c r="AM109" i="321"/>
  <c r="W20" i="321"/>
  <c r="AL94" i="321" l="1"/>
  <c r="AL92" i="321"/>
  <c r="AL91" i="321"/>
  <c r="AL93" i="321"/>
  <c r="AI151" i="321"/>
  <c r="AL148" i="321"/>
  <c r="W56" i="321"/>
  <c r="W57" i="321"/>
  <c r="X51" i="321"/>
  <c r="Y97" i="321" s="1"/>
  <c r="AL149" i="321"/>
  <c r="AL150" i="321"/>
  <c r="AJ137" i="321"/>
  <c r="U151" i="321"/>
  <c r="V151" i="321"/>
  <c r="W21" i="321"/>
  <c r="AN109" i="321"/>
  <c r="AK77" i="321"/>
  <c r="AM10" i="321"/>
  <c r="AN8" i="321"/>
  <c r="AL100" i="321"/>
  <c r="AL101" i="321"/>
  <c r="AL102" i="321"/>
  <c r="AL103" i="321"/>
  <c r="AL104" i="321"/>
  <c r="AL66" i="321"/>
  <c r="AL67" i="321"/>
  <c r="AL68" i="321"/>
  <c r="AL69" i="321"/>
  <c r="AL70" i="321"/>
  <c r="AL71" i="321"/>
  <c r="AL72" i="321"/>
  <c r="AL73" i="321"/>
  <c r="AL86" i="321"/>
  <c r="AL95" i="321"/>
  <c r="X20" i="321"/>
  <c r="AM94" i="321" l="1"/>
  <c r="AM92" i="321"/>
  <c r="AM91" i="321"/>
  <c r="AM93" i="321"/>
  <c r="AM148" i="321"/>
  <c r="X56" i="321"/>
  <c r="X57" i="321"/>
  <c r="Y51" i="321"/>
  <c r="Z97" i="321" s="1"/>
  <c r="AM149" i="321"/>
  <c r="AM150" i="321"/>
  <c r="AK137" i="321"/>
  <c r="X21" i="321"/>
  <c r="AL137" i="321"/>
  <c r="AL77" i="321"/>
  <c r="AN10" i="321"/>
  <c r="AO8" i="321"/>
  <c r="AM100" i="321"/>
  <c r="AM101" i="321"/>
  <c r="AM102" i="321"/>
  <c r="AM103" i="321"/>
  <c r="AM104" i="321"/>
  <c r="AM66" i="321"/>
  <c r="AM67" i="321"/>
  <c r="AM68" i="321"/>
  <c r="AM69" i="321"/>
  <c r="AM70" i="321"/>
  <c r="AM71" i="321"/>
  <c r="AM72" i="321"/>
  <c r="AM73" i="321"/>
  <c r="AM86" i="321"/>
  <c r="AO109" i="321"/>
  <c r="Y20" i="321"/>
  <c r="AN94" i="321" l="1"/>
  <c r="AN92" i="321"/>
  <c r="AN91" i="321"/>
  <c r="AN93" i="321"/>
  <c r="AN148" i="321"/>
  <c r="AM95" i="321"/>
  <c r="Y56" i="321"/>
  <c r="Y57" i="321"/>
  <c r="Z51" i="321"/>
  <c r="AA97" i="321" s="1"/>
  <c r="AN149" i="321"/>
  <c r="AN150" i="321"/>
  <c r="Z20" i="321"/>
  <c r="W151" i="321"/>
  <c r="X151" i="321"/>
  <c r="Y151" i="321"/>
  <c r="Z151" i="321"/>
  <c r="AA151" i="321"/>
  <c r="AB151" i="321"/>
  <c r="AC151" i="321"/>
  <c r="AD151" i="321"/>
  <c r="AE151" i="321"/>
  <c r="AF151" i="321"/>
  <c r="AG151" i="321"/>
  <c r="AH151" i="321"/>
  <c r="AJ151" i="321"/>
  <c r="AK151" i="321"/>
  <c r="AL151" i="321"/>
  <c r="AM151" i="321"/>
  <c r="AN151" i="321"/>
  <c r="Y21" i="321"/>
  <c r="AM137" i="321"/>
  <c r="AP109" i="321"/>
  <c r="AM77" i="321"/>
  <c r="AO10" i="321"/>
  <c r="AP8" i="321"/>
  <c r="AN100" i="321"/>
  <c r="AN101" i="321"/>
  <c r="AN102" i="321"/>
  <c r="AN103" i="321"/>
  <c r="AN104" i="321"/>
  <c r="AN66" i="321"/>
  <c r="AN67" i="321"/>
  <c r="AN68" i="321"/>
  <c r="AN69" i="321"/>
  <c r="AN70" i="321"/>
  <c r="AN71" i="321"/>
  <c r="AN72" i="321"/>
  <c r="AN73" i="321"/>
  <c r="AN86" i="321"/>
  <c r="AO94" i="321" l="1"/>
  <c r="AO92" i="321"/>
  <c r="AO91" i="321"/>
  <c r="AO93" i="321"/>
  <c r="AO148" i="321"/>
  <c r="AN95" i="321"/>
  <c r="Z56" i="321"/>
  <c r="Z57" i="321"/>
  <c r="AA51" i="321"/>
  <c r="AB97" i="321" s="1"/>
  <c r="AO149" i="321"/>
  <c r="AO150" i="321"/>
  <c r="AO151" i="321"/>
  <c r="Z21" i="321"/>
  <c r="AN137" i="321"/>
  <c r="AA20" i="321"/>
  <c r="AN77" i="321"/>
  <c r="AP10" i="321"/>
  <c r="AQ8" i="321"/>
  <c r="AO100" i="321"/>
  <c r="AO101" i="321"/>
  <c r="AO102" i="321"/>
  <c r="AO103" i="321"/>
  <c r="AO104" i="321"/>
  <c r="AO66" i="321"/>
  <c r="AO67" i="321"/>
  <c r="AO68" i="321"/>
  <c r="AO69" i="321"/>
  <c r="AO70" i="321"/>
  <c r="AO71" i="321"/>
  <c r="AO72" i="321"/>
  <c r="AO73" i="321"/>
  <c r="AO86" i="321"/>
  <c r="AO95" i="321"/>
  <c r="AQ109" i="321"/>
  <c r="AP94" i="321" l="1"/>
  <c r="AP92" i="321"/>
  <c r="AP91" i="321"/>
  <c r="AP93" i="321"/>
  <c r="AP148" i="321"/>
  <c r="AA56" i="321"/>
  <c r="AA57" i="321"/>
  <c r="AB51" i="321"/>
  <c r="AC97" i="321" s="1"/>
  <c r="AP149" i="321"/>
  <c r="AP150" i="321"/>
  <c r="AP151" i="321"/>
  <c r="AA21" i="321"/>
  <c r="AO137" i="321"/>
  <c r="AB20" i="321"/>
  <c r="AR109" i="321"/>
  <c r="AO77" i="321"/>
  <c r="AQ10" i="321"/>
  <c r="AR8" i="321"/>
  <c r="AP100" i="321"/>
  <c r="AP101" i="321"/>
  <c r="AP102" i="321"/>
  <c r="AP103" i="321"/>
  <c r="AP104" i="321"/>
  <c r="AP66" i="321"/>
  <c r="AP67" i="321"/>
  <c r="AP68" i="321"/>
  <c r="AP69" i="321"/>
  <c r="AP70" i="321"/>
  <c r="AP71" i="321"/>
  <c r="AP72" i="321"/>
  <c r="AP73" i="321"/>
  <c r="AP86" i="321"/>
  <c r="AP95" i="321"/>
  <c r="AQ94" i="321" l="1"/>
  <c r="AQ92" i="321"/>
  <c r="AQ91" i="321"/>
  <c r="AQ93" i="321"/>
  <c r="AQ148" i="321"/>
  <c r="AB56" i="321"/>
  <c r="AB57" i="321"/>
  <c r="AC51" i="321"/>
  <c r="AD97" i="321" s="1"/>
  <c r="AQ149" i="321"/>
  <c r="AQ150" i="321"/>
  <c r="AQ151" i="321"/>
  <c r="AB21" i="321"/>
  <c r="AP137" i="321"/>
  <c r="AC20" i="321"/>
  <c r="AP77" i="321"/>
  <c r="AR10" i="321"/>
  <c r="AS8" i="321"/>
  <c r="AQ66" i="321"/>
  <c r="AQ100" i="321"/>
  <c r="AQ101" i="321"/>
  <c r="AQ102" i="321"/>
  <c r="AQ103" i="321"/>
  <c r="AQ104" i="321"/>
  <c r="AQ67" i="321"/>
  <c r="AQ68" i="321"/>
  <c r="AQ69" i="321"/>
  <c r="AQ70" i="321"/>
  <c r="AQ71" i="321"/>
  <c r="AQ72" i="321"/>
  <c r="AQ73" i="321"/>
  <c r="AQ86" i="321"/>
  <c r="AQ95" i="321"/>
  <c r="AS109" i="321"/>
  <c r="AR94" i="321" l="1"/>
  <c r="AR92" i="321"/>
  <c r="AR91" i="321"/>
  <c r="AR93" i="321"/>
  <c r="AR148" i="321"/>
  <c r="AC56" i="321"/>
  <c r="AC57" i="321"/>
  <c r="AD51" i="321"/>
  <c r="AE97" i="321" s="1"/>
  <c r="AR149" i="321"/>
  <c r="AR150" i="321"/>
  <c r="AR151" i="321"/>
  <c r="AC21" i="321"/>
  <c r="AQ137" i="321"/>
  <c r="AD20" i="321"/>
  <c r="AT109" i="321"/>
  <c r="AQ77" i="321"/>
  <c r="AS10" i="321"/>
  <c r="AT8" i="321"/>
  <c r="AT10" i="321" s="1"/>
  <c r="AR100" i="321"/>
  <c r="AR101" i="321"/>
  <c r="AR102" i="321"/>
  <c r="AR103" i="321"/>
  <c r="AR104" i="321"/>
  <c r="AR66" i="321"/>
  <c r="AR67" i="321"/>
  <c r="AR68" i="321"/>
  <c r="AR69" i="321"/>
  <c r="AR70" i="321"/>
  <c r="AR71" i="321"/>
  <c r="AR72" i="321"/>
  <c r="AR73" i="321"/>
  <c r="AR86" i="321"/>
  <c r="AR95" i="321"/>
  <c r="AT94" i="321" l="1"/>
  <c r="AT92" i="321"/>
  <c r="AT91" i="321"/>
  <c r="AT93" i="321"/>
  <c r="AS94" i="321"/>
  <c r="AS92" i="321"/>
  <c r="AS91" i="321"/>
  <c r="AS93" i="321"/>
  <c r="AT148" i="321"/>
  <c r="AS148" i="321"/>
  <c r="AD56" i="321"/>
  <c r="AD57" i="321"/>
  <c r="AE51" i="321"/>
  <c r="AF97" i="321" s="1"/>
  <c r="AT149" i="321"/>
  <c r="AT150" i="321"/>
  <c r="AT151" i="321"/>
  <c r="AS149" i="321"/>
  <c r="AS150" i="321"/>
  <c r="AS151" i="321"/>
  <c r="AD21" i="321"/>
  <c r="AR137" i="321"/>
  <c r="AE20" i="321"/>
  <c r="AR77" i="321"/>
  <c r="AT100" i="321"/>
  <c r="AT101" i="321"/>
  <c r="AT102" i="321"/>
  <c r="AT103" i="321"/>
  <c r="AT104" i="321"/>
  <c r="AT66" i="321"/>
  <c r="AT67" i="321"/>
  <c r="AT68" i="321"/>
  <c r="AT69" i="321"/>
  <c r="AT70" i="321"/>
  <c r="AT71" i="321"/>
  <c r="AT72" i="321"/>
  <c r="AT73" i="321"/>
  <c r="AT86" i="321"/>
  <c r="AS100" i="321"/>
  <c r="G100" i="321" s="1"/>
  <c r="AS101" i="321"/>
  <c r="G101" i="321" s="1"/>
  <c r="AS102" i="321"/>
  <c r="G102" i="321" s="1"/>
  <c r="AS103" i="321"/>
  <c r="G103" i="321" s="1"/>
  <c r="AS104" i="321"/>
  <c r="G104" i="321" s="1"/>
  <c r="AS66" i="321"/>
  <c r="AS67" i="321"/>
  <c r="G67" i="321" s="1"/>
  <c r="AS68" i="321"/>
  <c r="G68" i="321" s="1"/>
  <c r="AS69" i="321"/>
  <c r="G69" i="321" s="1"/>
  <c r="AS70" i="321"/>
  <c r="G70" i="321" s="1"/>
  <c r="AS71" i="321"/>
  <c r="G71" i="321" s="1"/>
  <c r="AS72" i="321"/>
  <c r="G72" i="321" s="1"/>
  <c r="AS73" i="321"/>
  <c r="G73" i="321" s="1"/>
  <c r="AS86" i="321"/>
  <c r="G86" i="321" s="1"/>
  <c r="AS95" i="321" l="1"/>
  <c r="AT95" i="321"/>
  <c r="AE56" i="321"/>
  <c r="AE57" i="321"/>
  <c r="AF51" i="321"/>
  <c r="AG97" i="321" s="1"/>
  <c r="AE21" i="321"/>
  <c r="AS137" i="321"/>
  <c r="AF20" i="321"/>
  <c r="AS77" i="321"/>
  <c r="G66" i="321"/>
  <c r="AT77" i="321"/>
  <c r="AF56" i="321" l="1"/>
  <c r="AF57" i="321"/>
  <c r="AG51" i="321"/>
  <c r="AH97" i="321" s="1"/>
  <c r="AF21" i="321"/>
  <c r="AT137" i="321"/>
  <c r="AG20" i="321"/>
  <c r="AG56" i="321" l="1"/>
  <c r="AG57" i="321"/>
  <c r="AH51" i="321"/>
  <c r="AI97" i="321" s="1"/>
  <c r="AG21" i="321"/>
  <c r="AH20" i="321"/>
  <c r="AH56" i="321" l="1"/>
  <c r="AH57" i="321"/>
  <c r="AI51" i="321"/>
  <c r="AJ97" i="321" s="1"/>
  <c r="AH21" i="321"/>
  <c r="AI20" i="321"/>
  <c r="AI56" i="321" l="1"/>
  <c r="AI57" i="321"/>
  <c r="AJ51" i="321"/>
  <c r="AK97" i="321" s="1"/>
  <c r="AI21" i="321"/>
  <c r="AJ20" i="321"/>
  <c r="AJ56" i="321" l="1"/>
  <c r="AJ57" i="321"/>
  <c r="AK51" i="321"/>
  <c r="AL97" i="321" s="1"/>
  <c r="AJ21" i="321"/>
  <c r="AK20" i="321"/>
  <c r="AK56" i="321" l="1"/>
  <c r="AK57" i="321"/>
  <c r="AL51" i="321"/>
  <c r="AM97" i="321" s="1"/>
  <c r="AK21" i="321"/>
  <c r="AL20" i="321"/>
  <c r="AL56" i="321" l="1"/>
  <c r="AL57" i="321"/>
  <c r="AM51" i="321"/>
  <c r="AN97" i="321" s="1"/>
  <c r="AL21" i="321"/>
  <c r="AM20" i="321"/>
  <c r="AM56" i="321" l="1"/>
  <c r="AM57" i="321"/>
  <c r="AN51" i="321"/>
  <c r="AO97" i="321" s="1"/>
  <c r="AM21" i="321"/>
  <c r="AN20" i="321"/>
  <c r="AN56" i="321" l="1"/>
  <c r="AN57" i="321"/>
  <c r="AO51" i="321"/>
  <c r="AP97" i="321" s="1"/>
  <c r="AN21" i="321"/>
  <c r="AO20" i="321"/>
  <c r="AO56" i="321" l="1"/>
  <c r="AO57" i="321"/>
  <c r="AP51" i="321"/>
  <c r="AQ97" i="321" s="1"/>
  <c r="AO21" i="321"/>
  <c r="AP20" i="321"/>
  <c r="AP56" i="321" l="1"/>
  <c r="AP57" i="321"/>
  <c r="AQ51" i="321"/>
  <c r="AR97" i="321" s="1"/>
  <c r="AP21" i="321"/>
  <c r="AQ20" i="321"/>
  <c r="AQ56" i="321" l="1"/>
  <c r="AQ57" i="321"/>
  <c r="AR51" i="321"/>
  <c r="AS97" i="321" s="1"/>
  <c r="AQ21" i="321"/>
  <c r="AR20" i="321"/>
  <c r="AR56" i="321" l="1"/>
  <c r="AR57" i="321"/>
  <c r="AS51" i="321"/>
  <c r="AT97" i="321" s="1"/>
  <c r="AR21" i="321"/>
  <c r="AS20" i="321"/>
  <c r="AS56" i="321" l="1"/>
  <c r="AS57" i="321"/>
  <c r="AT51" i="321"/>
  <c r="AS21" i="321"/>
  <c r="AT20" i="321"/>
  <c r="AT56" i="321" l="1"/>
  <c r="AT57" i="321"/>
  <c r="AT21" i="321"/>
  <c r="C23" i="318" l="1"/>
  <c r="AT52" i="321"/>
  <c r="AS52" i="321"/>
  <c r="AR52" i="321"/>
  <c r="AQ52" i="321"/>
  <c r="AP52" i="321"/>
  <c r="AO52" i="321"/>
  <c r="AN52" i="321"/>
  <c r="AM52" i="321"/>
  <c r="AL52" i="321"/>
  <c r="AK52" i="321"/>
  <c r="AJ52" i="321"/>
  <c r="AI52" i="321"/>
  <c r="AH52" i="321"/>
  <c r="AG52" i="321"/>
  <c r="AF52" i="321"/>
  <c r="AE52" i="321"/>
  <c r="AD52" i="321"/>
  <c r="AC52" i="321"/>
  <c r="AB52" i="321"/>
  <c r="AA52" i="321"/>
  <c r="Z52" i="321"/>
  <c r="Y52" i="321"/>
  <c r="X52" i="321"/>
  <c r="W52" i="321"/>
  <c r="V52" i="321"/>
  <c r="U52" i="321"/>
  <c r="T52" i="321"/>
  <c r="S52" i="321"/>
  <c r="R52" i="321"/>
  <c r="Q52" i="321"/>
  <c r="P52" i="321"/>
  <c r="N52" i="321"/>
  <c r="M52" i="321"/>
  <c r="L52" i="321"/>
  <c r="N53" i="321"/>
  <c r="O88" i="321" s="1"/>
  <c r="AT53" i="321"/>
  <c r="O53" i="321"/>
  <c r="P88" i="321" s="1"/>
  <c r="AS53" i="321"/>
  <c r="AT88" i="321" s="1"/>
  <c r="AR53" i="321"/>
  <c r="AS88" i="321" s="1"/>
  <c r="AQ53" i="321"/>
  <c r="AR88" i="321" s="1"/>
  <c r="AP53" i="321"/>
  <c r="AQ88" i="321" s="1"/>
  <c r="AO53" i="321"/>
  <c r="AP88" i="321" s="1"/>
  <c r="AN53" i="321"/>
  <c r="AO88" i="321" s="1"/>
  <c r="AM53" i="321"/>
  <c r="AN88" i="321" s="1"/>
  <c r="AL53" i="321"/>
  <c r="AM88" i="321" s="1"/>
  <c r="AK53" i="321"/>
  <c r="AL88" i="321" s="1"/>
  <c r="AJ53" i="321"/>
  <c r="AK88" i="321" s="1"/>
  <c r="AI53" i="321"/>
  <c r="AJ88" i="321" s="1"/>
  <c r="AH53" i="321"/>
  <c r="AI88" i="321" s="1"/>
  <c r="AG53" i="321"/>
  <c r="AH88" i="321" s="1"/>
  <c r="AF53" i="321"/>
  <c r="AG88" i="321" s="1"/>
  <c r="AE53" i="321"/>
  <c r="AF88" i="321" s="1"/>
  <c r="AD53" i="321"/>
  <c r="AE88" i="321" s="1"/>
  <c r="AC53" i="321"/>
  <c r="AD88" i="321" s="1"/>
  <c r="AB53" i="321"/>
  <c r="AC88" i="321" s="1"/>
  <c r="AA53" i="321"/>
  <c r="AB88" i="321" s="1"/>
  <c r="Z53" i="321"/>
  <c r="AA88" i="321" s="1"/>
  <c r="Y53" i="321"/>
  <c r="Z88" i="321" s="1"/>
  <c r="X53" i="321"/>
  <c r="Y88" i="321" s="1"/>
  <c r="W53" i="321"/>
  <c r="X88" i="321" s="1"/>
  <c r="V53" i="321"/>
  <c r="W88" i="321" s="1"/>
  <c r="U53" i="321"/>
  <c r="V88" i="321" s="1"/>
  <c r="T53" i="321"/>
  <c r="U88" i="321" s="1"/>
  <c r="S53" i="321"/>
  <c r="T88" i="321" s="1"/>
  <c r="R53" i="321"/>
  <c r="S88" i="321" s="1"/>
  <c r="Q53" i="321"/>
  <c r="R88" i="321" s="1"/>
  <c r="P53" i="321"/>
  <c r="Q88" i="321" s="1"/>
  <c r="M53" i="321"/>
  <c r="N88" i="321" s="1"/>
  <c r="L53" i="321"/>
  <c r="S106" i="321"/>
  <c r="R106" i="321"/>
  <c r="Q106" i="321"/>
  <c r="O106" i="321"/>
  <c r="O107" i="321" s="1"/>
  <c r="N106" i="321"/>
  <c r="N107" i="321" s="1"/>
  <c r="T106" i="321"/>
  <c r="T107" i="321" s="1"/>
  <c r="U106" i="321"/>
  <c r="U107" i="321" s="1"/>
  <c r="S107" i="321"/>
  <c r="R107" i="321"/>
  <c r="Q107" i="321"/>
  <c r="V106" i="321"/>
  <c r="W106" i="321"/>
  <c r="W107" i="321" s="1"/>
  <c r="X106" i="321"/>
  <c r="X107" i="321" s="1"/>
  <c r="Y106" i="321"/>
  <c r="Y107" i="321" s="1"/>
  <c r="Z106" i="321"/>
  <c r="Z107" i="321" s="1"/>
  <c r="V107" i="321"/>
  <c r="AA106" i="321"/>
  <c r="AA107" i="321" s="1"/>
  <c r="AB106" i="321"/>
  <c r="AB107" i="321" s="1"/>
  <c r="AC106" i="321"/>
  <c r="AC107" i="321" s="1"/>
  <c r="AD106" i="321"/>
  <c r="AD107" i="321" s="1"/>
  <c r="AE106" i="321"/>
  <c r="AE107" i="321" s="1"/>
  <c r="AF106" i="321"/>
  <c r="AF107" i="321" s="1"/>
  <c r="AG106" i="321"/>
  <c r="AG107" i="321" s="1"/>
  <c r="AH106" i="321"/>
  <c r="AI106" i="321"/>
  <c r="AI107" i="321" s="1"/>
  <c r="AJ106" i="321"/>
  <c r="AJ107" i="321" s="1"/>
  <c r="AK106" i="321"/>
  <c r="AK107" i="321" s="1"/>
  <c r="AL106" i="321"/>
  <c r="AL107" i="321" s="1"/>
  <c r="AH107" i="321"/>
  <c r="AM106" i="321"/>
  <c r="AM107" i="321" s="1"/>
  <c r="AN106" i="321"/>
  <c r="AN107" i="321" s="1"/>
  <c r="AO106" i="321"/>
  <c r="AO107" i="321" s="1"/>
  <c r="AP106" i="321"/>
  <c r="AP107" i="321" s="1"/>
  <c r="AQ106" i="321"/>
  <c r="AQ107" i="321" s="1"/>
  <c r="AR106" i="321"/>
  <c r="AR107" i="321" s="1"/>
  <c r="AT106" i="321"/>
  <c r="AT107" i="321" s="1"/>
  <c r="AS106" i="321"/>
  <c r="AS107" i="321"/>
  <c r="P106" i="321"/>
  <c r="P107" i="321"/>
  <c r="D13" i="318"/>
  <c r="C24" i="318"/>
  <c r="C14" i="318"/>
  <c r="O52" i="321"/>
  <c r="M88" i="321" l="1"/>
  <c r="AJ3" i="188"/>
  <c r="C33" i="318"/>
  <c r="L106" i="321"/>
  <c r="G87" i="321"/>
  <c r="M106" i="321" l="1"/>
  <c r="M107" i="321" s="1"/>
  <c r="G88" i="321"/>
  <c r="C34" i="318"/>
  <c r="D34" i="318" a="1"/>
  <c r="D34" i="318" s="1"/>
  <c r="L107" i="321"/>
  <c r="D97" i="317" l="1"/>
  <c r="B98" i="317" s="1"/>
  <c r="D36" i="317"/>
  <c r="B37" i="317" s="1"/>
  <c r="G14" i="234" l="1"/>
  <c r="G20" i="234" s="1"/>
  <c r="C14" i="234"/>
  <c r="C20" i="234" s="1"/>
  <c r="K14" i="234"/>
  <c r="K20" i="234" s="1"/>
  <c r="K15" i="234"/>
  <c r="N14" i="234"/>
  <c r="N20" i="234" s="1"/>
  <c r="I15" i="234"/>
  <c r="L14" i="234"/>
  <c r="L20" i="234" s="1"/>
  <c r="E15" i="234"/>
  <c r="G15" i="234"/>
  <c r="J14" i="234"/>
  <c r="J20" i="234" s="1"/>
  <c r="Q15" i="234"/>
  <c r="D15" i="234"/>
  <c r="H14" i="234"/>
  <c r="H20" i="234" s="1"/>
  <c r="P15" i="234"/>
  <c r="C15" i="234"/>
  <c r="N15" i="234"/>
  <c r="Q14" i="234"/>
  <c r="Q20" i="234" s="1"/>
  <c r="E14" i="234"/>
  <c r="E20" i="234" s="1"/>
  <c r="J15" i="234"/>
  <c r="H15" i="234"/>
  <c r="F15" i="234"/>
  <c r="M14" i="234"/>
  <c r="M20" i="234" s="1"/>
  <c r="O15" i="234"/>
  <c r="F14" i="234"/>
  <c r="F20" i="234" s="1"/>
  <c r="I14" i="234"/>
  <c r="I20" i="234" s="1"/>
  <c r="M15" i="234"/>
  <c r="P14" i="234"/>
  <c r="P20" i="234" s="1"/>
  <c r="D14" i="234"/>
  <c r="D20" i="234" s="1"/>
  <c r="L15" i="234"/>
  <c r="O14" i="234"/>
  <c r="O20" i="234" s="1"/>
  <c r="C16" i="234"/>
  <c r="O16" i="234" l="1"/>
  <c r="D16" i="234"/>
  <c r="P16" i="234"/>
  <c r="I16" i="234"/>
  <c r="F16" i="234"/>
  <c r="M16" i="234"/>
  <c r="E16" i="234"/>
  <c r="Q16" i="234"/>
  <c r="G16" i="234"/>
  <c r="H16" i="234"/>
  <c r="J16" i="234"/>
  <c r="L16" i="234"/>
  <c r="N16" i="234"/>
  <c r="K16" i="234"/>
  <c r="R16" i="234"/>
  <c r="R14" i="234"/>
  <c r="R15" i="234"/>
  <c r="B21" i="234" l="1"/>
  <c r="L55" i="321"/>
  <c r="L58" i="321" s="1"/>
  <c r="M55" i="321"/>
  <c r="N55" i="321"/>
  <c r="M58" i="321"/>
  <c r="N58" i="321"/>
  <c r="O55" i="321"/>
  <c r="N154" i="321"/>
  <c r="N170" i="321"/>
  <c r="M154" i="321"/>
  <c r="M170" i="321"/>
  <c r="O154" i="321"/>
  <c r="O170" i="321"/>
  <c r="L154" i="321"/>
  <c r="L170" i="321" s="1"/>
  <c r="N173" i="321"/>
  <c r="N179" i="321"/>
  <c r="N188" i="321"/>
  <c r="P55" i="321"/>
  <c r="Q55" i="321"/>
  <c r="Q58" i="321"/>
  <c r="R55" i="321"/>
  <c r="R58" i="321"/>
  <c r="S55" i="321"/>
  <c r="S58" i="321"/>
  <c r="T55" i="321"/>
  <c r="T58" i="321"/>
  <c r="U55" i="321"/>
  <c r="U58" i="321"/>
  <c r="V55" i="321"/>
  <c r="V58" i="321"/>
  <c r="W55" i="321"/>
  <c r="W58" i="321"/>
  <c r="X55" i="321"/>
  <c r="X58" i="321"/>
  <c r="Y55" i="321"/>
  <c r="Y58" i="321"/>
  <c r="Z55" i="321"/>
  <c r="Z58" i="321"/>
  <c r="AA55" i="321"/>
  <c r="AA58" i="321"/>
  <c r="AB55" i="321"/>
  <c r="AB58" i="321"/>
  <c r="AC55" i="321"/>
  <c r="AC58" i="321"/>
  <c r="AD55" i="321"/>
  <c r="AD58" i="321"/>
  <c r="AE55" i="321"/>
  <c r="AE58" i="321"/>
  <c r="AF55" i="321"/>
  <c r="AF58" i="321"/>
  <c r="AG55" i="321"/>
  <c r="AG58" i="321"/>
  <c r="AH55" i="321"/>
  <c r="AH58" i="321"/>
  <c r="AI55" i="321"/>
  <c r="AI58" i="321"/>
  <c r="AJ55" i="321"/>
  <c r="AJ58" i="321"/>
  <c r="AK55" i="321"/>
  <c r="AK58" i="321"/>
  <c r="AL55" i="321"/>
  <c r="AL58" i="321"/>
  <c r="AM55" i="321"/>
  <c r="AM58" i="321"/>
  <c r="AN55" i="321"/>
  <c r="AN58" i="321"/>
  <c r="AO55" i="321"/>
  <c r="AO58" i="321"/>
  <c r="AP55" i="321"/>
  <c r="AP58" i="321"/>
  <c r="AQ55" i="321"/>
  <c r="AQ58" i="321"/>
  <c r="AR55" i="321"/>
  <c r="AR58" i="321"/>
  <c r="AS55" i="321"/>
  <c r="AS58" i="321"/>
  <c r="AT55" i="321"/>
  <c r="AT58" i="321"/>
  <c r="O58" i="321"/>
  <c r="N178" i="321"/>
  <c r="N177" i="321"/>
  <c r="L173" i="321"/>
  <c r="N175" i="321"/>
  <c r="N185" i="321"/>
  <c r="O173" i="321"/>
  <c r="M173" i="321"/>
  <c r="M178" i="321"/>
  <c r="M179" i="321"/>
  <c r="M188" i="321"/>
  <c r="O177" i="321"/>
  <c r="O191" i="321"/>
  <c r="O179" i="321"/>
  <c r="O188" i="321"/>
  <c r="L177" i="321"/>
  <c r="L191" i="321"/>
  <c r="L179" i="321"/>
  <c r="M175" i="321"/>
  <c r="N192" i="321"/>
  <c r="M185" i="321"/>
  <c r="O175" i="321"/>
  <c r="O185" i="321"/>
  <c r="M177" i="321"/>
  <c r="N191" i="321"/>
  <c r="P58" i="321"/>
  <c r="P154" i="321"/>
  <c r="P170" i="321"/>
  <c r="Q154" i="321"/>
  <c r="Q170" i="321"/>
  <c r="R154" i="321"/>
  <c r="R170" i="321"/>
  <c r="S154" i="321"/>
  <c r="S170" i="321"/>
  <c r="T154" i="321"/>
  <c r="T170" i="321"/>
  <c r="U154" i="321"/>
  <c r="U170" i="321"/>
  <c r="V154" i="321"/>
  <c r="V170" i="321"/>
  <c r="W154" i="321"/>
  <c r="W170" i="321"/>
  <c r="X154" i="321"/>
  <c r="X170" i="321"/>
  <c r="Y154" i="321"/>
  <c r="Y170" i="321"/>
  <c r="Z154" i="321"/>
  <c r="Z170" i="321"/>
  <c r="AA154" i="321"/>
  <c r="AA170" i="321"/>
  <c r="AB154" i="321"/>
  <c r="AB170" i="321"/>
  <c r="AC154" i="321"/>
  <c r="AC170" i="321"/>
  <c r="AD154" i="321"/>
  <c r="AD170" i="321"/>
  <c r="AE154" i="321"/>
  <c r="AE170" i="321"/>
  <c r="AF154" i="321"/>
  <c r="AF170" i="321"/>
  <c r="AG154" i="321"/>
  <c r="AG170" i="321"/>
  <c r="AH154" i="321"/>
  <c r="AH170" i="321"/>
  <c r="AI154" i="321"/>
  <c r="AI170" i="321"/>
  <c r="AJ154" i="321"/>
  <c r="AJ170" i="321"/>
  <c r="AK154" i="321"/>
  <c r="AK170" i="321"/>
  <c r="AL154" i="321"/>
  <c r="AL170" i="321"/>
  <c r="AM154" i="321"/>
  <c r="AM170" i="321"/>
  <c r="AN154" i="321"/>
  <c r="AN170" i="321"/>
  <c r="AO154" i="321"/>
  <c r="AO170" i="321"/>
  <c r="AP154" i="321"/>
  <c r="AP170" i="321"/>
  <c r="AQ154" i="321"/>
  <c r="AQ170" i="321"/>
  <c r="AR154" i="321"/>
  <c r="AR170" i="321"/>
  <c r="AS154" i="321"/>
  <c r="AS170" i="321"/>
  <c r="AT154" i="321"/>
  <c r="AT170" i="321"/>
  <c r="O178" i="321"/>
  <c r="M189" i="321"/>
  <c r="O189" i="321"/>
  <c r="N189" i="321"/>
  <c r="L189" i="321"/>
  <c r="O192" i="321"/>
  <c r="M192" i="321"/>
  <c r="M191" i="321"/>
  <c r="AT173" i="321"/>
  <c r="AT179" i="321"/>
  <c r="AT175" i="321"/>
  <c r="AT185" i="321"/>
  <c r="AS173" i="321"/>
  <c r="AS179" i="321"/>
  <c r="AS175" i="321"/>
  <c r="AS185" i="321"/>
  <c r="AR173" i="321"/>
  <c r="AQ173" i="321"/>
  <c r="AQ179" i="321"/>
  <c r="AQ175" i="321"/>
  <c r="AQ185" i="321"/>
  <c r="AP173" i="321"/>
  <c r="AO173" i="321"/>
  <c r="AN173" i="321"/>
  <c r="AM173" i="321"/>
  <c r="AM179" i="321"/>
  <c r="AM175" i="321"/>
  <c r="AM185" i="321"/>
  <c r="AL173" i="321"/>
  <c r="AL179" i="321"/>
  <c r="AL175" i="321"/>
  <c r="AL185" i="321"/>
  <c r="AK173" i="321"/>
  <c r="AK179" i="321"/>
  <c r="AK175" i="321"/>
  <c r="AK185" i="321"/>
  <c r="AJ173" i="321"/>
  <c r="AI173" i="321"/>
  <c r="AH173" i="321"/>
  <c r="AH179" i="321"/>
  <c r="AH175" i="321"/>
  <c r="AH185" i="321"/>
  <c r="AG173" i="321"/>
  <c r="AF173" i="321"/>
  <c r="AF179" i="321"/>
  <c r="AF188" i="321" s="1"/>
  <c r="AF175" i="321"/>
  <c r="AF185" i="321"/>
  <c r="AE173" i="321"/>
  <c r="AE179" i="321"/>
  <c r="AE188" i="321"/>
  <c r="AE175" i="321"/>
  <c r="AE185" i="321"/>
  <c r="AD173" i="321"/>
  <c r="AC173" i="321"/>
  <c r="AB173" i="321"/>
  <c r="AB179" i="321"/>
  <c r="AB188" i="321"/>
  <c r="AB175" i="321"/>
  <c r="AB185" i="321"/>
  <c r="AA173" i="321"/>
  <c r="AA179" i="321"/>
  <c r="AA188" i="321"/>
  <c r="AA175" i="321"/>
  <c r="AA185" i="321"/>
  <c r="Z173" i="321"/>
  <c r="Y173" i="321"/>
  <c r="Y179" i="321"/>
  <c r="Y188" i="321"/>
  <c r="Y175" i="321"/>
  <c r="Y185" i="321"/>
  <c r="X173" i="321"/>
  <c r="W173" i="321"/>
  <c r="V173" i="321"/>
  <c r="V179" i="321"/>
  <c r="V188" i="321"/>
  <c r="V175" i="321"/>
  <c r="V185" i="321"/>
  <c r="U173" i="321"/>
  <c r="U179" i="321"/>
  <c r="U188" i="321"/>
  <c r="U175" i="321"/>
  <c r="U185" i="321"/>
  <c r="T173" i="321"/>
  <c r="T179" i="321"/>
  <c r="T188" i="321"/>
  <c r="T175" i="321"/>
  <c r="T185" i="321"/>
  <c r="S173" i="321"/>
  <c r="R173" i="321"/>
  <c r="Q173" i="321"/>
  <c r="P173" i="321"/>
  <c r="P179" i="321"/>
  <c r="P175" i="321"/>
  <c r="P185" i="321"/>
  <c r="L178" i="321"/>
  <c r="L175" i="321"/>
  <c r="P188" i="321"/>
  <c r="P189" i="321"/>
  <c r="Q175" i="321"/>
  <c r="Q185" i="321"/>
  <c r="Q179" i="321"/>
  <c r="R175" i="321"/>
  <c r="R185" i="321"/>
  <c r="R179" i="321"/>
  <c r="R188" i="321"/>
  <c r="S175" i="321"/>
  <c r="S185" i="321"/>
  <c r="S179" i="321"/>
  <c r="S188" i="321"/>
  <c r="W175" i="321"/>
  <c r="W185" i="321"/>
  <c r="W179" i="321"/>
  <c r="W188" i="321"/>
  <c r="X175" i="321"/>
  <c r="X185" i="321"/>
  <c r="X179" i="321"/>
  <c r="X188" i="321"/>
  <c r="Z175" i="321"/>
  <c r="Z185" i="321"/>
  <c r="Z179" i="321"/>
  <c r="Z188" i="321"/>
  <c r="AC175" i="321"/>
  <c r="AC185" i="321"/>
  <c r="AC179" i="321"/>
  <c r="AC188" i="321"/>
  <c r="AD175" i="321"/>
  <c r="AD185" i="321"/>
  <c r="AD179" i="321"/>
  <c r="AD188" i="321"/>
  <c r="AG175" i="321"/>
  <c r="AG185" i="321"/>
  <c r="AG179" i="321"/>
  <c r="AI175" i="321"/>
  <c r="AI185" i="321"/>
  <c r="AI179" i="321"/>
  <c r="AJ175" i="321"/>
  <c r="AJ185" i="321"/>
  <c r="AJ179" i="321"/>
  <c r="AN175" i="321"/>
  <c r="AN185" i="321"/>
  <c r="AN179" i="321"/>
  <c r="AO175" i="321"/>
  <c r="AO185" i="321"/>
  <c r="AO179" i="321"/>
  <c r="AP175" i="321"/>
  <c r="AP185" i="321"/>
  <c r="AP179" i="321"/>
  <c r="AR175" i="321"/>
  <c r="AR185" i="321"/>
  <c r="AR179" i="321"/>
  <c r="L185" i="321"/>
  <c r="P177" i="321"/>
  <c r="P178" i="321"/>
  <c r="Q177" i="321"/>
  <c r="Q191" i="321"/>
  <c r="Q178" i="321"/>
  <c r="R177" i="321"/>
  <c r="R191" i="321"/>
  <c r="R178" i="321"/>
  <c r="S177" i="321"/>
  <c r="S191" i="321"/>
  <c r="S178" i="321"/>
  <c r="T177" i="321"/>
  <c r="T191" i="321"/>
  <c r="T178" i="321"/>
  <c r="U177" i="321"/>
  <c r="U191" i="321"/>
  <c r="U178" i="321"/>
  <c r="V177" i="321"/>
  <c r="V191" i="321"/>
  <c r="V178" i="321"/>
  <c r="W177" i="321"/>
  <c r="W191" i="321"/>
  <c r="W178" i="321"/>
  <c r="X177" i="321"/>
  <c r="X191" i="321"/>
  <c r="X178" i="321"/>
  <c r="Y177" i="321"/>
  <c r="Y191" i="321"/>
  <c r="Y178" i="321"/>
  <c r="Z178" i="321"/>
  <c r="Z177" i="321"/>
  <c r="Z191" i="321"/>
  <c r="AA178" i="321"/>
  <c r="AA177" i="321"/>
  <c r="AA191" i="321"/>
  <c r="AB178" i="321"/>
  <c r="AB177" i="321"/>
  <c r="AB191" i="321"/>
  <c r="AC178" i="321"/>
  <c r="AC177" i="321"/>
  <c r="AC191" i="321"/>
  <c r="AD178" i="321"/>
  <c r="AD177" i="321"/>
  <c r="AD191" i="321"/>
  <c r="AE178" i="321"/>
  <c r="AE177" i="321"/>
  <c r="AE191" i="321"/>
  <c r="AF178" i="321"/>
  <c r="AF177" i="321"/>
  <c r="AF191" i="321"/>
  <c r="AG178" i="321"/>
  <c r="AG177" i="321"/>
  <c r="AG191" i="321"/>
  <c r="AH178" i="321"/>
  <c r="AH177" i="321"/>
  <c r="AH191" i="321"/>
  <c r="AI178" i="321"/>
  <c r="AI177" i="321"/>
  <c r="AI191" i="321"/>
  <c r="AJ178" i="321"/>
  <c r="AJ177" i="321"/>
  <c r="AJ191" i="321"/>
  <c r="AK178" i="321"/>
  <c r="AK177" i="321"/>
  <c r="AK191" i="321"/>
  <c r="AL178" i="321"/>
  <c r="AL177" i="321"/>
  <c r="AL191" i="321"/>
  <c r="AM178" i="321"/>
  <c r="AM177" i="321"/>
  <c r="AM191" i="321"/>
  <c r="AN178" i="321"/>
  <c r="AN177" i="321"/>
  <c r="AN191" i="321"/>
  <c r="AO178" i="321"/>
  <c r="AO177" i="321"/>
  <c r="AO191" i="321"/>
  <c r="AP178" i="321"/>
  <c r="AP177" i="321"/>
  <c r="AP191" i="321"/>
  <c r="AQ178" i="321"/>
  <c r="AQ177" i="321"/>
  <c r="AQ191" i="321"/>
  <c r="AR178" i="321"/>
  <c r="AR177" i="321"/>
  <c r="AR191" i="321"/>
  <c r="AS178" i="321"/>
  <c r="AS177" i="321"/>
  <c r="AS191" i="321"/>
  <c r="AT178" i="321"/>
  <c r="AT177" i="321"/>
  <c r="AT191" i="321"/>
  <c r="L192" i="321"/>
  <c r="AA189" i="321"/>
  <c r="Q188" i="321"/>
  <c r="AT189" i="321"/>
  <c r="AS189" i="321"/>
  <c r="AR189" i="321"/>
  <c r="AQ189" i="321"/>
  <c r="AP189" i="321"/>
  <c r="AO189" i="321"/>
  <c r="AN189" i="321"/>
  <c r="AM189" i="321"/>
  <c r="AL189" i="321"/>
  <c r="AK189" i="321"/>
  <c r="AJ189" i="321"/>
  <c r="AI189" i="321"/>
  <c r="AH189" i="321"/>
  <c r="AG189" i="321"/>
  <c r="D189" i="321" s="1"/>
  <c r="AF189" i="321"/>
  <c r="AE189" i="321"/>
  <c r="AD189" i="321"/>
  <c r="AC189" i="321"/>
  <c r="AB189" i="321"/>
  <c r="Z189" i="321"/>
  <c r="Y189" i="321"/>
  <c r="X189" i="321"/>
  <c r="W189" i="321"/>
  <c r="V189" i="321"/>
  <c r="U189" i="321"/>
  <c r="T189" i="321"/>
  <c r="S189" i="321"/>
  <c r="R189" i="321"/>
  <c r="AT192" i="321"/>
  <c r="AS192" i="321"/>
  <c r="AR192" i="321"/>
  <c r="AQ192" i="321"/>
  <c r="AP192" i="321"/>
  <c r="AO192" i="321"/>
  <c r="AN192" i="321"/>
  <c r="AM192" i="321"/>
  <c r="AL192" i="321"/>
  <c r="AK192" i="321"/>
  <c r="AJ192" i="321"/>
  <c r="AI192" i="321"/>
  <c r="AH192" i="321"/>
  <c r="AG192" i="321"/>
  <c r="AF192" i="321"/>
  <c r="AE192" i="321"/>
  <c r="AD192" i="321"/>
  <c r="AC192" i="321"/>
  <c r="AB192" i="321"/>
  <c r="AA192" i="321"/>
  <c r="Z192" i="321"/>
  <c r="Y192" i="321"/>
  <c r="X192" i="321"/>
  <c r="W192" i="321"/>
  <c r="V192" i="321"/>
  <c r="P191" i="321"/>
  <c r="D193" i="321"/>
  <c r="U192" i="321"/>
  <c r="T192" i="321"/>
  <c r="S192" i="321"/>
  <c r="R192" i="321"/>
  <c r="Q192" i="321"/>
  <c r="P192" i="321"/>
  <c r="D194" i="321"/>
  <c r="AI3" i="188"/>
  <c r="D182" i="321" l="1"/>
  <c r="AF3" i="188" s="1"/>
  <c r="D181" i="321"/>
  <c r="D186" i="321"/>
  <c r="Q189" i="321"/>
  <c r="AH3" i="188" l="1"/>
  <c r="AG3" i="18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tc={1711F52E-5A06-4F4D-8DC7-4F66C22AAA93}</author>
    <author>tc={6B19AEE3-1FDF-49E1-81E6-376A43CEAB27}</author>
  </authors>
  <commentList>
    <comment ref="A3" authorId="0" shapeId="0" xr:uid="{1711F52E-5A06-4F4D-8DC7-4F66C22AAA93}">
      <text>
        <t>[Opmerkingenthread]
U kunt deze opmerkingenthread lezen in uw versie van Excel. Eventuele wijzigingen aan de thread gaan echter verloren als het bestand wordt geopend in een nieuwere versie van Excel. Meer informatie: https://go.microsoft.com/fwlink/?linkid=870924
Opmerking:
    Check artikels</t>
      </text>
    </comment>
    <comment ref="C44" authorId="1" shapeId="0" xr:uid="{6B19AEE3-1FDF-49E1-81E6-376A43CEAB27}">
      <text>
        <t>[Opmerkingenthread]
U kunt deze opmerkingenthread lezen in uw versie van Excel. Eventuele wijzigingen aan de thread gaan echter verloren als het bestand wordt geopend in een nieuwere versie van Excel. Meer informatie: https://go.microsoft.com/fwlink/?linkid=870924
Opmerking:
    Behouden en controleren of waarschuwen?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<sst xmlns="http://schemas.openxmlformats.org/spreadsheetml/2006/main" count="939" uniqueCount="666">
  <si>
    <t xml:space="preserve">Voor u begint </t>
  </si>
  <si>
    <t>Model exploitatieberekening</t>
  </si>
  <si>
    <t>Warmtenetten Investeringssubsidie (WIS)</t>
  </si>
  <si>
    <t>Gebruik altijd de laatste versie van het model. Deze vindt u op www.rvo.nl/wis</t>
  </si>
  <si>
    <t>Voor u begint</t>
  </si>
  <si>
    <t xml:space="preserve">In dit document ziet u gele en blauwe tabbladen. Op de gele tabbladen vult u gegevens in. Op de blauwe tabbladen vindt u alleen informatie. </t>
  </si>
  <si>
    <t xml:space="preserve">Op de gele tabbladen zijn de cellen die u zelf invult geel gemarkeerd. Blauwe cellen zijn informatief en worden automatisch </t>
  </si>
  <si>
    <t xml:space="preserve">of later door ons ingevuld. U ziet rode cellen als u nog iets moet invullen. De investeringskosten die onder de subsidie vallen </t>
  </si>
  <si>
    <r>
      <t>en de subsidie die u vraagt vult u in op het tabblad '</t>
    </r>
    <r>
      <rPr>
        <i/>
        <sz val="9"/>
        <rFont val="Verdana"/>
        <family val="2"/>
      </rPr>
      <t>Mijlpalenbegroting</t>
    </r>
    <r>
      <rPr>
        <sz val="9"/>
        <rFont val="Verdana"/>
        <family val="2"/>
      </rPr>
      <t xml:space="preserve">'.  </t>
    </r>
  </si>
  <si>
    <t xml:space="preserve">Let op: wij moeten kunnen zien waar de gegevens vandaan komen, de gegevens moeten hetzelfde zijn als in andere stukken, en u moet alle </t>
  </si>
  <si>
    <t>gevraagde informatie (in geel gemarkeerde cellen) invullen.</t>
  </si>
  <si>
    <t>Zorg ervoor dat we de investeringskosten kunnen herleiden naar en aansluiten op uw model exploitatieberekening.</t>
  </si>
  <si>
    <t>Voeg kostenramingen, kostencalculaties of offertes toe.</t>
  </si>
  <si>
    <r>
      <t>U gebruikt in het tabblad '</t>
    </r>
    <r>
      <rPr>
        <i/>
        <sz val="9"/>
        <rFont val="Verdana"/>
        <family val="2"/>
      </rPr>
      <t>Mijlpalenbegroting</t>
    </r>
    <r>
      <rPr>
        <sz val="9"/>
        <rFont val="Verdana"/>
        <family val="2"/>
      </rPr>
      <t>' in de tabellen de kolom '</t>
    </r>
    <r>
      <rPr>
        <i/>
        <sz val="9"/>
        <rFont val="Verdana"/>
        <family val="2"/>
      </rPr>
      <t>Segment in</t>
    </r>
    <r>
      <rPr>
        <sz val="9"/>
        <rFont val="Verdana"/>
        <family val="2"/>
      </rPr>
      <t xml:space="preserve"> </t>
    </r>
    <r>
      <rPr>
        <i/>
        <sz val="9"/>
        <rFont val="Verdana"/>
        <family val="2"/>
      </rPr>
      <t>Voorlopig Ontwerp</t>
    </r>
    <r>
      <rPr>
        <sz val="9"/>
        <rFont val="Verdana"/>
        <family val="2"/>
      </rPr>
      <t>' om de koppeling met andere stukken te maken. Daarvoor gebruikt u</t>
    </r>
  </si>
  <si>
    <t>bijvoorbeeld een referentiecode in het voorlopig ontwerp (VO) voor bepaalde leidingen of gebieden.</t>
  </si>
  <si>
    <t xml:space="preserve">De onderbouwing van de gegevens die u in dit model exploitatieberekening invult, neemt u ook op in uw projectplan. Ook voegt u gevraagde bijlagen toe. </t>
  </si>
  <si>
    <t xml:space="preserve">Sluiten gegevens tussen het model expoloitatieberekening en bijgevoegde stukken niet op elkaar aan? Dan kan dit zorgen voor een afwijzing op kwaliteit van het project. </t>
  </si>
  <si>
    <t>In welke volgorde voert u het model in?</t>
  </si>
  <si>
    <r>
      <rPr>
        <sz val="9"/>
        <color rgb="FF000000"/>
        <rFont val="Verdana"/>
        <family val="2"/>
      </rPr>
      <t>Bovenaan de gele tabbladen staat een korte uitleg. Voor het tabblad '</t>
    </r>
    <r>
      <rPr>
        <i/>
        <sz val="9"/>
        <color rgb="FF000000"/>
        <rFont val="Verdana"/>
        <family val="2"/>
      </rPr>
      <t>Mijlpalenbegroting</t>
    </r>
    <r>
      <rPr>
        <sz val="9"/>
        <color rgb="FF000000"/>
        <rFont val="Verdana"/>
        <family val="2"/>
      </rPr>
      <t>' is er een apart tabblad '</t>
    </r>
    <r>
      <rPr>
        <i/>
        <sz val="9"/>
        <color rgb="FF000000"/>
        <rFont val="Verdana"/>
        <family val="2"/>
      </rPr>
      <t>Toelichting Mijlpalenbegroting</t>
    </r>
    <r>
      <rPr>
        <sz val="9"/>
        <color rgb="FF000000"/>
        <rFont val="Verdana"/>
        <family val="2"/>
      </rPr>
      <t>'.</t>
    </r>
  </si>
  <si>
    <t>De uitkomsten van tabbladen worden in andere tabbladen gebruikt. U kunt als volgt te werk gaan:</t>
  </si>
  <si>
    <r>
      <rPr>
        <b/>
        <sz val="9"/>
        <rFont val="Verdana"/>
        <family val="2"/>
      </rPr>
      <t>1. Project</t>
    </r>
    <r>
      <rPr>
        <sz val="9"/>
        <rFont val="Verdana"/>
        <family val="2"/>
      </rPr>
      <t>: Dit tabblad vult u altijd als eerste in. Hierin geeft u de start- en einddatum van het project en het type organisatie aan.</t>
    </r>
  </si>
  <si>
    <r>
      <rPr>
        <b/>
        <sz val="9"/>
        <color rgb="FF000000"/>
        <rFont val="Verdana"/>
        <family val="2"/>
      </rPr>
      <t>2. Mijlpalenplanning</t>
    </r>
    <r>
      <rPr>
        <sz val="9"/>
        <color rgb="FF000000"/>
        <rFont val="Verdana"/>
        <family val="2"/>
      </rPr>
      <t xml:space="preserve">: In de regeling staat dat u een mijlpalenplanning moet maken en gebruiken. In dit tabblad vult u per mijlpaal de looptijd en </t>
    </r>
  </si>
  <si>
    <t>een omschrijving van de mijlpaal in.</t>
  </si>
  <si>
    <t>-</t>
  </si>
  <si>
    <t xml:space="preserve">  Bedenk een logische fasering van het project in mijlpalen. Voor meer uitleg over de verplichte mijlpalen zie tabblad mijlpalenbegroting. </t>
  </si>
  <si>
    <r>
      <rPr>
        <sz val="9"/>
        <color rgb="FF000000"/>
        <rFont val="Verdana"/>
        <family val="2"/>
      </rPr>
      <t xml:space="preserve">  Vul deze in het tabblad '</t>
    </r>
    <r>
      <rPr>
        <i/>
        <sz val="9"/>
        <color rgb="FF000000"/>
        <rFont val="Verdana"/>
        <family val="2"/>
      </rPr>
      <t>Mijlpalenplanning</t>
    </r>
    <r>
      <rPr>
        <sz val="9"/>
        <color rgb="FF000000"/>
        <rFont val="Verdana"/>
        <family val="2"/>
      </rPr>
      <t>' in. Een mijlpaal moet een helder eindresultaat hebben.</t>
    </r>
  </si>
  <si>
    <r>
      <rPr>
        <b/>
        <sz val="9"/>
        <color rgb="FF000000"/>
        <rFont val="Verdana"/>
        <family val="2"/>
      </rPr>
      <t>3. Mijlpalenbegroting</t>
    </r>
    <r>
      <rPr>
        <sz val="9"/>
        <color rgb="FF000000"/>
        <rFont val="Verdana"/>
        <family val="2"/>
      </rPr>
      <t xml:space="preserve">: In dit tabblad vult u de investeringskosten in en mogelijke andere subsidies. </t>
    </r>
  </si>
  <si>
    <r>
      <t xml:space="preserve">  Vul het tabblad '</t>
    </r>
    <r>
      <rPr>
        <i/>
        <sz val="9"/>
        <rFont val="Verdana"/>
        <family val="2"/>
      </rPr>
      <t>Mijlpalenbegroting'</t>
    </r>
    <r>
      <rPr>
        <sz val="9"/>
        <rFont val="Verdana"/>
        <family val="2"/>
      </rPr>
      <t xml:space="preserve"> in met investeringen en aansluitingen. </t>
    </r>
  </si>
  <si>
    <t xml:space="preserve">  Vul bij elke investering en aansluitingen in welke mijlpaal erbij hoort.</t>
  </si>
  <si>
    <t xml:space="preserve">  De subsidiehoogte wordt automatisch berekend als u de tabbladen 'Mijlpalenbegroting' en 'Mijlpalenplanning' compleet invult. </t>
  </si>
  <si>
    <r>
      <rPr>
        <b/>
        <sz val="9"/>
        <rFont val="Verdana"/>
        <family val="2"/>
      </rPr>
      <t>4. Exploitatieberekening:</t>
    </r>
    <r>
      <rPr>
        <sz val="9"/>
        <rFont val="Verdana"/>
        <family val="2"/>
      </rPr>
      <t xml:space="preserve"> In dit tabblad stelt u de exploitatieberekening op voor uw project.  </t>
    </r>
  </si>
  <si>
    <t xml:space="preserve">  U vult eerst alleen de inkomsten uit de aansluitingen in. De aansluitbijdragen worden namelijk gebruikt in het tabblad financiering.</t>
  </si>
  <si>
    <r>
      <t xml:space="preserve">  Bovenin het tabblad '</t>
    </r>
    <r>
      <rPr>
        <i/>
        <sz val="9"/>
        <rFont val="Verdana"/>
        <family val="2"/>
      </rPr>
      <t>Exploitatieberekening'</t>
    </r>
    <r>
      <rPr>
        <sz val="9"/>
        <rFont val="Verdana"/>
        <family val="2"/>
      </rPr>
      <t xml:space="preserve"> staat de fasering van de aansluitingen in een tabel. </t>
    </r>
  </si>
  <si>
    <r>
      <t xml:space="preserve">  Deze wordt automatisch ingevuld op basis van de </t>
    </r>
    <r>
      <rPr>
        <i/>
        <sz val="9"/>
        <rFont val="Verdana"/>
        <family val="2"/>
      </rPr>
      <t>'Mijlpalenbegroting'</t>
    </r>
    <r>
      <rPr>
        <sz val="9"/>
        <rFont val="Verdana"/>
        <family val="2"/>
      </rPr>
      <t xml:space="preserve"> en </t>
    </r>
    <r>
      <rPr>
        <i/>
        <sz val="9"/>
        <rFont val="Verdana"/>
        <family val="2"/>
      </rPr>
      <t>'Mijlpalenplanning'</t>
    </r>
    <r>
      <rPr>
        <sz val="9"/>
        <rFont val="Verdana"/>
        <family val="2"/>
      </rPr>
      <t xml:space="preserve">. </t>
    </r>
  </si>
  <si>
    <t xml:space="preserve">  Geef per rij op wat de verwachte inkomsten zijn. </t>
  </si>
  <si>
    <r>
      <rPr>
        <b/>
        <sz val="9"/>
        <rFont val="Verdana"/>
        <family val="2"/>
      </rPr>
      <t>5. Financiering</t>
    </r>
    <r>
      <rPr>
        <sz val="9"/>
        <rFont val="Verdana"/>
        <family val="2"/>
      </rPr>
      <t>: De gegevens uit het tabblad '</t>
    </r>
    <r>
      <rPr>
        <i/>
        <sz val="9"/>
        <rFont val="Verdana"/>
        <family val="2"/>
      </rPr>
      <t>Project</t>
    </r>
    <r>
      <rPr>
        <sz val="9"/>
        <rFont val="Verdana"/>
        <family val="2"/>
      </rPr>
      <t>' en '</t>
    </r>
    <r>
      <rPr>
        <i/>
        <sz val="9"/>
        <rFont val="Verdana"/>
        <family val="2"/>
      </rPr>
      <t>Mijlpalenbegroting'</t>
    </r>
    <r>
      <rPr>
        <sz val="9"/>
        <rFont val="Verdana"/>
        <family val="2"/>
      </rPr>
      <t xml:space="preserve"> ziet u in het blauwe deel bovenin deze sheet. Vul in de gele gedeelten in hoe u het</t>
    </r>
  </si>
  <si>
    <t>bedrag dat overblijft financiert.</t>
  </si>
  <si>
    <t xml:space="preserve">  In het tabblad 'Financiering' is nu te zien hoeveel eigen bijdrage er nog nodig is na aftrek van subsidie en aansluitbijdragen. </t>
  </si>
  <si>
    <t xml:space="preserve">  Vul het tabblad verder in.</t>
  </si>
  <si>
    <t>6. Exploitatieberekening</t>
  </si>
  <si>
    <t xml:space="preserve">  Vul de rest van de exploitatieberekening in. Er wordt gebruikgemaakt van de gegevens over investeringen en financiering van het project.</t>
  </si>
  <si>
    <t>Voor welke kosten krijgt u subsidie?</t>
  </si>
  <si>
    <t xml:space="preserve">1. U krijgt subsidie voor: </t>
  </si>
  <si>
    <t xml:space="preserve">   Investeringen in het warmtenet voor de levering van warmte aan kleinverbruikers in de bestaande bouw;</t>
  </si>
  <si>
    <t xml:space="preserve">   Investeringen in het warmtenet tot de gevel van een object met een blokaansluiting;</t>
  </si>
  <si>
    <t xml:space="preserve">   Investeringen in warmte-opslag in combinatie met de aanleg van het warmtenet.</t>
  </si>
  <si>
    <t>Bekijk voor een uitgebreidere uitleg de regelingstekst (artikel 4.10.4), ons model projectplan en de website.</t>
  </si>
  <si>
    <t>Voer alleen kosten op die:</t>
  </si>
  <si>
    <t>Voor eigen rekening komen van de entiteit waarmee u aanvraagt;</t>
  </si>
  <si>
    <t>Kosten die rechtstreeks te maken hebben met de realisatie van het investeringsproject;</t>
  </si>
  <si>
    <r>
      <rPr>
        <sz val="9"/>
        <color rgb="FF000000"/>
        <rFont val="Verdana"/>
        <family val="2"/>
      </rPr>
      <t xml:space="preserve">Kosten die u </t>
    </r>
    <r>
      <rPr>
        <u/>
        <sz val="9"/>
        <color rgb="FF000000"/>
        <rFont val="Verdana"/>
        <family val="2"/>
      </rPr>
      <t>activeert</t>
    </r>
    <r>
      <rPr>
        <sz val="9"/>
        <color rgb="FF000000"/>
        <rFont val="Verdana"/>
        <family val="2"/>
      </rPr>
      <t xml:space="preserve"> als investering in het warmtenet, bijvoorbeeld ontwerp, projectmanagement en het aanvragen van een vergunning.</t>
    </r>
  </si>
  <si>
    <t>Let op:</t>
  </si>
  <si>
    <t>Loonkosten kunt u opvoeren tegen € 65 per uur.</t>
  </si>
  <si>
    <t>U ontvangt alleen subsidie voor de kosten die u maakt tijdens de projectperiode van het project.</t>
  </si>
  <si>
    <r>
      <t>Welke investeringskosten krijgt u niet vergoed?</t>
    </r>
    <r>
      <rPr>
        <sz val="9"/>
        <color rgb="FF000000"/>
        <rFont val="Verdana"/>
        <family val="2"/>
      </rPr>
      <t> </t>
    </r>
    <r>
      <rPr>
        <b/>
        <sz val="9"/>
        <color rgb="FF000000"/>
        <rFont val="Verdana"/>
        <family val="2"/>
      </rPr>
      <t xml:space="preserve"> </t>
    </r>
  </si>
  <si>
    <t>Warmtenetten of onderdelen van het warmtenet uitsluitend voor nieuwbouw, de industrie, grootverbruikers utiliteit (&gt;100 kW) of glastuinbouw</t>
  </si>
  <si>
    <t>Warmtebron (inclusief piek-backupinstallatie)</t>
  </si>
  <si>
    <t>Warmtepomp</t>
  </si>
  <si>
    <t>Binnen-installatie(s)</t>
  </si>
  <si>
    <t xml:space="preserve">Verder vallen de volgende kosten niet onder de subsidie: </t>
  </si>
  <si>
    <t>Kosten voor onderdelen van het warmtenet die u alleen aanlegt voor nieuwbouw, grootverbruikersaansluitingen (groter dan 100 kW) of het leveren van proceswarmte;</t>
  </si>
  <si>
    <t>Kosten voor de administratie, projectcontroller en kostencalculaties;</t>
  </si>
  <si>
    <t>Kosten voor het werven van klanten/aansluitingen;</t>
  </si>
  <si>
    <t>Juridische kosten, zoals kosten voor het oplossen van geschillen, organisatiestructuur en financiering;</t>
  </si>
  <si>
    <t>Financieringskosten, zoals afsluitprovisie en uren die u maakt voor het krijgen van de financiering;</t>
  </si>
  <si>
    <t>Financieringslasten. Dit zijn rentekosten en risico-opslag;</t>
  </si>
  <si>
    <t>Kosten die u maakt voor omgevingsmanagement dat niet gericht is op de bouw van het warmtenet, zoals participatie en informatieavonden voor het krijgen van klanten;</t>
  </si>
  <si>
    <t>Kosten voor communicatie die niet gaat over de bouwwerkzaamheden;</t>
  </si>
  <si>
    <t>Kosten voor coördinatie voor Veiligheid, Welzijn, Gezondheid en Milieu (VGWM) die niet gericht is op de bouwplaats;  </t>
  </si>
  <si>
    <t>Kosten voor accountmanagement met stakeholders of aandeelhouders;</t>
  </si>
  <si>
    <t>Kosten voor algemene ondersteunende werkzaamheden, zoals secretariële ondersteuning;</t>
  </si>
  <si>
    <t>Loonkosten die vooraf niet ingeschat zijn;</t>
  </si>
  <si>
    <t>Kosten voor projectmanagement en het verspreiden van kennis;</t>
  </si>
  <si>
    <t>Kosten voor de warmtebron;</t>
  </si>
  <si>
    <t>Kosten voor warmtepomp(en);</t>
  </si>
  <si>
    <t>Kosten voor binneninstallatie(s) na de afleverset.</t>
  </si>
  <si>
    <t>Kosten achter de gevel bij een gebouw met een blokaansluiting, om het aan te sluiten op het warmtenet.</t>
  </si>
  <si>
    <t>Let op!</t>
  </si>
  <si>
    <t xml:space="preserve">Alle investeringskosten onderbouwt u per kostencategorie, met kostenramingen/kostenramingen en/of offertes. </t>
  </si>
  <si>
    <t xml:space="preserve">Een toelichting neemt u op in uw projectplan. Zorg dat dit aansluit met uw ontwerp. </t>
  </si>
  <si>
    <t>Btw</t>
  </si>
  <si>
    <r>
      <rPr>
        <sz val="9"/>
        <color rgb="FF000000"/>
        <rFont val="Verdana"/>
        <family val="2"/>
      </rPr>
      <t>Als u van de opgevoerde kosten de betaalde btw kunt aftrekken of terugvorderen van de fiscus, dan valt de btw</t>
    </r>
    <r>
      <rPr>
        <b/>
        <sz val="9"/>
        <color rgb="FF000000"/>
        <rFont val="Verdana"/>
        <family val="2"/>
      </rPr>
      <t xml:space="preserve"> niet</t>
    </r>
    <r>
      <rPr>
        <sz val="9"/>
        <color rgb="FF000000"/>
        <rFont val="Verdana"/>
        <family val="2"/>
      </rPr>
      <t xml:space="preserve"> onder subsidie.</t>
    </r>
  </si>
  <si>
    <r>
      <rPr>
        <sz val="9"/>
        <color rgb="FF000000"/>
        <rFont val="Verdana"/>
        <family val="2"/>
      </rPr>
      <t>Kunt u de btw niet aftrekken bij de fiscus, dan mag u de kosten inclusief betaalde btw opvoeren. De btw valt dan</t>
    </r>
    <r>
      <rPr>
        <b/>
        <sz val="9"/>
        <color rgb="FF000000"/>
        <rFont val="Verdana"/>
        <family val="2"/>
      </rPr>
      <t xml:space="preserve"> we</t>
    </r>
    <r>
      <rPr>
        <sz val="9"/>
        <color rgb="FF000000"/>
        <rFont val="Verdana"/>
        <family val="2"/>
      </rPr>
      <t xml:space="preserve">l onder subsidie. </t>
    </r>
  </si>
  <si>
    <t xml:space="preserve">U moet in de begroting achter het kopje btw expliciet aangeven hoe u de kosten opvoert (door het </t>
  </si>
  <si>
    <t>juiste antwoord te selecteren), zodat hier geen misverstand over kan ontstaan.</t>
  </si>
  <si>
    <t>Eigen bijdrage financiering</t>
  </si>
  <si>
    <t>U geeft in het projectplan aan hoe u de eigen bijdrage gaat financieren. Voor onderbouwing van de financiering stuurt u</t>
  </si>
  <si>
    <t>bewijsstukken op, zoals een recente jaarrekening of een investeringsovereenkomst. Zie ook het tabblad financiering.</t>
  </si>
  <si>
    <t>Zie ook de Subsidiespelregels EZK.</t>
  </si>
  <si>
    <r>
      <t>Op het tabblad ‘</t>
    </r>
    <r>
      <rPr>
        <i/>
        <sz val="9"/>
        <rFont val="Verdana"/>
        <family val="2"/>
      </rPr>
      <t>Financiering</t>
    </r>
    <r>
      <rPr>
        <sz val="9"/>
        <rFont val="Verdana"/>
        <family val="2"/>
      </rPr>
      <t>’ vult u de complete financiering van uw project in. Dit onderbouwt u in het projectplan en door de bijlagen die u aanlevert.</t>
    </r>
  </si>
  <si>
    <t>Meer informatie</t>
  </si>
  <si>
    <t>Praktische informatie over de regeling vindt u op:</t>
  </si>
  <si>
    <t>RVO</t>
  </si>
  <si>
    <t>www.rvo.nl/wis</t>
  </si>
  <si>
    <t>Algemene Groepsvrijstellingsverordering:</t>
  </si>
  <si>
    <t>CL2014R0651NL0060010.0001.3bi_cp 1..1 (europa.eu)</t>
  </si>
  <si>
    <t xml:space="preserve">Kaderwet </t>
  </si>
  <si>
    <t>wetten.nl - Regeling - Kaderwet nationale EZK- en LNV-subsidies - BWBR0007919</t>
  </si>
  <si>
    <t>Kaderbesluit</t>
  </si>
  <si>
    <t>wetten.nl - Regeling - Kaderbesluit nationale EZK- en LNV-subsidies - BWBR0024796 (overheid.nl)</t>
  </si>
  <si>
    <t>eerste publicatie</t>
  </si>
  <si>
    <t>https://zoek.officielebekendmakingen.nl/stcrt-2023-11052.pdf</t>
  </si>
  <si>
    <t>tweede publicatie</t>
  </si>
  <si>
    <t>https://www.officielebekendmakingen.nl/stcrt-2024-17344.html</t>
  </si>
  <si>
    <t>derde publicatie</t>
  </si>
  <si>
    <t>Staatscourant 2025, 18366 | Overheid.nl &gt; Officiële bekendmakingen</t>
  </si>
  <si>
    <t>Toelichting tabblad 'Mijlpalenbegroting'</t>
  </si>
  <si>
    <t>Warmtenetten Investerings Subsidie (WIS)</t>
  </si>
  <si>
    <t>Algemeen</t>
  </si>
  <si>
    <r>
      <t>U vult het tabblad '</t>
    </r>
    <r>
      <rPr>
        <i/>
        <sz val="9"/>
        <color rgb="FF000000"/>
        <rFont val="Verdana"/>
        <family val="2"/>
      </rPr>
      <t>Mijlpalenbegroting</t>
    </r>
    <r>
      <rPr>
        <sz val="9"/>
        <color rgb="FF000000"/>
        <rFont val="Verdana"/>
        <family val="2"/>
      </rPr>
      <t>' in als u subsidie aanvraagt voor de Warmtenetten Investeringssubsidie (WIS).</t>
    </r>
  </si>
  <si>
    <t>De subsidie gaat over de kosten van het warmtenet vanaf de bron (dus exclusief de kosten van de bron zelf) tot en met de afleverset voor kleinverbruikersaansluitingen.</t>
  </si>
  <si>
    <t>Voor blokaansluitingen gaat het over de kosten van het warmtenet tot de gevel van het object met blokaansluiting.</t>
  </si>
  <si>
    <t>Uw maximale subsidie is 30% van de investeringskosten waarvoor u subsidie kunt krijgen (voor grote ondernemingen). Voor kleine ondernemingen geldt een maximum van 50%,</t>
  </si>
  <si>
    <t>voor middelgrote ondernemingen 40%. Daarbij maximale hoogtes van:</t>
  </si>
  <si>
    <t>• € 7.000 per kleinverbruikersaansluiting voor investeringen in het wijkdistributienet, dit is het totaal van onderstations, secundaire netten en aansluitingen;</t>
  </si>
  <si>
    <t>• € 4.000 per kleinverbruikersaansluiting voor investeringen in primaire netten en thermische opslag.</t>
  </si>
  <si>
    <t>Het gaat hierbij om het aantal kleinverbruikersaansluitingen in de bestaande bouw die u realiseert in uw project.</t>
  </si>
  <si>
    <t xml:space="preserve">De grens die u als eerste bereikt (30%/40%/50% of de maximumhoogte van € 7.000 of € 4.000) is van toepassing. </t>
  </si>
  <si>
    <t>Wij beoordelen de gegevens die u opgaf en bepalen op basis daarvan hoeveel WIS-subsidie u ontvangt.</t>
  </si>
  <si>
    <t xml:space="preserve">Overige subsidies voor het warmtenet kunnen wij aftrekken van uw WIS-subsidie. </t>
  </si>
  <si>
    <r>
      <t>Onderaan de verschillende tabellen op het tabblad '</t>
    </r>
    <r>
      <rPr>
        <i/>
        <sz val="9"/>
        <color rgb="FF000000"/>
        <rFont val="Verdana"/>
        <family val="2"/>
      </rPr>
      <t>Mijlpalenbegroting</t>
    </r>
    <r>
      <rPr>
        <sz val="9"/>
        <color rgb="FF000000"/>
        <rFont val="Verdana"/>
        <family val="2"/>
      </rPr>
      <t xml:space="preserve">' worden de ingevoerde gegevens vergeleken met de standaardwaarden uit de </t>
    </r>
  </si>
  <si>
    <r>
      <t>regelingstekst. Als deze afwijken, verschijnt een opmerking in het tabblad '</t>
    </r>
    <r>
      <rPr>
        <i/>
        <sz val="9"/>
        <rFont val="Verdana"/>
        <family val="2"/>
      </rPr>
      <t>Mijlpalenbegroting</t>
    </r>
    <r>
      <rPr>
        <sz val="9"/>
        <rFont val="Verdana"/>
        <family val="2"/>
      </rPr>
      <t xml:space="preserve">' bij de betreffende tabel. Het gaat om afwijkingen van gemiddelde kosten. </t>
    </r>
  </si>
  <si>
    <t xml:space="preserve">U moet dan de waarden die afwijken van de standaardwaarde onderbouwen in het projectplan. De standaardwaarden die in het tabblad begroting worden gebruikt </t>
  </si>
  <si>
    <t>staan hieronder:</t>
  </si>
  <si>
    <t>Primaire warmtenet</t>
  </si>
  <si>
    <t>per strekkende km</t>
  </si>
  <si>
    <t>Secundaire warmtenet</t>
  </si>
  <si>
    <t>Overdrachtstation</t>
  </si>
  <si>
    <t>per stuk</t>
  </si>
  <si>
    <t>Grondgebonden aansluiting</t>
  </si>
  <si>
    <t>per aansluiting</t>
  </si>
  <si>
    <t>Aansluiting in de gestapelde bouw</t>
  </si>
  <si>
    <t>per aansluiting </t>
  </si>
  <si>
    <t>Investering afleverset</t>
  </si>
  <si>
    <r>
      <t xml:space="preserve">Vul bij </t>
    </r>
    <r>
      <rPr>
        <b/>
        <sz val="9"/>
        <rFont val="Verdana"/>
        <family val="2"/>
      </rPr>
      <t>alle</t>
    </r>
    <r>
      <rPr>
        <sz val="9"/>
        <rFont val="Verdana"/>
        <family val="2"/>
      </rPr>
      <t xml:space="preserve"> posten in de begroting het nummer van de mijlpaal in waarvoor u de kosten maakt. Deze informatie wordt bijvoorbeeld gebruikt</t>
    </r>
  </si>
  <si>
    <r>
      <t>in de exploitatieberekening. De start- en einddatum van de mijlpaal geeft u op in het tabblad '</t>
    </r>
    <r>
      <rPr>
        <i/>
        <sz val="9"/>
        <rFont val="Verdana"/>
        <family val="2"/>
      </rPr>
      <t>mijlpalenplanning'</t>
    </r>
    <r>
      <rPr>
        <sz val="9"/>
        <rFont val="Verdana"/>
        <family val="2"/>
      </rPr>
      <t xml:space="preserve">. </t>
    </r>
  </si>
  <si>
    <t>Alle kosten onderbouwt u per kostencategorie, met kostenramingen en/of offertes. Deze onderbouwing moet aansluiten op de bedragen in kolom G van de begroting.</t>
  </si>
  <si>
    <t xml:space="preserve">Een toelichting neemt u op in uw projectplan. </t>
  </si>
  <si>
    <t xml:space="preserve">Loonkosten </t>
  </si>
  <si>
    <t>Onder loonkosten neemt u de kosten op van medewerkers die in dienst zijn van de onderneming die investeert in het warmtenet. Huurt u iemand in dan neemt u die kosten</t>
  </si>
  <si>
    <t>niet hier op, maar onder 'aan derden verschuldigde kosten'.</t>
  </si>
  <si>
    <r>
      <t xml:space="preserve">Voor loonkosten rekenen we met een </t>
    </r>
    <r>
      <rPr>
        <b/>
        <sz val="9"/>
        <rFont val="Verdana"/>
        <family val="2"/>
      </rPr>
      <t xml:space="preserve">vast uurtarief van € 65 per uur. </t>
    </r>
  </si>
  <si>
    <t xml:space="preserve">In verband met het bepalen van de maximum subsidie dient u de uren te verdelen over wijkdistributienetten enerzijds en primaire netten plus thermische opslag anderzijds. </t>
  </si>
  <si>
    <t>Loonkosten die u niet activeert en rechtstreeks in de winst- en verliesrekening verantwoordt vallen</t>
  </si>
  <si>
    <t xml:space="preserve">niet onder de subsidie, omdat het geen investeringskosten zijn. </t>
  </si>
  <si>
    <t xml:space="preserve">Voor meer informatie: </t>
  </si>
  <si>
    <t>Subsidiespelregels ministerie van Economische Zaken en Klimaat | RVO.nl</t>
  </si>
  <si>
    <t>Investering in primaire netten</t>
  </si>
  <si>
    <t xml:space="preserve">Het primaire net is het stelsel van leidingen tussen de bron en het secundaire net óf, in geval van een warmtetransportleiding, tussen de warmtretransportleiding </t>
  </si>
  <si>
    <t xml:space="preserve">en het secundaire net. Bij de investeringen in deze categorie neemt u alle kosten voor de realisatie van dit netdeel mee in deze kostencomponent. </t>
  </si>
  <si>
    <t>Investering in thermische opslag</t>
  </si>
  <si>
    <t>Het gaat hier om investeringen in opslagsystemen voor warmte. Het moet gaan om bewezen technieken. De opslag moet warmte leveren aan</t>
  </si>
  <si>
    <t>het te realiseren wijkdistributienet.</t>
  </si>
  <si>
    <t>Investeringen in overdrachtstations</t>
  </si>
  <si>
    <t xml:space="preserve">Een overdrachtstation is een installatie met of zonder warmtewisselaar die warmte overdraagt van het ene netdeel naar het volgende. Meestal is dit een </t>
  </si>
  <si>
    <t xml:space="preserve">overdrachtstation tussen primair en secundair net. </t>
  </si>
  <si>
    <t>Als er in een overdrachtstation ook installaties zijn voor piek-backup of voor temperatuurverhoging (centrale warmtepomp) dan krijg u voor deze installaties geen subsidie.</t>
  </si>
  <si>
    <t>Investeringen in secundaire netten</t>
  </si>
  <si>
    <t>Het stelsel van leidingen dat het transport van warmte verzorgt vanaf de overdrachtstations tot de aansluiting.</t>
  </si>
  <si>
    <t>Investeringen in aansluitingen</t>
  </si>
  <si>
    <t>U vult hier de investeringen in aansluitingen in. Het gaat hier om een combinatie van:</t>
  </si>
  <si>
    <t>• Aansluitleidingen (de leidingen vanaf het secundaire net in de straat tot aan de afleverset in het gebouw);</t>
  </si>
  <si>
    <t>• Individuele afleverset.</t>
  </si>
  <si>
    <r>
      <rPr>
        <sz val="9"/>
        <color rgb="FF000000"/>
        <rFont val="Verdana"/>
        <family val="2"/>
      </rPr>
      <t>Door de aansluitingen te koppelen aan een mijlpaal, en de datum van de mijlpaal op te geven in het tabblad '</t>
    </r>
    <r>
      <rPr>
        <i/>
        <sz val="9"/>
        <color rgb="FF000000"/>
        <rFont val="Verdana"/>
        <family val="2"/>
      </rPr>
      <t>Mijlpalenplanning</t>
    </r>
    <r>
      <rPr>
        <sz val="9"/>
        <color rgb="FF000000"/>
        <rFont val="Verdana"/>
        <family val="2"/>
      </rPr>
      <t>', geeft u ook aan wannéér u de aansluitingen</t>
    </r>
  </si>
  <si>
    <t>realiseert.</t>
  </si>
  <si>
    <t>Aan derden verschuldigde kosten</t>
  </si>
  <si>
    <t xml:space="preserve">Onder kosten derden vallen de directe projectkosten, waarvoor u facturen van anderen ontvangt en in uw administratie bewaart. </t>
  </si>
  <si>
    <t xml:space="preserve">Het kan bijvoorbeeld gaan om kosten voor uitbesteding van een deel van het project, om kosten van het inhuren van personeel of om kosten van materialen en diensten </t>
  </si>
  <si>
    <t>die zijn geleverd voor het project.</t>
  </si>
  <si>
    <t>Het gaat hier om kosten buiten de investeringen in het fysieke warmtenet. U neemt deze op in de hierboven genoemde kostencomponenten.</t>
  </si>
  <si>
    <t xml:space="preserve">In verband met het bepalen van de maxima moet u de kosten derden verdelen over wijkdistributienetten enerzijds en primaire netten plus thermische opslag anderzijds. </t>
  </si>
  <si>
    <t>Kosten die u niet activeert en rechtstreeks in de winst- en verliesrekening verantwoordt vallen</t>
  </si>
  <si>
    <t>Toelichting: opvoeren van kosten voor gronden en gebouwen</t>
  </si>
  <si>
    <t xml:space="preserve">Terreinen of gebouwen waarvan de verwerving (of anderszins in gebruik verkrijging) noodzakelijk is voor de realisatie van het project voert u op bij de verschillende </t>
  </si>
  <si>
    <t>kostencategorieën, bijvoorbeeld bij een investering in een overdrachtstation. Laat dit zien met aparte regels in de begroting van de kostencomponenten.</t>
  </si>
  <si>
    <t>Met 'anderszins in gebruik verkregen' bedoelen wij bijvoorbeeld huur, erfpacht, recht van opstal of lease van gronden of gebouwen.</t>
  </si>
  <si>
    <t>Deze kosten neemt u op in de begroting onder 'aan derden verschuldigde kosten'.</t>
  </si>
  <si>
    <t>Let op: bij huur of lease krijgt u alleen subsidie voor het bedrag tijdens de projectduur. U moet wel duidelijk laten zien dat het niet om een tijdelijke locatie gaat,</t>
  </si>
  <si>
    <t xml:space="preserve">omdat investeringssteun bedoeld is voor investeringen die ook na het project blijven bestaan. U moet de kosten kunnen activeren op uw balans. </t>
  </si>
  <si>
    <t>Verstrekte of ontvangen steun/subsidie</t>
  </si>
  <si>
    <t>We spreken van cumulatie of stapeling van subsidies wanneer voor dezelfde investeringskosten subsidie wordt ontvangen uit twee verschillende regelingen of andere</t>
  </si>
  <si>
    <t>overheidsfondsen, zoals die van een provincie gemeente of andere overheid.</t>
  </si>
  <si>
    <t xml:space="preserve">Het beoordelen van deze subsidie vraagt maatwerk per project. Geef bij uw subsidieaanvraag aan welke andere subsidies u ontvangt of verwacht te ontvangen. </t>
  </si>
  <si>
    <r>
      <t>Geef dit aan in het tabblad ‘</t>
    </r>
    <r>
      <rPr>
        <i/>
        <sz val="9"/>
        <rFont val="Verdana"/>
        <family val="2"/>
      </rPr>
      <t>Mijlpalenbegroting</t>
    </r>
    <r>
      <rPr>
        <sz val="9"/>
        <rFont val="Verdana"/>
        <family val="2"/>
      </rPr>
      <t xml:space="preserve">’. </t>
    </r>
  </si>
  <si>
    <t>Verschillende situaties kunnen leiden tot cummulatie. Ontvangt u een garantie of lening van een overheid? Ook dit kan cumulatie zijn. Verstrek deze gegevens aan RVO.</t>
  </si>
  <si>
    <t xml:space="preserve">U kunt de Energie-investeringsaftrek (EIA) combineren met de WIS. De EIA is een belastingvoordeel en geen subsidie. </t>
  </si>
  <si>
    <t xml:space="preserve">De EIA kan wel effect hebben op de hoogte van de WIS-subsidie bij de vaststelling van de definitieve hoogte na afloop van het project. Het belastingvoordeel zorgt namelijk voor een </t>
  </si>
  <si>
    <t xml:space="preserve">lagere netto investering. De EIA wordt (bijna) altijd later aangevraagd dan de WIS. Daarom houden we bij verlening van de WIS geen rekening met een eventuele EIA-aanvraag. </t>
  </si>
  <si>
    <t xml:space="preserve">Bij de EIA-aanvraag brengen we alleen definitief vastgestelde subsidies in mindering op het investeringsbedrag. </t>
  </si>
  <si>
    <t xml:space="preserve">Omdat het EIA-voordeel wel de investeringskosten van een investeringsproject verlaagt, brengt u het ontvangen EIA-voordeel bij de vaststelling van de WIS in mindering </t>
  </si>
  <si>
    <t xml:space="preserve">op de kosten die onder subsidie vallen. Het gaat over het EIA-voordeel dat u tot en met de einddatum van het project krijgt. </t>
  </si>
  <si>
    <t xml:space="preserve">De SDE++ subsidie kan samengaan met een bijdrage uit de WIS. Het aanvragen van SDE++ subsidie heeft geen gevolgen voor de hoogte van de WIS. </t>
  </si>
  <si>
    <t xml:space="preserve">De WIS kan in sommige gevallen wel gevolgen hebben voor de SDE++ subsidie. Een jaar na ingebruikname van de installatie wordt in het kader van de SDE++ beschikking </t>
  </si>
  <si>
    <t xml:space="preserve">een zogenaamde MSK-toets uitgevoerd. Daarmee wordt nagegaan hoeveel steunruimte er is, dat wil zeggen: hoeveel steun het project op basis van Europese regelgeving </t>
  </si>
  <si>
    <t xml:space="preserve">maximaal mag ontvangen. Wordt er teveel steun verleend, dan zal de SDE++ dat verrekenen door dit in mindering te brengen op het bedrag dat </t>
  </si>
  <si>
    <t xml:space="preserve">de subsidieaanvrager op grond van de SDE++ heeft aangevraagd of toegekend heeft gekregen. </t>
  </si>
  <si>
    <t>Projectinformatie</t>
  </si>
  <si>
    <t>Projectnummer:</t>
  </si>
  <si>
    <t>[Dit veld vult RVO in]</t>
  </si>
  <si>
    <t>Thema:</t>
  </si>
  <si>
    <t>Titel van het project:</t>
  </si>
  <si>
    <t xml:space="preserve">De startdatum is de datum waarop u start met uw investeringsproject. U mag geen kosten maken voor de startdatum. </t>
  </si>
  <si>
    <t>Ook mag de startdatum niet liggen voor de datum van indiening. De start- en einddatum moeten hetzelfde zijn als op uw aanvraagformulier</t>
  </si>
  <si>
    <t>Startdatum project:</t>
  </si>
  <si>
    <t>Einddatum project:</t>
  </si>
  <si>
    <t>Looptijd van het project:</t>
  </si>
  <si>
    <t>jaar</t>
  </si>
  <si>
    <t>Organisatienaam</t>
  </si>
  <si>
    <t xml:space="preserve">Type organisatie </t>
  </si>
  <si>
    <t>Aanvrager</t>
  </si>
  <si>
    <t>&lt;maak een keuze&gt;</t>
  </si>
  <si>
    <t>Temperatuur warmtelevering:</t>
  </si>
  <si>
    <t>Model Mijlpalenbegroting Warmtenetten Investerings Subsidie (WIS)</t>
  </si>
  <si>
    <t>Gegevens aanvrager</t>
  </si>
  <si>
    <t>Naam aanvrager</t>
  </si>
  <si>
    <t>Titel project</t>
  </si>
  <si>
    <t>btw</t>
  </si>
  <si>
    <t>Gebruikte loonsystematiek</t>
  </si>
  <si>
    <t>Type project</t>
  </si>
  <si>
    <t>Onderdeel A: Totale Investeringskosten</t>
  </si>
  <si>
    <t>Zorg ervoor dat de codering in de kolom 'segment VO' hetzelfde is als de codering op uw ontwerp. Zorg dat de bedragen in kolom G hetzelfde zijn als de kostenraming/kostencalculaties en/of offertes bij uw aanvraag</t>
  </si>
  <si>
    <t>Mijlpaal</t>
  </si>
  <si>
    <t>Segment in voorlopig ontwerp</t>
  </si>
  <si>
    <t>Lengte (in kilometers)</t>
  </si>
  <si>
    <t>Beschrijving investering primair net</t>
  </si>
  <si>
    <t>Investering (€)</t>
  </si>
  <si>
    <t>t.b.v. type afnemer</t>
  </si>
  <si>
    <t>Niet-subsidiabele investering (€)</t>
  </si>
  <si>
    <t>Subsidiabele investering (€)</t>
  </si>
  <si>
    <t>Totaal</t>
  </si>
  <si>
    <t>Gemiddeld subsidiabel</t>
  </si>
  <si>
    <t>per kilometer</t>
  </si>
  <si>
    <t>Beschrijving investering thermische opslag</t>
  </si>
  <si>
    <t>Investeringen in warmteoverdrachtstations</t>
  </si>
  <si>
    <t>Aantal Overdracht-stations</t>
  </si>
  <si>
    <t>Beschrijving investering overdrachtstation</t>
  </si>
  <si>
    <t>per onderstation</t>
  </si>
  <si>
    <t>Beschrijving investering secundair net</t>
  </si>
  <si>
    <t>Aantal aansluitingen</t>
  </si>
  <si>
    <t>Beschrijving aansluitingen</t>
  </si>
  <si>
    <t>Kosten per aansluiting (€)</t>
  </si>
  <si>
    <t>Kosten afleverset per stuk (€)</t>
  </si>
  <si>
    <t>Aan te sluiten gebouw</t>
  </si>
  <si>
    <t xml:space="preserve"> </t>
  </si>
  <si>
    <t>Aantal</t>
  </si>
  <si>
    <t>totaal afleversets</t>
  </si>
  <si>
    <t>gemiddeld subsidiabel</t>
  </si>
  <si>
    <t>Loonkosten</t>
  </si>
  <si>
    <t>U voert alleen loonkosten op die u activeert op de balans en betrekking hebben op het subsidiabele deel van het investeringsproject. Niet-subsidiabele loonkosten kunnen worden opgevoerd bij overige kosten in tabblad 'Exploitatieberekening'.</t>
  </si>
  <si>
    <t>Ten behoeve van wijkdistributienet (secundaire netten, aansluitingen en warmteoverdrachtstations)</t>
  </si>
  <si>
    <t>Functie</t>
  </si>
  <si>
    <t>Toelichting</t>
  </si>
  <si>
    <t xml:space="preserve">Uurtarief (€) </t>
  </si>
  <si>
    <t>Aantal begrote uren</t>
  </si>
  <si>
    <t>Subsidiabele kosten (€)</t>
  </si>
  <si>
    <t>Subtotaal</t>
  </si>
  <si>
    <t>Ten behoeve van het primaire net en thermische opslag</t>
  </si>
  <si>
    <t>Totaal loonkosten</t>
  </si>
  <si>
    <t>U voert alleen kosten derden op die u activeert op de balans en betrekking hebben op het subsidiabele deel van het investeringsproject. Niet-subsidiabele kosten derden kunnen worden opgevoerd bij overige kosten in tabblad 'Exploitatieberekening'.</t>
  </si>
  <si>
    <t>Handelsnaam derde</t>
  </si>
  <si>
    <t>Omschrijving kosten</t>
  </si>
  <si>
    <t>Totaal kosten derden</t>
  </si>
  <si>
    <t>Niet-subsidiabel</t>
  </si>
  <si>
    <t>Subsidiabel</t>
  </si>
  <si>
    <t>Totale kosten en investeringen</t>
  </si>
  <si>
    <t>Onderdeel B: Verstrekte of ontvangen steun / subsidie</t>
  </si>
  <si>
    <t>Beschrijving van de subsidie of steun die u eerder ontving</t>
  </si>
  <si>
    <t>Ontvangen steun (€)</t>
  </si>
  <si>
    <t>Totaal verstrekte of ontvangen steun en subsidies</t>
  </si>
  <si>
    <t xml:space="preserve">Onderdeel C: Berekening maximale WIS subsidie </t>
  </si>
  <si>
    <t>A. De totale subsidiabele investeringen</t>
  </si>
  <si>
    <t>Waarvan investeringen in wijkdistributienetten (secundaire netten, aansluitingen en warmteoverdrachtstations)</t>
  </si>
  <si>
    <t>Waarvan investeringen in primaire warmtenetten en thermische opslag</t>
  </si>
  <si>
    <t>B. Verstrekte of ontvangen steun/ subsidie</t>
  </si>
  <si>
    <t>Maximale subsidie wijkdistributienet op basis van subsidiepercentage</t>
  </si>
  <si>
    <t>Percentage</t>
  </si>
  <si>
    <t>Maximale subsidie wijkdistributienet op basis van 'cap'</t>
  </si>
  <si>
    <t>Cap</t>
  </si>
  <si>
    <t>per bestaande kleinverbruiker</t>
  </si>
  <si>
    <t>Maximale subsidie wijkdistributienetten</t>
  </si>
  <si>
    <t>Maximale subsidie primaire warmtenet en thermische opslag subsidiepercentage</t>
  </si>
  <si>
    <t>Maximale subsidieprimaire warmtenet en thermische opslag op basis van 'cap'</t>
  </si>
  <si>
    <t>Maximale subsidie primair net en thermische opslag</t>
  </si>
  <si>
    <t>WIS Subsidieplafond per project</t>
  </si>
  <si>
    <t>C. Berekende maximale WIS subsidie</t>
  </si>
  <si>
    <t>Gevraagde WIS subsidie</t>
  </si>
  <si>
    <t>Percentage van subsidiabele investering</t>
  </si>
  <si>
    <t>Onderdeel D: Financiering van het project</t>
  </si>
  <si>
    <t>A. Totale investeringskosten</t>
  </si>
  <si>
    <t>B. Verstrekte of ontvangen overige steun/subsidie</t>
  </si>
  <si>
    <t>Nog te financieren</t>
  </si>
  <si>
    <t>Ruimte voor toelichting onderdeel A t/m D</t>
  </si>
  <si>
    <t>Mijlpalenplanning</t>
  </si>
  <si>
    <t>Toelichting mijlpalenplanning</t>
  </si>
  <si>
    <r>
      <t>De bedragen in deze mijlpalenplanning worden vanzelf ingevuld als u op het tabblad '</t>
    </r>
    <r>
      <rPr>
        <i/>
        <sz val="9"/>
        <color rgb="FF000000"/>
        <rFont val="Verdana"/>
        <family val="2"/>
      </rPr>
      <t>Mijlpalenbegroting'</t>
    </r>
    <r>
      <rPr>
        <sz val="9"/>
        <color rgb="FF000000"/>
        <rFont val="Verdana"/>
        <family val="2"/>
      </rPr>
      <t xml:space="preserve"> per kostenpost aangeeft bij welke mijlpaal deze hoort.  Vul per mijlpaal de startdatum, einddatum, de naam en een omschrijving van de mijlpaal in.
De mijlpalenplanning bevat in ieder geval drie verplichte mijlpalen. 
Mijlpaal 1 is het investeringsbesluit, 
mijlpaal 2 is het financieringsbesluit en 
mijlpaal 3 is opdrachtverstrekking. 
Als het investerings- en financieringsbesluit op hetzelfde moment worden genomen, dan mogen mijlpaal 1 en 2 worden samengevoegd. De naam van een mijlpaal geeft het resultaat dat bereikt wordt, bijvoorbeeld dat een investeringsbesluit is genomen, dat een deel van het warmtenet is gerealiseerd of dat een aantal aansluitingen zijn gemaakt. De startdatum geeft aan wanneer u begint met het maken van kosten om dit resultaat te halen. De einddatum geeft aan wanneer u verwacht het resultaat te bereiken. In het veld voor extra toelichting per mijlpaal geeft u informatie over het te behalen resultaat. In het projectplan vult u in welke activiteiten u uitvoert per mijlpaal en wanneer de mijlpaal bereikt is. Dit moet overeenkomen met dit overzicht. Het aantal mijlpalen staat niet vast en de start- en einddatum hoeven niet gelijk te lopen met de kwartalen van een jaar. 
Belangrijk
Wij controleren de resultaten die u beschrijft in uw mijlpalenplanning. Wij betalen de voorschotten van de subsidie uit op basis hiervan. Als u de resultaten niet haalt kan dit gevolgen hebben voor uw voorschotten. Wij kunnen het uitbetalen van uw voorschotten stoppen. Zorg er dus voor dat uw planning realistisch is en dat wij uw mijlpalen kunnen meten. Dit is ook belangrijk voor de fase na de subsidie toekenning. Als de uitvoering hiervan afwijkt moet u hiervoor nieuwe planningen en begrotingen aanleveren.</t>
    </r>
  </si>
  <si>
    <t>Overzicht mijlpalen</t>
  </si>
  <si>
    <t>Subsidiabele investeringen</t>
  </si>
  <si>
    <t>Niet-subsidiabele investeringen</t>
  </si>
  <si>
    <t>Inschatting WIS subsidie</t>
  </si>
  <si>
    <t>Startdatum mijlpaal</t>
  </si>
  <si>
    <t>Einddatum mijlpaal</t>
  </si>
  <si>
    <t>Overzicht kosten en aansluitingen</t>
  </si>
  <si>
    <t>Samenvatting investeringen en aansluitingen</t>
  </si>
  <si>
    <t>Subsidiabele investeringskosten</t>
  </si>
  <si>
    <t>Niet-subsidiabele investeringskosten</t>
  </si>
  <si>
    <t>Aansluitingen</t>
  </si>
  <si>
    <t>Voor details zie tabblad 'Exploitatieberekening'</t>
  </si>
  <si>
    <t>Resultaat mijlpalen</t>
  </si>
  <si>
    <t>Beschrijf hieronder kort per mijlpaal welk resultaat u wilt behalen:</t>
  </si>
  <si>
    <t>Mijlpaal 1</t>
  </si>
  <si>
    <t>Investeringsbesluit</t>
  </si>
  <si>
    <t xml:space="preserve">Geef hier een beschrijving van het resultaat </t>
  </si>
  <si>
    <t>Mijlpaal 2</t>
  </si>
  <si>
    <t>Financieringsbesluit</t>
  </si>
  <si>
    <t>Geef hier een beschrijving van het resultaat</t>
  </si>
  <si>
    <t>Mijlpaal 3</t>
  </si>
  <si>
    <t>Opdrachtverstrekking</t>
  </si>
  <si>
    <t>Mijlpaal 4</t>
  </si>
  <si>
    <t>Naam mijlpaal: bijvoorbeeld realisatie fase I van het warmtenet cf. het ontwerp of realisatie aantal aansluitingen</t>
  </si>
  <si>
    <t>Mijlpaal 5</t>
  </si>
  <si>
    <t>Naam mijlpaal: Bijvoorbeeld realisatie particuliere aansluiting</t>
  </si>
  <si>
    <t>etc.</t>
  </si>
  <si>
    <t>Mijlpaal 6</t>
  </si>
  <si>
    <t>Naam mijlpaal: …...</t>
  </si>
  <si>
    <t>Mijlpaal 7</t>
  </si>
  <si>
    <t>Mijlpaal 8</t>
  </si>
  <si>
    <t>Mijlpaal 9</t>
  </si>
  <si>
    <t>Mijlpaal 10</t>
  </si>
  <si>
    <t>Mijlpaal 11</t>
  </si>
  <si>
    <t>Naam mijlpaal: …..</t>
  </si>
  <si>
    <t>Mijlpaal 12</t>
  </si>
  <si>
    <t>Mijlpaal 13</t>
  </si>
  <si>
    <t>Mijlpaal 14</t>
  </si>
  <si>
    <t>Mijlpaal 15</t>
  </si>
  <si>
    <t>Ruimte voor toelichting</t>
  </si>
  <si>
    <t>totaal</t>
  </si>
  <si>
    <t>Financiering</t>
  </si>
  <si>
    <t>Projectoverzicht</t>
  </si>
  <si>
    <t>Te ontvangen eenmalige aansluitbijdragen</t>
  </si>
  <si>
    <t>Te financieren bedrag</t>
  </si>
  <si>
    <t>Toelichting financiering</t>
  </si>
  <si>
    <r>
      <t>U geeft in het financieringsoverzicht aan hoe u de eigen bijdrage gaat financieren en onderbouwt dit in het projectplan. Voor onderbouwing van de financiering stuurt u bewijsstukken op, zoals een recente jaarrekening of een investeringsovereenkomst. Voor de financiering wordt naar de volledige investering gekeken. De eenmalige aansluitbijdragen worden overgenomen uit het tabblad '</t>
    </r>
    <r>
      <rPr>
        <i/>
        <sz val="9"/>
        <rFont val="Verdana"/>
        <family val="2"/>
      </rPr>
      <t>Exploitatieberekening</t>
    </r>
    <r>
      <rPr>
        <sz val="9"/>
        <rFont val="Verdana"/>
        <family val="2"/>
      </rPr>
      <t>'. Vul dit tabblad dus in nadat u de mijlpalenbegroting volledig heeft ingevuld, en de opbrengsten heeft ingevuld in de exploitatieberekening. 
U financiert de eigen bijdrage met bijvoorbeeld:
1. Eigen middelen/ eigen vermogen: u heeft voldoende financiële middelen en/of inkomsten om het project te financieren. Aantoonbaar door onder andere een bankafschrift of jaarrekening. Geef ook aan in welk jaar u het eigen vermogen inbrengt in het project;
2. Lening en/of investering: u heeft definitieve toezeggingen van lening en/of investering waarmee het project kan worden gefinancierd. Aantoonbaar door een bankverklaring of een verklaring van iemand die u geld leent of samen met u investeert in het project;      
3. Subsidieverstrekkingen van andere bestuursorganen zoals gemeenten, provincies of de Europese commissie. Aantoonbaar door een beslissing op betreffende subsidieaanvraag. Heeft u deze nog niet? Stuur dan een kopie van het aanvraagformulier. Let op: er kunnen beperkingen zitten aan cumulatie van subsidies (stapeling). Dit wordt gecontroleerd bij uw aanvraag. 
4.  Cash bijdrage: een (cash) bijdrage van een derde in de vorm van sponsoring staan wij onder bepaalde voorwaarden toe. 
Wij wijzen een aanvraag af als er onvoldoende vertrouwen is dat u het project kan financieren. De kans op mislukking van de uitvoering van het project of dat het project pas veel later van start gaat is dan te groot.
U kunt in het financieringsoverzicht ook de eigenschappen van de lening opgeven, zoals rente, looptijd, type en jaar van ingang. Deze gegevens worden gebruikt in de exploitatieberekening om aflossing en rente te bepalen. Dit is een hulpmiddel. Als deze invoermodule te weinig flexibiliteit geeft, kunt u dit ook handmatig invoeren / overschrijven in de exploitatieberekening en dit toelichten in het projectplan. 
Als er afwijkingen zijn kunt u dit aanpassen in het tabblad 'exploitatieberekening'.</t>
    </r>
  </si>
  <si>
    <t>Financieringsoverzicht</t>
  </si>
  <si>
    <t>Lees voordat u onderstaande velden (geel gearceerde) invult eerst de bovenstaande toelichting.</t>
  </si>
  <si>
    <t>Onderbouwing</t>
  </si>
  <si>
    <t>Bedrag (€)</t>
  </si>
  <si>
    <t>Eigen vermogen / vreemd vermogen</t>
  </si>
  <si>
    <t>Rente bij vreemd vermogen / rendementseis bij eigen vermogen</t>
  </si>
  <si>
    <t>Verwachte ingangsjaar lening / inbreng eigen vermogen</t>
  </si>
  <si>
    <t>Type lening</t>
  </si>
  <si>
    <t>Looptijd lening (aantal jaar)</t>
  </si>
  <si>
    <t>Verwachte jaar start aflossing lening</t>
  </si>
  <si>
    <t>Toelichting en verwijzing naar document.</t>
  </si>
  <si>
    <t>Totaal onderbouwd</t>
  </si>
  <si>
    <t>Resterend nog te onderbouwen</t>
  </si>
  <si>
    <t>Aandeel eigen vermogen excl. subsidie en BAK</t>
  </si>
  <si>
    <t>Reeds verstrekte/verwachte steun door bestuursorganen of Europese Commissie</t>
  </si>
  <si>
    <t>Krijgt u andere subsidie(s) voor hetzelfde investeringsproject of een deel daarvan? Geef dit dan aan in de begroting. U stuurt hiervan ook altijd de beschikking mee. Ontvangt u garanties vanuit een bestuursorgaan? Bijvoorbeeld een gemeente? Wij beoordelen of u deze kunt combineren met de WIS. Wij passen hier eventueel uw subsidie op aan.</t>
  </si>
  <si>
    <t>Aflossing Annuitaire leningen</t>
  </si>
  <si>
    <t>Aflossing Lineaire leningen</t>
  </si>
  <si>
    <t>Aflossing totaal</t>
  </si>
  <si>
    <t>Rente Annuitaire leningen</t>
  </si>
  <si>
    <t>Rente Lineaire leningen</t>
  </si>
  <si>
    <t>Rente totaal</t>
  </si>
  <si>
    <t>Eigen vermogen</t>
  </si>
  <si>
    <t>Eigen vermogen totaal</t>
  </si>
  <si>
    <t>Exploitatieberekening</t>
  </si>
  <si>
    <t>Timing</t>
  </si>
  <si>
    <t>Startjaar</t>
  </si>
  <si>
    <t>[jaartal]</t>
  </si>
  <si>
    <t>Exploitatieduur vanaf startjaar</t>
  </si>
  <si>
    <t>[jaar]</t>
  </si>
  <si>
    <t>Exploitatieduur en indexatie</t>
  </si>
  <si>
    <t>Teller</t>
  </si>
  <si>
    <t>Exploitatie aan/uit</t>
  </si>
  <si>
    <t>Verandering warmtevraag</t>
  </si>
  <si>
    <t>[%/jaar]</t>
  </si>
  <si>
    <t>Indexatie (OPEX)</t>
  </si>
  <si>
    <t>Opbrengsten uit aansluitingen</t>
  </si>
  <si>
    <r>
      <t>De blauwe cellen in de onderstaande tabel en de fasering vanaf kolom L worden automatisch gevuld na het invullen van tabblad '</t>
    </r>
    <r>
      <rPr>
        <i/>
        <sz val="9"/>
        <rFont val="Verdana"/>
        <family val="2"/>
      </rPr>
      <t>Mijlpalenbegroting</t>
    </r>
    <r>
      <rPr>
        <sz val="9"/>
        <rFont val="Verdana"/>
        <family val="2"/>
      </rPr>
      <t>' en '</t>
    </r>
    <r>
      <rPr>
        <i/>
        <sz val="9"/>
        <rFont val="Verdana"/>
        <family val="2"/>
      </rPr>
      <t>Mijlpalenplanning</t>
    </r>
    <r>
      <rPr>
        <sz val="9"/>
        <rFont val="Verdana"/>
        <family val="2"/>
      </rPr>
      <t xml:space="preserve">'. Vul zelf de opbrengsten in. </t>
    </r>
  </si>
  <si>
    <t xml:space="preserve">Onder het vastrecht kunt u ook opbrengsten voor huur van de afleverset en meetkosten opnemen. U vult dus het totaal aan vaste jaarlijkse inkomsten in onder het vastrecht. </t>
  </si>
  <si>
    <t xml:space="preserve">Variabele opbrengst en vastrecht wordt geindexeerd. De aansluitbijdrage wordt opgegeven als een absoluut bedrag. Bij het vermogen vult u het verwachte gelijktijdige piekvermogen in. </t>
  </si>
  <si>
    <t xml:space="preserve">Als u voor kleinverbruikersaansluitingen uitgaat van lagere opbrengsten dan de door de ACM vastgestelde maximumtarieven dan onderbouwt u dit in het projectplan. </t>
  </si>
  <si>
    <t>aantal [#]</t>
  </si>
  <si>
    <t>Vermogen [kW/#]</t>
  </si>
  <si>
    <t>Warmte-vraag [GJ/#/jaar]</t>
  </si>
  <si>
    <t>Opbrengst variabel [€/GJ]</t>
  </si>
  <si>
    <t>Vastrecht [€/#/jr]</t>
  </si>
  <si>
    <t>Aansluit-bijdrage [€/#]</t>
  </si>
  <si>
    <t>Fasering aansluitingen [#]</t>
  </si>
  <si>
    <t>Aansluitingen [#]</t>
  </si>
  <si>
    <t>Vermogen [kW]</t>
  </si>
  <si>
    <t>Geleverde warmte [GJ]</t>
  </si>
  <si>
    <t>Opbrengst aansluitbijdrage [€/jaar]</t>
  </si>
  <si>
    <t>Opbrengst vastrecht [€/jaar]</t>
  </si>
  <si>
    <t>Opbrengst warmtelevering variabel [€/jaar]</t>
  </si>
  <si>
    <t>Totale opbrengsten subsidiabele aansluitingen</t>
  </si>
  <si>
    <t>Overige opbrengsten</t>
  </si>
  <si>
    <t xml:space="preserve">Vul hier eventuele overige inkomsten van het project in. Onderbouw deze in het projectplan.  </t>
  </si>
  <si>
    <r>
      <t>De overige subsidies worden overgenomen uit het tabblad '</t>
    </r>
    <r>
      <rPr>
        <i/>
        <sz val="9"/>
        <rFont val="Verdana"/>
        <family val="2"/>
      </rPr>
      <t>Mijlpalenbegroting</t>
    </r>
    <r>
      <rPr>
        <sz val="9"/>
        <rFont val="Verdana"/>
        <family val="2"/>
      </rPr>
      <t xml:space="preserve">'. Verdeel deze over de jaren waarin u verwacht dat deze worden ontvangen. </t>
    </r>
  </si>
  <si>
    <t>Overige inkomsten</t>
  </si>
  <si>
    <t>Bijvoorbeeld: inkomsten koudelevering</t>
  </si>
  <si>
    <t>[€/jaar]</t>
  </si>
  <si>
    <t>…</t>
  </si>
  <si>
    <t xml:space="preserve">Overige investeringssubsidies </t>
  </si>
  <si>
    <t>[€]</t>
  </si>
  <si>
    <t>Totale overige opbrengsten per jaar</t>
  </si>
  <si>
    <t>Berekening bron- en exploitatiekosten</t>
  </si>
  <si>
    <t>Hier geeft u de verwachte exploitatiekosten van het project op.</t>
  </si>
  <si>
    <t>Onderhoudskosten voor leidingdelen, overdrachtstations, aansluiting en meetapparatuur zijn vastgezet volgens de waarden in de regeling.</t>
  </si>
  <si>
    <t>Eventuele overige kosten kunt u vrij overschrijven over de jaren heen (vanaf kolom L).</t>
  </si>
  <si>
    <t>Kosten warmtebron of warmte-inkoop</t>
  </si>
  <si>
    <t xml:space="preserve">Vaste bronkosten </t>
  </si>
  <si>
    <t>Warmteverlies</t>
  </si>
  <si>
    <t>Variabele bronkosten</t>
  </si>
  <si>
    <t>[€/GJ]</t>
  </si>
  <si>
    <t>Onderhoudskosten</t>
  </si>
  <si>
    <t>Onderhoudskosten leidingdelen</t>
  </si>
  <si>
    <t>Onderhoudskosten overdrachtstations</t>
  </si>
  <si>
    <t>Onderhoudskosten aansluiting en meetapparatuur</t>
  </si>
  <si>
    <t>Onderhoudskosten thermische opslag</t>
  </si>
  <si>
    <t>Totaal onderhoud</t>
  </si>
  <si>
    <t>Administratiekosten</t>
  </si>
  <si>
    <t>[€/#/jaar]</t>
  </si>
  <si>
    <t>Overige exploitatiekosten</t>
  </si>
  <si>
    <t>Bijvorbeeld: kosten opstal / precario</t>
  </si>
  <si>
    <t>Bijvoorbeeld: niet-subsidiabele loonkosten</t>
  </si>
  <si>
    <t>Totale OPEX-kosten per jaar</t>
  </si>
  <si>
    <t>Investeringen en afschrijvingen</t>
  </si>
  <si>
    <r>
      <t xml:space="preserve">Hier </t>
    </r>
    <r>
      <rPr>
        <sz val="9"/>
        <rFont val="Verdana"/>
        <family val="2"/>
      </rPr>
      <t>zijn de investeringen op basis van de begroting en mijlpalenplanning weergegeven.</t>
    </r>
  </si>
  <si>
    <t>Totaal subsidiabele investeringen</t>
  </si>
  <si>
    <t xml:space="preserve">         Waarvan afleversets grondgebonden (15 jr)</t>
  </si>
  <si>
    <t xml:space="preserve">         Waarvan afleversets gestapeld (15 jr)</t>
  </si>
  <si>
    <t>Totaal niet-subsidiabele investeringen</t>
  </si>
  <si>
    <t xml:space="preserve">         Waarvan afleversets nieuwbouw (15 jr)</t>
  </si>
  <si>
    <t xml:space="preserve">         Waarvan afleversets blokaansluiting (30 jr)</t>
  </si>
  <si>
    <t xml:space="preserve">         Waarvan afleversets grootverbruikers (15 jr)</t>
  </si>
  <si>
    <t>Herinvestering afleversets na 15 jaar</t>
  </si>
  <si>
    <t>Totale investeringen</t>
  </si>
  <si>
    <t>Afschrijvingen</t>
  </si>
  <si>
    <t>Afschrijvingstermijn</t>
  </si>
  <si>
    <t>Investeringen met afschrijvingstermijn 30 jaar</t>
  </si>
  <si>
    <t>Investeringen met afschrijvingstermijn 30 jaar na subsidie</t>
  </si>
  <si>
    <t>Investeringen met afschrijvingstermijn 15 jaar en herinvestering (afleversets)</t>
  </si>
  <si>
    <t>Investeringen met afschrijvingstermijn 15 jaar zonder herinvestering (grootverbruikers)</t>
  </si>
  <si>
    <t>Herinvesteringen minus oorspronkelijke investering (afleversets)</t>
  </si>
  <si>
    <t>Einde levensduur (grootverbruikers)</t>
  </si>
  <si>
    <t>Afschrijvingen met afschrijvingstermijn 30 jaar na subsidie</t>
  </si>
  <si>
    <t>Afschrijvingen met afschrijvingstermijn 15 jaar en herinvestering (afleversets)</t>
  </si>
  <si>
    <t>Afschrijvingen met afschrijvingstermijn 15 jaar zonder herinvestering (grootverbruikers)</t>
  </si>
  <si>
    <t>Totaal afschrijvingen</t>
  </si>
  <si>
    <t>Termijn</t>
  </si>
  <si>
    <t>Vrijval aansluitbijdrage</t>
  </si>
  <si>
    <t>Uitkomsten businesscase</t>
  </si>
  <si>
    <t xml:space="preserve">Hier worden op basis van de kasstroom een aantal financiele parameters van het project bepaald, zoals het projectrendement na belasting. </t>
  </si>
  <si>
    <t xml:space="preserve">Voor de berekening van de winstbelasting, DSCR en rendement op eigen vermogen wordt gebruik gemaakt van de rentelasten en aflossing. </t>
  </si>
  <si>
    <r>
      <t>Deze worden in eerste instantie overgenomen uit het tabblad '</t>
    </r>
    <r>
      <rPr>
        <i/>
        <sz val="9"/>
        <rFont val="Verdana"/>
        <family val="2"/>
      </rPr>
      <t>Financiering</t>
    </r>
    <r>
      <rPr>
        <sz val="9"/>
        <rFont val="Verdana"/>
        <family val="2"/>
      </rPr>
      <t xml:space="preserve">'. U kunt deze ook handmatig overschrijven / invoeren. Onderbouw dit dan in het projectplan. </t>
    </r>
  </si>
  <si>
    <t>In de regeling is bepaald dat ook de netto contante waarde bepaald wordt bij een vastgesteld projectrendement van 6,8% voor belasting.</t>
  </si>
  <si>
    <t>De financiele parameters worden mede gebruikt bij het bepalen van de economische haalbaarheid van het project en het stimulerend effect.</t>
  </si>
  <si>
    <t xml:space="preserve">Houd er rekening mee dat het geen exacte financieringsberekening is maar een berekening op hoofdlijnen. </t>
  </si>
  <si>
    <t>Rentelasten cf. tabblad financiering</t>
  </si>
  <si>
    <t>Aflossing cf. tabblad financiering</t>
  </si>
  <si>
    <t>Rentelasten</t>
  </si>
  <si>
    <t>Aflossing</t>
  </si>
  <si>
    <t>Subsidieschatting</t>
  </si>
  <si>
    <t>Winst voor belasting</t>
  </si>
  <si>
    <t>Percentage winstbelasting</t>
  </si>
  <si>
    <t>Winstbelasting</t>
  </si>
  <si>
    <t>Netto winst</t>
  </si>
  <si>
    <t>Bruto kasstroom na belasting excl. rentelasten voor subsidie</t>
  </si>
  <si>
    <t>Bruto kasstroom na belasting excl. rentelasten na subsidie</t>
  </si>
  <si>
    <t>Bruto kasstroom na belasting excl. rentelasten, investering en subsidie</t>
  </si>
  <si>
    <t>Projectrentabiliteit voor subsidie</t>
  </si>
  <si>
    <t>Projectrentabiliteit na subsidie</t>
  </si>
  <si>
    <t>Inbreng eigen vermogen</t>
  </si>
  <si>
    <t>Netto Kasstroom voor eigen vermogen verschaffer na belasting en na financieringslasten</t>
  </si>
  <si>
    <t>Rendement op eigen vermogen</t>
  </si>
  <si>
    <t>Debt service coverage ratio (DSCR) per jaar</t>
  </si>
  <si>
    <t>ratio per jaar</t>
  </si>
  <si>
    <t>DSCR</t>
  </si>
  <si>
    <t>ratio over loopduur</t>
  </si>
  <si>
    <t>Bruto kasstroom NCW voor belasting voor subsidie</t>
  </si>
  <si>
    <t>Bruto kasstroom NCW voor belasting na subsidie</t>
  </si>
  <si>
    <t>NCW bij IRR van 6,8% voor belasting, voor subsidie</t>
  </si>
  <si>
    <t>NCW bij IRR van 6,8% voor belasting, na subsidie</t>
  </si>
  <si>
    <t>Gebruikte getalsmatige waarden uit de regeling</t>
  </si>
  <si>
    <t>Artikel 4.10.3</t>
  </si>
  <si>
    <t>Onderdeel</t>
  </si>
  <si>
    <t xml:space="preserve">Waarde </t>
  </si>
  <si>
    <t>[eenheid]</t>
  </si>
  <si>
    <t xml:space="preserve">Omschrijving / toelichting </t>
  </si>
  <si>
    <t>Cap investering</t>
  </si>
  <si>
    <t>Maximaal percentage voor grote onderneming</t>
  </si>
  <si>
    <t>Maximaal percentage voor middelgrote onderneming</t>
  </si>
  <si>
    <t>Maximaal percentage voor kleine onderneming</t>
  </si>
  <si>
    <t>per kleinverbruiker</t>
  </si>
  <si>
    <t>Maximale subsidie voor investeringen in wijkdistributienetten (secundaire netten, aansluitingen en warmteoverdrachtstations)</t>
  </si>
  <si>
    <t>Maximale subsidie voor investeringen in primaire netten en opslag</t>
  </si>
  <si>
    <t>Maximale subsidie per aanvraag</t>
  </si>
  <si>
    <t>Artikel 4.10.4</t>
  </si>
  <si>
    <t>Vast uurtarief</t>
  </si>
  <si>
    <t>per uur</t>
  </si>
  <si>
    <t>Bijlage onderdeel 1</t>
  </si>
  <si>
    <t>Subcategorie</t>
  </si>
  <si>
    <t>r</t>
  </si>
  <si>
    <t>Projectrendement na belasting</t>
  </si>
  <si>
    <t>T</t>
  </si>
  <si>
    <t>Looptijd exploitatieberekening</t>
  </si>
  <si>
    <t>I</t>
  </si>
  <si>
    <t>Vast inflatiepercentage op kosten (inclusief herinvesteringen) en baten. Inflatie mag worden gerekend over kostenuitgangspunten vanaf het jaar van de aanvraag.</t>
  </si>
  <si>
    <t>V</t>
  </si>
  <si>
    <t>Warmtetarief</t>
  </si>
  <si>
    <t>per GJ</t>
  </si>
  <si>
    <t>ACM 2025</t>
  </si>
  <si>
    <t>Meettarief</t>
  </si>
  <si>
    <t>Huur afleverset - MT</t>
  </si>
  <si>
    <t>Huur afleverset - LT</t>
  </si>
  <si>
    <t>Huur afleverset - ZLT</t>
  </si>
  <si>
    <t xml:space="preserve">Afschrijvings-termijn </t>
  </si>
  <si>
    <t>Warmtenetten,  overdrachtstations, aansluiting</t>
  </si>
  <si>
    <t>Afschrijvings-termijn</t>
  </si>
  <si>
    <t>Afleversets</t>
  </si>
  <si>
    <t xml:space="preserve">Afschrijvingstermijn. Eén keer herinvestering na 15 jaar. </t>
  </si>
  <si>
    <t>Kond</t>
  </si>
  <si>
    <t>Warmtenetten</t>
  </si>
  <si>
    <t>Percentage van de investering</t>
  </si>
  <si>
    <t>Overdrachtstations</t>
  </si>
  <si>
    <t>Aansluiting en meetapparatuur</t>
  </si>
  <si>
    <t>Kadm</t>
  </si>
  <si>
    <t>Default waarde administratie</t>
  </si>
  <si>
    <t>per jaar</t>
  </si>
  <si>
    <t>Per aansluiting per jaar</t>
  </si>
  <si>
    <t>Waarde</t>
  </si>
  <si>
    <t>Omschrijving / toelichting</t>
  </si>
  <si>
    <t>Q (t)</t>
  </si>
  <si>
    <t>Autonome vraagreductie per jaar door klimaatverandering</t>
  </si>
  <si>
    <t>Vastrecht - MT</t>
  </si>
  <si>
    <t xml:space="preserve">Op basis van ACM 2025. Onderbouwd afwijken is toegestaan tot een minimum van €240. Bij aanvraag moet dan voldoende worden aangetoond dat er een korting wordt gegeven op het vastrecht. Bij vaststelling van de subsidie wordt dit gecontroleerd. </t>
  </si>
  <si>
    <t>Vastrecht - LT</t>
  </si>
  <si>
    <t>Vastrecht - ZLT</t>
  </si>
  <si>
    <t>Minimaal vastrecht</t>
  </si>
  <si>
    <t>Zie bovenstaande omschrijving, regel toegevoegd i.v.m. verwerkbaarheid Excel</t>
  </si>
  <si>
    <t>Bijlage onderdeel 2</t>
  </si>
  <si>
    <t>Primair warmtenet</t>
  </si>
  <si>
    <t>per km</t>
  </si>
  <si>
    <t>Gemiddelde investering per strekkende kilometer primair net, d.w.z. het net vanaf de bron tot het overdrachtstation. Het gaat om het totaal voor de aanvoer- én de retourleiding.</t>
  </si>
  <si>
    <t>Gemiddelde investering per strekkende kilometer secundair net, d.w.z. het net vanaf het overdrachtstation door de straat. Het gaat om het totaal voor de aanvoer- én de retourleiding.</t>
  </si>
  <si>
    <t>Per stuk</t>
  </si>
  <si>
    <t>Grondgebonden  aansluiting</t>
  </si>
  <si>
    <t xml:space="preserve">Gemiddeld per aansluiting, inclusief aansluitleiding vanaf het secundaire warmtenet in de straat tot de afleverset. </t>
  </si>
  <si>
    <t xml:space="preserve">Aansluiting in de gestapelde bouw </t>
  </si>
  <si>
    <t>Gemiddeld per aansluiting</t>
  </si>
  <si>
    <t>Gemiddeld per afleverset</t>
  </si>
  <si>
    <t>AANVRAGER</t>
  </si>
  <si>
    <t>ALGEMEEN</t>
  </si>
  <si>
    <t>NIET SUBSIDIABEL</t>
  </si>
  <si>
    <t xml:space="preserve"> SUBSIDIABEL</t>
  </si>
  <si>
    <t>AANSLUITINGEN</t>
  </si>
  <si>
    <t>ECONOMISCHE KENMERKEN</t>
  </si>
  <si>
    <t>SUBSIDIE HOOGTE</t>
  </si>
  <si>
    <t>Activiteit</t>
  </si>
  <si>
    <t>Project</t>
  </si>
  <si>
    <t>Dossier</t>
  </si>
  <si>
    <t>Organisatie</t>
  </si>
  <si>
    <t>Organisatietype</t>
  </si>
  <si>
    <t>Primair net (km)</t>
  </si>
  <si>
    <t>Aantal overdracht-stations (#)</t>
  </si>
  <si>
    <t>Secundair net (km)</t>
  </si>
  <si>
    <t>transportverlies (%)</t>
  </si>
  <si>
    <t xml:space="preserve">Primair net (€) </t>
  </si>
  <si>
    <t>Secundair net (€)</t>
  </si>
  <si>
    <t>Overdracht-stations (€)</t>
  </si>
  <si>
    <t>Aansluitingen (€)</t>
  </si>
  <si>
    <t>Primair net (€)</t>
  </si>
  <si>
    <t>Thermische Opslag (€)</t>
  </si>
  <si>
    <t>Loonkosten (€)</t>
  </si>
  <si>
    <t>Kosten Derden (€)</t>
  </si>
  <si>
    <t>Aantal bestaande kleinverbruikers</t>
  </si>
  <si>
    <t>Aantal blokaansluitingen</t>
  </si>
  <si>
    <t>Aantal grootverbruikers</t>
  </si>
  <si>
    <t>Aantal nieuwbouw</t>
  </si>
  <si>
    <t>Temperatuur</t>
  </si>
  <si>
    <t>Rendement na subsidie</t>
  </si>
  <si>
    <t>IRR op eigen vermogen</t>
  </si>
  <si>
    <t>NCW bij 6,8% IRR met subsidie</t>
  </si>
  <si>
    <t>Geleverde Warmte (GJ/jaar)</t>
  </si>
  <si>
    <t>Totale subsidabele investering</t>
  </si>
  <si>
    <t>Totale investering</t>
  </si>
  <si>
    <t>Hoogte Subsidie</t>
  </si>
  <si>
    <t>Percentage subsidie</t>
  </si>
  <si>
    <t>WIS</t>
  </si>
  <si>
    <t>LET OP: Deze lijsten worden op diverse tabbladen gebruikt in formules! Niet zomaar aanpassen of verplaatsen!</t>
  </si>
  <si>
    <t>Lijstnaam = Organisatietype</t>
  </si>
  <si>
    <t>Lijstnaam = Fase</t>
  </si>
  <si>
    <t>Lijstnaam = BTW</t>
  </si>
  <si>
    <t>Lijstnaam = SrtWoning</t>
  </si>
  <si>
    <t>Lijstnaam = Loonkosten</t>
  </si>
  <si>
    <t>Lijstnaam = Toerekening</t>
  </si>
  <si>
    <t>Lijstnaam = vermogen</t>
  </si>
  <si>
    <t>Lijstnaam = Type lening</t>
  </si>
  <si>
    <t>Lijstnaam = type_afnemer</t>
  </si>
  <si>
    <t>Lijstnaam = temperatuur</t>
  </si>
  <si>
    <t>Grote onderneming</t>
  </si>
  <si>
    <t>btw-plichtig</t>
  </si>
  <si>
    <t>Grondgebonden kleinverbruiker</t>
  </si>
  <si>
    <t>Jurist</t>
  </si>
  <si>
    <t>WDN</t>
  </si>
  <si>
    <t>Annuitair</t>
  </si>
  <si>
    <t>Uitsluitend bestaande kleinverbruikers</t>
  </si>
  <si>
    <t>MT (&gt;55°C)</t>
  </si>
  <si>
    <t>Middelgrote onderneming</t>
  </si>
  <si>
    <t>btw-vrijgesteld</t>
  </si>
  <si>
    <t>Gestapelde kleinverbruiker</t>
  </si>
  <si>
    <t>Inkoper</t>
  </si>
  <si>
    <t>PN+TO</t>
  </si>
  <si>
    <t>Vreemd vermogen</t>
  </si>
  <si>
    <t>Lineair</t>
  </si>
  <si>
    <t>Uitsluitend nieuwbouw</t>
  </si>
  <si>
    <t>LT (&gt;30°C)</t>
  </si>
  <si>
    <t>Kleine onderneming</t>
  </si>
  <si>
    <t>Nieuwbouw</t>
  </si>
  <si>
    <t>Omgevingsmanager</t>
  </si>
  <si>
    <t>Uitsluitend grootverbruikers &gt;100kW</t>
  </si>
  <si>
    <t>ZLT (&lt;30°C)</t>
  </si>
  <si>
    <t>Blokaansluiting (&gt;100 kW)</t>
  </si>
  <si>
    <t>Engineer</t>
  </si>
  <si>
    <t>Uitsluitend blokaansluitingen &gt;100kW</t>
  </si>
  <si>
    <t>combinatie</t>
  </si>
  <si>
    <t>Grootverbruiker (&gt;100 kW)</t>
  </si>
  <si>
    <t>Projectleider</t>
  </si>
  <si>
    <t>Gecombineerd met bestaande kleinverbruikers/blokaansluitingen</t>
  </si>
  <si>
    <t>Projectmanager</t>
  </si>
  <si>
    <t>Gecombineerd zonder bestaande kleinverbruikers/blokaansluitingen</t>
  </si>
  <si>
    <t>Anders - vul handmatig in</t>
  </si>
  <si>
    <t>groepen in- en uitklappen werkt in beveiligde bladen, maar dan moet wel 'kolommen opmaken' en 'rijen opmaken' aangevinkt zijn!</t>
  </si>
  <si>
    <t>Ja</t>
  </si>
  <si>
    <t>Nee</t>
  </si>
  <si>
    <t>per afleverset</t>
  </si>
  <si>
    <t>check gaten in planning</t>
  </si>
  <si>
    <t>check kosten ingevuld</t>
  </si>
  <si>
    <t>datum</t>
  </si>
  <si>
    <t>aanpassingen</t>
  </si>
  <si>
    <t>1.0</t>
  </si>
  <si>
    <t>1.1</t>
  </si>
  <si>
    <t>versie</t>
  </si>
  <si>
    <t>Versie 1.1 2025</t>
  </si>
  <si>
    <t>cellen</t>
  </si>
  <si>
    <t>reden</t>
  </si>
  <si>
    <t>aansluiting op rekenmodel 2024</t>
  </si>
  <si>
    <t>administratie obv aansluitingen voorgaande jaar ipv huidig jaar</t>
  </si>
  <si>
    <t>tab exploitatieberekening, rij 97</t>
  </si>
  <si>
    <t>onderhoud obv investeringen voorgaande jaar ipv huidig jaar</t>
  </si>
  <si>
    <t>tab exploitatieberekening, rij 91 t/m 94</t>
  </si>
  <si>
    <t>variabele bronkosten obv levering vorige jaar ipv huidig jaar, net als variabele inkomsten</t>
  </si>
  <si>
    <t>tab exploitatieberekening, rij 88</t>
  </si>
  <si>
    <t>tab mijlpalenbegroting, rij 21 en 22</t>
  </si>
  <si>
    <t>informatie niet nodig voor aanvrager</t>
  </si>
  <si>
    <t>voorkomen van foutieve aanvraag</t>
  </si>
  <si>
    <t>Waarschuwingen toegevoegd bij mijlpalenbegroting (aansluiten mijlpalen en kosten in mijlpalen)</t>
  </si>
  <si>
    <t>tab mijlpalenbegroting, rij 134 t/m 141</t>
  </si>
  <si>
    <t>Rijen met informatie over aantallen onder aansluitingen verborgen</t>
  </si>
  <si>
    <t>geen (versie voor informatiesessie voor openstelling)</t>
  </si>
  <si>
    <t>Aanpassingen in v1.1:</t>
  </si>
  <si>
    <t>Een aantal waarschuwingen bij de mijlpalenbegroting toegevoegd. De berekening van kosten onderhoud, administratie en variabele bronkosten zijn aangepast.</t>
  </si>
  <si>
    <t>De regeling</t>
  </si>
  <si>
    <t>Investering per overdracht-station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</si>
</sst>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6" formatCode="&quot;€&quot;\ #,##0;[Red]&quot;€&quot;\ \-#,##0"/>
    <numFmt numFmtId="8" formatCode="&quot;€&quot;\ #,##0.00;[Red]&quot;€&quot;\ \-#,##0.00"/>
    <numFmt numFmtId="42" formatCode="_ &quot;€&quot;\ * #,##0_ ;_ &quot;€&quot;\ * \-#,##0_ ;_ &quot;€&quot;\ * &quot;-&quot;_ ;_ @_ "/>
    <numFmt numFmtId="44" formatCode="_ &quot;€&quot;\ * #,##0.00_ ;_ &quot;€&quot;\ * \-#,##0.00_ ;_ &quot;€&quot;\ * &quot;-&quot;??_ ;_ @_ "/>
    <numFmt numFmtId="43" formatCode="_ * #,##0.00_ ;_ * \-#,##0.00_ ;_ * &quot;-&quot;??_ ;_ @_ "/>
    <numFmt numFmtId="164" formatCode="_-&quot;€&quot;\ * #,##0_-;_-&quot;€&quot;\ * #,##0\-;_-&quot;€&quot;\ * &quot;-&quot;_-;_-@_-"/>
    <numFmt numFmtId="165" formatCode="_-* #,##0_-;_-* #,##0\-;_-* &quot;-&quot;_-;_-@_-"/>
    <numFmt numFmtId="166" formatCode="_-&quot;€&quot;\ * #,##0.00_-;_-&quot;€&quot;\ * #,##0.00\-;_-&quot;€&quot;\ * &quot;-&quot;??_-;_-@_-"/>
    <numFmt numFmtId="167" formatCode="_-* #,##0.00_-;_-* #,##0.00\-;_-* &quot;-&quot;??_-;_-@_-"/>
    <numFmt numFmtId="168" formatCode="_-* #,##0_-;_-* #,##0\-;_-* &quot;-&quot;??_-;_-@_-"/>
    <numFmt numFmtId="169" formatCode="_-&quot;€&quot;\ * #,##0_-;_-&quot;€&quot;\ * #,##0\-;_-&quot;€&quot;\ * &quot;-&quot;??_-;_-@_-"/>
    <numFmt numFmtId="170" formatCode="#,##0.0"/>
    <numFmt numFmtId="171" formatCode="#,##0.00_-"/>
    <numFmt numFmtId="172" formatCode="_-[$€-413]\ * #,##0_-;_-[$€-413]\ * #,##0\-;_-[$€-413]\ * &quot;-&quot;_-;_-@_-"/>
    <numFmt numFmtId="173" formatCode="\-"/>
    <numFmt numFmtId="174" formatCode="0.0"/>
    <numFmt numFmtId="175" formatCode="General_)"/>
    <numFmt numFmtId="176" formatCode="#,##0_);\(#,##0\);&quot;-  &quot;;&quot; &quot;@"/>
    <numFmt numFmtId="177" formatCode="#,##0.00_);\(#,##0.00\);&quot;-  &quot;;&quot; &quot;@"/>
    <numFmt numFmtId="178" formatCode="0.00%_);\-0.00%_);&quot;-  &quot;;&quot; &quot;@"/>
    <numFmt numFmtId="179" formatCode="#,##0.0_);\(#,##0.0\);&quot;-  &quot;;&quot; &quot;@"/>
    <numFmt numFmtId="180" formatCode="_ &quot;€&quot;\ * #,##0_ ;_ &quot;€&quot;\ * \-#,##0_ ;_ &quot;€&quot;\ * &quot;-&quot;??_ ;_ @_ "/>
    <numFmt numFmtId="181" formatCode="&quot;&lt;&quot;\ &quot;€&quot;\ #,##0;[Red]&quot;€&quot;\ \-#,##0"/>
    <numFmt numFmtId="182" formatCode="_ [$€-2]\ * #,##0_ ;_ [$€-2]\ * \-#,##0_ ;_ [$€-2]\ * &quot;-&quot;??_ ;_ @_ "/>
    <numFmt numFmtId="183" formatCode="_ * #,##0_ ;_ * \-#,##0_ ;_ * &quot;-&quot;??_ ;_ @_ "/>
    <numFmt numFmtId="184" formatCode="0.0%"/>
    <numFmt numFmtId="185" formatCode="00.00.00.000"/>
    <numFmt numFmtId="186" formatCode="&quot;€&quot;\ #,##0"/>
    <numFmt numFmtId="187" formatCode="_ [$€-2]\ * #,##0.00_ ;_ [$€-2]\ * \-#,##0.00_ ;_ [$€-2]\ * &quot;-&quot;??_ ;_ @_ "/>
    <numFmt numFmtId="188" formatCode="_-* #,##0.00_-;_-* #,##0.00\-;_-* &quot;-&quot;_-;_-@_-"/>
  </numFmts>
  <fonts count="74"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8"/>
      <name val="Arial"/>
      <family val="2"/>
    </font>
    <font>
      <u/>
      <sz val="7.5"/>
      <color indexed="12"/>
      <name val="Times New Roman"/>
      <family val="1"/>
    </font>
    <font>
      <sz val="10"/>
      <name val="Times New Roman"/>
      <family val="1"/>
    </font>
    <font>
      <sz val="10"/>
      <name val="Verdana"/>
      <family val="2"/>
    </font>
    <font>
      <b/>
      <sz val="10"/>
      <name val="Verdana"/>
      <family val="2"/>
    </font>
    <font>
      <b/>
      <sz val="11"/>
      <name val="Verdana"/>
      <family val="2"/>
    </font>
    <font>
      <b/>
      <sz val="11"/>
      <color indexed="9"/>
      <name val="Verdana"/>
      <family val="2"/>
    </font>
    <font>
      <b/>
      <sz val="9"/>
      <color indexed="9"/>
      <name val="Verdana"/>
      <family val="2"/>
    </font>
    <font>
      <b/>
      <sz val="9"/>
      <name val="Verdana"/>
      <family val="2"/>
    </font>
    <font>
      <sz val="9"/>
      <name val="Verdana"/>
      <family val="2"/>
    </font>
    <font>
      <b/>
      <sz val="14"/>
      <name val="Verdana"/>
      <family val="2"/>
    </font>
    <font>
      <sz val="9"/>
      <color indexed="9"/>
      <name val="Verdana"/>
      <family val="2"/>
    </font>
    <font>
      <i/>
      <sz val="9"/>
      <name val="Verdana"/>
      <family val="2"/>
    </font>
    <font>
      <sz val="10"/>
      <name val="Arial"/>
      <family val="2"/>
    </font>
    <font>
      <sz val="10"/>
      <name val="Courier"/>
      <family val="3"/>
    </font>
    <font>
      <u/>
      <sz val="9"/>
      <color indexed="12"/>
      <name val="Verdana"/>
      <family val="2"/>
    </font>
    <font>
      <sz val="9"/>
      <color indexed="8"/>
      <name val="Verdana"/>
      <family val="2"/>
    </font>
    <font>
      <sz val="9"/>
      <color indexed="55"/>
      <name val="Verdana"/>
      <family val="2"/>
    </font>
    <font>
      <i/>
      <sz val="9"/>
      <color indexed="9"/>
      <name val="Verdana"/>
      <family val="2"/>
    </font>
    <font>
      <b/>
      <i/>
      <sz val="9"/>
      <color indexed="9"/>
      <name val="Verdana"/>
      <family val="2"/>
    </font>
    <font>
      <b/>
      <sz val="12"/>
      <name val="Verdana"/>
      <family val="2"/>
    </font>
    <font>
      <sz val="11"/>
      <color indexed="9"/>
      <name val="Verdana"/>
      <family val="2"/>
    </font>
    <font>
      <sz val="11"/>
      <name val="Verdana"/>
      <family val="2"/>
    </font>
    <font>
      <b/>
      <i/>
      <sz val="9"/>
      <name val="Verdana"/>
      <family val="2"/>
    </font>
    <font>
      <b/>
      <sz val="15"/>
      <name val="Verdana"/>
      <family val="2"/>
    </font>
    <font>
      <b/>
      <sz val="15"/>
      <color indexed="9"/>
      <name val="Verdana"/>
      <family val="2"/>
    </font>
    <font>
      <b/>
      <sz val="9"/>
      <color theme="1"/>
      <name val="Verdana"/>
      <family val="2"/>
    </font>
    <font>
      <b/>
      <sz val="9"/>
      <color rgb="FFFF0000"/>
      <name val="Verdana"/>
      <family val="2"/>
    </font>
    <font>
      <sz val="9"/>
      <color rgb="FFFF0000"/>
      <name val="Verdana"/>
      <family val="2"/>
    </font>
    <font>
      <sz val="9"/>
      <color rgb="FF000000"/>
      <name val="Verdana"/>
      <family val="2"/>
    </font>
    <font>
      <sz val="9"/>
      <color theme="1"/>
      <name val="Verdana"/>
      <family val="2"/>
    </font>
    <font>
      <b/>
      <sz val="11"/>
      <color theme="0"/>
      <name val="Verdana"/>
      <family val="2"/>
    </font>
    <font>
      <sz val="11"/>
      <color theme="0"/>
      <name val="Verdana"/>
      <family val="2"/>
    </font>
    <font>
      <i/>
      <sz val="9"/>
      <color rgb="FFFF0000"/>
      <name val="Verdana"/>
      <family val="2"/>
    </font>
    <font>
      <sz val="10"/>
      <color theme="0"/>
      <name val="Arial"/>
      <family val="2"/>
    </font>
    <font>
      <b/>
      <sz val="11"/>
      <color rgb="FFFF0000"/>
      <name val="Verdana"/>
      <family val="2"/>
    </font>
    <font>
      <sz val="11"/>
      <color rgb="FFFF0000"/>
      <name val="Verdana"/>
      <family val="2"/>
    </font>
    <font>
      <b/>
      <sz val="9"/>
      <color rgb="FF000000"/>
      <name val="Verdana"/>
      <family val="2"/>
    </font>
    <font>
      <b/>
      <sz val="10"/>
      <color rgb="FF00B050"/>
      <name val="Verdana"/>
      <family val="2"/>
    </font>
    <font>
      <sz val="10"/>
      <color rgb="FFFF0000"/>
      <name val="Arial"/>
      <family val="2"/>
    </font>
    <font>
      <u/>
      <sz val="9"/>
      <color rgb="FF0000FF"/>
      <name val="Verdana"/>
      <family val="2"/>
    </font>
    <font>
      <u/>
      <sz val="11"/>
      <color theme="10"/>
      <name val="Calibri"/>
      <family val="2"/>
      <scheme val="minor"/>
    </font>
    <font>
      <b/>
      <sz val="7"/>
      <color theme="0"/>
      <name val="Verdana"/>
      <family val="2"/>
    </font>
    <font>
      <b/>
      <sz val="11"/>
      <color rgb="FFFFFFFF"/>
      <name val="Verdana"/>
      <family val="2"/>
    </font>
    <font>
      <i/>
      <sz val="9"/>
      <color theme="1"/>
      <name val="Verdana"/>
      <family val="2"/>
    </font>
    <font>
      <sz val="9"/>
      <color theme="1" tint="0.499984740745262"/>
      <name val="Verdana"/>
      <family val="2"/>
    </font>
    <font>
      <sz val="9"/>
      <color theme="0" tint="-0.499984740745262"/>
      <name val="Verdana"/>
      <family val="2"/>
    </font>
    <font>
      <b/>
      <sz val="9"/>
      <color rgb="FFD51B1E"/>
      <name val="Verdana"/>
      <family val="2"/>
    </font>
    <font>
      <sz val="9"/>
      <color rgb="FFC00000"/>
      <name val="Verdana"/>
      <family val="2"/>
    </font>
    <font>
      <sz val="9"/>
      <color theme="0"/>
      <name val="Verdana"/>
      <family val="2"/>
    </font>
    <font>
      <sz val="11"/>
      <name val="Calibri"/>
      <family val="2"/>
    </font>
    <font>
      <i/>
      <sz val="9"/>
      <color theme="7" tint="0.39997558519241921"/>
      <name val="Verdana"/>
      <family val="2"/>
    </font>
    <font>
      <b/>
      <sz val="9"/>
      <color theme="0"/>
      <name val="Verdana"/>
      <family val="2"/>
    </font>
    <font>
      <i/>
      <sz val="9"/>
      <color rgb="FF9E2016"/>
      <name val="Verdana"/>
      <family val="2"/>
    </font>
    <font>
      <sz val="9"/>
      <color theme="4"/>
      <name val="Verdana"/>
      <family val="2"/>
    </font>
    <font>
      <b/>
      <i/>
      <sz val="8"/>
      <name val="Verdana"/>
      <family val="2"/>
    </font>
    <font>
      <b/>
      <i/>
      <sz val="10"/>
      <name val="Verdana"/>
      <family val="2"/>
    </font>
    <font>
      <b/>
      <sz val="15"/>
      <color rgb="FF000000"/>
      <name val="Verdana"/>
      <family val="2"/>
    </font>
    <font>
      <b/>
      <sz val="15"/>
      <color rgb="FFFF0000"/>
      <name val="Verdana"/>
      <family val="2"/>
    </font>
    <font>
      <sz val="9"/>
      <color rgb="FFD52B1E"/>
      <name val="Verdana"/>
      <family val="2"/>
    </font>
    <font>
      <i/>
      <sz val="10"/>
      <name val="Verdana"/>
      <family val="2"/>
    </font>
    <font>
      <i/>
      <sz val="9"/>
      <color rgb="FF000000"/>
      <name val="Verdana"/>
      <family val="2"/>
    </font>
    <font>
      <i/>
      <sz val="11"/>
      <name val="Verdana"/>
      <family val="2"/>
    </font>
    <font>
      <b/>
      <i/>
      <sz val="11"/>
      <name val="Verdana"/>
      <family val="2"/>
    </font>
    <font>
      <i/>
      <sz val="10"/>
      <name val="Arial"/>
      <family val="2"/>
    </font>
    <font>
      <u/>
      <sz val="9"/>
      <color rgb="FF000000"/>
      <name val="Verdana"/>
      <family val="2"/>
    </font>
    <font>
      <u/>
      <sz val="9"/>
      <name val="Verdana"/>
      <family val="2"/>
    </font>
    <font>
      <b/>
      <sz val="9"/>
      <color rgb="FFC00000"/>
      <name val="Verdana"/>
      <family val="2"/>
    </font>
  </fonts>
  <fills count="23">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
      <patternFill patternType="solid">
        <fgColor theme="4" tint="0.39997558519241921"/>
        <bgColor indexed="64"/>
      </patternFill>
    </fill>
    <fill>
      <patternFill patternType="solid">
        <fgColor theme="1"/>
        <bgColor indexed="64"/>
      </patternFill>
    </fill>
    <fill>
      <patternFill patternType="solid">
        <fgColor rgb="FFFFFFCC"/>
        <bgColor indexed="64"/>
      </patternFill>
    </fill>
    <fill>
      <patternFill patternType="solid">
        <fgColor rgb="FFB2D7EE"/>
        <bgColor indexed="64"/>
      </patternFill>
    </fill>
    <fill>
      <patternFill patternType="solid">
        <fgColor rgb="FFFFFFDC"/>
        <bgColor indexed="64"/>
      </patternFill>
    </fill>
    <fill>
      <patternFill patternType="solid">
        <fgColor rgb="FFCCCCCC"/>
        <bgColor indexed="64"/>
      </patternFill>
    </fill>
    <fill>
      <patternFill patternType="solid">
        <fgColor theme="0" tint="-4.9989318521683403E-2"/>
        <bgColor indexed="64"/>
      </patternFill>
    </fill>
    <fill>
      <patternFill patternType="solid">
        <fgColor rgb="FFFFFFDC"/>
        <bgColor rgb="FF000000"/>
      </patternFill>
    </fill>
    <fill>
      <patternFill patternType="solid">
        <fgColor rgb="FFFFFF00"/>
        <bgColor indexed="64"/>
      </patternFill>
    </fill>
    <fill>
      <patternFill patternType="solid">
        <fgColor rgb="FFD3E8F5"/>
        <bgColor indexed="64"/>
      </patternFill>
    </fill>
    <fill>
      <patternFill patternType="solid">
        <fgColor theme="6"/>
        <bgColor indexed="64"/>
      </patternFill>
    </fill>
    <fill>
      <patternFill patternType="solid">
        <fgColor rgb="FFFFFFDC"/>
        <bgColor rgb="FFFFFFDC"/>
      </patternFill>
    </fill>
    <fill>
      <patternFill patternType="solid">
        <fgColor theme="7" tint="0.39997558519241921"/>
        <bgColor indexed="64"/>
      </patternFill>
    </fill>
    <fill>
      <patternFill patternType="solid">
        <fgColor theme="2"/>
        <bgColor indexed="64"/>
      </patternFill>
    </fill>
    <fill>
      <patternFill patternType="solid">
        <fgColor theme="9"/>
        <bgColor indexed="64"/>
      </patternFill>
    </fill>
    <fill>
      <patternFill patternType="solid">
        <fgColor theme="1" tint="0.499984740745262"/>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otted">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dotted">
        <color indexed="64"/>
      </bottom>
      <diagonal/>
    </border>
    <border>
      <left/>
      <right/>
      <top/>
      <bottom style="dotted">
        <color theme="0" tint="-0.34998626667073579"/>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bottom style="dotted">
        <color indexed="64"/>
      </bottom>
      <diagonal/>
    </border>
    <border>
      <left/>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style="dotted">
        <color indexed="64"/>
      </top>
      <bottom/>
      <diagonal/>
    </border>
    <border>
      <left/>
      <right/>
      <top style="dotted">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s>
  <cellStyleXfs count="29">
    <xf numFmtId="0" fontId="0" fillId="0" borderId="0"/>
    <xf numFmtId="166" fontId="3" fillId="0" borderId="0" applyFont="0" applyFill="0" applyBorder="0" applyAlignment="0" applyProtection="0"/>
    <xf numFmtId="166" fontId="19" fillId="0" borderId="0" applyFont="0" applyFill="0" applyBorder="0" applyAlignment="0" applyProtection="0"/>
    <xf numFmtId="166" fontId="5" fillId="0" borderId="0" applyFont="0" applyFill="0" applyBorder="0" applyAlignment="0" applyProtection="0"/>
    <xf numFmtId="0" fontId="7" fillId="0" borderId="0" applyNumberFormat="0" applyFill="0" applyBorder="0" applyAlignment="0" applyProtection="0">
      <alignment vertical="top"/>
      <protection locked="0"/>
    </xf>
    <xf numFmtId="167" fontId="3" fillId="0" borderId="0" applyFont="0" applyFill="0" applyBorder="0" applyAlignment="0" applyProtection="0"/>
    <xf numFmtId="167" fontId="19" fillId="0" borderId="0" applyFont="0" applyFill="0" applyBorder="0" applyAlignment="0" applyProtection="0"/>
    <xf numFmtId="167" fontId="5"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0" fontId="5" fillId="0" borderId="0"/>
    <xf numFmtId="175" fontId="20" fillId="0" borderId="0"/>
    <xf numFmtId="0" fontId="8" fillId="0" borderId="0"/>
    <xf numFmtId="166" fontId="3" fillId="0" borderId="0" applyFont="0" applyFill="0" applyBorder="0" applyAlignment="0" applyProtection="0"/>
    <xf numFmtId="176" fontId="2" fillId="0" borderId="0" applyFont="0" applyFill="0" applyBorder="0" applyProtection="0">
      <alignment vertical="top"/>
    </xf>
    <xf numFmtId="176" fontId="47" fillId="0" borderId="0" applyNumberFormat="0" applyFill="0" applyBorder="0" applyAlignment="0" applyProtection="0">
      <alignment vertical="top"/>
    </xf>
    <xf numFmtId="178" fontId="2" fillId="0" borderId="0" applyFont="0" applyFill="0" applyBorder="0" applyProtection="0">
      <alignment vertical="top"/>
    </xf>
    <xf numFmtId="176" fontId="2" fillId="0" borderId="0" applyFont="0" applyFill="0" applyBorder="0" applyProtection="0">
      <alignment vertical="top"/>
    </xf>
    <xf numFmtId="44" fontId="2" fillId="0" borderId="0" applyFont="0" applyFill="0" applyBorder="0" applyAlignment="0" applyProtection="0"/>
    <xf numFmtId="0" fontId="2" fillId="0" borderId="0"/>
    <xf numFmtId="176" fontId="1" fillId="0" borderId="0" applyFont="0" applyFill="0" applyBorder="0" applyProtection="0">
      <alignment vertical="top"/>
    </xf>
    <xf numFmtId="0" fontId="3" fillId="0" borderId="0"/>
    <xf numFmtId="0" fontId="3" fillId="0" borderId="0"/>
    <xf numFmtId="9" fontId="1" fillId="0" borderId="0" applyFont="0" applyFill="0" applyBorder="0" applyAlignment="0" applyProtection="0"/>
    <xf numFmtId="0" fontId="3" fillId="0" borderId="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1034">
    <xf numFmtId="0" fontId="0" fillId="0" borderId="0" xfId="0"/>
    <xf numFmtId="0" fontId="4" fillId="0" borderId="0" xfId="0" applyFont="1"/>
    <xf numFmtId="0" fontId="9" fillId="0" borderId="0" xfId="0" applyFont="1"/>
    <xf numFmtId="0" fontId="10" fillId="0" borderId="0" xfId="13" applyFont="1"/>
    <xf numFmtId="0" fontId="9" fillId="0" borderId="0" xfId="13" applyFont="1"/>
    <xf numFmtId="0" fontId="10" fillId="0" borderId="0" xfId="0" applyFont="1"/>
    <xf numFmtId="0" fontId="10" fillId="5" borderId="0" xfId="0" applyFont="1" applyFill="1"/>
    <xf numFmtId="0" fontId="9" fillId="5" borderId="0" xfId="0" applyFont="1" applyFill="1"/>
    <xf numFmtId="0" fontId="0" fillId="5" borderId="0" xfId="0" applyFill="1"/>
    <xf numFmtId="0" fontId="15" fillId="6" borderId="0" xfId="11" applyFont="1" applyFill="1"/>
    <xf numFmtId="0" fontId="14" fillId="6" borderId="0" xfId="11" applyFont="1" applyFill="1" applyAlignment="1">
      <alignment horizontal="left"/>
    </xf>
    <xf numFmtId="0" fontId="14" fillId="6" borderId="0" xfId="11" applyFont="1" applyFill="1"/>
    <xf numFmtId="0" fontId="15" fillId="0" borderId="0" xfId="13" applyFont="1"/>
    <xf numFmtId="0" fontId="15" fillId="0" borderId="0" xfId="0" applyFont="1"/>
    <xf numFmtId="0" fontId="15" fillId="6" borderId="0" xfId="11" applyFont="1" applyFill="1" applyAlignment="1">
      <alignment horizontal="left"/>
    </xf>
    <xf numFmtId="0" fontId="15" fillId="0" borderId="0" xfId="11" applyFont="1"/>
    <xf numFmtId="0" fontId="17" fillId="0" borderId="0" xfId="11" applyFont="1"/>
    <xf numFmtId="0" fontId="33" fillId="0" borderId="0" xfId="13" applyFont="1"/>
    <xf numFmtId="0" fontId="33" fillId="0" borderId="0" xfId="13" applyFont="1" applyAlignment="1">
      <alignment vertical="center"/>
    </xf>
    <xf numFmtId="0" fontId="21" fillId="6" borderId="0" xfId="4" applyFont="1" applyFill="1" applyAlignment="1" applyProtection="1">
      <alignment horizontal="left"/>
    </xf>
    <xf numFmtId="0" fontId="15" fillId="0" borderId="0" xfId="0" applyFont="1" applyAlignment="1">
      <alignment vertical="top"/>
    </xf>
    <xf numFmtId="0" fontId="23" fillId="0" borderId="0" xfId="0" applyFont="1"/>
    <xf numFmtId="0" fontId="15" fillId="2" borderId="0" xfId="0" applyFont="1" applyFill="1"/>
    <xf numFmtId="14" fontId="15" fillId="0" borderId="0" xfId="0" applyNumberFormat="1" applyFont="1"/>
    <xf numFmtId="0" fontId="15" fillId="0" borderId="0" xfId="0" applyFont="1" applyAlignment="1">
      <alignment horizontal="left"/>
    </xf>
    <xf numFmtId="165" fontId="15" fillId="0" borderId="0" xfId="0" applyNumberFormat="1" applyFont="1" applyAlignment="1">
      <alignment horizontal="left"/>
    </xf>
    <xf numFmtId="0" fontId="15" fillId="0" borderId="0" xfId="13" applyFont="1" applyAlignment="1">
      <alignment vertical="top"/>
    </xf>
    <xf numFmtId="0" fontId="15" fillId="6" borderId="0" xfId="0" applyFont="1" applyFill="1"/>
    <xf numFmtId="0" fontId="15" fillId="0" borderId="0" xfId="11" applyFont="1" applyAlignment="1">
      <alignment horizontal="left"/>
    </xf>
    <xf numFmtId="165" fontId="15" fillId="0" borderId="0" xfId="0" applyNumberFormat="1" applyFont="1"/>
    <xf numFmtId="0" fontId="14" fillId="0" borderId="0" xfId="0" applyFont="1" applyAlignment="1">
      <alignment vertical="top"/>
    </xf>
    <xf numFmtId="164" fontId="15" fillId="0" borderId="0" xfId="0" applyNumberFormat="1" applyFont="1" applyAlignment="1">
      <alignment vertical="top"/>
    </xf>
    <xf numFmtId="165" fontId="15" fillId="0" borderId="0" xfId="0" applyNumberFormat="1" applyFont="1" applyAlignment="1">
      <alignment vertical="top"/>
    </xf>
    <xf numFmtId="9" fontId="15" fillId="0" borderId="0" xfId="8" applyFont="1" applyFill="1" applyBorder="1" applyAlignment="1" applyProtection="1">
      <alignment horizontal="center" vertical="top"/>
    </xf>
    <xf numFmtId="0" fontId="15" fillId="0" borderId="0" xfId="0" applyFont="1" applyAlignment="1">
      <alignment horizontal="left" vertical="top" wrapText="1"/>
    </xf>
    <xf numFmtId="0" fontId="34" fillId="0" borderId="0" xfId="0" applyFont="1"/>
    <xf numFmtId="0" fontId="12" fillId="3" borderId="0" xfId="11" applyFont="1" applyFill="1" applyAlignment="1">
      <alignment vertical="center"/>
    </xf>
    <xf numFmtId="0" fontId="12" fillId="3" borderId="16" xfId="11" applyFont="1" applyFill="1" applyBorder="1" applyAlignment="1">
      <alignment vertical="center"/>
    </xf>
    <xf numFmtId="0" fontId="37" fillId="8" borderId="16" xfId="0" applyFont="1" applyFill="1" applyBorder="1" applyAlignment="1">
      <alignment vertical="center"/>
    </xf>
    <xf numFmtId="0" fontId="37" fillId="3" borderId="0" xfId="11" applyFont="1" applyFill="1" applyAlignment="1">
      <alignment vertical="center"/>
    </xf>
    <xf numFmtId="0" fontId="28" fillId="8" borderId="0" xfId="11" applyFont="1" applyFill="1" applyAlignment="1">
      <alignment vertical="center"/>
    </xf>
    <xf numFmtId="0" fontId="28" fillId="0" borderId="0" xfId="11" applyFont="1" applyAlignment="1">
      <alignment vertical="center"/>
    </xf>
    <xf numFmtId="0" fontId="27" fillId="3" borderId="0" xfId="11" applyFont="1" applyFill="1" applyAlignment="1">
      <alignment vertical="center"/>
    </xf>
    <xf numFmtId="0" fontId="27" fillId="0" borderId="0" xfId="11" applyFont="1" applyAlignment="1">
      <alignment vertical="center"/>
    </xf>
    <xf numFmtId="0" fontId="28" fillId="0" borderId="0" xfId="11" applyFont="1"/>
    <xf numFmtId="0" fontId="38" fillId="8" borderId="0" xfId="11" applyFont="1" applyFill="1"/>
    <xf numFmtId="0" fontId="38" fillId="0" borderId="0" xfId="11" applyFont="1"/>
    <xf numFmtId="0" fontId="28" fillId="8" borderId="0" xfId="11" applyFont="1" applyFill="1"/>
    <xf numFmtId="0" fontId="26" fillId="6" borderId="0" xfId="11" applyFont="1" applyFill="1" applyAlignment="1">
      <alignment horizontal="left"/>
    </xf>
    <xf numFmtId="0" fontId="12" fillId="3" borderId="0" xfId="11" applyFont="1" applyFill="1" applyAlignment="1">
      <alignment horizontal="left" vertical="center"/>
    </xf>
    <xf numFmtId="0" fontId="35" fillId="6" borderId="0" xfId="0" applyFont="1" applyFill="1" applyAlignment="1">
      <alignment horizontal="left"/>
    </xf>
    <xf numFmtId="0" fontId="15" fillId="6" borderId="0" xfId="0" applyFont="1" applyFill="1" applyAlignment="1">
      <alignment horizontal="left"/>
    </xf>
    <xf numFmtId="0" fontId="15" fillId="6" borderId="0" xfId="11" applyFont="1" applyFill="1" applyAlignment="1">
      <alignment horizontal="left" vertical="top"/>
    </xf>
    <xf numFmtId="0" fontId="37" fillId="8" borderId="0" xfId="11" applyFont="1" applyFill="1" applyAlignment="1">
      <alignment horizontal="left" vertical="top"/>
    </xf>
    <xf numFmtId="0" fontId="37" fillId="3" borderId="0" xfId="11" applyFont="1" applyFill="1" applyAlignment="1">
      <alignment horizontal="left" vertical="center"/>
    </xf>
    <xf numFmtId="0" fontId="28" fillId="0" borderId="0" xfId="0" applyFont="1" applyAlignment="1">
      <alignment vertical="top"/>
    </xf>
    <xf numFmtId="165" fontId="15" fillId="0" borderId="0" xfId="0" applyNumberFormat="1" applyFont="1" applyAlignment="1">
      <alignment wrapText="1"/>
    </xf>
    <xf numFmtId="0" fontId="0" fillId="0" borderId="0" xfId="0" applyAlignment="1">
      <alignment horizontal="left" vertical="top" wrapText="1"/>
    </xf>
    <xf numFmtId="0" fontId="37" fillId="8" borderId="8" xfId="11" applyFont="1" applyFill="1" applyBorder="1" applyAlignment="1">
      <alignment horizontal="left" vertical="top"/>
    </xf>
    <xf numFmtId="0" fontId="28" fillId="8" borderId="8" xfId="11" applyFont="1" applyFill="1" applyBorder="1"/>
    <xf numFmtId="0" fontId="28" fillId="8" borderId="9" xfId="11" applyFont="1" applyFill="1" applyBorder="1"/>
    <xf numFmtId="0" fontId="39" fillId="0" borderId="0" xfId="0" applyFont="1" applyProtection="1">
      <protection locked="0"/>
    </xf>
    <xf numFmtId="0" fontId="15" fillId="0" borderId="0" xfId="0" applyFont="1" applyProtection="1">
      <protection locked="0"/>
    </xf>
    <xf numFmtId="0" fontId="40" fillId="0" borderId="0" xfId="0" applyFont="1" applyAlignment="1">
      <alignment wrapText="1"/>
    </xf>
    <xf numFmtId="0" fontId="15" fillId="0" borderId="0" xfId="11" applyFont="1" applyAlignment="1">
      <alignment wrapText="1"/>
    </xf>
    <xf numFmtId="0" fontId="34" fillId="6" borderId="0" xfId="11" applyFont="1" applyFill="1"/>
    <xf numFmtId="0" fontId="15" fillId="6" borderId="0" xfId="0" applyFont="1" applyFill="1" applyAlignment="1">
      <alignment vertical="top"/>
    </xf>
    <xf numFmtId="0" fontId="34"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3" fillId="3" borderId="29" xfId="0" applyFont="1" applyFill="1" applyBorder="1" applyAlignment="1">
      <alignment horizontal="left"/>
    </xf>
    <xf numFmtId="0" fontId="17" fillId="3" borderId="24" xfId="0" applyFont="1" applyFill="1" applyBorder="1" applyAlignment="1">
      <alignment horizontal="left"/>
    </xf>
    <xf numFmtId="0" fontId="24" fillId="3" borderId="24" xfId="0" applyFont="1" applyFill="1" applyBorder="1" applyAlignment="1">
      <alignment horizontal="left"/>
    </xf>
    <xf numFmtId="0" fontId="25" fillId="3" borderId="24" xfId="0" applyFont="1" applyFill="1" applyBorder="1" applyAlignment="1">
      <alignment horizontal="left"/>
    </xf>
    <xf numFmtId="0" fontId="17" fillId="3" borderId="25" xfId="0" applyFont="1" applyFill="1" applyBorder="1" applyAlignment="1">
      <alignment horizontal="left"/>
    </xf>
    <xf numFmtId="0" fontId="30" fillId="0" borderId="0" xfId="11" applyFont="1" applyAlignment="1">
      <alignment vertical="top"/>
    </xf>
    <xf numFmtId="0" fontId="44" fillId="0" borderId="0" xfId="13" applyFont="1"/>
    <xf numFmtId="0" fontId="44" fillId="0" borderId="0" xfId="0" applyFont="1"/>
    <xf numFmtId="0" fontId="14" fillId="0" borderId="0" xfId="0" applyFont="1" applyAlignment="1">
      <alignment horizontal="left" vertical="top"/>
    </xf>
    <xf numFmtId="0" fontId="34" fillId="0" borderId="0" xfId="13" applyFont="1" applyAlignment="1">
      <alignment vertical="center"/>
    </xf>
    <xf numFmtId="0" fontId="34" fillId="0" borderId="0" xfId="0" applyFont="1" applyAlignment="1">
      <alignment vertical="top"/>
    </xf>
    <xf numFmtId="0" fontId="14" fillId="0" borderId="0" xfId="0" applyFont="1" applyAlignment="1">
      <alignment horizontal="center"/>
    </xf>
    <xf numFmtId="174" fontId="15" fillId="10" borderId="2" xfId="13" applyNumberFormat="1" applyFont="1" applyFill="1" applyBorder="1" applyAlignment="1">
      <alignment vertical="center"/>
    </xf>
    <xf numFmtId="0" fontId="15" fillId="10" borderId="9" xfId="13" applyFont="1" applyFill="1" applyBorder="1" applyAlignment="1">
      <alignment vertical="center"/>
    </xf>
    <xf numFmtId="0" fontId="15" fillId="11" borderId="35" xfId="0" applyFont="1" applyFill="1" applyBorder="1" applyAlignment="1" applyProtection="1">
      <alignment vertical="top"/>
      <protection locked="0"/>
    </xf>
    <xf numFmtId="0" fontId="15" fillId="11" borderId="5" xfId="0" applyFont="1" applyFill="1" applyBorder="1" applyAlignment="1" applyProtection="1">
      <alignment vertical="top"/>
      <protection locked="0"/>
    </xf>
    <xf numFmtId="0" fontId="15" fillId="11" borderId="36" xfId="0" applyFont="1" applyFill="1" applyBorder="1" applyAlignment="1" applyProtection="1">
      <alignment vertical="top"/>
      <protection locked="0"/>
    </xf>
    <xf numFmtId="0" fontId="15" fillId="11" borderId="3" xfId="0" applyFont="1" applyFill="1" applyBorder="1" applyAlignment="1" applyProtection="1">
      <alignment vertical="top"/>
      <protection locked="0"/>
    </xf>
    <xf numFmtId="0" fontId="15" fillId="11" borderId="0" xfId="0" applyFont="1" applyFill="1" applyAlignment="1" applyProtection="1">
      <alignment vertical="top"/>
      <protection locked="0"/>
    </xf>
    <xf numFmtId="0" fontId="15" fillId="11" borderId="26" xfId="0" applyFont="1" applyFill="1" applyBorder="1" applyAlignment="1" applyProtection="1">
      <alignment vertical="top"/>
      <protection locked="0"/>
    </xf>
    <xf numFmtId="0" fontId="15" fillId="11" borderId="13" xfId="0" applyFont="1" applyFill="1" applyBorder="1" applyAlignment="1" applyProtection="1">
      <alignment vertical="top"/>
      <protection locked="0"/>
    </xf>
    <xf numFmtId="0" fontId="15" fillId="11" borderId="27" xfId="0" applyFont="1" applyFill="1" applyBorder="1" applyAlignment="1" applyProtection="1">
      <alignment vertical="top"/>
      <protection locked="0"/>
    </xf>
    <xf numFmtId="0" fontId="15" fillId="11" borderId="28" xfId="0" applyFont="1" applyFill="1" applyBorder="1" applyAlignment="1" applyProtection="1">
      <alignment vertical="top"/>
      <protection locked="0"/>
    </xf>
    <xf numFmtId="0" fontId="43" fillId="0" borderId="0" xfId="0" applyFont="1" applyAlignment="1">
      <alignment vertical="center"/>
    </xf>
    <xf numFmtId="0" fontId="35" fillId="0" borderId="0" xfId="0" applyFont="1" applyAlignment="1">
      <alignment vertical="center"/>
    </xf>
    <xf numFmtId="0" fontId="34" fillId="0" borderId="0" xfId="11" applyFont="1"/>
    <xf numFmtId="0" fontId="45" fillId="0" borderId="0" xfId="0" applyFont="1" applyAlignment="1">
      <alignment wrapText="1"/>
    </xf>
    <xf numFmtId="0" fontId="16" fillId="6" borderId="0" xfId="11" applyFont="1" applyFill="1" applyAlignment="1">
      <alignment horizontal="left"/>
    </xf>
    <xf numFmtId="0" fontId="49" fillId="8" borderId="0" xfId="11" applyFont="1" applyFill="1" applyAlignment="1">
      <alignment horizontal="left" vertical="center"/>
    </xf>
    <xf numFmtId="0" fontId="12" fillId="3" borderId="16" xfId="11" applyFont="1" applyFill="1" applyBorder="1" applyAlignment="1">
      <alignment horizontal="left" vertical="center"/>
    </xf>
    <xf numFmtId="0" fontId="27" fillId="3" borderId="17" xfId="11" applyFont="1" applyFill="1" applyBorder="1" applyAlignment="1">
      <alignment vertical="center"/>
    </xf>
    <xf numFmtId="0" fontId="12" fillId="3" borderId="17" xfId="11" applyFont="1" applyFill="1" applyBorder="1" applyAlignment="1">
      <alignment vertical="center"/>
    </xf>
    <xf numFmtId="0" fontId="27" fillId="3" borderId="18" xfId="11" applyFont="1" applyFill="1" applyBorder="1" applyAlignment="1">
      <alignment vertical="center"/>
    </xf>
    <xf numFmtId="0" fontId="36" fillId="6" borderId="0" xfId="11" applyFont="1" applyFill="1"/>
    <xf numFmtId="0" fontId="36" fillId="0" borderId="0" xfId="11" applyFont="1"/>
    <xf numFmtId="0" fontId="36" fillId="0" borderId="0" xfId="11" applyFont="1" applyAlignment="1">
      <alignment horizontal="left" vertical="top"/>
    </xf>
    <xf numFmtId="0" fontId="3" fillId="0" borderId="0" xfId="0" applyFont="1"/>
    <xf numFmtId="168" fontId="15" fillId="0" borderId="0" xfId="5" applyNumberFormat="1" applyFont="1" applyBorder="1" applyProtection="1"/>
    <xf numFmtId="10" fontId="0" fillId="0" borderId="0" xfId="0" applyNumberFormat="1"/>
    <xf numFmtId="9" fontId="0" fillId="0" borderId="0" xfId="0" applyNumberFormat="1"/>
    <xf numFmtId="8" fontId="0" fillId="0" borderId="0" xfId="0" applyNumberFormat="1"/>
    <xf numFmtId="6" fontId="0" fillId="0" borderId="0" xfId="0" applyNumberFormat="1"/>
    <xf numFmtId="6" fontId="3" fillId="0" borderId="0" xfId="0" applyNumberFormat="1" applyFont="1"/>
    <xf numFmtId="181" fontId="0" fillId="0" borderId="0" xfId="0" applyNumberFormat="1"/>
    <xf numFmtId="14" fontId="15" fillId="6" borderId="0" xfId="0" applyNumberFormat="1" applyFont="1" applyFill="1" applyAlignment="1" applyProtection="1">
      <alignment horizontal="center" vertical="center"/>
      <protection locked="0"/>
    </xf>
    <xf numFmtId="14" fontId="15" fillId="6" borderId="0" xfId="0" applyNumberFormat="1" applyFont="1" applyFill="1" applyAlignment="1">
      <alignment horizontal="center" vertical="center"/>
    </xf>
    <xf numFmtId="0" fontId="28" fillId="2" borderId="0" xfId="13" applyFont="1" applyFill="1" applyAlignment="1">
      <alignment vertical="center"/>
    </xf>
    <xf numFmtId="0" fontId="28" fillId="0" borderId="0" xfId="13" applyFont="1" applyAlignment="1">
      <alignment vertical="center"/>
    </xf>
    <xf numFmtId="0" fontId="34" fillId="0" borderId="0" xfId="13" applyFont="1" applyAlignment="1">
      <alignment horizontal="left" vertical="center"/>
    </xf>
    <xf numFmtId="0" fontId="0" fillId="0" borderId="0" xfId="0" applyAlignment="1">
      <alignment vertical="center"/>
    </xf>
    <xf numFmtId="0" fontId="34" fillId="0" borderId="0" xfId="11" applyFont="1" applyAlignment="1">
      <alignment horizontal="left"/>
    </xf>
    <xf numFmtId="168" fontId="15" fillId="0" borderId="0" xfId="5" applyNumberFormat="1" applyFont="1"/>
    <xf numFmtId="14" fontId="33" fillId="6" borderId="0" xfId="0" applyNumberFormat="1" applyFont="1" applyFill="1" applyAlignment="1" applyProtection="1">
      <alignment horizontal="center" vertical="center"/>
      <protection locked="0"/>
    </xf>
    <xf numFmtId="14" fontId="33" fillId="6" borderId="0" xfId="0" applyNumberFormat="1" applyFont="1" applyFill="1" applyAlignment="1" applyProtection="1">
      <alignment horizontal="left" vertical="center"/>
      <protection locked="0"/>
    </xf>
    <xf numFmtId="14" fontId="33" fillId="6" borderId="0" xfId="0" applyNumberFormat="1" applyFont="1" applyFill="1" applyAlignment="1">
      <alignment horizontal="left" vertical="center"/>
    </xf>
    <xf numFmtId="0" fontId="56" fillId="0" borderId="0" xfId="0" applyFont="1" applyAlignment="1">
      <alignment vertical="center"/>
    </xf>
    <xf numFmtId="0" fontId="34" fillId="0" borderId="0" xfId="0" applyFont="1" applyAlignment="1">
      <alignment vertical="center" wrapText="1"/>
    </xf>
    <xf numFmtId="0" fontId="15" fillId="0" borderId="0" xfId="0" applyFont="1" applyAlignment="1">
      <alignment horizontal="left" vertical="center"/>
    </xf>
    <xf numFmtId="0" fontId="15" fillId="0" borderId="0" xfId="13" applyFont="1" applyAlignment="1">
      <alignment vertical="center"/>
    </xf>
    <xf numFmtId="165" fontId="15" fillId="0" borderId="0" xfId="0" applyNumberFormat="1" applyFont="1" applyAlignment="1">
      <alignment horizontal="left" vertical="center"/>
    </xf>
    <xf numFmtId="0" fontId="15" fillId="0" borderId="0" xfId="13" applyFont="1" applyAlignment="1">
      <alignment vertical="center" wrapText="1"/>
    </xf>
    <xf numFmtId="0" fontId="30" fillId="0" borderId="0" xfId="0" applyFont="1" applyAlignment="1">
      <alignment horizontal="left" vertical="center"/>
    </xf>
    <xf numFmtId="0" fontId="14" fillId="0" borderId="0" xfId="0" applyFont="1" applyAlignment="1">
      <alignment horizontal="left" vertical="center"/>
    </xf>
    <xf numFmtId="0" fontId="28" fillId="0" borderId="0" xfId="0" applyFont="1" applyAlignment="1">
      <alignment horizontal="left" vertical="center"/>
    </xf>
    <xf numFmtId="0" fontId="12" fillId="3" borderId="0" xfId="0" applyFont="1" applyFill="1" applyAlignment="1">
      <alignment horizontal="left" vertical="center"/>
    </xf>
    <xf numFmtId="0" fontId="27" fillId="3" borderId="0" xfId="0" applyFont="1" applyFill="1" applyAlignment="1">
      <alignment horizontal="left" vertical="center"/>
    </xf>
    <xf numFmtId="0" fontId="28" fillId="8" borderId="0" xfId="13" applyFont="1" applyFill="1" applyAlignment="1">
      <alignment vertical="center"/>
    </xf>
    <xf numFmtId="0" fontId="15" fillId="0" borderId="0" xfId="0" quotePrefix="1" applyFont="1" applyAlignment="1">
      <alignment horizontal="left" vertical="center"/>
    </xf>
    <xf numFmtId="0" fontId="15" fillId="0" borderId="12" xfId="0" applyFont="1" applyBorder="1" applyAlignment="1">
      <alignment horizontal="left" vertical="center"/>
    </xf>
    <xf numFmtId="0" fontId="15" fillId="0" borderId="8" xfId="0" applyFont="1" applyBorder="1" applyAlignment="1">
      <alignment horizontal="left" vertical="center"/>
    </xf>
    <xf numFmtId="0" fontId="9" fillId="0" borderId="0" xfId="0" applyFont="1" applyAlignment="1">
      <alignment vertical="center"/>
    </xf>
    <xf numFmtId="0" fontId="15" fillId="2" borderId="0" xfId="13" applyFont="1" applyFill="1" applyAlignment="1">
      <alignment vertical="center"/>
    </xf>
    <xf numFmtId="0" fontId="13" fillId="0" borderId="0" xfId="13" applyFont="1" applyAlignment="1">
      <alignment vertical="center"/>
    </xf>
    <xf numFmtId="0" fontId="17" fillId="0" borderId="0" xfId="13" applyFont="1" applyAlignment="1">
      <alignment vertical="center"/>
    </xf>
    <xf numFmtId="0" fontId="28" fillId="3" borderId="0" xfId="0" applyFont="1" applyFill="1" applyAlignment="1">
      <alignment horizontal="left" vertical="center"/>
    </xf>
    <xf numFmtId="0" fontId="12" fillId="3" borderId="0" xfId="13" applyFont="1" applyFill="1" applyAlignment="1">
      <alignment vertical="center"/>
    </xf>
    <xf numFmtId="171" fontId="12" fillId="3" borderId="0" xfId="5" applyNumberFormat="1" applyFont="1" applyFill="1" applyAlignment="1">
      <alignment vertical="center"/>
    </xf>
    <xf numFmtId="0" fontId="14" fillId="0" borderId="0" xfId="13" applyFont="1" applyAlignment="1">
      <alignment vertical="center"/>
    </xf>
    <xf numFmtId="0" fontId="14" fillId="2" borderId="0" xfId="13" applyFont="1" applyFill="1" applyAlignment="1">
      <alignment vertical="center"/>
    </xf>
    <xf numFmtId="0" fontId="14" fillId="0" borderId="8" xfId="0" applyFont="1" applyBorder="1" applyAlignment="1">
      <alignment vertical="center"/>
    </xf>
    <xf numFmtId="0" fontId="15" fillId="11" borderId="1" xfId="13" applyFont="1" applyFill="1" applyBorder="1" applyAlignment="1" applyProtection="1">
      <alignment horizontal="center" vertical="center"/>
      <protection locked="0"/>
    </xf>
    <xf numFmtId="0" fontId="15" fillId="11" borderId="8" xfId="13" applyFont="1" applyFill="1" applyBorder="1" applyAlignment="1" applyProtection="1">
      <alignment vertical="center"/>
      <protection locked="0"/>
    </xf>
    <xf numFmtId="42" fontId="15" fillId="10" borderId="1" xfId="5" applyNumberFormat="1" applyFont="1" applyFill="1" applyBorder="1" applyAlignment="1" applyProtection="1">
      <alignment horizontal="center" vertical="center"/>
    </xf>
    <xf numFmtId="0" fontId="14" fillId="0" borderId="0" xfId="13" applyFont="1" applyAlignment="1">
      <alignment horizontal="left" vertical="center"/>
    </xf>
    <xf numFmtId="0" fontId="15" fillId="0" borderId="0" xfId="13" applyFont="1" applyAlignment="1">
      <alignment horizontal="center" vertical="center"/>
    </xf>
    <xf numFmtId="169" fontId="15" fillId="0" borderId="0" xfId="1" applyNumberFormat="1" applyFont="1" applyFill="1" applyAlignment="1">
      <alignment vertical="center"/>
    </xf>
    <xf numFmtId="0" fontId="27" fillId="3" borderId="0" xfId="0" quotePrefix="1" applyFont="1" applyFill="1" applyAlignment="1">
      <alignment horizontal="left" vertical="center"/>
    </xf>
    <xf numFmtId="0" fontId="28" fillId="8" borderId="5" xfId="13" applyFont="1" applyFill="1" applyBorder="1" applyAlignment="1">
      <alignment vertical="center"/>
    </xf>
    <xf numFmtId="171" fontId="28" fillId="8" borderId="6" xfId="13" applyNumberFormat="1" applyFont="1" applyFill="1" applyBorder="1" applyAlignment="1">
      <alignment horizontal="center" vertical="center"/>
    </xf>
    <xf numFmtId="0" fontId="11" fillId="2" borderId="0" xfId="13" applyFont="1" applyFill="1" applyAlignment="1">
      <alignment vertical="center"/>
    </xf>
    <xf numFmtId="0" fontId="14" fillId="0" borderId="0" xfId="13" applyFont="1" applyAlignment="1">
      <alignment vertical="center" wrapText="1"/>
    </xf>
    <xf numFmtId="0" fontId="11" fillId="0" borderId="0" xfId="13" applyFont="1" applyAlignment="1">
      <alignment vertical="center"/>
    </xf>
    <xf numFmtId="0" fontId="14" fillId="2" borderId="0" xfId="13" applyFont="1" applyFill="1" applyAlignment="1">
      <alignment vertical="center" wrapText="1"/>
    </xf>
    <xf numFmtId="0" fontId="15" fillId="2" borderId="0" xfId="13" applyFont="1" applyFill="1" applyAlignment="1">
      <alignment horizontal="left" vertical="center"/>
    </xf>
    <xf numFmtId="0" fontId="15" fillId="11" borderId="1" xfId="13" applyFont="1" applyFill="1" applyBorder="1" applyAlignment="1" applyProtection="1">
      <alignment horizontal="left" vertical="center"/>
      <protection locked="0"/>
    </xf>
    <xf numFmtId="0" fontId="15" fillId="11" borderId="1" xfId="13" applyFont="1" applyFill="1" applyBorder="1" applyAlignment="1" applyProtection="1">
      <alignment vertical="center"/>
      <protection locked="0"/>
    </xf>
    <xf numFmtId="169" fontId="15" fillId="11" borderId="1" xfId="14" applyNumberFormat="1" applyFont="1" applyFill="1" applyBorder="1" applyAlignment="1" applyProtection="1">
      <alignment horizontal="center" vertical="center"/>
      <protection locked="0"/>
    </xf>
    <xf numFmtId="168" fontId="15" fillId="11" borderId="1" xfId="5" applyNumberFormat="1" applyFont="1" applyFill="1" applyBorder="1" applyAlignment="1" applyProtection="1">
      <alignment horizontal="center" vertical="center"/>
      <protection locked="0"/>
    </xf>
    <xf numFmtId="0" fontId="15" fillId="0" borderId="0" xfId="13" applyFont="1" applyAlignment="1">
      <alignment horizontal="left" vertical="center"/>
    </xf>
    <xf numFmtId="171" fontId="15" fillId="0" borderId="0" xfId="13" applyNumberFormat="1" applyFont="1" applyAlignment="1">
      <alignment vertical="center"/>
    </xf>
    <xf numFmtId="0" fontId="15" fillId="0" borderId="7" xfId="13" applyFont="1" applyBorder="1" applyAlignment="1">
      <alignment vertical="center"/>
    </xf>
    <xf numFmtId="0" fontId="18" fillId="2" borderId="0" xfId="13" applyFont="1" applyFill="1" applyAlignment="1">
      <alignment vertical="center"/>
    </xf>
    <xf numFmtId="0" fontId="18" fillId="0" borderId="0" xfId="13" applyFont="1" applyAlignment="1">
      <alignment vertical="center"/>
    </xf>
    <xf numFmtId="0" fontId="28" fillId="0" borderId="0" xfId="0" applyFont="1" applyAlignment="1">
      <alignment vertical="center"/>
    </xf>
    <xf numFmtId="0" fontId="11" fillId="0" borderId="0" xfId="0" applyFont="1" applyAlignment="1">
      <alignment vertical="center"/>
    </xf>
    <xf numFmtId="168" fontId="14" fillId="0" borderId="0" xfId="13" applyNumberFormat="1" applyFont="1" applyAlignment="1">
      <alignment vertical="center"/>
    </xf>
    <xf numFmtId="0" fontId="55" fillId="0" borderId="0" xfId="13" applyFont="1" applyAlignment="1">
      <alignment horizontal="center" vertical="center"/>
    </xf>
    <xf numFmtId="42" fontId="14" fillId="0" borderId="0" xfId="1" applyNumberFormat="1" applyFont="1" applyFill="1" applyBorder="1" applyAlignment="1">
      <alignment vertical="center"/>
    </xf>
    <xf numFmtId="0" fontId="15" fillId="0" borderId="0" xfId="0" applyFont="1" applyAlignment="1">
      <alignment vertical="center" wrapText="1"/>
    </xf>
    <xf numFmtId="0" fontId="18" fillId="0" borderId="0" xfId="0" applyFont="1" applyAlignment="1">
      <alignment vertical="center" wrapText="1"/>
    </xf>
    <xf numFmtId="0" fontId="18" fillId="0" borderId="0" xfId="0" applyFont="1" applyAlignment="1">
      <alignment vertical="center"/>
    </xf>
    <xf numFmtId="0" fontId="14" fillId="0" borderId="7" xfId="13" applyFont="1" applyBorder="1" applyAlignment="1">
      <alignment vertical="center"/>
    </xf>
    <xf numFmtId="0" fontId="28" fillId="0" borderId="0" xfId="13" applyFont="1" applyAlignment="1">
      <alignment vertical="center" wrapText="1"/>
    </xf>
    <xf numFmtId="0" fontId="15" fillId="0" borderId="8" xfId="13" applyFont="1" applyBorder="1" applyAlignment="1">
      <alignment vertical="center"/>
    </xf>
    <xf numFmtId="169" fontId="15" fillId="0" borderId="0" xfId="1" applyNumberFormat="1" applyFont="1" applyFill="1" applyAlignment="1" applyProtection="1">
      <alignment vertical="center"/>
    </xf>
    <xf numFmtId="0" fontId="14" fillId="0" borderId="41" xfId="13" applyFont="1" applyBorder="1" applyAlignment="1">
      <alignment vertical="center"/>
    </xf>
    <xf numFmtId="0" fontId="15" fillId="0" borderId="41" xfId="13" applyFont="1" applyBorder="1" applyAlignment="1">
      <alignment vertical="center"/>
    </xf>
    <xf numFmtId="0" fontId="27" fillId="3" borderId="0" xfId="13" applyFont="1" applyFill="1" applyAlignment="1">
      <alignment vertical="center"/>
    </xf>
    <xf numFmtId="169" fontId="27" fillId="3" borderId="0" xfId="1" applyNumberFormat="1" applyFont="1" applyFill="1" applyAlignment="1">
      <alignment vertical="center"/>
    </xf>
    <xf numFmtId="0" fontId="15" fillId="2" borderId="0" xfId="0" applyFont="1" applyFill="1" applyAlignment="1">
      <alignment horizontal="left" vertical="center" wrapText="1"/>
    </xf>
    <xf numFmtId="0" fontId="15" fillId="0" borderId="2" xfId="0" applyFont="1" applyBorder="1" applyAlignment="1">
      <alignment vertical="center"/>
    </xf>
    <xf numFmtId="0" fontId="15" fillId="0" borderId="8" xfId="0" applyFont="1" applyBorder="1" applyAlignment="1">
      <alignment vertical="center"/>
    </xf>
    <xf numFmtId="169" fontId="15" fillId="10" borderId="1" xfId="7" applyNumberFormat="1" applyFont="1" applyFill="1" applyBorder="1" applyAlignment="1" applyProtection="1">
      <alignment vertical="center"/>
    </xf>
    <xf numFmtId="0" fontId="15" fillId="0" borderId="12" xfId="0" applyFont="1" applyBorder="1" applyAlignment="1">
      <alignment vertical="center"/>
    </xf>
    <xf numFmtId="0" fontId="15" fillId="0" borderId="11" xfId="0" applyFont="1" applyBorder="1" applyAlignment="1">
      <alignment vertical="center"/>
    </xf>
    <xf numFmtId="44" fontId="15" fillId="0" borderId="0" xfId="13" applyNumberFormat="1" applyFont="1" applyAlignment="1">
      <alignment vertical="center"/>
    </xf>
    <xf numFmtId="44" fontId="34" fillId="0" borderId="0" xfId="0" applyNumberFormat="1" applyFont="1" applyAlignment="1">
      <alignment vertical="center" wrapText="1"/>
    </xf>
    <xf numFmtId="0" fontId="15" fillId="6" borderId="0" xfId="13" applyFont="1" applyFill="1" applyAlignment="1">
      <alignment vertical="center"/>
    </xf>
    <xf numFmtId="0" fontId="15" fillId="6" borderId="0" xfId="0" applyFont="1" applyFill="1" applyAlignment="1">
      <alignment vertical="center"/>
    </xf>
    <xf numFmtId="169" fontId="15" fillId="6" borderId="0" xfId="0" applyNumberFormat="1" applyFont="1" applyFill="1" applyAlignment="1">
      <alignment vertical="center"/>
    </xf>
    <xf numFmtId="0" fontId="34" fillId="6" borderId="0" xfId="0" applyFont="1" applyFill="1" applyAlignment="1">
      <alignment vertical="center" wrapText="1"/>
    </xf>
    <xf numFmtId="171" fontId="15" fillId="6" borderId="0" xfId="13" applyNumberFormat="1" applyFont="1" applyFill="1" applyAlignment="1">
      <alignment vertical="center"/>
    </xf>
    <xf numFmtId="169" fontId="12" fillId="3" borderId="0" xfId="1" applyNumberFormat="1" applyFont="1" applyFill="1" applyAlignment="1">
      <alignment vertical="center"/>
    </xf>
    <xf numFmtId="0" fontId="13" fillId="6" borderId="0" xfId="13" applyFont="1" applyFill="1" applyAlignment="1">
      <alignment vertical="center"/>
    </xf>
    <xf numFmtId="0" fontId="17" fillId="6" borderId="0" xfId="13" applyFont="1" applyFill="1" applyAlignment="1">
      <alignment vertical="center"/>
    </xf>
    <xf numFmtId="169" fontId="13" fillId="6" borderId="0" xfId="1" applyNumberFormat="1" applyFont="1" applyFill="1" applyAlignment="1">
      <alignment vertical="center"/>
    </xf>
    <xf numFmtId="169" fontId="14" fillId="0" borderId="0" xfId="1" applyNumberFormat="1" applyFont="1" applyFill="1" applyAlignment="1">
      <alignment vertical="center"/>
    </xf>
    <xf numFmtId="0" fontId="15" fillId="11" borderId="4" xfId="0" applyFont="1" applyFill="1" applyBorder="1" applyAlignment="1" applyProtection="1">
      <alignment vertical="center"/>
      <protection locked="0"/>
    </xf>
    <xf numFmtId="0" fontId="15" fillId="11" borderId="5" xfId="0" applyFont="1" applyFill="1" applyBorder="1" applyAlignment="1" applyProtection="1">
      <alignment vertical="center"/>
      <protection locked="0"/>
    </xf>
    <xf numFmtId="0" fontId="15" fillId="11" borderId="6" xfId="0" applyFont="1" applyFill="1" applyBorder="1" applyAlignment="1" applyProtection="1">
      <alignment vertical="center"/>
      <protection locked="0"/>
    </xf>
    <xf numFmtId="0" fontId="15" fillId="11" borderId="10" xfId="0" applyFont="1" applyFill="1" applyBorder="1" applyAlignment="1" applyProtection="1">
      <alignment vertical="center"/>
      <protection locked="0"/>
    </xf>
    <xf numFmtId="0" fontId="15" fillId="11" borderId="0" xfId="0" applyFont="1" applyFill="1" applyAlignment="1" applyProtection="1">
      <alignment vertical="center"/>
      <protection locked="0"/>
    </xf>
    <xf numFmtId="0" fontId="15" fillId="11" borderId="37" xfId="0" applyFont="1" applyFill="1" applyBorder="1" applyAlignment="1" applyProtection="1">
      <alignment vertical="center"/>
      <protection locked="0"/>
    </xf>
    <xf numFmtId="0" fontId="15" fillId="11" borderId="11" xfId="0" applyFont="1" applyFill="1" applyBorder="1" applyAlignment="1" applyProtection="1">
      <alignment vertical="center"/>
      <protection locked="0"/>
    </xf>
    <xf numFmtId="0" fontId="15" fillId="11" borderId="12" xfId="0" applyFont="1" applyFill="1" applyBorder="1" applyAlignment="1" applyProtection="1">
      <alignment vertical="center"/>
      <protection locked="0"/>
    </xf>
    <xf numFmtId="0" fontId="15" fillId="11" borderId="38" xfId="0" applyFont="1" applyFill="1" applyBorder="1" applyAlignment="1" applyProtection="1">
      <alignment vertical="center"/>
      <protection locked="0"/>
    </xf>
    <xf numFmtId="0" fontId="14" fillId="0" borderId="0" xfId="13" applyFont="1" applyAlignment="1">
      <alignment horizontal="right" vertical="center"/>
    </xf>
    <xf numFmtId="0" fontId="15" fillId="0" borderId="10" xfId="0" applyFont="1" applyBorder="1" applyAlignment="1">
      <alignment vertical="center"/>
    </xf>
    <xf numFmtId="0" fontId="15" fillId="6" borderId="0" xfId="0" applyFont="1" applyFill="1" applyAlignment="1">
      <alignment horizontal="left" vertical="center"/>
    </xf>
    <xf numFmtId="0" fontId="15" fillId="6" borderId="5" xfId="0" applyFont="1" applyFill="1" applyBorder="1" applyAlignment="1">
      <alignment vertical="center"/>
    </xf>
    <xf numFmtId="169" fontId="15" fillId="6" borderId="5" xfId="7" applyNumberFormat="1" applyFont="1" applyFill="1" applyBorder="1" applyAlignment="1" applyProtection="1">
      <alignment vertical="center"/>
    </xf>
    <xf numFmtId="169" fontId="15" fillId="10" borderId="19" xfId="0" applyNumberFormat="1" applyFont="1" applyFill="1" applyBorder="1" applyAlignment="1">
      <alignment vertical="center"/>
    </xf>
    <xf numFmtId="0" fontId="15" fillId="0" borderId="0" xfId="11" applyFont="1" applyAlignment="1">
      <alignment horizontal="right"/>
    </xf>
    <xf numFmtId="0" fontId="57" fillId="0" borderId="0" xfId="11" applyFont="1" applyAlignment="1">
      <alignment horizontal="left" vertical="top"/>
    </xf>
    <xf numFmtId="168" fontId="15" fillId="11" borderId="1" xfId="5" applyNumberFormat="1" applyFont="1" applyFill="1" applyBorder="1" applyAlignment="1" applyProtection="1">
      <alignment horizontal="right" vertical="center"/>
      <protection locked="0"/>
    </xf>
    <xf numFmtId="0" fontId="15" fillId="11" borderId="8" xfId="13" applyFont="1" applyFill="1" applyBorder="1" applyAlignment="1" applyProtection="1">
      <alignment horizontal="left" vertical="center"/>
      <protection locked="0"/>
    </xf>
    <xf numFmtId="0" fontId="15" fillId="0" borderId="0" xfId="13" applyFont="1" applyAlignment="1">
      <alignment horizontal="left" vertical="center" wrapText="1"/>
    </xf>
    <xf numFmtId="0" fontId="18" fillId="6" borderId="0" xfId="0" applyFont="1" applyFill="1" applyAlignment="1">
      <alignment horizontal="left"/>
    </xf>
    <xf numFmtId="0" fontId="18" fillId="0" borderId="0" xfId="0" applyFont="1"/>
    <xf numFmtId="0" fontId="15" fillId="11" borderId="29" xfId="0" applyFont="1" applyFill="1" applyBorder="1" applyAlignment="1" applyProtection="1">
      <alignment vertical="top"/>
      <protection locked="0"/>
    </xf>
    <xf numFmtId="0" fontId="54" fillId="0" borderId="0" xfId="13" applyFont="1" applyAlignment="1">
      <alignment vertical="center"/>
    </xf>
    <xf numFmtId="169" fontId="15" fillId="10" borderId="50" xfId="7" applyNumberFormat="1" applyFont="1" applyFill="1" applyBorder="1" applyAlignment="1">
      <alignment vertical="center"/>
    </xf>
    <xf numFmtId="0" fontId="37" fillId="8" borderId="29" xfId="0" applyFont="1" applyFill="1" applyBorder="1" applyAlignment="1">
      <alignment vertical="top"/>
    </xf>
    <xf numFmtId="0" fontId="28" fillId="8" borderId="24" xfId="0" applyFont="1" applyFill="1" applyBorder="1" applyAlignment="1">
      <alignment vertical="top"/>
    </xf>
    <xf numFmtId="0" fontId="28" fillId="8" borderId="25" xfId="0" applyFont="1" applyFill="1" applyBorder="1" applyAlignment="1">
      <alignment vertical="top"/>
    </xf>
    <xf numFmtId="0" fontId="15" fillId="11" borderId="20" xfId="13" applyFont="1" applyFill="1" applyBorder="1" applyAlignment="1" applyProtection="1">
      <alignment horizontal="center" vertical="center"/>
      <protection locked="0"/>
    </xf>
    <xf numFmtId="42" fontId="15" fillId="10" borderId="55" xfId="1" applyNumberFormat="1" applyFont="1" applyFill="1" applyBorder="1" applyAlignment="1" applyProtection="1">
      <alignment horizontal="left" vertical="center"/>
    </xf>
    <xf numFmtId="0" fontId="15" fillId="11" borderId="21" xfId="13" applyFont="1" applyFill="1" applyBorder="1" applyAlignment="1" applyProtection="1">
      <alignment horizontal="center" vertical="center"/>
      <protection locked="0"/>
    </xf>
    <xf numFmtId="0" fontId="15" fillId="11" borderId="34" xfId="13" applyFont="1" applyFill="1" applyBorder="1" applyAlignment="1" applyProtection="1">
      <alignment horizontal="left" vertical="center"/>
      <protection locked="0"/>
    </xf>
    <xf numFmtId="42" fontId="15" fillId="10" borderId="22" xfId="5" applyNumberFormat="1" applyFont="1" applyFill="1" applyBorder="1" applyAlignment="1" applyProtection="1">
      <alignment horizontal="center" vertical="center"/>
    </xf>
    <xf numFmtId="168" fontId="15" fillId="11" borderId="22" xfId="5" applyNumberFormat="1" applyFont="1" applyFill="1" applyBorder="1" applyAlignment="1" applyProtection="1">
      <alignment horizontal="right" vertical="center"/>
      <protection locked="0"/>
    </xf>
    <xf numFmtId="0" fontId="15" fillId="11" borderId="34" xfId="13" applyFont="1" applyFill="1" applyBorder="1" applyAlignment="1" applyProtection="1">
      <alignment vertical="center"/>
      <protection locked="0"/>
    </xf>
    <xf numFmtId="42" fontId="15" fillId="10" borderId="56" xfId="1" applyNumberFormat="1" applyFont="1" applyFill="1" applyBorder="1" applyAlignment="1" applyProtection="1">
      <alignment horizontal="left" vertical="center"/>
    </xf>
    <xf numFmtId="0" fontId="15" fillId="11" borderId="22" xfId="13" applyFont="1" applyFill="1" applyBorder="1" applyAlignment="1" applyProtection="1">
      <alignment horizontal="left" vertical="center"/>
      <protection locked="0"/>
    </xf>
    <xf numFmtId="169" fontId="15" fillId="11" borderId="22" xfId="14" applyNumberFormat="1" applyFont="1" applyFill="1" applyBorder="1" applyAlignment="1" applyProtection="1">
      <alignment horizontal="center" vertical="center"/>
      <protection locked="0"/>
    </xf>
    <xf numFmtId="168" fontId="15" fillId="11" borderId="22" xfId="5" applyNumberFormat="1" applyFont="1" applyFill="1" applyBorder="1" applyAlignment="1" applyProtection="1">
      <alignment horizontal="center" vertical="center"/>
      <protection locked="0"/>
    </xf>
    <xf numFmtId="169" fontId="15" fillId="11" borderId="55" xfId="1" applyNumberFormat="1" applyFont="1" applyFill="1" applyBorder="1" applyAlignment="1" applyProtection="1">
      <alignment vertical="center"/>
      <protection locked="0"/>
    </xf>
    <xf numFmtId="169" fontId="15" fillId="11" borderId="56" xfId="1" applyNumberFormat="1" applyFont="1" applyFill="1" applyBorder="1" applyAlignment="1" applyProtection="1">
      <alignment vertical="center"/>
      <protection locked="0"/>
    </xf>
    <xf numFmtId="171" fontId="28" fillId="8" borderId="5" xfId="13" applyNumberFormat="1" applyFont="1" applyFill="1" applyBorder="1" applyAlignment="1">
      <alignment horizontal="center" vertical="center"/>
    </xf>
    <xf numFmtId="0" fontId="15" fillId="11" borderId="39" xfId="13" applyFont="1" applyFill="1" applyBorder="1" applyAlignment="1" applyProtection="1">
      <alignment vertical="center"/>
      <protection locked="0"/>
    </xf>
    <xf numFmtId="0" fontId="15" fillId="11" borderId="48" xfId="13" applyFont="1" applyFill="1" applyBorder="1" applyAlignment="1" applyProtection="1">
      <alignment vertical="center"/>
      <protection locked="0"/>
    </xf>
    <xf numFmtId="0" fontId="53" fillId="13" borderId="29" xfId="0" applyFont="1" applyFill="1" applyBorder="1" applyAlignment="1">
      <alignment vertical="top"/>
    </xf>
    <xf numFmtId="0" fontId="15" fillId="13" borderId="24" xfId="11" applyFont="1" applyFill="1" applyBorder="1" applyAlignment="1">
      <alignment vertical="top"/>
    </xf>
    <xf numFmtId="0" fontId="15" fillId="13" borderId="24" xfId="11" applyFont="1" applyFill="1" applyBorder="1"/>
    <xf numFmtId="0" fontId="15" fillId="13" borderId="25" xfId="11" applyFont="1" applyFill="1" applyBorder="1"/>
    <xf numFmtId="0" fontId="15" fillId="13" borderId="3" xfId="0" applyFont="1" applyFill="1" applyBorder="1" applyAlignment="1">
      <alignment vertical="top"/>
    </xf>
    <xf numFmtId="0" fontId="15" fillId="13" borderId="0" xfId="11" applyFont="1" applyFill="1" applyAlignment="1">
      <alignment vertical="top"/>
    </xf>
    <xf numFmtId="0" fontId="15" fillId="13" borderId="0" xfId="11" applyFont="1" applyFill="1"/>
    <xf numFmtId="0" fontId="15" fillId="13" borderId="26" xfId="11" applyFont="1" applyFill="1" applyBorder="1"/>
    <xf numFmtId="0" fontId="15" fillId="13" borderId="13" xfId="0" applyFont="1" applyFill="1" applyBorder="1" applyAlignment="1">
      <alignment vertical="top"/>
    </xf>
    <xf numFmtId="0" fontId="15" fillId="13" borderId="27" xfId="11" applyFont="1" applyFill="1" applyBorder="1" applyAlignment="1">
      <alignment vertical="top"/>
    </xf>
    <xf numFmtId="0" fontId="15" fillId="13" borderId="27" xfId="11" applyFont="1" applyFill="1" applyBorder="1"/>
    <xf numFmtId="0" fontId="15" fillId="13" borderId="28" xfId="11" applyFont="1" applyFill="1" applyBorder="1"/>
    <xf numFmtId="0" fontId="15" fillId="13" borderId="3" xfId="11" applyFont="1" applyFill="1" applyBorder="1" applyAlignment="1">
      <alignment horizontal="left" vertical="top"/>
    </xf>
    <xf numFmtId="0" fontId="15" fillId="13" borderId="13" xfId="11" applyFont="1" applyFill="1" applyBorder="1" applyAlignment="1">
      <alignment horizontal="left" vertical="top"/>
    </xf>
    <xf numFmtId="0" fontId="15" fillId="11" borderId="24" xfId="0" applyFont="1" applyFill="1" applyBorder="1" applyAlignment="1" applyProtection="1">
      <alignment vertical="top"/>
      <protection locked="0"/>
    </xf>
    <xf numFmtId="0" fontId="15" fillId="11" borderId="25" xfId="0" applyFont="1" applyFill="1" applyBorder="1" applyAlignment="1" applyProtection="1">
      <alignment vertical="top"/>
      <protection locked="0"/>
    </xf>
    <xf numFmtId="169" fontId="15" fillId="9" borderId="1" xfId="7" applyNumberFormat="1" applyFont="1" applyFill="1" applyBorder="1" applyAlignment="1" applyProtection="1">
      <alignment vertical="center"/>
      <protection locked="0"/>
    </xf>
    <xf numFmtId="2" fontId="15" fillId="11" borderId="1" xfId="13" applyNumberFormat="1" applyFont="1" applyFill="1" applyBorder="1" applyAlignment="1" applyProtection="1">
      <alignment vertical="center"/>
      <protection locked="0"/>
    </xf>
    <xf numFmtId="2" fontId="15" fillId="11" borderId="22" xfId="13" applyNumberFormat="1" applyFont="1" applyFill="1" applyBorder="1" applyAlignment="1" applyProtection="1">
      <alignment vertical="center"/>
      <protection locked="0"/>
    </xf>
    <xf numFmtId="14" fontId="15" fillId="11" borderId="1" xfId="0" applyNumberFormat="1" applyFont="1" applyFill="1" applyBorder="1" applyAlignment="1" applyProtection="1">
      <alignment horizontal="right" vertical="center"/>
      <protection locked="0"/>
    </xf>
    <xf numFmtId="0" fontId="60" fillId="6" borderId="0" xfId="11" applyFont="1" applyFill="1"/>
    <xf numFmtId="8" fontId="3" fillId="0" borderId="0" xfId="0" applyNumberFormat="1" applyFont="1"/>
    <xf numFmtId="0" fontId="15" fillId="11" borderId="1" xfId="14" applyNumberFormat="1" applyFont="1" applyFill="1" applyBorder="1" applyAlignment="1" applyProtection="1">
      <alignment horizontal="center" vertical="center"/>
      <protection locked="0"/>
    </xf>
    <xf numFmtId="169" fontId="15" fillId="0" borderId="0" xfId="13" applyNumberFormat="1" applyFont="1" applyAlignment="1">
      <alignment vertical="center"/>
    </xf>
    <xf numFmtId="180" fontId="15" fillId="0" borderId="0" xfId="13" applyNumberFormat="1" applyFont="1" applyAlignment="1">
      <alignment vertical="center"/>
    </xf>
    <xf numFmtId="42" fontId="14" fillId="6" borderId="0" xfId="1" applyNumberFormat="1" applyFont="1" applyFill="1" applyBorder="1" applyAlignment="1">
      <alignment vertical="center"/>
    </xf>
    <xf numFmtId="169" fontId="9" fillId="6" borderId="0" xfId="14" applyNumberFormat="1" applyFont="1" applyFill="1" applyBorder="1" applyAlignment="1">
      <alignment vertical="center"/>
    </xf>
    <xf numFmtId="169" fontId="15" fillId="10" borderId="9" xfId="7" applyNumberFormat="1" applyFont="1" applyFill="1" applyBorder="1" applyAlignment="1" applyProtection="1">
      <alignment vertical="center"/>
    </xf>
    <xf numFmtId="6" fontId="15" fillId="0" borderId="12" xfId="0" applyNumberFormat="1" applyFont="1" applyBorder="1" applyAlignment="1">
      <alignment vertical="center"/>
    </xf>
    <xf numFmtId="176" fontId="36" fillId="0" borderId="0" xfId="21" applyFont="1" applyAlignment="1" applyProtection="1">
      <alignment vertical="center"/>
    </xf>
    <xf numFmtId="176" fontId="36" fillId="0" borderId="5" xfId="21" applyFont="1" applyBorder="1" applyAlignment="1" applyProtection="1">
      <alignment vertical="center"/>
    </xf>
    <xf numFmtId="176" fontId="52" fillId="0" borderId="5" xfId="21" applyFont="1" applyBorder="1" applyAlignment="1" applyProtection="1">
      <alignment vertical="center"/>
    </xf>
    <xf numFmtId="176" fontId="36" fillId="0" borderId="0" xfId="21" applyFont="1" applyBorder="1" applyAlignment="1" applyProtection="1">
      <alignment vertical="center"/>
    </xf>
    <xf numFmtId="176" fontId="52" fillId="0" borderId="0" xfId="21" applyFont="1" applyBorder="1" applyAlignment="1" applyProtection="1">
      <alignment vertical="center"/>
    </xf>
    <xf numFmtId="176" fontId="32" fillId="0" borderId="0" xfId="21" applyFont="1" applyAlignment="1" applyProtection="1">
      <alignment vertical="center"/>
    </xf>
    <xf numFmtId="0" fontId="12" fillId="3" borderId="0" xfId="23" applyFont="1" applyFill="1" applyAlignment="1">
      <alignment horizontal="left" vertical="center"/>
    </xf>
    <xf numFmtId="0" fontId="13" fillId="3" borderId="0" xfId="23" applyFont="1" applyFill="1" applyAlignment="1">
      <alignment horizontal="left" vertical="center"/>
    </xf>
    <xf numFmtId="0" fontId="13" fillId="8" borderId="0" xfId="23" applyFont="1" applyFill="1" applyAlignment="1">
      <alignment horizontal="left" vertical="center"/>
    </xf>
    <xf numFmtId="176" fontId="32" fillId="8" borderId="0" xfId="21" applyFont="1" applyFill="1" applyAlignment="1" applyProtection="1">
      <alignment vertical="center"/>
    </xf>
    <xf numFmtId="0" fontId="15" fillId="10" borderId="1" xfId="13" applyFont="1" applyFill="1" applyBorder="1" applyAlignment="1">
      <alignment horizontal="right" vertical="center"/>
    </xf>
    <xf numFmtId="176" fontId="50" fillId="0" borderId="0" xfId="21" applyFont="1" applyAlignment="1" applyProtection="1">
      <alignment vertical="center"/>
    </xf>
    <xf numFmtId="176" fontId="52" fillId="0" borderId="0" xfId="21" applyFont="1" applyAlignment="1" applyProtection="1">
      <alignment vertical="center"/>
    </xf>
    <xf numFmtId="176" fontId="36" fillId="0" borderId="0" xfId="21" applyFont="1" applyFill="1" applyAlignment="1" applyProtection="1">
      <alignment vertical="center"/>
    </xf>
    <xf numFmtId="176" fontId="36" fillId="0" borderId="0" xfId="21" applyFont="1" applyFill="1" applyBorder="1" applyAlignment="1" applyProtection="1">
      <alignment vertical="center"/>
    </xf>
    <xf numFmtId="176" fontId="36" fillId="6" borderId="0" xfId="21" applyFont="1" applyFill="1" applyAlignment="1" applyProtection="1">
      <alignment vertical="center"/>
    </xf>
    <xf numFmtId="0" fontId="12" fillId="3" borderId="4" xfId="23" applyFont="1" applyFill="1" applyBorder="1" applyAlignment="1">
      <alignment horizontal="left" vertical="center"/>
    </xf>
    <xf numFmtId="0" fontId="12" fillId="3" borderId="5" xfId="23" applyFont="1" applyFill="1" applyBorder="1" applyAlignment="1">
      <alignment horizontal="left" vertical="center"/>
    </xf>
    <xf numFmtId="0" fontId="17" fillId="3" borderId="5" xfId="23" applyFont="1" applyFill="1" applyBorder="1" applyAlignment="1">
      <alignment horizontal="right" vertical="center"/>
    </xf>
    <xf numFmtId="0" fontId="17" fillId="3" borderId="0" xfId="23" applyFont="1" applyFill="1" applyAlignment="1">
      <alignment horizontal="right" vertical="center"/>
    </xf>
    <xf numFmtId="176" fontId="36" fillId="0" borderId="37" xfId="21" applyFont="1" applyBorder="1" applyAlignment="1" applyProtection="1">
      <alignment vertical="center"/>
    </xf>
    <xf numFmtId="0" fontId="13" fillId="3" borderId="5" xfId="23" applyFont="1" applyFill="1" applyBorder="1" applyAlignment="1">
      <alignment horizontal="left" vertical="center"/>
    </xf>
    <xf numFmtId="176" fontId="36" fillId="0" borderId="10" xfId="21" applyFont="1" applyBorder="1" applyAlignment="1" applyProtection="1">
      <alignment vertical="center"/>
    </xf>
    <xf numFmtId="176" fontId="36" fillId="0" borderId="12" xfId="21" applyFont="1" applyBorder="1" applyAlignment="1" applyProtection="1">
      <alignment vertical="center"/>
    </xf>
    <xf numFmtId="10" fontId="36" fillId="10" borderId="1" xfId="24" applyNumberFormat="1" applyFont="1" applyFill="1" applyBorder="1" applyAlignment="1" applyProtection="1">
      <alignment vertical="center"/>
    </xf>
    <xf numFmtId="176" fontId="36" fillId="6" borderId="0" xfId="21" applyFont="1" applyFill="1" applyBorder="1" applyAlignment="1" applyProtection="1">
      <alignment vertical="center"/>
    </xf>
    <xf numFmtId="0" fontId="14" fillId="6" borderId="10" xfId="22" applyFont="1" applyFill="1" applyBorder="1" applyAlignment="1">
      <alignment horizontal="left" vertical="center" wrapText="1"/>
    </xf>
    <xf numFmtId="0" fontId="14" fillId="6" borderId="0" xfId="22" applyFont="1" applyFill="1" applyAlignment="1">
      <alignment horizontal="left" vertical="center" wrapText="1"/>
    </xf>
    <xf numFmtId="176" fontId="36" fillId="6" borderId="37" xfId="21" applyFont="1" applyFill="1" applyBorder="1" applyAlignment="1" applyProtection="1">
      <alignment vertical="center"/>
    </xf>
    <xf numFmtId="0" fontId="15" fillId="6" borderId="0" xfId="22" applyFont="1" applyFill="1" applyAlignment="1">
      <alignment vertical="center"/>
    </xf>
    <xf numFmtId="0" fontId="35" fillId="0" borderId="10" xfId="25" applyFont="1" applyBorder="1" applyAlignment="1">
      <alignment horizontal="left" vertical="center"/>
    </xf>
    <xf numFmtId="0" fontId="15" fillId="0" borderId="0" xfId="25" applyFont="1" applyAlignment="1">
      <alignment horizontal="left" vertical="center"/>
    </xf>
    <xf numFmtId="0" fontId="17" fillId="6" borderId="0" xfId="22" applyFont="1" applyFill="1" applyAlignment="1">
      <alignment vertical="center"/>
    </xf>
    <xf numFmtId="176" fontId="32" fillId="0" borderId="10" xfId="21" applyFont="1" applyBorder="1" applyAlignment="1" applyProtection="1">
      <alignment vertical="center"/>
    </xf>
    <xf numFmtId="176" fontId="33" fillId="6" borderId="0" xfId="21" applyFont="1" applyFill="1" applyBorder="1" applyAlignment="1" applyProtection="1">
      <alignment vertical="center"/>
    </xf>
    <xf numFmtId="176" fontId="36" fillId="0" borderId="59" xfId="21" applyFont="1" applyBorder="1" applyAlignment="1" applyProtection="1">
      <alignment vertical="center"/>
    </xf>
    <xf numFmtId="176" fontId="36" fillId="0" borderId="7" xfId="21" applyFont="1" applyBorder="1" applyAlignment="1" applyProtection="1">
      <alignment vertical="center"/>
    </xf>
    <xf numFmtId="176" fontId="32" fillId="0" borderId="0" xfId="21" applyFont="1" applyBorder="1" applyAlignment="1" applyProtection="1">
      <alignment vertical="center"/>
    </xf>
    <xf numFmtId="0" fontId="14" fillId="0" borderId="11" xfId="13" applyFont="1" applyBorder="1" applyAlignment="1">
      <alignment vertical="center"/>
    </xf>
    <xf numFmtId="176" fontId="32" fillId="0" borderId="12" xfId="21" applyFont="1" applyBorder="1" applyAlignment="1" applyProtection="1">
      <alignment vertical="center"/>
    </xf>
    <xf numFmtId="176" fontId="32" fillId="0" borderId="37" xfId="21" applyFont="1" applyBorder="1" applyAlignment="1" applyProtection="1">
      <alignment vertical="center"/>
    </xf>
    <xf numFmtId="1" fontId="17" fillId="3" borderId="0" xfId="23" applyNumberFormat="1" applyFont="1" applyFill="1" applyAlignment="1">
      <alignment horizontal="right" vertical="center"/>
    </xf>
    <xf numFmtId="1" fontId="17" fillId="3" borderId="5" xfId="23" applyNumberFormat="1" applyFont="1" applyFill="1" applyBorder="1" applyAlignment="1">
      <alignment horizontal="right" vertical="center"/>
    </xf>
    <xf numFmtId="0" fontId="15" fillId="0" borderId="10" xfId="25" applyFont="1" applyBorder="1" applyAlignment="1">
      <alignment horizontal="left" vertical="center"/>
    </xf>
    <xf numFmtId="176" fontId="34" fillId="0" borderId="0" xfId="21" applyFont="1" applyBorder="1" applyAlignment="1" applyProtection="1">
      <alignment vertical="center"/>
    </xf>
    <xf numFmtId="176" fontId="15" fillId="0" borderId="59" xfId="21" applyFont="1" applyBorder="1" applyAlignment="1" applyProtection="1">
      <alignment vertical="center"/>
    </xf>
    <xf numFmtId="183" fontId="15" fillId="11" borderId="1" xfId="26" applyNumberFormat="1" applyFont="1" applyFill="1" applyBorder="1" applyAlignment="1" applyProtection="1">
      <alignment vertical="center" wrapText="1"/>
      <protection locked="0"/>
    </xf>
    <xf numFmtId="176" fontId="36" fillId="0" borderId="7" xfId="21" applyFont="1" applyFill="1" applyBorder="1" applyAlignment="1" applyProtection="1">
      <alignment vertical="center"/>
    </xf>
    <xf numFmtId="176" fontId="15" fillId="0" borderId="62" xfId="21" applyFont="1" applyBorder="1" applyAlignment="1" applyProtection="1">
      <alignment vertical="center"/>
    </xf>
    <xf numFmtId="176" fontId="34" fillId="0" borderId="10" xfId="21" applyFont="1" applyBorder="1" applyAlignment="1" applyProtection="1">
      <alignment vertical="center"/>
    </xf>
    <xf numFmtId="176" fontId="15" fillId="0" borderId="0" xfId="21" applyFont="1" applyFill="1" applyBorder="1" applyAlignment="1" applyProtection="1">
      <alignment vertical="center"/>
    </xf>
    <xf numFmtId="176" fontId="15" fillId="0" borderId="0" xfId="21" applyFont="1" applyBorder="1" applyAlignment="1" applyProtection="1">
      <alignment vertical="center"/>
    </xf>
    <xf numFmtId="176" fontId="14" fillId="0" borderId="10" xfId="21" applyFont="1" applyBorder="1" applyAlignment="1" applyProtection="1">
      <alignment vertical="center"/>
    </xf>
    <xf numFmtId="176" fontId="34" fillId="0" borderId="64" xfId="21" applyFont="1" applyBorder="1" applyAlignment="1" applyProtection="1">
      <alignment vertical="center"/>
    </xf>
    <xf numFmtId="176" fontId="39" fillId="0" borderId="7" xfId="21" applyFont="1" applyBorder="1" applyAlignment="1" applyProtection="1">
      <alignment vertical="center"/>
    </xf>
    <xf numFmtId="176" fontId="36" fillId="0" borderId="60" xfId="21" applyFont="1" applyBorder="1" applyAlignment="1" applyProtection="1">
      <alignment vertical="center"/>
    </xf>
    <xf numFmtId="183" fontId="15" fillId="11" borderId="9" xfId="26" applyNumberFormat="1" applyFont="1" applyFill="1" applyBorder="1" applyAlignment="1" applyProtection="1">
      <alignment vertical="center" wrapText="1"/>
      <protection locked="0"/>
    </xf>
    <xf numFmtId="183" fontId="15" fillId="11" borderId="2" xfId="26" applyNumberFormat="1" applyFont="1" applyFill="1" applyBorder="1" applyAlignment="1" applyProtection="1">
      <alignment vertical="center" wrapText="1"/>
      <protection locked="0"/>
    </xf>
    <xf numFmtId="183" fontId="15" fillId="11" borderId="19" xfId="26" applyNumberFormat="1" applyFont="1" applyFill="1" applyBorder="1" applyAlignment="1" applyProtection="1">
      <alignment vertical="center" wrapText="1"/>
      <protection locked="0"/>
    </xf>
    <xf numFmtId="176" fontId="33" fillId="0" borderId="64" xfId="21" applyFont="1" applyBorder="1" applyAlignment="1" applyProtection="1">
      <alignment vertical="center"/>
    </xf>
    <xf numFmtId="176" fontId="32" fillId="0" borderId="59" xfId="21" applyFont="1" applyBorder="1" applyAlignment="1" applyProtection="1">
      <alignment vertical="center"/>
    </xf>
    <xf numFmtId="176" fontId="32" fillId="0" borderId="60" xfId="21" applyFont="1" applyBorder="1" applyAlignment="1" applyProtection="1">
      <alignment vertical="center"/>
    </xf>
    <xf numFmtId="183" fontId="15" fillId="10" borderId="1" xfId="26" applyNumberFormat="1" applyFont="1" applyFill="1" applyBorder="1" applyAlignment="1" applyProtection="1">
      <alignment vertical="center" wrapText="1"/>
    </xf>
    <xf numFmtId="176" fontId="33" fillId="0" borderId="0" xfId="21" applyFont="1" applyBorder="1" applyAlignment="1" applyProtection="1">
      <alignment vertical="center"/>
    </xf>
    <xf numFmtId="176" fontId="32" fillId="0" borderId="11" xfId="21" applyFont="1" applyBorder="1" applyAlignment="1" applyProtection="1">
      <alignment vertical="center"/>
    </xf>
    <xf numFmtId="176" fontId="32" fillId="0" borderId="7" xfId="21" applyFont="1" applyBorder="1" applyAlignment="1" applyProtection="1">
      <alignment vertical="center"/>
    </xf>
    <xf numFmtId="183" fontId="32" fillId="0" borderId="0" xfId="26" applyNumberFormat="1" applyFont="1" applyBorder="1" applyAlignment="1" applyProtection="1">
      <alignment vertical="center"/>
    </xf>
    <xf numFmtId="183" fontId="32" fillId="0" borderId="65" xfId="26" applyNumberFormat="1" applyFont="1" applyBorder="1" applyAlignment="1" applyProtection="1">
      <alignment vertical="center"/>
    </xf>
    <xf numFmtId="176" fontId="15" fillId="0" borderId="7" xfId="21" applyFont="1" applyBorder="1" applyAlignment="1" applyProtection="1">
      <alignment vertical="center"/>
    </xf>
    <xf numFmtId="183" fontId="36" fillId="0" borderId="7" xfId="26" applyNumberFormat="1" applyFont="1" applyBorder="1" applyAlignment="1" applyProtection="1">
      <alignment vertical="center"/>
    </xf>
    <xf numFmtId="176" fontId="32" fillId="6" borderId="10" xfId="21" applyFont="1" applyFill="1" applyBorder="1" applyAlignment="1" applyProtection="1">
      <alignment vertical="center"/>
    </xf>
    <xf numFmtId="176" fontId="32" fillId="6" borderId="0" xfId="21" applyFont="1" applyFill="1" applyBorder="1" applyAlignment="1" applyProtection="1">
      <alignment vertical="center"/>
    </xf>
    <xf numFmtId="0" fontId="15" fillId="6" borderId="0" xfId="24" applyNumberFormat="1" applyFont="1" applyFill="1" applyBorder="1" applyAlignment="1" applyProtection="1">
      <alignment vertical="center" wrapText="1"/>
    </xf>
    <xf numFmtId="176" fontId="15" fillId="6" borderId="0" xfId="21" applyFont="1" applyFill="1" applyBorder="1" applyAlignment="1" applyProtection="1">
      <alignment vertical="center"/>
    </xf>
    <xf numFmtId="183" fontId="36" fillId="0" borderId="0" xfId="26" applyNumberFormat="1" applyFont="1" applyBorder="1" applyAlignment="1" applyProtection="1">
      <alignment vertical="center"/>
    </xf>
    <xf numFmtId="183" fontId="15" fillId="6" borderId="0" xfId="26" applyNumberFormat="1" applyFont="1" applyFill="1" applyBorder="1" applyAlignment="1" applyProtection="1">
      <alignment vertical="center" wrapText="1"/>
    </xf>
    <xf numFmtId="183" fontId="15" fillId="6" borderId="12" xfId="26" applyNumberFormat="1" applyFont="1" applyFill="1" applyBorder="1" applyAlignment="1" applyProtection="1">
      <alignment vertical="center" wrapText="1"/>
    </xf>
    <xf numFmtId="176" fontId="32" fillId="0" borderId="64" xfId="21" applyFont="1" applyBorder="1" applyAlignment="1" applyProtection="1">
      <alignment vertical="center"/>
    </xf>
    <xf numFmtId="176" fontId="34" fillId="0" borderId="66" xfId="21" applyFont="1" applyBorder="1" applyAlignment="1" applyProtection="1">
      <alignment vertical="center"/>
    </xf>
    <xf numFmtId="176" fontId="33" fillId="0" borderId="66" xfId="21" applyFont="1" applyBorder="1" applyAlignment="1" applyProtection="1">
      <alignment vertical="center"/>
    </xf>
    <xf numFmtId="183" fontId="15" fillId="6" borderId="10" xfId="26" applyNumberFormat="1" applyFont="1" applyFill="1" applyBorder="1" applyAlignment="1" applyProtection="1">
      <alignment vertical="center" wrapText="1"/>
      <protection locked="0"/>
    </xf>
    <xf numFmtId="183" fontId="15" fillId="6" borderId="0" xfId="26" applyNumberFormat="1" applyFont="1" applyFill="1" applyBorder="1" applyAlignment="1" applyProtection="1">
      <alignment vertical="center" wrapText="1"/>
      <protection locked="0"/>
    </xf>
    <xf numFmtId="183" fontId="15" fillId="6" borderId="5" xfId="26" applyNumberFormat="1" applyFont="1" applyFill="1" applyBorder="1" applyAlignment="1" applyProtection="1">
      <alignment vertical="center" wrapText="1"/>
      <protection locked="0"/>
    </xf>
    <xf numFmtId="183" fontId="32" fillId="0" borderId="0" xfId="26" applyNumberFormat="1" applyFont="1" applyFill="1" applyBorder="1" applyAlignment="1" applyProtection="1">
      <alignment vertical="center"/>
    </xf>
    <xf numFmtId="176" fontId="33" fillId="0" borderId="60" xfId="21" applyFont="1" applyBorder="1" applyAlignment="1" applyProtection="1">
      <alignment vertical="center"/>
    </xf>
    <xf numFmtId="176" fontId="39" fillId="0" borderId="0" xfId="21" applyFont="1" applyBorder="1" applyAlignment="1" applyProtection="1">
      <alignment vertical="center"/>
    </xf>
    <xf numFmtId="183" fontId="15" fillId="0" borderId="0" xfId="26" applyNumberFormat="1" applyFont="1" applyFill="1" applyBorder="1" applyAlignment="1" applyProtection="1">
      <alignment vertical="center"/>
    </xf>
    <xf numFmtId="183" fontId="15" fillId="0" borderId="0" xfId="26" applyNumberFormat="1" applyFont="1" applyBorder="1" applyAlignment="1" applyProtection="1">
      <alignment vertical="center"/>
    </xf>
    <xf numFmtId="183" fontId="15" fillId="0" borderId="7" xfId="26" applyNumberFormat="1" applyFont="1" applyFill="1" applyBorder="1" applyAlignment="1" applyProtection="1">
      <alignment vertical="center"/>
    </xf>
    <xf numFmtId="176" fontId="55" fillId="0" borderId="0" xfId="21" applyFont="1" applyAlignment="1" applyProtection="1">
      <alignment vertical="center"/>
    </xf>
    <xf numFmtId="176" fontId="58" fillId="0" borderId="0" xfId="21" applyFont="1" applyBorder="1" applyAlignment="1" applyProtection="1">
      <alignment vertical="center"/>
    </xf>
    <xf numFmtId="176" fontId="55" fillId="0" borderId="0" xfId="21" applyFont="1" applyBorder="1" applyAlignment="1" applyProtection="1">
      <alignment vertical="center"/>
    </xf>
    <xf numFmtId="183" fontId="55" fillId="0" borderId="0" xfId="26" applyNumberFormat="1" applyFont="1" applyBorder="1" applyAlignment="1" applyProtection="1">
      <alignment vertical="center"/>
    </xf>
    <xf numFmtId="176" fontId="51" fillId="0" borderId="0" xfId="21" applyFont="1" applyBorder="1" applyAlignment="1" applyProtection="1">
      <alignment vertical="center"/>
    </xf>
    <xf numFmtId="176" fontId="51" fillId="0" borderId="0" xfId="21" applyFont="1" applyAlignment="1" applyProtection="1">
      <alignment vertical="center"/>
    </xf>
    <xf numFmtId="176" fontId="34" fillId="0" borderId="0" xfId="21" applyFont="1" applyFill="1" applyAlignment="1" applyProtection="1">
      <alignment vertical="center"/>
    </xf>
    <xf numFmtId="176" fontId="51" fillId="0" borderId="37" xfId="21" applyFont="1" applyBorder="1" applyAlignment="1" applyProtection="1">
      <alignment vertical="center"/>
    </xf>
    <xf numFmtId="176" fontId="39" fillId="6" borderId="7" xfId="21" applyFont="1" applyFill="1" applyBorder="1" applyAlignment="1" applyProtection="1">
      <alignment vertical="center"/>
    </xf>
    <xf numFmtId="0" fontId="14" fillId="0" borderId="10" xfId="13" applyFont="1" applyBorder="1" applyAlignment="1">
      <alignment vertical="center"/>
    </xf>
    <xf numFmtId="0" fontId="37" fillId="3" borderId="4" xfId="23" applyFont="1" applyFill="1" applyBorder="1" applyAlignment="1">
      <alignment horizontal="left" vertical="center"/>
    </xf>
    <xf numFmtId="176" fontId="36" fillId="6" borderId="0" xfId="15" applyFont="1" applyFill="1" applyBorder="1" applyAlignment="1" applyProtection="1">
      <alignment vertical="center"/>
    </xf>
    <xf numFmtId="176" fontId="36" fillId="6" borderId="0" xfId="15" applyFont="1" applyFill="1" applyAlignment="1" applyProtection="1">
      <alignment vertical="center"/>
    </xf>
    <xf numFmtId="1" fontId="32" fillId="6" borderId="0" xfId="15" applyNumberFormat="1" applyFont="1" applyFill="1" applyAlignment="1" applyProtection="1">
      <alignment vertical="center"/>
    </xf>
    <xf numFmtId="176" fontId="15" fillId="6" borderId="0" xfId="15" applyFont="1" applyFill="1" applyBorder="1" applyAlignment="1" applyProtection="1">
      <alignment horizontal="center" vertical="center"/>
    </xf>
    <xf numFmtId="179" fontId="36" fillId="6" borderId="0" xfId="15" applyNumberFormat="1" applyFont="1" applyFill="1" applyBorder="1" applyAlignment="1" applyProtection="1">
      <alignment horizontal="center" vertical="center"/>
    </xf>
    <xf numFmtId="0" fontId="12" fillId="0" borderId="0" xfId="23" applyFont="1" applyAlignment="1">
      <alignment horizontal="left" vertical="center"/>
    </xf>
    <xf numFmtId="0" fontId="17" fillId="0" borderId="0" xfId="23" applyFont="1" applyAlignment="1">
      <alignment horizontal="right" vertical="center"/>
    </xf>
    <xf numFmtId="0" fontId="15" fillId="0" borderId="10" xfId="22" applyFont="1" applyBorder="1" applyAlignment="1">
      <alignment horizontal="left" vertical="center"/>
    </xf>
    <xf numFmtId="0" fontId="15" fillId="6" borderId="10" xfId="22" applyFont="1" applyFill="1" applyBorder="1" applyAlignment="1">
      <alignment horizontal="left" vertical="center"/>
    </xf>
    <xf numFmtId="183" fontId="14" fillId="0" borderId="10" xfId="13" applyNumberFormat="1" applyFont="1" applyBorder="1" applyAlignment="1">
      <alignment vertical="center"/>
    </xf>
    <xf numFmtId="183" fontId="15" fillId="0" borderId="10" xfId="13" applyNumberFormat="1" applyFont="1" applyBorder="1" applyAlignment="1">
      <alignment vertical="center"/>
    </xf>
    <xf numFmtId="9" fontId="15" fillId="11" borderId="1" xfId="8" applyFont="1" applyFill="1" applyBorder="1" applyAlignment="1" applyProtection="1">
      <alignment vertical="center" wrapText="1"/>
      <protection locked="0"/>
    </xf>
    <xf numFmtId="184" fontId="15" fillId="10" borderId="1" xfId="8" applyNumberFormat="1" applyFont="1" applyFill="1" applyBorder="1" applyAlignment="1" applyProtection="1">
      <alignment vertical="center" wrapText="1"/>
    </xf>
    <xf numFmtId="176" fontId="32" fillId="0" borderId="65" xfId="21" applyFont="1" applyBorder="1" applyAlignment="1" applyProtection="1">
      <alignment vertical="center"/>
    </xf>
    <xf numFmtId="183" fontId="14" fillId="0" borderId="11" xfId="13" applyNumberFormat="1" applyFont="1" applyBorder="1" applyAlignment="1">
      <alignment vertical="center"/>
    </xf>
    <xf numFmtId="183" fontId="32" fillId="0" borderId="12" xfId="26" applyNumberFormat="1" applyFont="1" applyBorder="1" applyAlignment="1" applyProtection="1">
      <alignment vertical="center"/>
    </xf>
    <xf numFmtId="49" fontId="15" fillId="0" borderId="0" xfId="0" applyNumberFormat="1" applyFont="1"/>
    <xf numFmtId="172" fontId="15" fillId="0" borderId="0" xfId="0" applyNumberFormat="1" applyFont="1" applyAlignment="1">
      <alignment vertical="top"/>
    </xf>
    <xf numFmtId="169" fontId="15" fillId="0" borderId="0" xfId="14" applyNumberFormat="1" applyFont="1" applyAlignment="1">
      <alignment vertical="top"/>
    </xf>
    <xf numFmtId="49" fontId="14" fillId="0" borderId="0" xfId="0" applyNumberFormat="1" applyFont="1"/>
    <xf numFmtId="172" fontId="14" fillId="0" borderId="0" xfId="0" applyNumberFormat="1" applyFont="1" applyAlignment="1">
      <alignment vertical="top"/>
    </xf>
    <xf numFmtId="168" fontId="15" fillId="6" borderId="0" xfId="22" applyNumberFormat="1" applyFont="1" applyFill="1" applyAlignment="1">
      <alignment vertical="center"/>
    </xf>
    <xf numFmtId="184" fontId="15" fillId="11" borderId="1" xfId="8" applyNumberFormat="1" applyFont="1" applyFill="1" applyBorder="1" applyAlignment="1" applyProtection="1">
      <alignment vertical="center" wrapText="1"/>
      <protection locked="0"/>
    </xf>
    <xf numFmtId="0" fontId="14" fillId="0" borderId="10" xfId="25" applyFont="1" applyBorder="1" applyAlignment="1">
      <alignment horizontal="left" vertical="center"/>
    </xf>
    <xf numFmtId="176" fontId="65" fillId="0" borderId="0" xfId="21" applyFont="1" applyAlignment="1" applyProtection="1">
      <alignment vertical="center"/>
    </xf>
    <xf numFmtId="176" fontId="65" fillId="0" borderId="0" xfId="21" applyFont="1" applyBorder="1" applyAlignment="1" applyProtection="1">
      <alignment vertical="center"/>
    </xf>
    <xf numFmtId="176" fontId="65" fillId="0" borderId="0" xfId="21" applyFont="1" applyFill="1" applyAlignment="1" applyProtection="1">
      <alignment vertical="center"/>
    </xf>
    <xf numFmtId="176" fontId="15" fillId="0" borderId="63" xfId="21" applyFont="1" applyBorder="1" applyAlignment="1" applyProtection="1">
      <alignment vertical="center"/>
    </xf>
    <xf numFmtId="176" fontId="36" fillId="6" borderId="7" xfId="21" applyFont="1" applyFill="1" applyBorder="1" applyAlignment="1" applyProtection="1">
      <alignment vertical="center"/>
    </xf>
    <xf numFmtId="176" fontId="32" fillId="6" borderId="0" xfId="21" applyFont="1" applyFill="1" applyAlignment="1" applyProtection="1">
      <alignment vertical="center"/>
    </xf>
    <xf numFmtId="176" fontId="15" fillId="13" borderId="7" xfId="21" applyFont="1" applyFill="1" applyBorder="1" applyAlignment="1" applyProtection="1">
      <alignment vertical="center"/>
    </xf>
    <xf numFmtId="176" fontId="15" fillId="13" borderId="60" xfId="21" applyFont="1" applyFill="1" applyBorder="1" applyAlignment="1" applyProtection="1">
      <alignment vertical="center"/>
    </xf>
    <xf numFmtId="176" fontId="15" fillId="13" borderId="12" xfId="21" applyFont="1" applyFill="1" applyBorder="1" applyAlignment="1" applyProtection="1">
      <alignment vertical="center"/>
    </xf>
    <xf numFmtId="176" fontId="15" fillId="13" borderId="38" xfId="21" applyFont="1" applyFill="1" applyBorder="1" applyAlignment="1" applyProtection="1">
      <alignment vertical="center"/>
    </xf>
    <xf numFmtId="176" fontId="15" fillId="6" borderId="0" xfId="21" applyFont="1" applyFill="1" applyBorder="1" applyAlignment="1" applyProtection="1">
      <alignment horizontal="left" vertical="center"/>
    </xf>
    <xf numFmtId="168" fontId="15" fillId="6" borderId="0" xfId="5" applyNumberFormat="1" applyFont="1" applyFill="1" applyBorder="1" applyAlignment="1" applyProtection="1">
      <alignment vertical="center"/>
    </xf>
    <xf numFmtId="182" fontId="15" fillId="6" borderId="0" xfId="5" applyNumberFormat="1" applyFont="1" applyFill="1" applyBorder="1" applyAlignment="1" applyProtection="1">
      <alignment vertical="center"/>
    </xf>
    <xf numFmtId="0" fontId="14" fillId="0" borderId="0" xfId="0" applyFont="1" applyAlignment="1">
      <alignment horizontal="left"/>
    </xf>
    <xf numFmtId="169" fontId="14" fillId="0" borderId="0" xfId="0" applyNumberFormat="1" applyFont="1" applyAlignment="1">
      <alignment vertical="top"/>
    </xf>
    <xf numFmtId="168" fontId="15" fillId="13" borderId="7" xfId="5" applyNumberFormat="1" applyFont="1" applyFill="1" applyBorder="1" applyAlignment="1" applyProtection="1">
      <alignment vertical="center"/>
      <protection locked="0"/>
    </xf>
    <xf numFmtId="182" fontId="15" fillId="13" borderId="7" xfId="5" applyNumberFormat="1" applyFont="1" applyFill="1" applyBorder="1" applyAlignment="1" applyProtection="1">
      <alignment vertical="center"/>
      <protection locked="0"/>
    </xf>
    <xf numFmtId="168" fontId="15" fillId="13" borderId="12" xfId="5" applyNumberFormat="1" applyFont="1" applyFill="1" applyBorder="1" applyAlignment="1" applyProtection="1">
      <alignment vertical="center"/>
      <protection locked="0"/>
    </xf>
    <xf numFmtId="182" fontId="15" fillId="13" borderId="12" xfId="5" applyNumberFormat="1" applyFont="1" applyFill="1" applyBorder="1" applyAlignment="1" applyProtection="1">
      <alignment vertical="center"/>
      <protection locked="0"/>
    </xf>
    <xf numFmtId="0" fontId="17" fillId="3" borderId="6" xfId="23" applyFont="1" applyFill="1" applyBorder="1" applyAlignment="1">
      <alignment horizontal="right" vertical="center"/>
    </xf>
    <xf numFmtId="176" fontId="32" fillId="0" borderId="38" xfId="21" applyFont="1" applyBorder="1" applyAlignment="1" applyProtection="1">
      <alignment vertical="center"/>
    </xf>
    <xf numFmtId="0" fontId="15" fillId="11" borderId="22" xfId="14" applyNumberFormat="1" applyFont="1" applyFill="1" applyBorder="1" applyAlignment="1" applyProtection="1">
      <alignment horizontal="center" vertical="center"/>
      <protection locked="0"/>
    </xf>
    <xf numFmtId="0" fontId="12" fillId="3" borderId="29" xfId="0" applyFont="1" applyFill="1" applyBorder="1" applyAlignment="1">
      <alignment horizontal="left" vertical="center"/>
    </xf>
    <xf numFmtId="0" fontId="15" fillId="11" borderId="22" xfId="13" applyFont="1" applyFill="1" applyBorder="1" applyAlignment="1" applyProtection="1">
      <alignment vertical="center"/>
      <protection locked="0"/>
    </xf>
    <xf numFmtId="42" fontId="15" fillId="16" borderId="30" xfId="1" applyNumberFormat="1" applyFont="1" applyFill="1" applyBorder="1" applyAlignment="1">
      <alignment vertical="center"/>
    </xf>
    <xf numFmtId="42" fontId="15" fillId="6" borderId="0" xfId="1" applyNumberFormat="1" applyFont="1" applyFill="1" applyBorder="1" applyAlignment="1">
      <alignment vertical="center"/>
    </xf>
    <xf numFmtId="0" fontId="18" fillId="6" borderId="0" xfId="0" applyFont="1" applyFill="1" applyAlignment="1">
      <alignment horizontal="center" vertical="center" wrapText="1"/>
    </xf>
    <xf numFmtId="168" fontId="9" fillId="0" borderId="0" xfId="0" applyNumberFormat="1" applyFont="1" applyAlignment="1">
      <alignment vertical="center"/>
    </xf>
    <xf numFmtId="168" fontId="15" fillId="0" borderId="0" xfId="5" applyNumberFormat="1" applyFont="1" applyBorder="1" applyAlignment="1">
      <alignment horizontal="center" vertical="center"/>
    </xf>
    <xf numFmtId="0" fontId="15" fillId="0" borderId="0" xfId="13" applyFont="1" applyAlignment="1">
      <alignment horizontal="right" vertical="center"/>
    </xf>
    <xf numFmtId="0" fontId="14" fillId="6" borderId="0" xfId="13" applyFont="1" applyFill="1" applyAlignment="1">
      <alignment vertical="center" wrapText="1"/>
    </xf>
    <xf numFmtId="42" fontId="14" fillId="16" borderId="31" xfId="1" applyNumberFormat="1" applyFont="1" applyFill="1" applyBorder="1" applyAlignment="1">
      <alignment vertical="center"/>
    </xf>
    <xf numFmtId="42" fontId="15" fillId="10" borderId="68" xfId="1" applyNumberFormat="1" applyFont="1" applyFill="1" applyBorder="1" applyAlignment="1">
      <alignment vertical="center"/>
    </xf>
    <xf numFmtId="0" fontId="14" fillId="6" borderId="0" xfId="13" applyFont="1" applyFill="1" applyAlignment="1">
      <alignment horizontal="left" vertical="center"/>
    </xf>
    <xf numFmtId="169" fontId="14" fillId="6" borderId="0" xfId="1" applyNumberFormat="1" applyFont="1" applyFill="1" applyBorder="1" applyAlignment="1">
      <alignment vertical="center"/>
    </xf>
    <xf numFmtId="169" fontId="15" fillId="11" borderId="1" xfId="14" applyNumberFormat="1" applyFont="1" applyFill="1" applyBorder="1" applyAlignment="1" applyProtection="1">
      <alignment horizontal="left" vertical="center"/>
      <protection locked="0"/>
    </xf>
    <xf numFmtId="169" fontId="15" fillId="11" borderId="22" xfId="14" applyNumberFormat="1" applyFont="1" applyFill="1" applyBorder="1" applyAlignment="1" applyProtection="1">
      <alignment horizontal="left" vertical="center"/>
      <protection locked="0"/>
    </xf>
    <xf numFmtId="182" fontId="15" fillId="11" borderId="1" xfId="13" applyNumberFormat="1" applyFont="1" applyFill="1" applyBorder="1" applyAlignment="1" applyProtection="1">
      <alignment vertical="center"/>
      <protection locked="0"/>
    </xf>
    <xf numFmtId="182" fontId="15" fillId="11" borderId="22" xfId="13" applyNumberFormat="1" applyFont="1" applyFill="1" applyBorder="1" applyAlignment="1" applyProtection="1">
      <alignment vertical="center"/>
      <protection locked="0"/>
    </xf>
    <xf numFmtId="168" fontId="15" fillId="0" borderId="14" xfId="5" applyNumberFormat="1" applyFont="1" applyBorder="1" applyAlignment="1">
      <alignment horizontal="center" vertical="center"/>
    </xf>
    <xf numFmtId="2" fontId="15" fillId="0" borderId="14" xfId="13" applyNumberFormat="1" applyFont="1" applyBorder="1" applyAlignment="1">
      <alignment vertical="center"/>
    </xf>
    <xf numFmtId="2" fontId="15" fillId="0" borderId="0" xfId="13" applyNumberFormat="1" applyFont="1" applyAlignment="1">
      <alignment vertical="center"/>
    </xf>
    <xf numFmtId="6" fontId="15" fillId="6" borderId="0" xfId="0" applyNumberFormat="1" applyFont="1" applyFill="1" applyAlignment="1">
      <alignment vertical="center"/>
    </xf>
    <xf numFmtId="44" fontId="34" fillId="6" borderId="0" xfId="0" applyNumberFormat="1" applyFont="1" applyFill="1" applyAlignment="1">
      <alignment vertical="center" wrapText="1"/>
    </xf>
    <xf numFmtId="0" fontId="15" fillId="6" borderId="0" xfId="13" applyFont="1" applyFill="1"/>
    <xf numFmtId="0" fontId="12" fillId="3" borderId="0" xfId="13" applyFont="1" applyFill="1" applyAlignment="1">
      <alignment horizontal="left" vertical="center"/>
    </xf>
    <xf numFmtId="0" fontId="15" fillId="11" borderId="1" xfId="14" applyNumberFormat="1" applyFont="1" applyFill="1" applyBorder="1" applyAlignment="1" applyProtection="1">
      <alignment horizontal="left" vertical="center"/>
      <protection locked="0"/>
    </xf>
    <xf numFmtId="0" fontId="15" fillId="11" borderId="22" xfId="14" applyNumberFormat="1" applyFont="1" applyFill="1" applyBorder="1" applyAlignment="1" applyProtection="1">
      <alignment horizontal="left" vertical="center"/>
      <protection locked="0"/>
    </xf>
    <xf numFmtId="171" fontId="15" fillId="0" borderId="0" xfId="13" applyNumberFormat="1" applyFont="1" applyAlignment="1">
      <alignment horizontal="left" vertical="center"/>
    </xf>
    <xf numFmtId="0" fontId="18" fillId="6" borderId="0" xfId="0" applyFont="1" applyFill="1" applyAlignment="1">
      <alignment horizontal="left" vertical="center" wrapText="1"/>
    </xf>
    <xf numFmtId="0" fontId="13" fillId="6" borderId="0" xfId="13" applyFont="1" applyFill="1" applyAlignment="1">
      <alignment horizontal="left" vertical="center"/>
    </xf>
    <xf numFmtId="0" fontId="15" fillId="0" borderId="7" xfId="13" applyFont="1" applyBorder="1" applyAlignment="1">
      <alignment horizontal="left" vertical="center"/>
    </xf>
    <xf numFmtId="0" fontId="28" fillId="8" borderId="5" xfId="13" applyFont="1" applyFill="1" applyBorder="1" applyAlignment="1">
      <alignment horizontal="left" vertical="center"/>
    </xf>
    <xf numFmtId="0" fontId="9" fillId="0" borderId="0" xfId="0" applyFont="1" applyAlignment="1">
      <alignment horizontal="left" vertical="center"/>
    </xf>
    <xf numFmtId="0" fontId="15" fillId="6" borderId="5" xfId="0" applyFont="1" applyFill="1" applyBorder="1" applyAlignment="1">
      <alignment horizontal="left" vertical="center"/>
    </xf>
    <xf numFmtId="0" fontId="33" fillId="0" borderId="0" xfId="13" applyFont="1" applyAlignment="1">
      <alignment horizontal="left" vertical="center"/>
    </xf>
    <xf numFmtId="0" fontId="27" fillId="3" borderId="0" xfId="13" applyFont="1" applyFill="1" applyAlignment="1">
      <alignment horizontal="left" vertical="center"/>
    </xf>
    <xf numFmtId="0" fontId="17" fillId="6" borderId="0" xfId="13" applyFont="1" applyFill="1" applyAlignment="1">
      <alignment horizontal="left" vertical="center"/>
    </xf>
    <xf numFmtId="0" fontId="15" fillId="11" borderId="5" xfId="0" applyFont="1" applyFill="1" applyBorder="1" applyAlignment="1" applyProtection="1">
      <alignment horizontal="left" vertical="center"/>
      <protection locked="0"/>
    </xf>
    <xf numFmtId="0" fontId="15" fillId="11" borderId="0" xfId="0" applyFont="1" applyFill="1" applyAlignment="1" applyProtection="1">
      <alignment horizontal="left" vertical="center"/>
      <protection locked="0"/>
    </xf>
    <xf numFmtId="0" fontId="15" fillId="11" borderId="12" xfId="0" applyFont="1" applyFill="1" applyBorder="1" applyAlignment="1" applyProtection="1">
      <alignment horizontal="left" vertical="center"/>
      <protection locked="0"/>
    </xf>
    <xf numFmtId="0" fontId="15" fillId="0" borderId="0" xfId="0" applyFont="1" applyAlignment="1">
      <alignment horizontal="left" vertical="center" wrapText="1"/>
    </xf>
    <xf numFmtId="183" fontId="14" fillId="0" borderId="7" xfId="26" applyNumberFormat="1" applyFont="1" applyFill="1" applyBorder="1" applyAlignment="1" applyProtection="1">
      <alignment vertical="center"/>
    </xf>
    <xf numFmtId="1" fontId="15" fillId="6" borderId="0" xfId="0" applyNumberFormat="1" applyFont="1" applyFill="1" applyAlignment="1">
      <alignment horizontal="center" vertical="center"/>
    </xf>
    <xf numFmtId="1" fontId="15" fillId="0" borderId="0" xfId="0" applyNumberFormat="1" applyFont="1" applyAlignment="1">
      <alignment horizontal="center" vertical="center"/>
    </xf>
    <xf numFmtId="1" fontId="15" fillId="6" borderId="0" xfId="0" applyNumberFormat="1" applyFont="1" applyFill="1" applyAlignment="1">
      <alignment horizontal="right" vertical="center"/>
    </xf>
    <xf numFmtId="168" fontId="15" fillId="6" borderId="1" xfId="5" applyNumberFormat="1" applyFont="1" applyFill="1" applyBorder="1" applyAlignment="1" applyProtection="1">
      <alignment horizontal="center" vertical="center"/>
    </xf>
    <xf numFmtId="168" fontId="15" fillId="6" borderId="1" xfId="5" applyNumberFormat="1" applyFont="1" applyFill="1" applyBorder="1" applyAlignment="1" applyProtection="1">
      <alignment horizontal="left" vertical="center"/>
    </xf>
    <xf numFmtId="168" fontId="15" fillId="0" borderId="1" xfId="5" applyNumberFormat="1" applyFont="1" applyBorder="1" applyProtection="1"/>
    <xf numFmtId="168" fontId="15" fillId="6" borderId="0" xfId="5" applyNumberFormat="1" applyFont="1" applyFill="1" applyBorder="1" applyAlignment="1" applyProtection="1">
      <alignment horizontal="center" vertical="center"/>
    </xf>
    <xf numFmtId="168" fontId="15" fillId="6" borderId="0" xfId="5" applyNumberFormat="1" applyFont="1" applyFill="1" applyBorder="1" applyAlignment="1" applyProtection="1">
      <alignment horizontal="left" vertical="center"/>
    </xf>
    <xf numFmtId="1" fontId="15" fillId="6" borderId="0" xfId="0" applyNumberFormat="1" applyFont="1" applyFill="1" applyAlignment="1">
      <alignment horizontal="left" vertical="center"/>
    </xf>
    <xf numFmtId="9" fontId="15" fillId="6" borderId="1" xfId="8" applyFont="1" applyFill="1" applyBorder="1" applyAlignment="1" applyProtection="1">
      <alignment horizontal="center" vertical="center"/>
    </xf>
    <xf numFmtId="1" fontId="33" fillId="6" borderId="0" xfId="0" applyNumberFormat="1" applyFont="1" applyFill="1" applyAlignment="1">
      <alignment horizontal="left" vertical="center"/>
    </xf>
    <xf numFmtId="14" fontId="33" fillId="6" borderId="0" xfId="0" applyNumberFormat="1" applyFont="1" applyFill="1" applyAlignment="1">
      <alignment horizontal="center" vertical="center"/>
    </xf>
    <xf numFmtId="1" fontId="58" fillId="6" borderId="0" xfId="0" applyNumberFormat="1" applyFont="1" applyFill="1" applyAlignment="1">
      <alignment horizontal="left" vertical="center"/>
    </xf>
    <xf numFmtId="9" fontId="15" fillId="6" borderId="0" xfId="8" applyFont="1" applyFill="1" applyBorder="1" applyAlignment="1" applyProtection="1">
      <alignment horizontal="center" vertical="center"/>
    </xf>
    <xf numFmtId="9" fontId="14" fillId="6" borderId="0" xfId="8" applyFont="1" applyFill="1" applyBorder="1" applyAlignment="1" applyProtection="1">
      <alignment horizontal="center" vertical="center"/>
    </xf>
    <xf numFmtId="14" fontId="14" fillId="6" borderId="0" xfId="0" applyNumberFormat="1" applyFont="1" applyFill="1" applyAlignment="1">
      <alignment horizontal="center" vertical="center"/>
    </xf>
    <xf numFmtId="1" fontId="14" fillId="6" borderId="0" xfId="0" applyNumberFormat="1" applyFont="1" applyFill="1" applyAlignment="1">
      <alignment horizontal="right" vertical="center"/>
    </xf>
    <xf numFmtId="1" fontId="15" fillId="6" borderId="4" xfId="0" applyNumberFormat="1" applyFont="1" applyFill="1" applyBorder="1" applyAlignment="1">
      <alignment horizontal="center" vertical="center"/>
    </xf>
    <xf numFmtId="1" fontId="15" fillId="6" borderId="5" xfId="0" applyNumberFormat="1" applyFont="1" applyFill="1" applyBorder="1" applyAlignment="1">
      <alignment horizontal="center" vertical="center"/>
    </xf>
    <xf numFmtId="1" fontId="15" fillId="6" borderId="6" xfId="0" applyNumberFormat="1" applyFont="1" applyFill="1" applyBorder="1" applyAlignment="1">
      <alignment horizontal="center" vertical="center"/>
    </xf>
    <xf numFmtId="182" fontId="15" fillId="6" borderId="1" xfId="8" applyNumberFormat="1" applyFont="1" applyFill="1" applyBorder="1" applyAlignment="1" applyProtection="1">
      <alignment horizontal="center" vertical="center"/>
    </xf>
    <xf numFmtId="182" fontId="15" fillId="0" borderId="1" xfId="0" applyNumberFormat="1" applyFont="1" applyBorder="1"/>
    <xf numFmtId="182" fontId="15" fillId="6" borderId="1" xfId="0" applyNumberFormat="1" applyFont="1" applyFill="1" applyBorder="1" applyAlignment="1">
      <alignment horizontal="center" vertical="center"/>
    </xf>
    <xf numFmtId="42" fontId="15" fillId="6" borderId="1" xfId="8" applyNumberFormat="1" applyFont="1" applyFill="1" applyBorder="1" applyAlignment="1" applyProtection="1">
      <alignment horizontal="center" vertical="center"/>
    </xf>
    <xf numFmtId="0" fontId="14" fillId="6" borderId="0" xfId="0" applyFont="1" applyFill="1" applyAlignment="1">
      <alignment horizontal="center"/>
    </xf>
    <xf numFmtId="0" fontId="0" fillId="6" borderId="0" xfId="0" applyFill="1"/>
    <xf numFmtId="0" fontId="15" fillId="6" borderId="0" xfId="0" applyFont="1" applyFill="1" applyAlignment="1">
      <alignment horizontal="left" wrapText="1"/>
    </xf>
    <xf numFmtId="182" fontId="15" fillId="6" borderId="0" xfId="0" applyNumberFormat="1" applyFont="1" applyFill="1" applyAlignment="1">
      <alignment horizontal="right" wrapText="1"/>
    </xf>
    <xf numFmtId="14" fontId="15" fillId="6" borderId="0" xfId="0" applyNumberFormat="1" applyFont="1" applyFill="1"/>
    <xf numFmtId="0" fontId="12" fillId="6" borderId="0" xfId="0" applyFont="1" applyFill="1" applyAlignment="1">
      <alignment horizontal="left" vertical="center"/>
    </xf>
    <xf numFmtId="0" fontId="14" fillId="6" borderId="0" xfId="0" applyFont="1" applyFill="1" applyAlignment="1">
      <alignment vertical="center"/>
    </xf>
    <xf numFmtId="0" fontId="14" fillId="6" borderId="0" xfId="0" applyFont="1" applyFill="1" applyAlignment="1">
      <alignment horizontal="left" vertical="center"/>
    </xf>
    <xf numFmtId="49" fontId="14" fillId="6" borderId="0" xfId="13" applyNumberFormat="1" applyFont="1" applyFill="1" applyAlignment="1">
      <alignment vertical="center"/>
    </xf>
    <xf numFmtId="176" fontId="51" fillId="0" borderId="59" xfId="21" applyFont="1" applyBorder="1" applyAlignment="1" applyProtection="1">
      <alignment vertical="center"/>
    </xf>
    <xf numFmtId="176" fontId="51" fillId="0" borderId="7" xfId="21" applyFont="1" applyBorder="1" applyAlignment="1" applyProtection="1">
      <alignment vertical="center"/>
    </xf>
    <xf numFmtId="176" fontId="51" fillId="0" borderId="60" xfId="21" applyFont="1" applyBorder="1" applyAlignment="1" applyProtection="1">
      <alignment vertical="center"/>
    </xf>
    <xf numFmtId="176" fontId="36" fillId="0" borderId="70" xfId="21" applyFont="1" applyBorder="1" applyAlignment="1" applyProtection="1">
      <alignment vertical="center"/>
    </xf>
    <xf numFmtId="176" fontId="32" fillId="0" borderId="61" xfId="21" applyFont="1" applyBorder="1" applyAlignment="1" applyProtection="1">
      <alignment vertical="center"/>
    </xf>
    <xf numFmtId="176" fontId="36" fillId="0" borderId="61" xfId="21" applyFont="1" applyBorder="1" applyAlignment="1" applyProtection="1">
      <alignment vertical="center"/>
    </xf>
    <xf numFmtId="184" fontId="15" fillId="6" borderId="0" xfId="8" applyNumberFormat="1" applyFont="1" applyFill="1" applyBorder="1" applyAlignment="1" applyProtection="1">
      <alignment vertical="center" wrapText="1"/>
      <protection locked="0"/>
    </xf>
    <xf numFmtId="184" fontId="15" fillId="10" borderId="1" xfId="8" applyNumberFormat="1" applyFont="1" applyFill="1" applyBorder="1" applyAlignment="1" applyProtection="1">
      <alignment vertical="center"/>
    </xf>
    <xf numFmtId="0" fontId="14" fillId="0" borderId="2" xfId="0" applyFont="1" applyBorder="1" applyAlignment="1">
      <alignment vertical="center"/>
    </xf>
    <xf numFmtId="0" fontId="14" fillId="6" borderId="0" xfId="22" applyFont="1" applyFill="1" applyAlignment="1">
      <alignment vertical="center"/>
    </xf>
    <xf numFmtId="172" fontId="22" fillId="10" borderId="19" xfId="1" applyNumberFormat="1" applyFont="1" applyFill="1" applyBorder="1" applyAlignment="1" applyProtection="1">
      <alignment vertical="center"/>
    </xf>
    <xf numFmtId="172" fontId="22" fillId="10" borderId="1" xfId="1" applyNumberFormat="1" applyFont="1" applyFill="1" applyBorder="1" applyAlignment="1" applyProtection="1">
      <alignment vertical="center"/>
    </xf>
    <xf numFmtId="49" fontId="15" fillId="11" borderId="20" xfId="0" applyNumberFormat="1" applyFont="1" applyFill="1" applyBorder="1" applyAlignment="1" applyProtection="1">
      <alignment vertical="center" wrapText="1"/>
      <protection locked="0"/>
    </xf>
    <xf numFmtId="172" fontId="22" fillId="11" borderId="1" xfId="1" applyNumberFormat="1" applyFont="1" applyFill="1" applyBorder="1" applyAlignment="1" applyProtection="1">
      <alignment vertical="center"/>
      <protection locked="0"/>
    </xf>
    <xf numFmtId="172" fontId="22" fillId="11" borderId="2" xfId="1" applyNumberFormat="1" applyFont="1" applyFill="1" applyBorder="1" applyAlignment="1" applyProtection="1">
      <alignment vertical="center"/>
      <protection locked="0"/>
    </xf>
    <xf numFmtId="172" fontId="22" fillId="11" borderId="33" xfId="1" applyNumberFormat="1" applyFont="1" applyFill="1" applyBorder="1" applyAlignment="1" applyProtection="1">
      <alignment vertical="center"/>
      <protection locked="0"/>
    </xf>
    <xf numFmtId="14" fontId="34" fillId="0" borderId="0" xfId="0" applyNumberFormat="1" applyFont="1"/>
    <xf numFmtId="14" fontId="34" fillId="6" borderId="0" xfId="0" applyNumberFormat="1" applyFont="1" applyFill="1" applyAlignment="1">
      <alignment horizontal="left" vertical="center"/>
    </xf>
    <xf numFmtId="0" fontId="14" fillId="13" borderId="53" xfId="13" applyFont="1" applyFill="1" applyBorder="1" applyAlignment="1">
      <alignment horizontal="left" vertical="center" wrapText="1"/>
    </xf>
    <xf numFmtId="0" fontId="14" fillId="13" borderId="51" xfId="0" applyFont="1" applyFill="1" applyBorder="1" applyAlignment="1">
      <alignment horizontal="left" vertical="center" wrapText="1"/>
    </xf>
    <xf numFmtId="0" fontId="14" fillId="13" borderId="53" xfId="0" applyFont="1" applyFill="1" applyBorder="1" applyAlignment="1">
      <alignment horizontal="left" vertical="center" wrapText="1"/>
    </xf>
    <xf numFmtId="0" fontId="14" fillId="13" borderId="54" xfId="13" applyFont="1" applyFill="1" applyBorder="1" applyAlignment="1">
      <alignment horizontal="left" vertical="center" wrapText="1"/>
    </xf>
    <xf numFmtId="0" fontId="15" fillId="13" borderId="12" xfId="0" applyFont="1" applyFill="1" applyBorder="1" applyAlignment="1">
      <alignment horizontal="left" vertical="center"/>
    </xf>
    <xf numFmtId="0" fontId="15" fillId="13" borderId="8" xfId="0" applyFont="1" applyFill="1" applyBorder="1" applyAlignment="1">
      <alignment horizontal="left" vertical="center"/>
    </xf>
    <xf numFmtId="0" fontId="14" fillId="13" borderId="54" xfId="0" applyFont="1" applyFill="1" applyBorder="1" applyAlignment="1">
      <alignment horizontal="left" vertical="center" wrapText="1"/>
    </xf>
    <xf numFmtId="171" fontId="14" fillId="6" borderId="0" xfId="5" applyNumberFormat="1" applyFont="1" applyFill="1" applyBorder="1" applyAlignment="1">
      <alignment horizontal="center" vertical="center"/>
    </xf>
    <xf numFmtId="0" fontId="18" fillId="13" borderId="43" xfId="13" applyFont="1" applyFill="1" applyBorder="1" applyAlignment="1">
      <alignment vertical="center"/>
    </xf>
    <xf numFmtId="0" fontId="18" fillId="13" borderId="43" xfId="13" applyFont="1" applyFill="1" applyBorder="1" applyAlignment="1">
      <alignment horizontal="left" vertical="center"/>
    </xf>
    <xf numFmtId="0" fontId="15" fillId="13" borderId="2" xfId="0" applyFont="1" applyFill="1" applyBorder="1" applyAlignment="1">
      <alignment vertical="center"/>
    </xf>
    <xf numFmtId="0" fontId="15" fillId="13" borderId="8" xfId="13" applyFont="1" applyFill="1" applyBorder="1" applyAlignment="1">
      <alignment vertical="center"/>
    </xf>
    <xf numFmtId="0" fontId="15" fillId="13" borderId="8" xfId="0" applyFont="1" applyFill="1" applyBorder="1" applyAlignment="1">
      <alignment vertical="center"/>
    </xf>
    <xf numFmtId="0" fontId="14" fillId="13" borderId="8" xfId="0" applyFont="1" applyFill="1" applyBorder="1" applyAlignment="1">
      <alignment vertical="center"/>
    </xf>
    <xf numFmtId="171" fontId="15" fillId="13" borderId="9" xfId="13" applyNumberFormat="1" applyFont="1" applyFill="1" applyBorder="1" applyAlignment="1">
      <alignment vertical="center"/>
    </xf>
    <xf numFmtId="0" fontId="15" fillId="13" borderId="12" xfId="0" applyFont="1" applyFill="1" applyBorder="1" applyAlignment="1">
      <alignment vertical="center"/>
    </xf>
    <xf numFmtId="6" fontId="15" fillId="13" borderId="12" xfId="0" applyNumberFormat="1" applyFont="1" applyFill="1" applyBorder="1" applyAlignment="1">
      <alignment vertical="center"/>
    </xf>
    <xf numFmtId="0" fontId="14" fillId="13" borderId="4" xfId="0" applyFont="1" applyFill="1" applyBorder="1" applyAlignment="1">
      <alignment vertical="center"/>
    </xf>
    <xf numFmtId="0" fontId="15" fillId="13" borderId="5" xfId="0" applyFont="1" applyFill="1" applyBorder="1" applyAlignment="1">
      <alignment vertical="center"/>
    </xf>
    <xf numFmtId="0" fontId="15" fillId="13" borderId="5" xfId="0" applyFont="1" applyFill="1" applyBorder="1" applyAlignment="1">
      <alignment horizontal="left" vertical="center"/>
    </xf>
    <xf numFmtId="0" fontId="15" fillId="13" borderId="6" xfId="0" applyFont="1" applyFill="1" applyBorder="1" applyAlignment="1">
      <alignment vertical="center"/>
    </xf>
    <xf numFmtId="0" fontId="15" fillId="13" borderId="11" xfId="13" applyFont="1" applyFill="1" applyBorder="1" applyAlignment="1">
      <alignment vertical="center"/>
    </xf>
    <xf numFmtId="0" fontId="33" fillId="13" borderId="12" xfId="13" applyFont="1" applyFill="1" applyBorder="1" applyAlignment="1">
      <alignment vertical="center"/>
    </xf>
    <xf numFmtId="0" fontId="33" fillId="13" borderId="12" xfId="13" applyFont="1" applyFill="1" applyBorder="1" applyAlignment="1">
      <alignment horizontal="left" vertical="center"/>
    </xf>
    <xf numFmtId="0" fontId="33" fillId="13" borderId="38" xfId="13" applyFont="1" applyFill="1" applyBorder="1" applyAlignment="1">
      <alignment vertical="center"/>
    </xf>
    <xf numFmtId="0" fontId="15" fillId="13" borderId="2" xfId="0" applyFont="1" applyFill="1" applyBorder="1" applyAlignment="1">
      <alignment horizontal="left" vertical="center"/>
    </xf>
    <xf numFmtId="0" fontId="15" fillId="13" borderId="12" xfId="13" applyFont="1" applyFill="1" applyBorder="1" applyAlignment="1">
      <alignment vertical="center"/>
    </xf>
    <xf numFmtId="0" fontId="14" fillId="6" borderId="11" xfId="0" applyFont="1" applyFill="1" applyBorder="1" applyAlignment="1">
      <alignment horizontal="left" vertical="center"/>
    </xf>
    <xf numFmtId="0" fontId="14" fillId="6" borderId="12" xfId="0" applyFont="1" applyFill="1" applyBorder="1" applyAlignment="1">
      <alignment horizontal="left" vertical="center"/>
    </xf>
    <xf numFmtId="0" fontId="14" fillId="6" borderId="12" xfId="0" applyFont="1" applyFill="1" applyBorder="1" applyAlignment="1">
      <alignment horizontal="right" vertical="center"/>
    </xf>
    <xf numFmtId="1" fontId="28" fillId="6" borderId="0" xfId="13" applyNumberFormat="1" applyFont="1" applyFill="1" applyAlignment="1">
      <alignment horizontal="center" vertical="center"/>
    </xf>
    <xf numFmtId="1" fontId="15" fillId="6" borderId="0" xfId="13" applyNumberFormat="1" applyFont="1" applyFill="1" applyAlignment="1">
      <alignment horizontal="center" vertical="center"/>
    </xf>
    <xf numFmtId="1" fontId="12" fillId="6" borderId="0" xfId="5" applyNumberFormat="1" applyFont="1" applyFill="1" applyAlignment="1">
      <alignment horizontal="center" vertical="center"/>
    </xf>
    <xf numFmtId="1" fontId="14" fillId="6" borderId="0" xfId="13" applyNumberFormat="1" applyFont="1" applyFill="1" applyAlignment="1">
      <alignment horizontal="center" vertical="center" wrapText="1"/>
    </xf>
    <xf numFmtId="1" fontId="15" fillId="6" borderId="0" xfId="1" applyNumberFormat="1" applyFont="1" applyFill="1" applyBorder="1" applyAlignment="1" applyProtection="1">
      <alignment horizontal="center" vertical="center"/>
    </xf>
    <xf numFmtId="1" fontId="15" fillId="6" borderId="0" xfId="1" applyNumberFormat="1" applyFont="1" applyFill="1" applyBorder="1" applyAlignment="1">
      <alignment horizontal="center" vertical="center"/>
    </xf>
    <xf numFmtId="1" fontId="15" fillId="6" borderId="0" xfId="13" applyNumberFormat="1" applyFont="1" applyFill="1" applyAlignment="1">
      <alignment horizontal="center" vertical="center" wrapText="1"/>
    </xf>
    <xf numFmtId="1" fontId="14" fillId="6" borderId="0" xfId="1" applyNumberFormat="1" applyFont="1" applyFill="1" applyBorder="1" applyAlignment="1">
      <alignment horizontal="center" vertical="center"/>
    </xf>
    <xf numFmtId="1" fontId="18" fillId="6" borderId="0" xfId="13" applyNumberFormat="1" applyFont="1" applyFill="1" applyAlignment="1">
      <alignment horizontal="center" vertical="center"/>
    </xf>
    <xf numFmtId="1" fontId="28" fillId="6" borderId="0" xfId="0" applyNumberFormat="1" applyFont="1" applyFill="1" applyAlignment="1">
      <alignment horizontal="center" vertical="center"/>
    </xf>
    <xf numFmtId="1" fontId="12" fillId="6" borderId="0" xfId="0" applyNumberFormat="1" applyFont="1" applyFill="1" applyAlignment="1">
      <alignment horizontal="center" vertical="center"/>
    </xf>
    <xf numFmtId="1" fontId="14" fillId="6" borderId="0" xfId="0" applyNumberFormat="1" applyFont="1" applyFill="1" applyAlignment="1">
      <alignment horizontal="center" vertical="center" wrapText="1"/>
    </xf>
    <xf numFmtId="1" fontId="15" fillId="6" borderId="0" xfId="1" applyNumberFormat="1" applyFont="1" applyFill="1" applyBorder="1" applyAlignment="1" applyProtection="1">
      <alignment horizontal="center" vertical="center"/>
      <protection locked="0"/>
    </xf>
    <xf numFmtId="1" fontId="15" fillId="6" borderId="0" xfId="1" applyNumberFormat="1" applyFont="1" applyFill="1" applyAlignment="1" applyProtection="1">
      <alignment horizontal="center" vertical="center"/>
    </xf>
    <xf numFmtId="1" fontId="14" fillId="6" borderId="0" xfId="1" applyNumberFormat="1" applyFont="1" applyFill="1" applyBorder="1" applyAlignment="1" applyProtection="1">
      <alignment horizontal="center" vertical="center"/>
    </xf>
    <xf numFmtId="1" fontId="15" fillId="6" borderId="0" xfId="0" applyNumberFormat="1" applyFont="1" applyFill="1" applyAlignment="1">
      <alignment horizontal="center" vertical="center" wrapText="1"/>
    </xf>
    <xf numFmtId="1" fontId="27" fillId="6" borderId="0" xfId="1" applyNumberFormat="1" applyFont="1" applyFill="1" applyAlignment="1">
      <alignment horizontal="center" vertical="center"/>
    </xf>
    <xf numFmtId="1" fontId="15" fillId="6" borderId="0" xfId="7" applyNumberFormat="1" applyFont="1" applyFill="1" applyBorder="1" applyAlignment="1" applyProtection="1">
      <alignment horizontal="center" vertical="center"/>
    </xf>
    <xf numFmtId="1" fontId="14" fillId="6" borderId="0" xfId="0" applyNumberFormat="1" applyFont="1" applyFill="1" applyAlignment="1">
      <alignment horizontal="center" vertical="center"/>
    </xf>
    <xf numFmtId="1" fontId="15" fillId="6" borderId="0" xfId="7" applyNumberFormat="1" applyFont="1" applyFill="1" applyBorder="1" applyAlignment="1" applyProtection="1">
      <alignment horizontal="center" vertical="center"/>
      <protection locked="0"/>
    </xf>
    <xf numFmtId="1" fontId="15" fillId="6" borderId="0" xfId="8" applyNumberFormat="1" applyFont="1" applyFill="1" applyBorder="1" applyAlignment="1" applyProtection="1">
      <alignment horizontal="center" vertical="center"/>
    </xf>
    <xf numFmtId="1" fontId="12" fillId="6" borderId="0" xfId="1" applyNumberFormat="1" applyFont="1" applyFill="1" applyAlignment="1">
      <alignment horizontal="center" vertical="center"/>
    </xf>
    <xf numFmtId="1" fontId="13" fillId="6" borderId="0" xfId="1" applyNumberFormat="1" applyFont="1" applyFill="1" applyAlignment="1">
      <alignment horizontal="center" vertical="center"/>
    </xf>
    <xf numFmtId="1" fontId="15" fillId="6" borderId="0" xfId="7" applyNumberFormat="1" applyFont="1" applyFill="1" applyBorder="1" applyAlignment="1">
      <alignment horizontal="center" vertical="center"/>
    </xf>
    <xf numFmtId="1" fontId="12" fillId="6" borderId="0" xfId="13" applyNumberFormat="1" applyFont="1" applyFill="1" applyAlignment="1">
      <alignment horizontal="center" vertical="center"/>
    </xf>
    <xf numFmtId="1" fontId="15" fillId="6" borderId="0" xfId="0" applyNumberFormat="1" applyFont="1" applyFill="1" applyAlignment="1" applyProtection="1">
      <alignment horizontal="center" vertical="center"/>
      <protection locked="0"/>
    </xf>
    <xf numFmtId="0" fontId="15" fillId="11" borderId="22" xfId="13" applyFont="1" applyFill="1" applyBorder="1" applyAlignment="1" applyProtection="1">
      <alignment horizontal="center" vertical="center"/>
      <protection locked="0"/>
    </xf>
    <xf numFmtId="168" fontId="15" fillId="11" borderId="1" xfId="5" applyNumberFormat="1" applyFont="1" applyFill="1" applyBorder="1" applyAlignment="1" applyProtection="1">
      <alignment vertical="center"/>
      <protection locked="0"/>
    </xf>
    <xf numFmtId="168" fontId="15" fillId="11" borderId="22" xfId="5" applyNumberFormat="1" applyFont="1" applyFill="1" applyBorder="1" applyAlignment="1" applyProtection="1">
      <alignment vertical="center"/>
      <protection locked="0"/>
    </xf>
    <xf numFmtId="168" fontId="15" fillId="0" borderId="14" xfId="5" applyNumberFormat="1" applyFont="1" applyBorder="1" applyAlignment="1">
      <alignment vertical="center"/>
    </xf>
    <xf numFmtId="168" fontId="15" fillId="14" borderId="1" xfId="5" applyNumberFormat="1" applyFont="1" applyFill="1" applyBorder="1" applyAlignment="1" applyProtection="1">
      <alignment horizontal="center" vertical="center"/>
      <protection locked="0"/>
    </xf>
    <xf numFmtId="0" fontId="15" fillId="4" borderId="42" xfId="0" applyFont="1" applyFill="1" applyBorder="1" applyAlignment="1">
      <alignment horizontal="left" vertical="center"/>
    </xf>
    <xf numFmtId="0" fontId="15" fillId="4" borderId="43" xfId="0" applyFont="1" applyFill="1" applyBorder="1" applyAlignment="1">
      <alignment horizontal="left" vertical="center"/>
    </xf>
    <xf numFmtId="0" fontId="15" fillId="4" borderId="39" xfId="0" applyFont="1" applyFill="1" applyBorder="1" applyAlignment="1">
      <alignment horizontal="left" vertical="center"/>
    </xf>
    <xf numFmtId="0" fontId="15" fillId="4" borderId="8" xfId="0" applyFont="1" applyFill="1" applyBorder="1" applyAlignment="1">
      <alignment horizontal="left" vertical="center"/>
    </xf>
    <xf numFmtId="0" fontId="15" fillId="4" borderId="39" xfId="4" applyFont="1" applyFill="1" applyBorder="1" applyAlignment="1" applyProtection="1">
      <alignment vertical="center"/>
    </xf>
    <xf numFmtId="0" fontId="46" fillId="4" borderId="8" xfId="4" applyFont="1" applyFill="1" applyBorder="1" applyAlignment="1" applyProtection="1">
      <alignment vertical="center"/>
    </xf>
    <xf numFmtId="0" fontId="22" fillId="4" borderId="39" xfId="0" applyFont="1" applyFill="1" applyBorder="1" applyAlignment="1">
      <alignment horizontal="left" vertical="center"/>
    </xf>
    <xf numFmtId="0" fontId="15" fillId="4" borderId="48" xfId="0" applyFont="1" applyFill="1" applyBorder="1" applyAlignment="1">
      <alignment horizontal="left" vertical="center"/>
    </xf>
    <xf numFmtId="0" fontId="15" fillId="4" borderId="34" xfId="0" applyFont="1" applyFill="1" applyBorder="1" applyAlignment="1">
      <alignment horizontal="left" vertical="center"/>
    </xf>
    <xf numFmtId="169" fontId="9" fillId="6" borderId="0" xfId="14" applyNumberFormat="1" applyFont="1" applyFill="1" applyBorder="1" applyAlignment="1">
      <alignment horizontal="right" vertical="center"/>
    </xf>
    <xf numFmtId="0" fontId="18" fillId="0" borderId="0" xfId="13" applyFont="1" applyAlignment="1">
      <alignment horizontal="right" vertical="center"/>
    </xf>
    <xf numFmtId="169" fontId="66" fillId="6" borderId="0" xfId="14" applyNumberFormat="1" applyFont="1" applyFill="1" applyBorder="1" applyAlignment="1">
      <alignment vertical="center"/>
    </xf>
    <xf numFmtId="169" fontId="15" fillId="10" borderId="15" xfId="1" applyNumberFormat="1" applyFont="1" applyFill="1" applyBorder="1" applyAlignment="1">
      <alignment vertical="center"/>
    </xf>
    <xf numFmtId="0" fontId="34" fillId="0" borderId="0" xfId="13" applyFont="1" applyAlignment="1">
      <alignment vertical="center" wrapText="1"/>
    </xf>
    <xf numFmtId="0" fontId="14" fillId="13" borderId="11" xfId="0" applyFont="1" applyFill="1" applyBorder="1" applyAlignment="1">
      <alignment vertical="center"/>
    </xf>
    <xf numFmtId="0" fontId="14" fillId="13" borderId="12" xfId="0" applyFont="1" applyFill="1" applyBorder="1" applyAlignment="1">
      <alignment vertical="center"/>
    </xf>
    <xf numFmtId="6" fontId="14" fillId="13" borderId="12" xfId="0" applyNumberFormat="1" applyFont="1" applyFill="1" applyBorder="1" applyAlignment="1">
      <alignment vertical="center"/>
    </xf>
    <xf numFmtId="0" fontId="14" fillId="13" borderId="12" xfId="0" applyFont="1" applyFill="1" applyBorder="1" applyAlignment="1">
      <alignment horizontal="left" vertical="center"/>
    </xf>
    <xf numFmtId="169" fontId="15" fillId="6" borderId="0" xfId="7" applyNumberFormat="1" applyFont="1" applyFill="1" applyBorder="1" applyAlignment="1" applyProtection="1">
      <alignment vertical="center"/>
    </xf>
    <xf numFmtId="0" fontId="0" fillId="6" borderId="0" xfId="0" applyFill="1" applyAlignment="1">
      <alignment vertical="center"/>
    </xf>
    <xf numFmtId="0" fontId="15" fillId="13" borderId="9" xfId="0" applyFont="1" applyFill="1" applyBorder="1" applyAlignment="1">
      <alignment vertical="center"/>
    </xf>
    <xf numFmtId="0" fontId="14" fillId="13" borderId="2" xfId="0" applyFont="1" applyFill="1" applyBorder="1" applyAlignment="1">
      <alignment vertical="center"/>
    </xf>
    <xf numFmtId="0" fontId="63" fillId="6" borderId="0" xfId="22" applyFont="1" applyFill="1" applyAlignment="1">
      <alignment vertical="center"/>
    </xf>
    <xf numFmtId="0" fontId="64" fillId="6" borderId="0" xfId="22" applyFont="1" applyFill="1" applyAlignment="1">
      <alignment vertical="center"/>
    </xf>
    <xf numFmtId="0" fontId="15" fillId="10" borderId="54" xfId="0" applyFont="1" applyFill="1" applyBorder="1" applyAlignment="1">
      <alignment vertical="center"/>
    </xf>
    <xf numFmtId="0" fontId="15" fillId="10" borderId="55" xfId="0" applyFont="1" applyFill="1" applyBorder="1" applyAlignment="1">
      <alignment vertical="center"/>
    </xf>
    <xf numFmtId="0" fontId="15" fillId="9" borderId="55" xfId="0" applyFont="1" applyFill="1" applyBorder="1" applyAlignment="1" applyProtection="1">
      <alignment vertical="center"/>
      <protection locked="0"/>
    </xf>
    <xf numFmtId="49" fontId="15" fillId="10" borderId="56" xfId="13" applyNumberFormat="1" applyFont="1" applyFill="1" applyBorder="1" applyAlignment="1">
      <alignment vertical="center"/>
    </xf>
    <xf numFmtId="164" fontId="15" fillId="6" borderId="0" xfId="0" applyNumberFormat="1" applyFont="1" applyFill="1" applyAlignment="1">
      <alignment horizontal="left" vertical="top"/>
    </xf>
    <xf numFmtId="49" fontId="15" fillId="6" borderId="0" xfId="13" applyNumberFormat="1" applyFont="1" applyFill="1" applyAlignment="1">
      <alignment horizontal="left" vertical="top"/>
    </xf>
    <xf numFmtId="0" fontId="12" fillId="3" borderId="4" xfId="0" applyFont="1" applyFill="1" applyBorder="1" applyAlignment="1">
      <alignment horizontal="left" vertical="center"/>
    </xf>
    <xf numFmtId="0" fontId="15" fillId="6" borderId="0" xfId="0" applyFont="1" applyFill="1" applyAlignment="1">
      <alignment vertical="top" wrapText="1"/>
    </xf>
    <xf numFmtId="165" fontId="15" fillId="6" borderId="0" xfId="0" applyNumberFormat="1" applyFont="1" applyFill="1" applyAlignment="1">
      <alignment vertical="top"/>
    </xf>
    <xf numFmtId="9" fontId="15" fillId="6" borderId="0" xfId="8" applyFont="1" applyFill="1" applyBorder="1" applyAlignment="1" applyProtection="1">
      <alignment horizontal="center" vertical="top"/>
    </xf>
    <xf numFmtId="0" fontId="15" fillId="4" borderId="42" xfId="0" applyFont="1" applyFill="1" applyBorder="1" applyAlignment="1">
      <alignment vertical="top" wrapText="1"/>
    </xf>
    <xf numFmtId="0" fontId="15" fillId="4" borderId="39" xfId="0" applyFont="1" applyFill="1" applyBorder="1" applyAlignment="1">
      <alignment vertical="top" wrapText="1"/>
    </xf>
    <xf numFmtId="0" fontId="15" fillId="4" borderId="48" xfId="0" applyFont="1" applyFill="1" applyBorder="1" applyAlignment="1">
      <alignment vertical="top" wrapText="1"/>
    </xf>
    <xf numFmtId="0" fontId="15" fillId="4" borderId="51" xfId="0" applyFont="1" applyFill="1" applyBorder="1" applyAlignment="1">
      <alignment horizontal="left" vertical="top"/>
    </xf>
    <xf numFmtId="0" fontId="15" fillId="4" borderId="20" xfId="13" applyFont="1" applyFill="1" applyBorder="1" applyAlignment="1">
      <alignment horizontal="left" vertical="top"/>
    </xf>
    <xf numFmtId="0" fontId="15" fillId="4" borderId="21" xfId="13" applyFont="1" applyFill="1" applyBorder="1" applyAlignment="1">
      <alignment horizontal="left" vertical="top"/>
    </xf>
    <xf numFmtId="0" fontId="15" fillId="10" borderId="55" xfId="0" applyFont="1" applyFill="1" applyBorder="1" applyAlignment="1">
      <alignment vertical="top"/>
    </xf>
    <xf numFmtId="0" fontId="15" fillId="10" borderId="54" xfId="13" applyFont="1" applyFill="1" applyBorder="1" applyAlignment="1">
      <alignment vertical="top"/>
    </xf>
    <xf numFmtId="0" fontId="15" fillId="10" borderId="56" xfId="0" applyFont="1" applyFill="1" applyBorder="1" applyAlignment="1">
      <alignment horizontal="left" vertical="top"/>
    </xf>
    <xf numFmtId="0" fontId="15" fillId="4" borderId="39" xfId="0" applyFont="1" applyFill="1" applyBorder="1" applyAlignment="1">
      <alignment vertical="top"/>
    </xf>
    <xf numFmtId="164" fontId="15" fillId="10" borderId="54" xfId="0" applyNumberFormat="1" applyFont="1" applyFill="1" applyBorder="1" applyAlignment="1">
      <alignment horizontal="left" vertical="top"/>
    </xf>
    <xf numFmtId="164" fontId="15" fillId="10" borderId="55" xfId="0" applyNumberFormat="1" applyFont="1" applyFill="1" applyBorder="1" applyAlignment="1">
      <alignment horizontal="left" vertical="top"/>
    </xf>
    <xf numFmtId="164" fontId="15" fillId="10" borderId="56" xfId="0" applyNumberFormat="1" applyFont="1" applyFill="1" applyBorder="1" applyAlignment="1">
      <alignment horizontal="left" vertical="top"/>
    </xf>
    <xf numFmtId="0" fontId="15" fillId="6" borderId="0" xfId="0" applyFont="1" applyFill="1" applyAlignment="1">
      <alignment horizontal="left" vertical="top" wrapText="1"/>
    </xf>
    <xf numFmtId="167" fontId="15" fillId="11" borderId="23" xfId="0" applyNumberFormat="1" applyFont="1" applyFill="1" applyBorder="1" applyAlignment="1" applyProtection="1">
      <alignment vertical="center" wrapText="1"/>
      <protection locked="0"/>
    </xf>
    <xf numFmtId="167" fontId="15" fillId="11" borderId="45" xfId="0" applyNumberFormat="1" applyFont="1" applyFill="1" applyBorder="1" applyAlignment="1" applyProtection="1">
      <alignment vertical="center" wrapText="1"/>
      <protection locked="0"/>
    </xf>
    <xf numFmtId="0" fontId="54" fillId="0" borderId="0" xfId="0" applyFont="1" applyAlignment="1">
      <alignment vertical="top"/>
    </xf>
    <xf numFmtId="0" fontId="23" fillId="6" borderId="0" xfId="0" applyFont="1" applyFill="1"/>
    <xf numFmtId="172" fontId="22" fillId="13" borderId="19" xfId="1" applyNumberFormat="1" applyFont="1" applyFill="1" applyBorder="1" applyAlignment="1" applyProtection="1">
      <alignment vertical="center"/>
    </xf>
    <xf numFmtId="49" fontId="15" fillId="13" borderId="49" xfId="0" applyNumberFormat="1" applyFont="1" applyFill="1" applyBorder="1" applyAlignment="1">
      <alignment vertical="center" wrapText="1"/>
    </xf>
    <xf numFmtId="172" fontId="22" fillId="13" borderId="1" xfId="1" applyNumberFormat="1" applyFont="1" applyFill="1" applyBorder="1" applyAlignment="1" applyProtection="1">
      <alignment vertical="center"/>
    </xf>
    <xf numFmtId="167" fontId="15" fillId="13" borderId="23" xfId="0" applyNumberFormat="1" applyFont="1" applyFill="1" applyBorder="1" applyAlignment="1">
      <alignment vertical="center" wrapText="1"/>
    </xf>
    <xf numFmtId="49" fontId="15" fillId="13" borderId="57" xfId="0" applyNumberFormat="1" applyFont="1" applyFill="1" applyBorder="1" applyAlignment="1">
      <alignment vertical="center" wrapText="1"/>
    </xf>
    <xf numFmtId="49" fontId="15" fillId="13" borderId="20" xfId="0" applyNumberFormat="1" applyFont="1" applyFill="1" applyBorder="1" applyAlignment="1">
      <alignment vertical="center" wrapText="1"/>
    </xf>
    <xf numFmtId="0" fontId="14" fillId="4" borderId="15" xfId="0" applyFont="1" applyFill="1" applyBorder="1" applyAlignment="1">
      <alignment vertical="top" wrapText="1"/>
    </xf>
    <xf numFmtId="0" fontId="14" fillId="4" borderId="16" xfId="0" applyFont="1" applyFill="1" applyBorder="1" applyAlignment="1">
      <alignment vertical="top" wrapText="1"/>
    </xf>
    <xf numFmtId="0" fontId="15" fillId="0" borderId="27" xfId="0" applyFont="1" applyBorder="1"/>
    <xf numFmtId="0" fontId="34" fillId="6" borderId="0" xfId="0" applyFont="1" applyFill="1"/>
    <xf numFmtId="0" fontId="17" fillId="6" borderId="0" xfId="0" applyFont="1" applyFill="1" applyAlignment="1">
      <alignment horizontal="left"/>
    </xf>
    <xf numFmtId="0" fontId="33" fillId="0" borderId="0" xfId="0" applyFont="1"/>
    <xf numFmtId="168" fontId="34" fillId="0" borderId="0" xfId="5" applyNumberFormat="1" applyFont="1" applyBorder="1"/>
    <xf numFmtId="0" fontId="14" fillId="4" borderId="21" xfId="0" applyFont="1" applyFill="1" applyBorder="1" applyAlignment="1">
      <alignment horizontal="left"/>
    </xf>
    <xf numFmtId="165" fontId="15" fillId="10" borderId="33" xfId="0" applyNumberFormat="1" applyFont="1" applyFill="1" applyBorder="1"/>
    <xf numFmtId="0" fontId="0" fillId="10" borderId="34" xfId="0" applyFill="1" applyBorder="1"/>
    <xf numFmtId="165" fontId="15" fillId="6" borderId="0" xfId="0" applyNumberFormat="1" applyFont="1" applyFill="1"/>
    <xf numFmtId="0" fontId="14" fillId="4" borderId="51" xfId="0" applyFont="1" applyFill="1" applyBorder="1" applyAlignment="1">
      <alignment horizontal="left"/>
    </xf>
    <xf numFmtId="165" fontId="15" fillId="10" borderId="52" xfId="0" applyNumberFormat="1" applyFont="1" applyFill="1" applyBorder="1"/>
    <xf numFmtId="0" fontId="0" fillId="10" borderId="43" xfId="0" applyFill="1" applyBorder="1"/>
    <xf numFmtId="0" fontId="0" fillId="10" borderId="44" xfId="0" applyFill="1" applyBorder="1"/>
    <xf numFmtId="0" fontId="0" fillId="10" borderId="45" xfId="0" applyFill="1" applyBorder="1"/>
    <xf numFmtId="0" fontId="30" fillId="6" borderId="0" xfId="0" applyFont="1" applyFill="1"/>
    <xf numFmtId="0" fontId="12" fillId="3" borderId="69" xfId="0" applyFont="1" applyFill="1" applyBorder="1" applyAlignment="1">
      <alignment horizontal="left" vertical="center"/>
    </xf>
    <xf numFmtId="0" fontId="12" fillId="3" borderId="67" xfId="0" applyFont="1" applyFill="1" applyBorder="1" applyAlignment="1">
      <alignment horizontal="left" vertical="center"/>
    </xf>
    <xf numFmtId="14" fontId="15" fillId="11" borderId="22" xfId="0" applyNumberFormat="1" applyFont="1" applyFill="1" applyBorder="1" applyAlignment="1" applyProtection="1">
      <alignment horizontal="right" vertical="center"/>
      <protection locked="0"/>
    </xf>
    <xf numFmtId="14" fontId="15" fillId="4" borderId="56" xfId="0" applyNumberFormat="1" applyFont="1" applyFill="1" applyBorder="1" applyAlignment="1">
      <alignment horizontal="right" vertical="center"/>
    </xf>
    <xf numFmtId="0" fontId="54" fillId="6" borderId="0" xfId="0" applyFont="1" applyFill="1" applyAlignment="1">
      <alignment vertical="top"/>
    </xf>
    <xf numFmtId="14" fontId="32" fillId="6" borderId="3" xfId="13" applyNumberFormat="1" applyFont="1" applyFill="1" applyBorder="1"/>
    <xf numFmtId="0" fontId="13" fillId="6" borderId="0" xfId="13" applyFont="1" applyFill="1"/>
    <xf numFmtId="14" fontId="14" fillId="6" borderId="0" xfId="13" applyNumberFormat="1" applyFont="1" applyFill="1"/>
    <xf numFmtId="0" fontId="14" fillId="4" borderId="51" xfId="0" applyFont="1" applyFill="1" applyBorder="1" applyAlignment="1">
      <alignment horizontal="left" vertical="center"/>
    </xf>
    <xf numFmtId="0" fontId="14" fillId="4" borderId="53" xfId="0" applyFont="1" applyFill="1" applyBorder="1" applyAlignment="1">
      <alignment horizontal="center" vertical="center" wrapText="1"/>
    </xf>
    <xf numFmtId="0" fontId="14" fillId="4" borderId="54" xfId="0" applyFont="1" applyFill="1" applyBorder="1" applyAlignment="1">
      <alignment horizontal="center" vertical="center"/>
    </xf>
    <xf numFmtId="173" fontId="15" fillId="4" borderId="20" xfId="0" applyNumberFormat="1" applyFont="1" applyFill="1" applyBorder="1" applyAlignment="1">
      <alignment vertical="center"/>
    </xf>
    <xf numFmtId="182" fontId="15" fillId="7" borderId="1" xfId="0" applyNumberFormat="1" applyFont="1" applyFill="1" applyBorder="1" applyAlignment="1">
      <alignment horizontal="right" vertical="center" wrapText="1"/>
    </xf>
    <xf numFmtId="182" fontId="15" fillId="7" borderId="55" xfId="0" applyNumberFormat="1" applyFont="1" applyFill="1" applyBorder="1" applyAlignment="1">
      <alignment horizontal="right" vertical="center" wrapText="1"/>
    </xf>
    <xf numFmtId="182" fontId="15" fillId="10" borderId="1" xfId="0" applyNumberFormat="1" applyFont="1" applyFill="1" applyBorder="1" applyAlignment="1">
      <alignment horizontal="right" vertical="center" wrapText="1"/>
    </xf>
    <xf numFmtId="182" fontId="15" fillId="10" borderId="55" xfId="0" applyNumberFormat="1" applyFont="1" applyFill="1" applyBorder="1" applyAlignment="1">
      <alignment horizontal="right" vertical="center" wrapText="1"/>
    </xf>
    <xf numFmtId="182" fontId="15" fillId="13" borderId="1" xfId="0" applyNumberFormat="1" applyFont="1" applyFill="1" applyBorder="1" applyAlignment="1">
      <alignment horizontal="right" vertical="center" wrapText="1"/>
    </xf>
    <xf numFmtId="182" fontId="15" fillId="13" borderId="55" xfId="0" applyNumberFormat="1" applyFont="1" applyFill="1" applyBorder="1" applyAlignment="1">
      <alignment horizontal="right" vertical="center" wrapText="1"/>
    </xf>
    <xf numFmtId="0" fontId="15" fillId="4" borderId="20" xfId="0" applyFont="1" applyFill="1" applyBorder="1" applyAlignment="1">
      <alignment horizontal="left" vertical="center" wrapText="1"/>
    </xf>
    <xf numFmtId="14" fontId="15" fillId="4" borderId="1" xfId="0" applyNumberFormat="1" applyFont="1" applyFill="1" applyBorder="1" applyAlignment="1">
      <alignment horizontal="right" vertical="center" wrapText="1"/>
    </xf>
    <xf numFmtId="14" fontId="15" fillId="4" borderId="55" xfId="0" applyNumberFormat="1" applyFont="1" applyFill="1" applyBorder="1" applyAlignment="1">
      <alignment horizontal="right" vertical="center" wrapText="1"/>
    </xf>
    <xf numFmtId="0" fontId="15" fillId="4" borderId="21" xfId="0" applyFont="1" applyFill="1" applyBorder="1" applyAlignment="1">
      <alignment horizontal="left" vertical="center" wrapText="1"/>
    </xf>
    <xf numFmtId="176" fontId="36" fillId="13" borderId="46" xfId="21" applyFont="1" applyFill="1" applyBorder="1" applyAlignment="1" applyProtection="1">
      <alignment vertical="center"/>
    </xf>
    <xf numFmtId="176" fontId="36" fillId="13" borderId="40" xfId="21" applyFont="1" applyFill="1" applyBorder="1" applyAlignment="1" applyProtection="1">
      <alignment vertical="center"/>
    </xf>
    <xf numFmtId="176" fontId="36" fillId="13" borderId="47" xfId="21" applyFont="1" applyFill="1" applyBorder="1" applyAlignment="1" applyProtection="1">
      <alignment vertical="center"/>
    </xf>
    <xf numFmtId="176" fontId="36" fillId="13" borderId="59" xfId="21" applyFont="1" applyFill="1" applyBorder="1" applyAlignment="1" applyProtection="1">
      <alignment vertical="center"/>
    </xf>
    <xf numFmtId="176" fontId="36" fillId="13" borderId="7" xfId="21" applyFont="1" applyFill="1" applyBorder="1" applyAlignment="1" applyProtection="1">
      <alignment vertical="center"/>
    </xf>
    <xf numFmtId="176" fontId="36" fillId="13" borderId="60" xfId="21" applyFont="1" applyFill="1" applyBorder="1" applyAlignment="1" applyProtection="1">
      <alignment vertical="center"/>
    </xf>
    <xf numFmtId="176" fontId="36" fillId="13" borderId="10" xfId="21" applyFont="1" applyFill="1" applyBorder="1" applyAlignment="1" applyProtection="1">
      <alignment vertical="center"/>
    </xf>
    <xf numFmtId="176" fontId="36" fillId="13" borderId="0" xfId="21" applyFont="1" applyFill="1" applyBorder="1" applyAlignment="1" applyProtection="1">
      <alignment vertical="center"/>
    </xf>
    <xf numFmtId="176" fontId="36" fillId="13" borderId="37" xfId="21" applyFont="1" applyFill="1" applyBorder="1" applyAlignment="1" applyProtection="1">
      <alignment vertical="center"/>
    </xf>
    <xf numFmtId="176" fontId="32" fillId="13" borderId="11" xfId="21" applyFont="1" applyFill="1" applyBorder="1" applyAlignment="1" applyProtection="1">
      <alignment vertical="center"/>
    </xf>
    <xf numFmtId="176" fontId="32" fillId="13" borderId="12" xfId="21" applyFont="1" applyFill="1" applyBorder="1" applyAlignment="1" applyProtection="1">
      <alignment vertical="center"/>
    </xf>
    <xf numFmtId="176" fontId="32" fillId="13" borderId="38" xfId="21" applyFont="1" applyFill="1" applyBorder="1" applyAlignment="1" applyProtection="1">
      <alignment vertical="center"/>
    </xf>
    <xf numFmtId="176" fontId="36" fillId="13" borderId="12" xfId="21" applyFont="1" applyFill="1" applyBorder="1" applyAlignment="1" applyProtection="1">
      <alignment vertical="center"/>
    </xf>
    <xf numFmtId="177" fontId="36" fillId="13" borderId="12" xfId="21" applyNumberFormat="1" applyFont="1" applyFill="1" applyBorder="1" applyAlignment="1" applyProtection="1">
      <alignment vertical="center"/>
    </xf>
    <xf numFmtId="177" fontId="36" fillId="13" borderId="38" xfId="21" applyNumberFormat="1" applyFont="1" applyFill="1" applyBorder="1" applyAlignment="1" applyProtection="1">
      <alignment vertical="center"/>
    </xf>
    <xf numFmtId="176" fontId="36" fillId="13" borderId="11" xfId="21" applyFont="1" applyFill="1" applyBorder="1" applyAlignment="1" applyProtection="1">
      <alignment vertical="center"/>
    </xf>
    <xf numFmtId="177" fontId="36" fillId="13" borderId="0" xfId="21" applyNumberFormat="1" applyFont="1" applyFill="1" applyBorder="1" applyAlignment="1" applyProtection="1">
      <alignment vertical="center"/>
    </xf>
    <xf numFmtId="177" fontId="36" fillId="13" borderId="37" xfId="21" applyNumberFormat="1" applyFont="1" applyFill="1" applyBorder="1" applyAlignment="1" applyProtection="1">
      <alignment vertical="center"/>
    </xf>
    <xf numFmtId="176" fontId="36" fillId="13" borderId="4" xfId="21" applyFont="1" applyFill="1" applyBorder="1" applyAlignment="1" applyProtection="1">
      <alignment vertical="center"/>
    </xf>
    <xf numFmtId="176" fontId="36" fillId="13" borderId="5" xfId="21" applyFont="1" applyFill="1" applyBorder="1" applyAlignment="1" applyProtection="1">
      <alignment vertical="center"/>
    </xf>
    <xf numFmtId="176" fontId="36" fillId="13" borderId="6" xfId="21" applyFont="1" applyFill="1" applyBorder="1" applyAlignment="1" applyProtection="1">
      <alignment vertical="center"/>
    </xf>
    <xf numFmtId="0" fontId="12" fillId="6" borderId="0" xfId="23" applyFont="1" applyFill="1" applyAlignment="1">
      <alignment horizontal="left" vertical="center"/>
    </xf>
    <xf numFmtId="176" fontId="32" fillId="6" borderId="0" xfId="15" applyFont="1" applyFill="1" applyBorder="1" applyAlignment="1" applyProtection="1">
      <alignment vertical="center"/>
    </xf>
    <xf numFmtId="182" fontId="15" fillId="13" borderId="60" xfId="5" applyNumberFormat="1" applyFont="1" applyFill="1" applyBorder="1" applyAlignment="1" applyProtection="1">
      <alignment vertical="center"/>
      <protection locked="0"/>
    </xf>
    <xf numFmtId="182" fontId="15" fillId="13" borderId="38" xfId="5" applyNumberFormat="1" applyFont="1" applyFill="1" applyBorder="1" applyAlignment="1" applyProtection="1">
      <alignment vertical="center"/>
      <protection locked="0"/>
    </xf>
    <xf numFmtId="176" fontId="15" fillId="13" borderId="59" xfId="21" applyFont="1" applyFill="1" applyBorder="1" applyAlignment="1" applyProtection="1">
      <alignment vertical="center"/>
    </xf>
    <xf numFmtId="176" fontId="15" fillId="13" borderId="11" xfId="21" applyFont="1" applyFill="1" applyBorder="1" applyAlignment="1" applyProtection="1">
      <alignment vertical="center"/>
    </xf>
    <xf numFmtId="10" fontId="15" fillId="13" borderId="7" xfId="8" applyNumberFormat="1" applyFont="1" applyFill="1" applyBorder="1" applyAlignment="1" applyProtection="1">
      <alignment vertical="center"/>
      <protection locked="0"/>
    </xf>
    <xf numFmtId="176" fontId="32" fillId="4" borderId="8" xfId="15" applyFont="1" applyFill="1" applyBorder="1" applyAlignment="1" applyProtection="1">
      <alignment horizontal="right" vertical="center"/>
    </xf>
    <xf numFmtId="176" fontId="32" fillId="4" borderId="8" xfId="15" applyFont="1" applyFill="1" applyBorder="1" applyAlignment="1" applyProtection="1">
      <alignment horizontal="right" vertical="center" wrapText="1"/>
    </xf>
    <xf numFmtId="176" fontId="32" fillId="4" borderId="9" xfId="15" applyFont="1" applyFill="1" applyBorder="1" applyAlignment="1" applyProtection="1">
      <alignment horizontal="right" vertical="center" wrapText="1"/>
    </xf>
    <xf numFmtId="1" fontId="32" fillId="4" borderId="2" xfId="15" applyNumberFormat="1" applyFont="1" applyFill="1" applyBorder="1" applyAlignment="1" applyProtection="1">
      <alignment horizontal="left" vertical="center"/>
    </xf>
    <xf numFmtId="176" fontId="36" fillId="4" borderId="8" xfId="15" applyFont="1" applyFill="1" applyBorder="1" applyAlignment="1" applyProtection="1">
      <alignment vertical="center"/>
    </xf>
    <xf numFmtId="1" fontId="32" fillId="4" borderId="8" xfId="15" applyNumberFormat="1" applyFont="1" applyFill="1" applyBorder="1" applyAlignment="1" applyProtection="1">
      <alignment horizontal="center" vertical="center"/>
    </xf>
    <xf numFmtId="176" fontId="32" fillId="4" borderId="8" xfId="15" applyFont="1" applyFill="1" applyBorder="1" applyAlignment="1" applyProtection="1">
      <alignment horizontal="center" vertical="center"/>
    </xf>
    <xf numFmtId="1" fontId="32" fillId="4" borderId="8" xfId="15" applyNumberFormat="1" applyFont="1" applyFill="1" applyBorder="1" applyAlignment="1" applyProtection="1">
      <alignment vertical="center"/>
    </xf>
    <xf numFmtId="1" fontId="32" fillId="4" borderId="9" xfId="15" applyNumberFormat="1" applyFont="1" applyFill="1" applyBorder="1" applyAlignment="1" applyProtection="1">
      <alignment vertical="center"/>
    </xf>
    <xf numFmtId="176" fontId="32" fillId="4" borderId="11" xfId="15" applyFont="1" applyFill="1" applyBorder="1" applyAlignment="1" applyProtection="1">
      <alignment vertical="center"/>
    </xf>
    <xf numFmtId="176" fontId="15" fillId="10" borderId="59" xfId="21" applyFont="1" applyFill="1" applyBorder="1" applyAlignment="1" applyProtection="1">
      <alignment horizontal="left" vertical="center" wrapText="1"/>
    </xf>
    <xf numFmtId="176" fontId="15" fillId="10" borderId="7" xfId="21" applyFont="1" applyFill="1" applyBorder="1" applyAlignment="1" applyProtection="1">
      <alignment horizontal="left" vertical="center"/>
    </xf>
    <xf numFmtId="176" fontId="15" fillId="10" borderId="7" xfId="21" applyFont="1" applyFill="1" applyBorder="1" applyAlignment="1" applyProtection="1">
      <alignment horizontal="right" vertical="center"/>
    </xf>
    <xf numFmtId="176" fontId="15" fillId="10" borderId="7" xfId="21" applyFont="1" applyFill="1" applyBorder="1" applyAlignment="1" applyProtection="1">
      <alignment vertical="center"/>
    </xf>
    <xf numFmtId="176" fontId="15" fillId="10" borderId="11" xfId="21" applyFont="1" applyFill="1" applyBorder="1" applyAlignment="1" applyProtection="1">
      <alignment horizontal="left" vertical="center" wrapText="1"/>
    </xf>
    <xf numFmtId="176" fontId="15" fillId="10" borderId="12" xfId="21" applyFont="1" applyFill="1" applyBorder="1" applyAlignment="1" applyProtection="1">
      <alignment horizontal="left" vertical="center"/>
    </xf>
    <xf numFmtId="176" fontId="15" fillId="10" borderId="71" xfId="21" applyFont="1" applyFill="1" applyBorder="1" applyAlignment="1" applyProtection="1">
      <alignment horizontal="right" vertical="center"/>
    </xf>
    <xf numFmtId="176" fontId="15" fillId="10" borderId="12" xfId="21" applyFont="1" applyFill="1" applyBorder="1" applyAlignment="1" applyProtection="1">
      <alignment vertical="center"/>
    </xf>
    <xf numFmtId="0" fontId="15" fillId="0" borderId="24" xfId="11" applyFont="1" applyBorder="1"/>
    <xf numFmtId="0" fontId="14" fillId="0" borderId="0" xfId="11" applyFont="1"/>
    <xf numFmtId="176" fontId="36" fillId="0" borderId="0" xfId="21" applyFont="1" applyBorder="1" applyAlignment="1" applyProtection="1">
      <alignment horizontal="right" vertical="center"/>
    </xf>
    <xf numFmtId="49" fontId="15" fillId="0" borderId="0" xfId="0" applyNumberFormat="1" applyFont="1" applyAlignment="1">
      <alignment vertical="top"/>
    </xf>
    <xf numFmtId="49" fontId="14" fillId="0" borderId="0" xfId="0" applyNumberFormat="1" applyFont="1" applyAlignment="1">
      <alignment vertical="top"/>
    </xf>
    <xf numFmtId="176" fontId="36" fillId="13" borderId="38" xfId="21" applyFont="1" applyFill="1" applyBorder="1" applyAlignment="1" applyProtection="1">
      <alignment vertical="center"/>
    </xf>
    <xf numFmtId="0" fontId="12" fillId="3" borderId="2" xfId="0" applyFont="1" applyFill="1" applyBorder="1" applyAlignment="1">
      <alignment horizontal="left" vertical="center"/>
    </xf>
    <xf numFmtId="0" fontId="12" fillId="3" borderId="9" xfId="0" applyFont="1" applyFill="1" applyBorder="1" applyAlignment="1">
      <alignment horizontal="left" vertical="center"/>
    </xf>
    <xf numFmtId="168" fontId="14" fillId="0" borderId="0" xfId="5" applyNumberFormat="1" applyFont="1" applyAlignment="1">
      <alignment vertical="top"/>
    </xf>
    <xf numFmtId="0" fontId="28" fillId="6" borderId="0" xfId="13" applyFont="1" applyFill="1" applyAlignment="1">
      <alignment vertical="center"/>
    </xf>
    <xf numFmtId="0" fontId="28" fillId="6" borderId="0" xfId="13" applyFont="1" applyFill="1" applyAlignment="1">
      <alignment horizontal="left" vertical="center"/>
    </xf>
    <xf numFmtId="171" fontId="28" fillId="6" borderId="0" xfId="13" applyNumberFormat="1" applyFont="1" applyFill="1" applyAlignment="1">
      <alignment horizontal="center" vertical="center"/>
    </xf>
    <xf numFmtId="0" fontId="14" fillId="6" borderId="0" xfId="13" applyFont="1" applyFill="1" applyAlignment="1">
      <alignment vertical="center"/>
    </xf>
    <xf numFmtId="0" fontId="28" fillId="8" borderId="0" xfId="13" applyFont="1" applyFill="1" applyAlignment="1">
      <alignment horizontal="left" vertical="center"/>
    </xf>
    <xf numFmtId="171" fontId="28" fillId="8" borderId="0" xfId="13" applyNumberFormat="1" applyFont="1" applyFill="1" applyAlignment="1">
      <alignment horizontal="center" vertical="center"/>
    </xf>
    <xf numFmtId="0" fontId="14" fillId="13" borderId="53" xfId="0" applyFont="1" applyFill="1" applyBorder="1" applyAlignment="1">
      <alignment vertical="center" wrapText="1"/>
    </xf>
    <xf numFmtId="0" fontId="62" fillId="13" borderId="29" xfId="13" applyFont="1" applyFill="1" applyBorder="1" applyAlignment="1">
      <alignment vertical="center"/>
    </xf>
    <xf numFmtId="0" fontId="34" fillId="13" borderId="24" xfId="13" applyFont="1" applyFill="1" applyBorder="1" applyAlignment="1">
      <alignment vertical="center"/>
    </xf>
    <xf numFmtId="0" fontId="33" fillId="13" borderId="24" xfId="13" applyFont="1" applyFill="1" applyBorder="1" applyAlignment="1">
      <alignment vertical="center"/>
    </xf>
    <xf numFmtId="0" fontId="14" fillId="13" borderId="24" xfId="13" applyFont="1" applyFill="1" applyBorder="1" applyAlignment="1">
      <alignment vertical="center"/>
    </xf>
    <xf numFmtId="0" fontId="14" fillId="13" borderId="24" xfId="13" applyFont="1" applyFill="1" applyBorder="1" applyAlignment="1">
      <alignment horizontal="left" vertical="center"/>
    </xf>
    <xf numFmtId="171" fontId="14" fillId="13" borderId="24" xfId="5" applyNumberFormat="1" applyFont="1" applyFill="1" applyBorder="1" applyAlignment="1">
      <alignment horizontal="center" vertical="center"/>
    </xf>
    <xf numFmtId="0" fontId="15" fillId="13" borderId="25" xfId="13" applyFont="1" applyFill="1" applyBorder="1" applyAlignment="1">
      <alignment vertical="center"/>
    </xf>
    <xf numFmtId="42" fontId="15" fillId="16" borderId="1" xfId="1" applyNumberFormat="1" applyFont="1" applyFill="1" applyBorder="1" applyAlignment="1" applyProtection="1">
      <alignment horizontal="left" vertical="center"/>
    </xf>
    <xf numFmtId="42" fontId="15" fillId="16" borderId="22" xfId="1" applyNumberFormat="1" applyFont="1" applyFill="1" applyBorder="1" applyAlignment="1" applyProtection="1">
      <alignment horizontal="left" vertical="center"/>
    </xf>
    <xf numFmtId="42" fontId="15" fillId="10" borderId="14" xfId="1" applyNumberFormat="1" applyFont="1" applyFill="1" applyBorder="1" applyAlignment="1">
      <alignment vertical="center"/>
    </xf>
    <xf numFmtId="0" fontId="18" fillId="6" borderId="0" xfId="13" applyFont="1" applyFill="1" applyAlignment="1">
      <alignment horizontal="left" vertical="center"/>
    </xf>
    <xf numFmtId="0" fontId="18" fillId="6" borderId="0" xfId="13" applyFont="1" applyFill="1" applyAlignment="1">
      <alignment vertical="center"/>
    </xf>
    <xf numFmtId="0" fontId="11" fillId="0" borderId="7" xfId="13" applyFont="1" applyBorder="1" applyAlignment="1">
      <alignment vertical="center"/>
    </xf>
    <xf numFmtId="0" fontId="14" fillId="0" borderId="0" xfId="0" applyFont="1" applyAlignment="1">
      <alignment horizontal="right" vertical="center" wrapText="1"/>
    </xf>
    <xf numFmtId="0" fontId="29" fillId="6" borderId="0" xfId="0" applyFont="1" applyFill="1" applyAlignment="1">
      <alignment vertical="center"/>
    </xf>
    <xf numFmtId="0" fontId="14" fillId="6" borderId="0" xfId="13" applyFont="1" applyFill="1" applyAlignment="1">
      <alignment horizontal="left" vertical="center" wrapText="1"/>
    </xf>
    <xf numFmtId="0" fontId="11" fillId="0" borderId="0" xfId="13" applyFont="1" applyAlignment="1">
      <alignment vertical="center" wrapText="1"/>
    </xf>
    <xf numFmtId="0" fontId="18" fillId="6" borderId="0" xfId="0" applyFont="1" applyFill="1" applyAlignment="1">
      <alignment vertical="center"/>
    </xf>
    <xf numFmtId="0" fontId="15" fillId="6" borderId="0" xfId="13" applyFont="1" applyFill="1" applyAlignment="1">
      <alignment horizontal="left" vertical="center" wrapText="1"/>
    </xf>
    <xf numFmtId="0" fontId="15" fillId="6" borderId="0" xfId="13" applyFont="1" applyFill="1" applyAlignment="1">
      <alignment vertical="center" wrapText="1"/>
    </xf>
    <xf numFmtId="0" fontId="37" fillId="3" borderId="0" xfId="0" applyFont="1" applyFill="1" applyAlignment="1">
      <alignment horizontal="left" vertical="center"/>
    </xf>
    <xf numFmtId="0" fontId="41" fillId="3" borderId="0" xfId="0" applyFont="1" applyFill="1" applyAlignment="1">
      <alignment horizontal="left" vertical="center"/>
    </xf>
    <xf numFmtId="0" fontId="42" fillId="3" borderId="0" xfId="0" quotePrefix="1" applyFont="1" applyFill="1" applyAlignment="1">
      <alignment horizontal="left" vertical="center"/>
    </xf>
    <xf numFmtId="0" fontId="42" fillId="3" borderId="0" xfId="0" applyFont="1" applyFill="1" applyAlignment="1">
      <alignment horizontal="left" vertical="center"/>
    </xf>
    <xf numFmtId="0" fontId="18" fillId="0" borderId="7" xfId="13" applyFont="1" applyBorder="1" applyAlignment="1">
      <alignment vertical="center"/>
    </xf>
    <xf numFmtId="0" fontId="14" fillId="13" borderId="1" xfId="0" applyFont="1" applyFill="1" applyBorder="1" applyAlignment="1">
      <alignment horizontal="left" vertical="center" wrapText="1"/>
    </xf>
    <xf numFmtId="0" fontId="14" fillId="13" borderId="1" xfId="0" applyFont="1" applyFill="1" applyBorder="1" applyAlignment="1">
      <alignment vertical="center" wrapText="1"/>
    </xf>
    <xf numFmtId="0" fontId="14" fillId="13" borderId="1" xfId="0" applyFont="1" applyFill="1" applyBorder="1" applyAlignment="1">
      <alignment vertical="center"/>
    </xf>
    <xf numFmtId="0" fontId="14" fillId="13" borderId="1" xfId="13" applyFont="1" applyFill="1" applyBorder="1" applyAlignment="1">
      <alignment horizontal="left" vertical="center" wrapText="1"/>
    </xf>
    <xf numFmtId="0" fontId="14" fillId="13" borderId="1" xfId="0" applyFont="1" applyFill="1" applyBorder="1" applyAlignment="1">
      <alignment horizontal="left" vertical="center"/>
    </xf>
    <xf numFmtId="0" fontId="14" fillId="13" borderId="51" xfId="0" applyFont="1" applyFill="1" applyBorder="1" applyAlignment="1">
      <alignment vertical="center" wrapText="1"/>
    </xf>
    <xf numFmtId="0" fontId="14" fillId="13" borderId="53" xfId="13" applyFont="1" applyFill="1" applyBorder="1" applyAlignment="1">
      <alignment vertical="center" wrapText="1"/>
    </xf>
    <xf numFmtId="0" fontId="14" fillId="13" borderId="20" xfId="0" applyFont="1" applyFill="1" applyBorder="1" applyAlignment="1">
      <alignment horizontal="left" vertical="center"/>
    </xf>
    <xf numFmtId="0" fontId="14" fillId="13" borderId="55" xfId="13" applyFont="1" applyFill="1" applyBorder="1" applyAlignment="1">
      <alignment horizontal="left" vertical="center" wrapText="1"/>
    </xf>
    <xf numFmtId="0" fontId="14" fillId="13" borderId="20" xfId="0" applyFont="1" applyFill="1" applyBorder="1" applyAlignment="1">
      <alignment horizontal="left" vertical="center" wrapText="1"/>
    </xf>
    <xf numFmtId="167" fontId="15" fillId="11" borderId="1" xfId="5" applyFont="1" applyFill="1" applyBorder="1" applyAlignment="1" applyProtection="1">
      <alignment vertical="center" wrapText="1"/>
      <protection locked="0"/>
    </xf>
    <xf numFmtId="168" fontId="15" fillId="11" borderId="1" xfId="5" applyNumberFormat="1" applyFont="1" applyFill="1" applyBorder="1" applyAlignment="1" applyProtection="1">
      <alignment vertical="center" wrapText="1"/>
      <protection locked="0"/>
    </xf>
    <xf numFmtId="0" fontId="15" fillId="0" borderId="11" xfId="22" applyFont="1" applyBorder="1" applyAlignment="1">
      <alignment horizontal="left" vertical="center"/>
    </xf>
    <xf numFmtId="183" fontId="14" fillId="0" borderId="8" xfId="13" applyNumberFormat="1" applyFont="1" applyBorder="1" applyAlignment="1">
      <alignment vertical="center"/>
    </xf>
    <xf numFmtId="176" fontId="65" fillId="0" borderId="12" xfId="21" applyFont="1" applyFill="1" applyBorder="1" applyAlignment="1" applyProtection="1">
      <alignment vertical="center"/>
    </xf>
    <xf numFmtId="0" fontId="65" fillId="0" borderId="12" xfId="28" applyFont="1" applyBorder="1" applyAlignment="1">
      <alignment vertical="center" wrapText="1"/>
    </xf>
    <xf numFmtId="176" fontId="65" fillId="0" borderId="12" xfId="21" applyFont="1" applyBorder="1" applyAlignment="1" applyProtection="1">
      <alignment vertical="center"/>
    </xf>
    <xf numFmtId="0" fontId="14" fillId="6" borderId="0" xfId="0" applyFont="1" applyFill="1" applyAlignment="1">
      <alignment horizontal="left" vertical="center" indent="4"/>
    </xf>
    <xf numFmtId="0" fontId="35" fillId="0" borderId="11" xfId="25" applyFont="1" applyBorder="1" applyAlignment="1">
      <alignment horizontal="left" vertical="center"/>
    </xf>
    <xf numFmtId="0" fontId="15" fillId="0" borderId="12" xfId="25" applyFont="1" applyBorder="1" applyAlignment="1">
      <alignment horizontal="left" vertical="center"/>
    </xf>
    <xf numFmtId="0" fontId="15" fillId="6" borderId="12" xfId="22" applyFont="1" applyFill="1" applyBorder="1" applyAlignment="1">
      <alignment vertical="center"/>
    </xf>
    <xf numFmtId="0" fontId="17" fillId="6" borderId="12" xfId="22" applyFont="1" applyFill="1" applyBorder="1" applyAlignment="1">
      <alignment vertical="center"/>
    </xf>
    <xf numFmtId="0" fontId="15" fillId="6" borderId="38" xfId="22" applyFont="1" applyFill="1" applyBorder="1" applyAlignment="1">
      <alignment vertical="center"/>
    </xf>
    <xf numFmtId="9" fontId="15" fillId="0" borderId="0" xfId="8" applyFont="1"/>
    <xf numFmtId="165" fontId="14" fillId="0" borderId="27" xfId="0" applyNumberFormat="1" applyFont="1" applyBorder="1" applyAlignment="1">
      <alignment horizontal="left" vertical="top" wrapText="1"/>
    </xf>
    <xf numFmtId="186" fontId="15" fillId="0" borderId="0" xfId="0" applyNumberFormat="1" applyFont="1" applyAlignment="1">
      <alignment wrapText="1"/>
    </xf>
    <xf numFmtId="186" fontId="15" fillId="0" borderId="0" xfId="0" applyNumberFormat="1" applyFont="1"/>
    <xf numFmtId="186" fontId="15" fillId="0" borderId="0" xfId="8" applyNumberFormat="1" applyFont="1"/>
    <xf numFmtId="184" fontId="15" fillId="0" borderId="0" xfId="8" applyNumberFormat="1" applyFont="1"/>
    <xf numFmtId="0" fontId="14" fillId="0" borderId="27" xfId="0" applyFont="1" applyBorder="1" applyAlignment="1">
      <alignment vertical="top" wrapText="1"/>
    </xf>
    <xf numFmtId="0" fontId="14" fillId="0" borderId="27" xfId="0" applyFont="1" applyBorder="1" applyAlignment="1">
      <alignment horizontal="right" vertical="top" wrapText="1"/>
    </xf>
    <xf numFmtId="182" fontId="15" fillId="0" borderId="0" xfId="0" applyNumberFormat="1" applyFont="1"/>
    <xf numFmtId="165" fontId="14" fillId="0" borderId="27" xfId="0" applyNumberFormat="1" applyFont="1" applyBorder="1" applyAlignment="1">
      <alignment horizontal="right" vertical="top" wrapText="1"/>
    </xf>
    <xf numFmtId="49" fontId="15" fillId="11" borderId="72" xfId="0" applyNumberFormat="1" applyFont="1" applyFill="1" applyBorder="1" applyAlignment="1" applyProtection="1">
      <alignment vertical="center" wrapText="1"/>
      <protection locked="0"/>
    </xf>
    <xf numFmtId="172" fontId="22" fillId="11" borderId="73" xfId="1" applyNumberFormat="1" applyFont="1" applyFill="1" applyBorder="1" applyAlignment="1" applyProtection="1">
      <alignment vertical="center"/>
      <protection locked="0"/>
    </xf>
    <xf numFmtId="0" fontId="15" fillId="4" borderId="51" xfId="0" applyFont="1" applyFill="1" applyBorder="1" applyAlignment="1">
      <alignment vertical="center"/>
    </xf>
    <xf numFmtId="172" fontId="15" fillId="10" borderId="54" xfId="8" applyNumberFormat="1" applyFont="1" applyFill="1" applyBorder="1" applyAlignment="1" applyProtection="1">
      <alignment vertical="center"/>
    </xf>
    <xf numFmtId="0" fontId="15" fillId="4" borderId="20" xfId="0" applyFont="1" applyFill="1" applyBorder="1" applyAlignment="1">
      <alignment vertical="center"/>
    </xf>
    <xf numFmtId="172" fontId="15" fillId="10" borderId="55" xfId="8" applyNumberFormat="1" applyFont="1" applyFill="1" applyBorder="1" applyAlignment="1" applyProtection="1">
      <alignment vertical="center"/>
    </xf>
    <xf numFmtId="0" fontId="15" fillId="4" borderId="21" xfId="0" applyFont="1" applyFill="1" applyBorder="1" applyAlignment="1">
      <alignment vertical="center"/>
    </xf>
    <xf numFmtId="9" fontId="15" fillId="10" borderId="56" xfId="8" applyFont="1" applyFill="1" applyBorder="1" applyAlignment="1" applyProtection="1">
      <alignment vertical="center"/>
    </xf>
    <xf numFmtId="0" fontId="12" fillId="3" borderId="16" xfId="0" applyFont="1" applyFill="1" applyBorder="1" applyAlignment="1">
      <alignment horizontal="left" vertical="center"/>
    </xf>
    <xf numFmtId="0" fontId="12" fillId="3" borderId="74" xfId="0" applyFont="1" applyFill="1" applyBorder="1" applyAlignment="1">
      <alignment horizontal="left" vertical="center"/>
    </xf>
    <xf numFmtId="0" fontId="12" fillId="3" borderId="32" xfId="0" applyFont="1" applyFill="1" applyBorder="1" applyAlignment="1">
      <alignment horizontal="left" vertical="center"/>
    </xf>
    <xf numFmtId="0" fontId="14" fillId="4" borderId="16" xfId="0" applyFont="1" applyFill="1" applyBorder="1" applyAlignment="1">
      <alignment horizontal="right" vertical="top" wrapText="1"/>
    </xf>
    <xf numFmtId="172" fontId="22" fillId="13" borderId="19" xfId="1" applyNumberFormat="1" applyFont="1" applyFill="1" applyBorder="1" applyAlignment="1" applyProtection="1">
      <alignment horizontal="right" vertical="center"/>
    </xf>
    <xf numFmtId="172" fontId="22" fillId="13" borderId="53" xfId="1" applyNumberFormat="1" applyFont="1" applyFill="1" applyBorder="1" applyAlignment="1" applyProtection="1">
      <alignment horizontal="right" vertical="center"/>
    </xf>
    <xf numFmtId="172" fontId="22" fillId="13" borderId="1" xfId="1" applyNumberFormat="1" applyFont="1" applyFill="1" applyBorder="1" applyAlignment="1" applyProtection="1">
      <alignment horizontal="right" vertical="center"/>
    </xf>
    <xf numFmtId="184" fontId="22" fillId="11" borderId="2" xfId="8" applyNumberFormat="1" applyFont="1" applyFill="1" applyBorder="1" applyAlignment="1" applyProtection="1">
      <alignment horizontal="right" vertical="center"/>
      <protection locked="0"/>
    </xf>
    <xf numFmtId="0" fontId="22" fillId="11" borderId="1" xfId="8" applyNumberFormat="1" applyFont="1" applyFill="1" applyBorder="1" applyAlignment="1" applyProtection="1">
      <alignment horizontal="right" vertical="center"/>
      <protection locked="0"/>
    </xf>
    <xf numFmtId="9" fontId="22" fillId="11" borderId="2" xfId="8" applyFont="1" applyFill="1" applyBorder="1" applyAlignment="1" applyProtection="1">
      <alignment horizontal="right" vertical="center"/>
      <protection locked="0"/>
    </xf>
    <xf numFmtId="168" fontId="22" fillId="11" borderId="2" xfId="5" applyNumberFormat="1" applyFont="1" applyFill="1" applyBorder="1" applyAlignment="1" applyProtection="1">
      <alignment horizontal="right" vertical="center"/>
      <protection locked="0"/>
    </xf>
    <xf numFmtId="184" fontId="22" fillId="11" borderId="33" xfId="8" applyNumberFormat="1" applyFont="1" applyFill="1" applyBorder="1" applyAlignment="1" applyProtection="1">
      <alignment horizontal="right" vertical="center"/>
      <protection locked="0"/>
    </xf>
    <xf numFmtId="0" fontId="22" fillId="11" borderId="22" xfId="8" applyNumberFormat="1" applyFont="1" applyFill="1" applyBorder="1" applyAlignment="1" applyProtection="1">
      <alignment horizontal="right" vertical="center"/>
      <protection locked="0"/>
    </xf>
    <xf numFmtId="9" fontId="22" fillId="11" borderId="33" xfId="8" applyFont="1" applyFill="1" applyBorder="1" applyAlignment="1" applyProtection="1">
      <alignment horizontal="right" vertical="center"/>
      <protection locked="0"/>
    </xf>
    <xf numFmtId="168" fontId="22" fillId="11" borderId="33" xfId="5" applyNumberFormat="1" applyFont="1" applyFill="1" applyBorder="1" applyAlignment="1" applyProtection="1">
      <alignment horizontal="right" vertical="center"/>
      <protection locked="0"/>
    </xf>
    <xf numFmtId="0" fontId="15" fillId="11" borderId="1" xfId="8" applyNumberFormat="1" applyFont="1" applyFill="1" applyBorder="1" applyAlignment="1" applyProtection="1">
      <alignment horizontal="right" vertical="center"/>
      <protection locked="0"/>
    </xf>
    <xf numFmtId="0" fontId="15" fillId="11" borderId="22" xfId="8" applyNumberFormat="1" applyFont="1" applyFill="1" applyBorder="1" applyAlignment="1" applyProtection="1">
      <alignment horizontal="right" vertical="center"/>
      <protection locked="0"/>
    </xf>
    <xf numFmtId="1" fontId="15" fillId="6" borderId="0" xfId="0" applyNumberFormat="1" applyFont="1" applyFill="1" applyAlignment="1">
      <alignment vertical="top" wrapText="1"/>
    </xf>
    <xf numFmtId="1" fontId="15" fillId="6" borderId="0" xfId="0" applyNumberFormat="1" applyFont="1" applyFill="1" applyAlignment="1">
      <alignment vertical="top"/>
    </xf>
    <xf numFmtId="1" fontId="12" fillId="6" borderId="0" xfId="0" applyNumberFormat="1" applyFont="1" applyFill="1" applyAlignment="1">
      <alignment horizontal="left" vertical="center"/>
    </xf>
    <xf numFmtId="1" fontId="15" fillId="6" borderId="0" xfId="13" applyNumberFormat="1" applyFont="1" applyFill="1" applyAlignment="1">
      <alignment vertical="top"/>
    </xf>
    <xf numFmtId="1" fontId="15" fillId="6" borderId="0" xfId="0" applyNumberFormat="1" applyFont="1" applyFill="1" applyAlignment="1">
      <alignment horizontal="left" vertical="top" wrapText="1"/>
    </xf>
    <xf numFmtId="1" fontId="14" fillId="6" borderId="0" xfId="0" applyNumberFormat="1" applyFont="1" applyFill="1" applyAlignment="1">
      <alignment vertical="top" wrapText="1"/>
    </xf>
    <xf numFmtId="1" fontId="15" fillId="6" borderId="0" xfId="0" applyNumberFormat="1" applyFont="1" applyFill="1" applyAlignment="1">
      <alignment vertical="center" wrapText="1"/>
    </xf>
    <xf numFmtId="1" fontId="28" fillId="6" borderId="0" xfId="0" applyNumberFormat="1" applyFont="1" applyFill="1" applyAlignment="1">
      <alignment vertical="top"/>
    </xf>
    <xf numFmtId="1" fontId="15" fillId="6" borderId="0" xfId="11" applyNumberFormat="1" applyFont="1" applyFill="1" applyAlignment="1">
      <alignment horizontal="left" vertical="center" wrapText="1"/>
    </xf>
    <xf numFmtId="1" fontId="15" fillId="6" borderId="0" xfId="11" applyNumberFormat="1" applyFont="1" applyFill="1"/>
    <xf numFmtId="1" fontId="17" fillId="6" borderId="0" xfId="23" applyNumberFormat="1" applyFont="1" applyFill="1" applyAlignment="1">
      <alignment horizontal="right" vertical="center"/>
    </xf>
    <xf numFmtId="1" fontId="15" fillId="6" borderId="0" xfId="14" applyNumberFormat="1" applyFont="1" applyFill="1" applyAlignment="1">
      <alignment vertical="top"/>
    </xf>
    <xf numFmtId="1" fontId="14" fillId="6" borderId="0" xfId="0" applyNumberFormat="1" applyFont="1" applyFill="1" applyAlignment="1">
      <alignment vertical="top"/>
    </xf>
    <xf numFmtId="1" fontId="15" fillId="6" borderId="0" xfId="0" applyNumberFormat="1" applyFont="1" applyFill="1" applyAlignment="1" applyProtection="1">
      <alignment vertical="center" wrapText="1"/>
      <protection locked="0"/>
    </xf>
    <xf numFmtId="2" fontId="36" fillId="0" borderId="7" xfId="5" applyNumberFormat="1" applyFont="1" applyBorder="1" applyAlignment="1" applyProtection="1">
      <alignment horizontal="right" vertical="center"/>
    </xf>
    <xf numFmtId="2" fontId="15" fillId="6" borderId="0" xfId="5" applyNumberFormat="1" applyFont="1" applyFill="1" applyAlignment="1">
      <alignment horizontal="right" vertical="center"/>
    </xf>
    <xf numFmtId="176" fontId="32" fillId="6" borderId="7" xfId="21" applyFont="1" applyFill="1" applyBorder="1" applyAlignment="1" applyProtection="1">
      <alignment vertical="center"/>
    </xf>
    <xf numFmtId="184" fontId="15" fillId="0" borderId="0" xfId="8" applyNumberFormat="1" applyFont="1" applyAlignment="1">
      <alignment vertical="center"/>
    </xf>
    <xf numFmtId="176" fontId="36" fillId="0" borderId="11" xfId="21" applyFont="1" applyBorder="1" applyAlignment="1" applyProtection="1">
      <alignment vertical="center"/>
    </xf>
    <xf numFmtId="184" fontId="15" fillId="0" borderId="12" xfId="8" applyNumberFormat="1" applyFont="1" applyFill="1" applyBorder="1" applyAlignment="1" applyProtection="1">
      <alignment horizontal="left" vertical="center"/>
    </xf>
    <xf numFmtId="184" fontId="36" fillId="0" borderId="0" xfId="8" applyNumberFormat="1" applyFont="1" applyBorder="1" applyAlignment="1" applyProtection="1">
      <alignment horizontal="left" vertical="center"/>
    </xf>
    <xf numFmtId="0" fontId="11" fillId="6" borderId="0" xfId="0" applyFont="1" applyFill="1" applyAlignment="1">
      <alignment horizontal="left" vertical="center"/>
    </xf>
    <xf numFmtId="0" fontId="28" fillId="6" borderId="0" xfId="0" quotePrefix="1" applyFont="1" applyFill="1" applyAlignment="1">
      <alignment horizontal="left" vertical="center"/>
    </xf>
    <xf numFmtId="0" fontId="28" fillId="6" borderId="0" xfId="0" applyFont="1" applyFill="1" applyAlignment="1">
      <alignment horizontal="left" vertical="center"/>
    </xf>
    <xf numFmtId="0" fontId="3" fillId="0" borderId="0" xfId="0" applyFont="1" applyAlignment="1">
      <alignment vertical="center"/>
    </xf>
    <xf numFmtId="0" fontId="18" fillId="13" borderId="42" xfId="13" applyFont="1" applyFill="1" applyBorder="1" applyAlignment="1">
      <alignment vertical="center"/>
    </xf>
    <xf numFmtId="0" fontId="18" fillId="13" borderId="52" xfId="13" applyFont="1" applyFill="1" applyBorder="1" applyAlignment="1">
      <alignment vertical="center"/>
    </xf>
    <xf numFmtId="182" fontId="0" fillId="0" borderId="0" xfId="0" applyNumberFormat="1"/>
    <xf numFmtId="0" fontId="34" fillId="6" borderId="0" xfId="0" applyFont="1" applyFill="1" applyAlignment="1">
      <alignment vertical="top"/>
    </xf>
    <xf numFmtId="184" fontId="0" fillId="0" borderId="0" xfId="0" applyNumberFormat="1"/>
    <xf numFmtId="187" fontId="0" fillId="0" borderId="0" xfId="0" applyNumberFormat="1"/>
    <xf numFmtId="172" fontId="15" fillId="0" borderId="0" xfId="0" applyNumberFormat="1" applyFont="1" applyAlignment="1">
      <alignment vertical="center"/>
    </xf>
    <xf numFmtId="2" fontId="15" fillId="0" borderId="0" xfId="0" applyNumberFormat="1" applyFont="1" applyAlignment="1">
      <alignment vertical="center"/>
    </xf>
    <xf numFmtId="169" fontId="15" fillId="11" borderId="1" xfId="14" applyNumberFormat="1" applyFont="1" applyFill="1" applyBorder="1" applyAlignment="1" applyProtection="1">
      <alignment horizontal="center" vertical="center"/>
    </xf>
    <xf numFmtId="169" fontId="15" fillId="11" borderId="22" xfId="14" applyNumberFormat="1" applyFont="1" applyFill="1" applyBorder="1" applyAlignment="1" applyProtection="1">
      <alignment horizontal="center" vertical="center"/>
    </xf>
    <xf numFmtId="169" fontId="15" fillId="11" borderId="1" xfId="14" applyNumberFormat="1" applyFont="1" applyFill="1" applyBorder="1" applyAlignment="1" applyProtection="1">
      <alignment horizontal="left" vertical="center"/>
    </xf>
    <xf numFmtId="169" fontId="15" fillId="11" borderId="22" xfId="14" applyNumberFormat="1" applyFont="1" applyFill="1" applyBorder="1" applyAlignment="1" applyProtection="1">
      <alignment horizontal="left" vertical="center"/>
    </xf>
    <xf numFmtId="0" fontId="15" fillId="11" borderId="1" xfId="13" applyFont="1" applyFill="1" applyBorder="1" applyAlignment="1">
      <alignment horizontal="left" vertical="center"/>
    </xf>
    <xf numFmtId="0" fontId="15" fillId="11" borderId="22" xfId="13" applyFont="1" applyFill="1" applyBorder="1" applyAlignment="1">
      <alignment horizontal="left" vertical="center"/>
    </xf>
    <xf numFmtId="0" fontId="15" fillId="13" borderId="1" xfId="0" applyFont="1" applyFill="1" applyBorder="1" applyAlignment="1">
      <alignment vertical="center"/>
    </xf>
    <xf numFmtId="185" fontId="15" fillId="11" borderId="1" xfId="13" applyNumberFormat="1" applyFont="1" applyFill="1" applyBorder="1" applyAlignment="1">
      <alignment horizontal="left" vertical="center"/>
    </xf>
    <xf numFmtId="185" fontId="15" fillId="11" borderId="22" xfId="13" applyNumberFormat="1" applyFont="1" applyFill="1" applyBorder="1" applyAlignment="1">
      <alignment horizontal="left" vertical="center"/>
    </xf>
    <xf numFmtId="0" fontId="15" fillId="11" borderId="1" xfId="13" applyFont="1" applyFill="1" applyBorder="1" applyAlignment="1">
      <alignment vertical="center"/>
    </xf>
    <xf numFmtId="0" fontId="15" fillId="11" borderId="22" xfId="13" applyFont="1" applyFill="1" applyBorder="1" applyAlignment="1">
      <alignment vertical="center"/>
    </xf>
    <xf numFmtId="0" fontId="9" fillId="11" borderId="1" xfId="0" applyFont="1" applyFill="1" applyBorder="1" applyAlignment="1">
      <alignment vertical="center"/>
    </xf>
    <xf numFmtId="0" fontId="9" fillId="11" borderId="22" xfId="0" applyFont="1" applyFill="1" applyBorder="1" applyAlignment="1">
      <alignment vertical="center"/>
    </xf>
    <xf numFmtId="0" fontId="23" fillId="6" borderId="0" xfId="0" applyFont="1" applyFill="1" applyAlignment="1">
      <alignment vertical="center"/>
    </xf>
    <xf numFmtId="0" fontId="15" fillId="2" borderId="0" xfId="0" applyFont="1" applyFill="1" applyAlignment="1">
      <alignment vertical="center"/>
    </xf>
    <xf numFmtId="14" fontId="15" fillId="0" borderId="0" xfId="0" applyNumberFormat="1" applyFont="1" applyAlignment="1">
      <alignment vertical="center"/>
    </xf>
    <xf numFmtId="0" fontId="17" fillId="3" borderId="5" xfId="0" applyFont="1" applyFill="1" applyBorder="1" applyAlignment="1">
      <alignment horizontal="left" vertical="center"/>
    </xf>
    <xf numFmtId="0" fontId="24" fillId="3" borderId="5" xfId="0" applyFont="1" applyFill="1" applyBorder="1" applyAlignment="1">
      <alignment horizontal="left" vertical="center"/>
    </xf>
    <xf numFmtId="0" fontId="25" fillId="3" borderId="5" xfId="0" applyFont="1" applyFill="1" applyBorder="1" applyAlignment="1">
      <alignment horizontal="left" vertical="center"/>
    </xf>
    <xf numFmtId="0" fontId="17" fillId="3" borderId="0" xfId="0" applyFont="1" applyFill="1" applyAlignment="1">
      <alignment horizontal="left" vertical="center"/>
    </xf>
    <xf numFmtId="0" fontId="14" fillId="13" borderId="58" xfId="0" applyFont="1" applyFill="1" applyBorder="1"/>
    <xf numFmtId="0" fontId="14" fillId="11" borderId="16" xfId="0" applyFont="1" applyFill="1" applyBorder="1" applyProtection="1">
      <protection locked="0"/>
    </xf>
    <xf numFmtId="0" fontId="14" fillId="11" borderId="17" xfId="0" applyFont="1" applyFill="1" applyBorder="1" applyAlignment="1" applyProtection="1">
      <alignment wrapText="1"/>
      <protection locked="0"/>
    </xf>
    <xf numFmtId="0" fontId="14" fillId="11" borderId="18" xfId="0" applyFont="1" applyFill="1" applyBorder="1" applyAlignment="1" applyProtection="1">
      <alignment wrapText="1"/>
      <protection locked="0"/>
    </xf>
    <xf numFmtId="0" fontId="14" fillId="13" borderId="15" xfId="0" applyFont="1" applyFill="1" applyBorder="1"/>
    <xf numFmtId="0" fontId="3" fillId="0" borderId="0" xfId="0" applyFont="1" applyAlignment="1">
      <alignment horizontal="left" vertical="top" wrapText="1"/>
    </xf>
    <xf numFmtId="0" fontId="14" fillId="11" borderId="17" xfId="0" applyFont="1" applyFill="1" applyBorder="1" applyProtection="1">
      <protection locked="0"/>
    </xf>
    <xf numFmtId="0" fontId="14" fillId="11" borderId="18" xfId="0" applyFont="1" applyFill="1" applyBorder="1" applyProtection="1">
      <protection locked="0"/>
    </xf>
    <xf numFmtId="1" fontId="14" fillId="4" borderId="53" xfId="0" applyNumberFormat="1" applyFont="1" applyFill="1" applyBorder="1" applyAlignment="1">
      <alignment horizontal="center" vertical="center" wrapText="1"/>
    </xf>
    <xf numFmtId="0" fontId="14" fillId="0" borderId="0" xfId="0" applyFont="1" applyAlignment="1">
      <alignment horizontal="center" vertical="center"/>
    </xf>
    <xf numFmtId="14" fontId="15" fillId="6" borderId="0" xfId="0" applyNumberFormat="1" applyFont="1" applyFill="1" applyAlignment="1">
      <alignment vertical="center"/>
    </xf>
    <xf numFmtId="168" fontId="15" fillId="0" borderId="0" xfId="5" applyNumberFormat="1" applyFont="1" applyFill="1" applyBorder="1" applyAlignment="1" applyProtection="1">
      <alignment horizontal="center" vertical="center"/>
    </xf>
    <xf numFmtId="168" fontId="15" fillId="13" borderId="22" xfId="5" applyNumberFormat="1" applyFont="1" applyFill="1" applyBorder="1" applyAlignment="1">
      <alignment horizontal="right" vertical="center" wrapText="1"/>
    </xf>
    <xf numFmtId="168" fontId="15" fillId="13" borderId="56" xfId="5" applyNumberFormat="1" applyFont="1" applyFill="1" applyBorder="1" applyAlignment="1">
      <alignment horizontal="right" vertical="center" wrapText="1"/>
    </xf>
    <xf numFmtId="0" fontId="14" fillId="0" borderId="0" xfId="22" applyFont="1" applyAlignment="1">
      <alignment horizontal="left" vertical="center" wrapText="1"/>
    </xf>
    <xf numFmtId="14" fontId="15" fillId="18" borderId="1" xfId="0" applyNumberFormat="1" applyFont="1" applyFill="1" applyBorder="1" applyAlignment="1" applyProtection="1">
      <alignment horizontal="right" vertical="center"/>
      <protection locked="0"/>
    </xf>
    <xf numFmtId="0" fontId="68" fillId="0" borderId="0" xfId="0" applyFont="1" applyAlignment="1">
      <alignment vertical="center"/>
    </xf>
    <xf numFmtId="0" fontId="69" fillId="6" borderId="0" xfId="0" applyFont="1" applyFill="1" applyAlignment="1">
      <alignment horizontal="left" vertical="center"/>
    </xf>
    <xf numFmtId="0" fontId="68" fillId="6" borderId="0" xfId="0" quotePrefix="1" applyFont="1" applyFill="1" applyAlignment="1">
      <alignment horizontal="left" vertical="center"/>
    </xf>
    <xf numFmtId="0" fontId="68" fillId="6" borderId="0" xfId="0" applyFont="1" applyFill="1" applyAlignment="1">
      <alignment horizontal="left" vertical="center"/>
    </xf>
    <xf numFmtId="0" fontId="68" fillId="6" borderId="0" xfId="13" applyFont="1" applyFill="1" applyAlignment="1">
      <alignment vertical="center"/>
    </xf>
    <xf numFmtId="0" fontId="68" fillId="6" borderId="0" xfId="13" applyFont="1" applyFill="1" applyAlignment="1">
      <alignment horizontal="left" vertical="center"/>
    </xf>
    <xf numFmtId="171" fontId="68" fillId="6" borderId="0" xfId="13" applyNumberFormat="1" applyFont="1" applyFill="1" applyAlignment="1">
      <alignment horizontal="center" vertical="center"/>
    </xf>
    <xf numFmtId="1" fontId="68" fillId="6" borderId="0" xfId="13" applyNumberFormat="1" applyFont="1" applyFill="1" applyAlignment="1">
      <alignment horizontal="center" vertical="center"/>
    </xf>
    <xf numFmtId="0" fontId="70" fillId="0" borderId="0" xfId="0" applyFont="1" applyAlignment="1">
      <alignment vertical="center"/>
    </xf>
    <xf numFmtId="0" fontId="69" fillId="0" borderId="0" xfId="0" applyFont="1" applyAlignment="1">
      <alignment vertical="center"/>
    </xf>
    <xf numFmtId="188" fontId="15" fillId="0" borderId="0" xfId="0" applyNumberFormat="1" applyFont="1"/>
    <xf numFmtId="0" fontId="58" fillId="0" borderId="0" xfId="0" applyFont="1" applyAlignment="1">
      <alignment horizontal="center"/>
    </xf>
    <xf numFmtId="2" fontId="15" fillId="0" borderId="0" xfId="0" applyNumberFormat="1" applyFont="1" applyAlignment="1">
      <alignment wrapText="1"/>
    </xf>
    <xf numFmtId="2" fontId="15" fillId="0" borderId="0" xfId="0" applyNumberFormat="1" applyFont="1"/>
    <xf numFmtId="0" fontId="72" fillId="0" borderId="0" xfId="4" applyFont="1" applyAlignment="1" applyProtection="1">
      <alignment vertical="center"/>
    </xf>
    <xf numFmtId="0" fontId="72" fillId="0" borderId="0" xfId="0" applyFont="1" applyAlignment="1">
      <alignment vertical="center"/>
    </xf>
    <xf numFmtId="0" fontId="35" fillId="0" borderId="0" xfId="11" applyFont="1" applyAlignment="1">
      <alignment horizontal="left"/>
    </xf>
    <xf numFmtId="169" fontId="14" fillId="10" borderId="15" xfId="1" applyNumberFormat="1" applyFont="1" applyFill="1" applyBorder="1" applyAlignment="1" applyProtection="1">
      <alignment vertical="center"/>
    </xf>
    <xf numFmtId="169" fontId="14" fillId="10" borderId="32" xfId="1" applyNumberFormat="1" applyFont="1" applyFill="1" applyBorder="1" applyAlignment="1">
      <alignment vertical="center"/>
    </xf>
    <xf numFmtId="183" fontId="18" fillId="11" borderId="1" xfId="26" applyNumberFormat="1" applyFont="1" applyFill="1" applyBorder="1" applyAlignment="1" applyProtection="1">
      <alignment vertical="center" wrapText="1"/>
      <protection locked="0"/>
    </xf>
    <xf numFmtId="184" fontId="14" fillId="10" borderId="2" xfId="24" applyNumberFormat="1" applyFont="1" applyFill="1" applyBorder="1" applyAlignment="1" applyProtection="1">
      <alignment horizontal="left" vertical="center"/>
    </xf>
    <xf numFmtId="184" fontId="14" fillId="10" borderId="8" xfId="24" applyNumberFormat="1" applyFont="1" applyFill="1" applyBorder="1" applyAlignment="1" applyProtection="1">
      <alignment horizontal="right" vertical="center"/>
    </xf>
    <xf numFmtId="184" fontId="14" fillId="10" borderId="9" xfId="24" applyNumberFormat="1" applyFont="1" applyFill="1" applyBorder="1" applyAlignment="1" applyProtection="1">
      <alignment horizontal="right" vertical="center"/>
    </xf>
    <xf numFmtId="2" fontId="14" fillId="10" borderId="9" xfId="5" applyNumberFormat="1" applyFont="1" applyFill="1" applyBorder="1" applyAlignment="1" applyProtection="1">
      <alignment horizontal="right" vertical="center"/>
    </xf>
    <xf numFmtId="0" fontId="54" fillId="0" borderId="0" xfId="13" applyFont="1" applyAlignment="1">
      <alignment horizontal="left" vertical="center"/>
    </xf>
    <xf numFmtId="0" fontId="54" fillId="0" borderId="41" xfId="13" applyFont="1" applyBorder="1" applyAlignment="1">
      <alignment vertical="center"/>
    </xf>
    <xf numFmtId="0" fontId="73" fillId="0" borderId="8" xfId="0" applyFont="1" applyBorder="1" applyAlignment="1">
      <alignment horizontal="left" vertical="center"/>
    </xf>
    <xf numFmtId="0" fontId="54" fillId="0" borderId="0" xfId="0" applyFont="1" applyAlignment="1">
      <alignment horizontal="left" vertical="center"/>
    </xf>
    <xf numFmtId="0" fontId="54" fillId="0" borderId="0" xfId="0" applyFont="1" applyAlignment="1">
      <alignment vertical="center"/>
    </xf>
    <xf numFmtId="176" fontId="39" fillId="0" borderId="7" xfId="21" applyFont="1" applyFill="1" applyBorder="1" applyAlignment="1" applyProtection="1">
      <alignment vertical="center"/>
    </xf>
    <xf numFmtId="0" fontId="34" fillId="0" borderId="41" xfId="13" applyFont="1" applyBorder="1" applyAlignment="1">
      <alignment horizontal="left" vertical="center"/>
    </xf>
    <xf numFmtId="0" fontId="54" fillId="0" borderId="41" xfId="13" applyFont="1" applyBorder="1" applyAlignment="1">
      <alignment horizontal="right" vertical="center"/>
    </xf>
    <xf numFmtId="0" fontId="54" fillId="0" borderId="9" xfId="0" applyFont="1" applyBorder="1" applyAlignment="1">
      <alignment horizontal="right" vertical="center"/>
    </xf>
    <xf numFmtId="0" fontId="35" fillId="0" borderId="0" xfId="11" applyFont="1"/>
    <xf numFmtId="168" fontId="14" fillId="0" borderId="0" xfId="0" applyNumberFormat="1" applyFont="1" applyAlignment="1">
      <alignment horizontal="right" vertical="center"/>
    </xf>
    <xf numFmtId="0" fontId="14" fillId="10" borderId="9" xfId="0" applyFont="1" applyFill="1" applyBorder="1" applyAlignment="1">
      <alignment horizontal="left" vertical="center"/>
    </xf>
    <xf numFmtId="2" fontId="34" fillId="6" borderId="0" xfId="0" applyNumberFormat="1" applyFont="1" applyFill="1" applyAlignment="1">
      <alignment horizontal="left" vertical="center"/>
    </xf>
    <xf numFmtId="14" fontId="0" fillId="0" borderId="0" xfId="0" applyNumberFormat="1"/>
    <xf numFmtId="0" fontId="14" fillId="6" borderId="37" xfId="22" applyFont="1" applyFill="1" applyBorder="1" applyAlignment="1">
      <alignment horizontal="left" vertical="center" wrapText="1"/>
    </xf>
    <xf numFmtId="183" fontId="36" fillId="0" borderId="37" xfId="26" applyNumberFormat="1" applyFont="1" applyBorder="1" applyAlignment="1" applyProtection="1">
      <alignment vertical="center"/>
    </xf>
    <xf numFmtId="183" fontId="15" fillId="0" borderId="37" xfId="26" applyNumberFormat="1" applyFont="1" applyBorder="1" applyAlignment="1" applyProtection="1">
      <alignment vertical="center"/>
    </xf>
    <xf numFmtId="183" fontId="15" fillId="0" borderId="60" xfId="26" applyNumberFormat="1" applyFont="1" applyFill="1" applyBorder="1" applyAlignment="1" applyProtection="1">
      <alignment vertical="center"/>
    </xf>
    <xf numFmtId="183" fontId="15" fillId="0" borderId="37" xfId="26" applyNumberFormat="1" applyFont="1" applyFill="1" applyBorder="1" applyAlignment="1" applyProtection="1">
      <alignment vertical="center"/>
    </xf>
    <xf numFmtId="183" fontId="14" fillId="0" borderId="60" xfId="26" applyNumberFormat="1" applyFont="1" applyFill="1" applyBorder="1" applyAlignment="1" applyProtection="1">
      <alignment vertical="center"/>
    </xf>
    <xf numFmtId="183" fontId="32" fillId="0" borderId="37" xfId="26" applyNumberFormat="1" applyFont="1" applyBorder="1" applyAlignment="1" applyProtection="1">
      <alignment vertical="center"/>
    </xf>
    <xf numFmtId="183" fontId="36" fillId="0" borderId="60" xfId="26" applyNumberFormat="1" applyFont="1" applyBorder="1" applyAlignment="1" applyProtection="1">
      <alignment vertical="center"/>
    </xf>
    <xf numFmtId="183" fontId="15" fillId="6" borderId="37" xfId="26" applyNumberFormat="1" applyFont="1" applyFill="1" applyBorder="1" applyAlignment="1" applyProtection="1">
      <alignment vertical="center" wrapText="1"/>
    </xf>
    <xf numFmtId="176" fontId="15" fillId="6" borderId="37" xfId="21" applyFont="1" applyFill="1" applyBorder="1" applyAlignment="1" applyProtection="1">
      <alignment vertical="center"/>
    </xf>
    <xf numFmtId="183" fontId="32" fillId="0" borderId="38" xfId="26" applyNumberFormat="1" applyFont="1" applyBorder="1" applyAlignment="1" applyProtection="1">
      <alignment vertical="center"/>
    </xf>
    <xf numFmtId="0" fontId="15" fillId="6" borderId="37" xfId="22" applyFont="1" applyFill="1" applyBorder="1" applyAlignment="1">
      <alignment vertical="center"/>
    </xf>
    <xf numFmtId="168" fontId="15" fillId="6" borderId="37" xfId="22" applyNumberFormat="1" applyFont="1" applyFill="1" applyBorder="1" applyAlignment="1">
      <alignment vertical="center"/>
    </xf>
    <xf numFmtId="2" fontId="36" fillId="0" borderId="60" xfId="5" applyNumberFormat="1" applyFont="1" applyBorder="1" applyAlignment="1" applyProtection="1">
      <alignment horizontal="right" vertical="center"/>
    </xf>
    <xf numFmtId="2" fontId="15" fillId="6" borderId="37" xfId="5" applyNumberFormat="1" applyFont="1" applyFill="1" applyBorder="1" applyAlignment="1">
      <alignment horizontal="right" vertical="center"/>
    </xf>
    <xf numFmtId="176" fontId="65" fillId="0" borderId="37" xfId="21" applyFont="1" applyBorder="1" applyAlignment="1" applyProtection="1">
      <alignment vertical="center"/>
    </xf>
    <xf numFmtId="176" fontId="65" fillId="0" borderId="38" xfId="21" applyFont="1" applyBorder="1" applyAlignment="1" applyProtection="1">
      <alignment vertical="center"/>
    </xf>
    <xf numFmtId="176" fontId="32" fillId="0" borderId="6" xfId="21" applyFont="1" applyBorder="1" applyAlignment="1" applyProtection="1">
      <alignment vertical="center"/>
    </xf>
    <xf numFmtId="1" fontId="17" fillId="3" borderId="6" xfId="23" applyNumberFormat="1" applyFont="1" applyFill="1" applyBorder="1" applyAlignment="1">
      <alignment horizontal="right" vertical="center"/>
    </xf>
    <xf numFmtId="176" fontId="15" fillId="0" borderId="37" xfId="21" applyFont="1" applyBorder="1" applyAlignment="1" applyProtection="1">
      <alignment vertical="center"/>
    </xf>
    <xf numFmtId="0" fontId="59" fillId="10" borderId="1" xfId="13" applyFont="1" applyFill="1" applyBorder="1" applyAlignment="1" applyProtection="1">
      <alignment horizontal="center" vertical="center"/>
      <protection locked="0"/>
    </xf>
    <xf numFmtId="0" fontId="53" fillId="0" borderId="0" xfId="0" applyFont="1" applyAlignment="1">
      <alignment vertical="center"/>
    </xf>
    <xf numFmtId="49" fontId="15" fillId="10" borderId="1" xfId="13" applyNumberFormat="1" applyFont="1" applyFill="1" applyBorder="1" applyAlignment="1">
      <alignment vertical="center"/>
    </xf>
    <xf numFmtId="49" fontId="15" fillId="6" borderId="0" xfId="13" applyNumberFormat="1" applyFont="1" applyFill="1" applyAlignment="1">
      <alignment vertical="center"/>
    </xf>
    <xf numFmtId="0" fontId="15" fillId="11" borderId="1" xfId="13" applyFont="1" applyFill="1" applyBorder="1" applyAlignment="1" applyProtection="1">
      <alignment vertical="center" wrapText="1"/>
      <protection locked="0"/>
    </xf>
    <xf numFmtId="49" fontId="15" fillId="0" borderId="0" xfId="13" applyNumberFormat="1" applyFont="1" applyAlignment="1">
      <alignment vertical="center"/>
    </xf>
    <xf numFmtId="0" fontId="14" fillId="0" borderId="12" xfId="13" applyFont="1" applyBorder="1" applyAlignment="1">
      <alignment vertical="center"/>
    </xf>
    <xf numFmtId="170" fontId="15" fillId="0" borderId="0" xfId="13" applyNumberFormat="1" applyFont="1" applyAlignment="1">
      <alignment horizontal="center" vertical="center"/>
    </xf>
    <xf numFmtId="0" fontId="15" fillId="12" borderId="1" xfId="13" applyFont="1" applyFill="1" applyBorder="1" applyAlignment="1">
      <alignment horizontal="center" vertical="center"/>
    </xf>
    <xf numFmtId="0" fontId="14" fillId="12" borderId="1" xfId="13" applyFont="1" applyFill="1" applyBorder="1" applyAlignment="1">
      <alignment vertical="center"/>
    </xf>
    <xf numFmtId="0" fontId="36" fillId="0" borderId="0" xfId="13" applyFont="1" applyAlignment="1">
      <alignment vertical="center"/>
    </xf>
    <xf numFmtId="0" fontId="14" fillId="12" borderId="1" xfId="13" applyFont="1" applyFill="1" applyBorder="1" applyAlignment="1">
      <alignment horizontal="left" vertical="center"/>
    </xf>
    <xf numFmtId="49" fontId="15" fillId="11" borderId="1" xfId="13" applyNumberFormat="1" applyFont="1" applyFill="1" applyBorder="1" applyAlignment="1" applyProtection="1">
      <alignment horizontal="left" vertical="center"/>
      <protection locked="0"/>
    </xf>
    <xf numFmtId="14" fontId="15" fillId="11" borderId="1" xfId="13" applyNumberFormat="1" applyFont="1" applyFill="1" applyBorder="1" applyAlignment="1" applyProtection="1">
      <alignment horizontal="left" vertical="center"/>
      <protection locked="0"/>
    </xf>
    <xf numFmtId="0" fontId="17" fillId="3" borderId="12" xfId="23" applyFont="1" applyFill="1" applyBorder="1" applyAlignment="1">
      <alignment horizontal="right" vertical="center"/>
    </xf>
    <xf numFmtId="0" fontId="15" fillId="6" borderId="0" xfId="11" applyFont="1" applyFill="1" applyAlignment="1">
      <alignment vertical="center"/>
    </xf>
    <xf numFmtId="0" fontId="14" fillId="6" borderId="0" xfId="11" applyFont="1" applyFill="1" applyAlignment="1">
      <alignment vertical="center"/>
    </xf>
    <xf numFmtId="0" fontId="15" fillId="0" borderId="0" xfId="11" applyFont="1" applyAlignment="1">
      <alignment vertical="center"/>
    </xf>
    <xf numFmtId="0" fontId="17" fillId="0" borderId="0" xfId="11" applyFont="1" applyAlignment="1">
      <alignment vertical="center"/>
    </xf>
    <xf numFmtId="0" fontId="16" fillId="6" borderId="0" xfId="11" applyFont="1" applyFill="1" applyAlignment="1">
      <alignment vertical="center"/>
    </xf>
    <xf numFmtId="0" fontId="26" fillId="6" borderId="0" xfId="11" applyFont="1" applyFill="1" applyAlignment="1">
      <alignment vertical="center"/>
    </xf>
    <xf numFmtId="0" fontId="30" fillId="0" borderId="0" xfId="11" applyFont="1" applyAlignment="1">
      <alignment vertical="center"/>
    </xf>
    <xf numFmtId="0" fontId="14" fillId="0" borderId="0" xfId="11" applyFont="1" applyAlignment="1">
      <alignment vertical="center"/>
    </xf>
    <xf numFmtId="0" fontId="48" fillId="3" borderId="0" xfId="13" applyFont="1" applyFill="1" applyAlignment="1">
      <alignment vertical="center"/>
    </xf>
    <xf numFmtId="0" fontId="61" fillId="6" borderId="0" xfId="11" applyFont="1" applyFill="1" applyAlignment="1">
      <alignment vertical="center"/>
    </xf>
    <xf numFmtId="0" fontId="35" fillId="0" borderId="0" xfId="13" applyFont="1" applyAlignment="1">
      <alignment vertical="center"/>
    </xf>
    <xf numFmtId="0" fontId="22" fillId="0" borderId="0" xfId="0" applyFont="1" applyAlignment="1">
      <alignment vertical="center"/>
    </xf>
    <xf numFmtId="0" fontId="15" fillId="0" borderId="0" xfId="11" applyFont="1" applyAlignment="1">
      <alignment horizontal="right" vertical="center"/>
    </xf>
    <xf numFmtId="0" fontId="35" fillId="6" borderId="0" xfId="11" applyFont="1" applyFill="1" applyAlignment="1">
      <alignment horizontal="left" vertical="center"/>
    </xf>
    <xf numFmtId="0" fontId="15" fillId="0" borderId="0" xfId="0" applyFont="1" applyAlignment="1">
      <alignment horizontal="right" vertical="center"/>
    </xf>
    <xf numFmtId="0" fontId="15" fillId="6" borderId="0" xfId="11" applyFont="1" applyFill="1" applyAlignment="1">
      <alignment horizontal="left" vertical="center"/>
    </xf>
    <xf numFmtId="0" fontId="15" fillId="6" borderId="0" xfId="11" applyFont="1" applyFill="1" applyAlignment="1">
      <alignment horizontal="right" vertical="center"/>
    </xf>
    <xf numFmtId="0" fontId="14" fillId="6" borderId="0" xfId="11" applyFont="1" applyFill="1" applyAlignment="1">
      <alignment horizontal="left" vertical="center"/>
    </xf>
    <xf numFmtId="0" fontId="72" fillId="0" borderId="0" xfId="11" quotePrefix="1" applyFont="1" applyAlignment="1">
      <alignment vertical="center"/>
    </xf>
    <xf numFmtId="0" fontId="72" fillId="0" borderId="0" xfId="11" applyFont="1" applyAlignment="1">
      <alignment vertical="center"/>
    </xf>
    <xf numFmtId="0" fontId="15" fillId="6" borderId="0" xfId="11" quotePrefix="1" applyFont="1" applyFill="1" applyAlignment="1">
      <alignment vertical="center"/>
    </xf>
    <xf numFmtId="0" fontId="53" fillId="13" borderId="29" xfId="0" applyFont="1" applyFill="1" applyBorder="1" applyAlignment="1">
      <alignment vertical="center"/>
    </xf>
    <xf numFmtId="0" fontId="15" fillId="13" borderId="24" xfId="11" applyFont="1" applyFill="1" applyBorder="1" applyAlignment="1">
      <alignment vertical="center"/>
    </xf>
    <xf numFmtId="0" fontId="15" fillId="13" borderId="25" xfId="11" applyFont="1" applyFill="1" applyBorder="1" applyAlignment="1">
      <alignment vertical="center"/>
    </xf>
    <xf numFmtId="0" fontId="15" fillId="13" borderId="3" xfId="0" applyFont="1" applyFill="1" applyBorder="1" applyAlignment="1">
      <alignment vertical="center"/>
    </xf>
    <xf numFmtId="0" fontId="15" fillId="13" borderId="0" xfId="11" applyFont="1" applyFill="1" applyAlignment="1">
      <alignment vertical="center"/>
    </xf>
    <xf numFmtId="0" fontId="15" fillId="13" borderId="26" xfId="11" applyFont="1" applyFill="1" applyBorder="1" applyAlignment="1">
      <alignment vertical="center"/>
    </xf>
    <xf numFmtId="0" fontId="35" fillId="13" borderId="13" xfId="0" applyFont="1" applyFill="1" applyBorder="1" applyAlignment="1">
      <alignment vertical="center"/>
    </xf>
    <xf numFmtId="0" fontId="15" fillId="13" borderId="27" xfId="11" applyFont="1" applyFill="1" applyBorder="1" applyAlignment="1">
      <alignment vertical="center"/>
    </xf>
    <xf numFmtId="0" fontId="15" fillId="13" borderId="28" xfId="11" applyFont="1" applyFill="1" applyBorder="1" applyAlignment="1">
      <alignment vertical="center"/>
    </xf>
    <xf numFmtId="0" fontId="37" fillId="8" borderId="17" xfId="0" applyFont="1" applyFill="1" applyBorder="1" applyAlignment="1">
      <alignment vertical="center"/>
    </xf>
    <xf numFmtId="0" fontId="38" fillId="8" borderId="17" xfId="0" applyFont="1" applyFill="1" applyBorder="1" applyAlignment="1">
      <alignment vertical="center"/>
    </xf>
    <xf numFmtId="0" fontId="28" fillId="8" borderId="17" xfId="0" applyFont="1" applyFill="1" applyBorder="1" applyAlignment="1">
      <alignment vertical="center"/>
    </xf>
    <xf numFmtId="0" fontId="28" fillId="8" borderId="18" xfId="0" applyFont="1" applyFill="1" applyBorder="1" applyAlignment="1">
      <alignment vertical="center"/>
    </xf>
    <xf numFmtId="0" fontId="35" fillId="6" borderId="0" xfId="0" applyFont="1" applyFill="1" applyAlignment="1">
      <alignment vertical="center"/>
    </xf>
    <xf numFmtId="0" fontId="38" fillId="3" borderId="0" xfId="11" applyFont="1" applyFill="1" applyAlignment="1">
      <alignment vertical="center"/>
    </xf>
    <xf numFmtId="0" fontId="72" fillId="0" borderId="0" xfId="4" applyFont="1" applyFill="1" applyAlignment="1" applyProtection="1">
      <alignment vertical="center"/>
    </xf>
    <xf numFmtId="0" fontId="37" fillId="3" borderId="0" xfId="13" applyFont="1" applyFill="1" applyAlignment="1">
      <alignment vertical="center"/>
    </xf>
    <xf numFmtId="0" fontId="14" fillId="6" borderId="0" xfId="13" applyFont="1" applyFill="1" applyAlignment="1">
      <alignment horizontal="right" vertical="center"/>
    </xf>
    <xf numFmtId="176" fontId="34" fillId="0" borderId="12" xfId="21" applyFont="1" applyBorder="1" applyAlignment="1" applyProtection="1">
      <alignment vertical="center"/>
    </xf>
    <xf numFmtId="0" fontId="33" fillId="3" borderId="5" xfId="23" applyFont="1" applyFill="1" applyBorder="1" applyAlignment="1">
      <alignment horizontal="left" vertical="center"/>
    </xf>
    <xf numFmtId="0" fontId="33" fillId="6" borderId="0" xfId="22" applyFont="1" applyFill="1" applyAlignment="1">
      <alignment horizontal="left" vertical="center" wrapText="1"/>
    </xf>
    <xf numFmtId="176" fontId="34" fillId="0" borderId="0" xfId="21" applyFont="1" applyFill="1" applyBorder="1" applyAlignment="1" applyProtection="1">
      <alignment vertical="center"/>
    </xf>
    <xf numFmtId="176" fontId="34" fillId="0" borderId="7" xfId="21" applyFont="1" applyBorder="1" applyAlignment="1" applyProtection="1">
      <alignment vertical="center"/>
    </xf>
    <xf numFmtId="0" fontId="33" fillId="0" borderId="7" xfId="13" applyFont="1" applyBorder="1" applyAlignment="1">
      <alignment vertical="center"/>
    </xf>
    <xf numFmtId="176" fontId="34" fillId="6" borderId="0" xfId="21" applyFont="1" applyFill="1" applyBorder="1" applyAlignment="1" applyProtection="1">
      <alignment vertical="center"/>
    </xf>
    <xf numFmtId="176" fontId="39" fillId="0" borderId="63" xfId="21" applyFont="1" applyBorder="1" applyAlignment="1" applyProtection="1">
      <alignment vertical="center"/>
    </xf>
    <xf numFmtId="9" fontId="15" fillId="10" borderId="2" xfId="8" applyFont="1" applyFill="1" applyBorder="1" applyAlignment="1" applyProtection="1">
      <alignment vertical="center"/>
    </xf>
    <xf numFmtId="0" fontId="35" fillId="0" borderId="0" xfId="0" applyFont="1" applyAlignment="1">
      <alignment horizontal="left" vertical="center" wrapText="1"/>
    </xf>
    <xf numFmtId="0" fontId="15" fillId="0" borderId="0" xfId="0" applyFont="1" applyAlignment="1">
      <alignment vertical="center"/>
    </xf>
    <xf numFmtId="0" fontId="15" fillId="0" borderId="0" xfId="0" quotePrefix="1" applyFont="1" applyAlignment="1">
      <alignment vertical="center"/>
    </xf>
    <xf numFmtId="0" fontId="72" fillId="6" borderId="0" xfId="4" applyFont="1" applyFill="1" applyAlignment="1" applyProtection="1">
      <alignment horizontal="left"/>
    </xf>
    <xf numFmtId="0" fontId="31" fillId="3" borderId="0" xfId="13" applyFont="1" applyFill="1" applyAlignment="1">
      <alignment horizontal="center" vertical="center"/>
    </xf>
    <xf numFmtId="0" fontId="35" fillId="4" borderId="16" xfId="0" applyFont="1" applyFill="1" applyBorder="1" applyAlignment="1">
      <alignment horizontal="left" vertical="center" wrapText="1"/>
    </xf>
    <xf numFmtId="0" fontId="35" fillId="4" borderId="17" xfId="0" applyFont="1" applyFill="1" applyBorder="1" applyAlignment="1">
      <alignment horizontal="left" vertical="center" wrapText="1"/>
    </xf>
    <xf numFmtId="0" fontId="35" fillId="4" borderId="18" xfId="0" applyFont="1" applyFill="1" applyBorder="1" applyAlignment="1">
      <alignment horizontal="left" vertical="center" wrapText="1"/>
    </xf>
    <xf numFmtId="0" fontId="14" fillId="6" borderId="0" xfId="0" applyFont="1" applyFill="1" applyAlignment="1">
      <alignment vertical="top"/>
    </xf>
    <xf numFmtId="0" fontId="15" fillId="6" borderId="0" xfId="0" applyFont="1" applyFill="1" applyAlignment="1">
      <alignment vertical="top"/>
    </xf>
    <xf numFmtId="0" fontId="15" fillId="4" borderId="16" xfId="0" applyFont="1" applyFill="1" applyBorder="1" applyAlignment="1">
      <alignment horizontal="left" vertical="top" wrapText="1"/>
    </xf>
    <xf numFmtId="0" fontId="15" fillId="4" borderId="17" xfId="0" applyFont="1" applyFill="1" applyBorder="1" applyAlignment="1">
      <alignment horizontal="left" vertical="top" wrapText="1"/>
    </xf>
    <xf numFmtId="0" fontId="15" fillId="4" borderId="18" xfId="0" applyFont="1" applyFill="1" applyBorder="1" applyAlignment="1">
      <alignment horizontal="left" vertical="top" wrapText="1"/>
    </xf>
    <xf numFmtId="0" fontId="15" fillId="4" borderId="29" xfId="11" applyFont="1" applyFill="1" applyBorder="1" applyAlignment="1">
      <alignment horizontal="left" vertical="center" wrapText="1"/>
    </xf>
    <xf numFmtId="0" fontId="15" fillId="4" borderId="24" xfId="11" applyFont="1" applyFill="1" applyBorder="1" applyAlignment="1">
      <alignment horizontal="left" vertical="center" wrapText="1"/>
    </xf>
    <xf numFmtId="0" fontId="15" fillId="4" borderId="25" xfId="11" applyFont="1" applyFill="1" applyBorder="1" applyAlignment="1">
      <alignment horizontal="left" vertical="center" wrapText="1"/>
    </xf>
    <xf numFmtId="0" fontId="14" fillId="20" borderId="0" xfId="0" applyFont="1" applyFill="1" applyAlignment="1">
      <alignment horizontal="center"/>
    </xf>
    <xf numFmtId="0" fontId="14" fillId="21" borderId="0" xfId="0" applyFont="1" applyFill="1" applyAlignment="1">
      <alignment horizontal="center" vertical="top"/>
    </xf>
    <xf numFmtId="0" fontId="58" fillId="17" borderId="0" xfId="0" applyFont="1" applyFill="1" applyAlignment="1">
      <alignment horizontal="center"/>
    </xf>
    <xf numFmtId="0" fontId="58" fillId="19" borderId="0" xfId="0" applyFont="1" applyFill="1" applyAlignment="1">
      <alignment horizontal="center"/>
    </xf>
    <xf numFmtId="0" fontId="14" fillId="15" borderId="0" xfId="0" applyFont="1" applyFill="1" applyAlignment="1">
      <alignment horizontal="center"/>
    </xf>
    <xf numFmtId="0" fontId="14" fillId="22" borderId="0" xfId="0" applyFont="1" applyFill="1" applyAlignment="1">
      <alignment horizontal="center" vertical="top"/>
    </xf>
    <xf numFmtId="0" fontId="58" fillId="5" borderId="0" xfId="0" applyFont="1" applyFill="1" applyAlignment="1">
      <alignment horizontal="center"/>
    </xf>
  </cellXfs>
  <cellStyles count="29">
    <cellStyle name="Euro" xfId="1" xr:uid="{00000000-0005-0000-0000-000000000000}"/>
    <cellStyle name="Euro 2" xfId="2" xr:uid="{00000000-0005-0000-0000-000001000000}"/>
    <cellStyle name="Euro 3" xfId="3" xr:uid="{00000000-0005-0000-0000-000002000000}"/>
    <cellStyle name="Hyperlink" xfId="4" builtinId="8"/>
    <cellStyle name="Hyperlink 2" xfId="16" xr:uid="{D263DD57-FFA6-47FC-963C-91A989E11CFE}"/>
    <cellStyle name="Komma" xfId="5" builtinId="3"/>
    <cellStyle name="Komma 2" xfId="6" xr:uid="{00000000-0005-0000-0000-000005000000}"/>
    <cellStyle name="Komma 3" xfId="7" xr:uid="{00000000-0005-0000-0000-000006000000}"/>
    <cellStyle name="Komma 4" xfId="18" xr:uid="{2D7A5747-5774-4C99-91D2-0674C752464F}"/>
    <cellStyle name="Komma 5" xfId="26" xr:uid="{24A12083-8BF7-4971-8876-0374259E6604}"/>
    <cellStyle name="Procent" xfId="8" builtinId="5"/>
    <cellStyle name="Procent 2" xfId="9" xr:uid="{00000000-0005-0000-0000-000008000000}"/>
    <cellStyle name="Procent 3" xfId="10" xr:uid="{00000000-0005-0000-0000-000009000000}"/>
    <cellStyle name="Procent 4" xfId="17" xr:uid="{95048695-387B-4FFA-BAEA-83469357380C}"/>
    <cellStyle name="Procent 5" xfId="24" xr:uid="{A9C01294-12B5-43E1-B295-92B91DC6AF76}"/>
    <cellStyle name="Standaard" xfId="0" builtinId="0"/>
    <cellStyle name="Standaard 2" xfId="11" xr:uid="{00000000-0005-0000-0000-00000B000000}"/>
    <cellStyle name="Standaard 2 2" xfId="12" xr:uid="{00000000-0005-0000-0000-00000C000000}"/>
    <cellStyle name="Standaard 2 2 2" xfId="22" xr:uid="{453FDAEC-16BC-4C14-B564-E78AD6E70943}"/>
    <cellStyle name="Standaard 2 3" xfId="21" xr:uid="{CA50EA52-001F-41DB-AF26-FA77FD889298}"/>
    <cellStyle name="Standaard 3" xfId="15" xr:uid="{2E54A7F1-9B26-43A2-9644-7DAE5CC109E4}"/>
    <cellStyle name="Standaard 3 2" xfId="20" xr:uid="{E609138E-A58A-45F9-AEA1-25AACFE871DD}"/>
    <cellStyle name="Standaard 3 3" xfId="23" xr:uid="{528468AD-FA23-49DA-B188-CFBD2AB975BF}"/>
    <cellStyle name="Standaard 4" xfId="25" xr:uid="{E592CBB8-DD2C-464A-8BB8-FD85483B3F79}"/>
    <cellStyle name="Standaard 5" xfId="28" xr:uid="{EBE4962C-C943-4E69-B820-D66FBDE33807}"/>
    <cellStyle name="Standaard_TEMPLATE FEM BEGROTING DEMO" xfId="13" xr:uid="{00000000-0005-0000-0000-00000D000000}"/>
    <cellStyle name="Valuta" xfId="14" builtinId="4"/>
    <cellStyle name="Valuta 2" xfId="19" xr:uid="{78314849-7FCC-4773-8248-546951E1AAE3}"/>
    <cellStyle name="Valuta 3" xfId="27" xr:uid="{A5FA943B-ABA9-43E7-A3F2-F7ED3AB7CAC1}"/>
  </cellStyles>
  <dxfs count="10">
    <dxf>
      <fill>
        <patternFill>
          <bgColor rgb="FFFFFFDC"/>
        </patternFill>
      </fill>
      <border>
        <left style="thin">
          <color auto="1"/>
        </left>
        <right style="thin">
          <color auto="1"/>
        </right>
        <top style="thin">
          <color auto="1"/>
        </top>
        <bottom style="thin">
          <color auto="1"/>
        </bottom>
        <vertical/>
        <horizontal/>
      </border>
    </dxf>
    <dxf>
      <fill>
        <patternFill>
          <bgColor rgb="FFFFFFDC"/>
        </patternFill>
      </fill>
      <border>
        <left style="thin">
          <color auto="1"/>
        </left>
        <right style="thin">
          <color auto="1"/>
        </right>
        <top style="thin">
          <color auto="1"/>
        </top>
        <bottom style="thin">
          <color auto="1"/>
        </bottom>
        <vertical/>
        <horizontal/>
      </border>
    </dxf>
    <dxf>
      <fill>
        <patternFill>
          <bgColor theme="0"/>
        </patternFill>
      </fill>
    </dxf>
    <dxf>
      <fill>
        <patternFill>
          <bgColor theme="0"/>
        </patternFill>
      </fill>
    </dxf>
    <dxf>
      <font>
        <color rgb="FFFF0000"/>
      </font>
      <fill>
        <patternFill>
          <bgColor theme="0" tint="-4.9989318521683403E-2"/>
        </patternFill>
      </fill>
    </dxf>
    <dxf>
      <font>
        <color auto="1"/>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99CCFF"/>
      <color rgb="FFFFFFCC"/>
      <color rgb="FFFFFFDC"/>
      <color rgb="FFB2D7EE"/>
      <color rgb="FFD3E8F5"/>
      <color rgb="FFD52B1E"/>
      <color rgb="FF007BC7"/>
      <color rgb="FFD9D9D9"/>
      <color rgb="FFCCCCCC"/>
      <color rgb="FF9E20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8</xdr:col>
      <xdr:colOff>463550</xdr:colOff>
      <xdr:row>0</xdr:row>
      <xdr:rowOff>1333500</xdr:rowOff>
    </xdr:to>
    <xdr:pic>
      <xdr:nvPicPr>
        <xdr:cNvPr id="2" name="Afbeelding 1">
          <a:extLst>
            <a:ext uri="{FF2B5EF4-FFF2-40B4-BE49-F238E27FC236}">
              <a16:creationId xmlns:a16="http://schemas.microsoft.com/office/drawing/2014/main" id="{17036FF6-6DB4-753A-F383-6EECFDA485E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26000" y="0"/>
          <a:ext cx="466725" cy="1333500"/>
        </a:xfrm>
        <a:prstGeom prst="rect">
          <a:avLst/>
        </a:prstGeom>
        <a:noFill/>
        <a:ln w="9525">
          <a:noFill/>
          <a:miter lim="800000"/>
          <a:headEnd/>
          <a:tailEnd/>
        </a:ln>
      </xdr:spPr>
    </xdr:pic>
    <xdr:clientData/>
  </xdr:twoCellAnchor>
  <xdr:twoCellAnchor editAs="oneCell">
    <xdr:from>
      <xdr:col>8</xdr:col>
      <xdr:colOff>468313</xdr:colOff>
      <xdr:row>0</xdr:row>
      <xdr:rowOff>0</xdr:rowOff>
    </xdr:from>
    <xdr:to>
      <xdr:col>12</xdr:col>
      <xdr:colOff>343218</xdr:colOff>
      <xdr:row>2</xdr:row>
      <xdr:rowOff>34925</xdr:rowOff>
    </xdr:to>
    <xdr:pic>
      <xdr:nvPicPr>
        <xdr:cNvPr id="3" name="Afbeelding 2">
          <a:extLst>
            <a:ext uri="{FF2B5EF4-FFF2-40B4-BE49-F238E27FC236}">
              <a16:creationId xmlns:a16="http://schemas.microsoft.com/office/drawing/2014/main" id="{F4155EA8-DD37-B23C-5003-E6C9EF1D018A}"/>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94313" y="0"/>
          <a:ext cx="2351405" cy="1590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8</xdr:col>
      <xdr:colOff>466725</xdr:colOff>
      <xdr:row>1</xdr:row>
      <xdr:rowOff>57150</xdr:rowOff>
    </xdr:to>
    <xdr:pic>
      <xdr:nvPicPr>
        <xdr:cNvPr id="2" name="Afbeelding 1">
          <a:extLst>
            <a:ext uri="{FF2B5EF4-FFF2-40B4-BE49-F238E27FC236}">
              <a16:creationId xmlns:a16="http://schemas.microsoft.com/office/drawing/2014/main" id="{0D671D6D-4B85-4686-A2E3-A1B7B57A142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05375" y="0"/>
          <a:ext cx="466725" cy="1333500"/>
        </a:xfrm>
        <a:prstGeom prst="rect">
          <a:avLst/>
        </a:prstGeom>
        <a:noFill/>
        <a:ln w="9525">
          <a:noFill/>
          <a:miter lim="800000"/>
          <a:headEnd/>
          <a:tailEnd/>
        </a:ln>
      </xdr:spPr>
    </xdr:pic>
    <xdr:clientData/>
  </xdr:twoCellAnchor>
  <xdr:twoCellAnchor editAs="oneCell">
    <xdr:from>
      <xdr:col>8</xdr:col>
      <xdr:colOff>457200</xdr:colOff>
      <xdr:row>0</xdr:row>
      <xdr:rowOff>0</xdr:rowOff>
    </xdr:from>
    <xdr:to>
      <xdr:col>12</xdr:col>
      <xdr:colOff>332105</xdr:colOff>
      <xdr:row>2</xdr:row>
      <xdr:rowOff>66675</xdr:rowOff>
    </xdr:to>
    <xdr:pic>
      <xdr:nvPicPr>
        <xdr:cNvPr id="3" name="Afbeelding 2">
          <a:extLst>
            <a:ext uri="{FF2B5EF4-FFF2-40B4-BE49-F238E27FC236}">
              <a16:creationId xmlns:a16="http://schemas.microsoft.com/office/drawing/2014/main" id="{1FE58D5C-B6C2-40BD-BDE8-201D4660C05C}"/>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62575" y="0"/>
          <a:ext cx="2351405" cy="1571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561976</xdr:colOff>
      <xdr:row>24</xdr:row>
      <xdr:rowOff>112938</xdr:rowOff>
    </xdr:from>
    <xdr:to>
      <xdr:col>8</xdr:col>
      <xdr:colOff>1865086</xdr:colOff>
      <xdr:row>35</xdr:row>
      <xdr:rowOff>143852</xdr:rowOff>
    </xdr:to>
    <xdr:pic>
      <xdr:nvPicPr>
        <xdr:cNvPr id="369755" name="Afbeelding 2">
          <a:extLst>
            <a:ext uri="{FF2B5EF4-FFF2-40B4-BE49-F238E27FC236}">
              <a16:creationId xmlns:a16="http://schemas.microsoft.com/office/drawing/2014/main" id="{DDB859E6-07DB-DDF8-8F2D-3861A44C97C4}"/>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99447" y="3901167"/>
          <a:ext cx="3233964" cy="17558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Saers, ir. S.G. (Sander)" id="{28A55206-1BAE-4E0B-8A47-8DD4CC86BF84}" userId="S::sander.saers@rvo.nl::2b617180-f4d0-4c49-a086-17e91d5ea6b8"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 dT="2025-05-27T09:44:35.10" personId="{28A55206-1BAE-4E0B-8A47-8DD4CC86BF84}" id="{1711F52E-5A06-4F4D-8DC7-4F66C22AAA93}">
    <text>Check artikels</text>
  </threadedComment>
  <threadedComment ref="C44" dT="2025-05-27T10:08:13.01" personId="{28A55206-1BAE-4E0B-8A47-8DD4CC86BF84}" id="{6B19AEE3-1FDF-49E1-81E6-376A43CEAB27}">
    <text>Behouden en controleren of waarschuwen?</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rvo.nl/wis" TargetMode="External"/><Relationship Id="rId7" Type="http://schemas.openxmlformats.org/officeDocument/2006/relationships/hyperlink" Target="https://zoek.officielebekendmakingen.nl/stcrt-2025-18366.html" TargetMode="External"/><Relationship Id="rId2" Type="http://schemas.openxmlformats.org/officeDocument/2006/relationships/hyperlink" Target="https://www.rvo.nl/onderwerpen/subsidiespelregels/ezk/financiering" TargetMode="External"/><Relationship Id="rId1" Type="http://schemas.openxmlformats.org/officeDocument/2006/relationships/hyperlink" Target="https://wetten.overheid.nl/BWBR0024796/2021-03-09" TargetMode="External"/><Relationship Id="rId6" Type="http://schemas.openxmlformats.org/officeDocument/2006/relationships/hyperlink" Target="https://zoek.officielebekendmakingen.nl/stcrt-2023-11052.pdf" TargetMode="External"/><Relationship Id="rId5" Type="http://schemas.openxmlformats.org/officeDocument/2006/relationships/hyperlink" Target="https://eur-lex.europa.eu/legal-content/NL/TXT/PDF/?uri=CELEX:02014R0651-20230701" TargetMode="External"/><Relationship Id="rId4" Type="http://schemas.openxmlformats.org/officeDocument/2006/relationships/hyperlink" Target="https://wetten.overheid.nl/jci1.3:c:BWBR0007919&amp;z=2019-01-01&amp;g=2019-01-01"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rvo.nl/onderwerpen/subsidiespelregels/ez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08">
    <tabColor rgb="FF00B0F0"/>
    <pageSetUpPr fitToPage="1"/>
  </sheetPr>
  <dimension ref="A1:AK128"/>
  <sheetViews>
    <sheetView showGridLines="0" zoomScaleNormal="100" zoomScaleSheetLayoutView="80" workbookViewId="0">
      <selection activeCell="R26" sqref="R26"/>
    </sheetView>
  </sheetViews>
  <sheetFormatPr defaultColWidth="9.26953125" defaultRowHeight="11.5" x14ac:dyDescent="0.25"/>
  <cols>
    <col min="1" max="1" width="7.453125" style="965" customWidth="1"/>
    <col min="2" max="2" width="9.26953125" style="965" customWidth="1"/>
    <col min="3" max="5" width="9.26953125" style="965"/>
    <col min="6" max="6" width="9.26953125" style="965" customWidth="1"/>
    <col min="7" max="15" width="9.26953125" style="965"/>
    <col min="16" max="16" width="13.26953125" style="965" customWidth="1"/>
    <col min="17" max="20" width="9.26953125" style="965"/>
    <col min="21" max="37" width="9.26953125" style="966"/>
    <col min="38" max="16384" width="9.26953125" style="965"/>
  </cols>
  <sheetData>
    <row r="1" spans="1:16" ht="108.75" customHeight="1" x14ac:dyDescent="0.25">
      <c r="A1" s="963"/>
      <c r="B1" s="963"/>
      <c r="C1" s="964"/>
      <c r="D1" s="963"/>
      <c r="E1" s="963"/>
      <c r="F1" s="963"/>
      <c r="G1" s="963"/>
      <c r="H1" s="963"/>
      <c r="I1" s="963"/>
      <c r="J1" s="963"/>
      <c r="K1" s="963"/>
      <c r="L1" s="963"/>
      <c r="M1" s="963"/>
      <c r="N1" s="963"/>
      <c r="O1" s="963"/>
      <c r="P1" s="963"/>
    </row>
    <row r="2" spans="1:16" ht="13.5" customHeight="1" x14ac:dyDescent="0.25">
      <c r="A2" s="964" t="s">
        <v>0</v>
      </c>
      <c r="B2" s="963"/>
      <c r="C2" s="964"/>
      <c r="D2" s="963"/>
      <c r="E2" s="963"/>
      <c r="F2" s="963"/>
      <c r="G2" s="963"/>
      <c r="H2" s="963"/>
      <c r="I2" s="964"/>
      <c r="J2" s="964"/>
      <c r="K2" s="963"/>
      <c r="L2" s="963"/>
      <c r="M2" s="963"/>
      <c r="N2" s="963"/>
      <c r="O2" s="963"/>
      <c r="P2" s="963"/>
    </row>
    <row r="3" spans="1:16" ht="17.5" x14ac:dyDescent="0.25">
      <c r="A3" s="967" t="s">
        <v>1</v>
      </c>
      <c r="B3" s="968"/>
      <c r="C3" s="968"/>
      <c r="D3" s="963"/>
      <c r="E3" s="963"/>
      <c r="F3" s="963"/>
      <c r="G3" s="963"/>
      <c r="H3" s="963"/>
      <c r="I3" s="964"/>
      <c r="J3" s="964"/>
      <c r="K3" s="963"/>
      <c r="L3" s="963"/>
      <c r="M3" s="963"/>
      <c r="N3" s="963"/>
      <c r="O3" s="963"/>
      <c r="P3" s="963"/>
    </row>
    <row r="4" spans="1:16" ht="29.5" customHeight="1" x14ac:dyDescent="0.25">
      <c r="A4" s="969" t="s">
        <v>2</v>
      </c>
      <c r="B4" s="970"/>
      <c r="C4" s="970"/>
      <c r="F4" s="963"/>
      <c r="G4" s="963"/>
      <c r="H4" s="963"/>
      <c r="I4" s="964"/>
      <c r="J4" s="964"/>
      <c r="K4" s="963"/>
      <c r="L4" s="963"/>
      <c r="M4" s="963"/>
      <c r="N4" s="963"/>
      <c r="O4" s="963"/>
      <c r="P4" s="963"/>
    </row>
    <row r="5" spans="1:16" s="117" customFormat="1" ht="15.75" customHeight="1" x14ac:dyDescent="0.25">
      <c r="A5" s="971" t="s">
        <v>645</v>
      </c>
      <c r="B5" s="1000"/>
      <c r="C5" s="1000"/>
      <c r="D5" s="1000"/>
      <c r="E5" s="1000"/>
      <c r="F5" s="1000"/>
      <c r="G5" s="1000"/>
      <c r="H5" s="1000"/>
      <c r="I5" s="136"/>
      <c r="J5" s="136"/>
      <c r="K5" s="136"/>
      <c r="L5" s="136"/>
      <c r="M5" s="136"/>
      <c r="N5" s="136"/>
      <c r="O5" s="136"/>
      <c r="P5" s="136"/>
    </row>
    <row r="6" spans="1:16" ht="12.75" customHeight="1" x14ac:dyDescent="0.25">
      <c r="A6" s="972" t="s">
        <v>3</v>
      </c>
      <c r="B6" s="963"/>
      <c r="C6" s="963"/>
      <c r="D6" s="963"/>
      <c r="E6" s="963"/>
      <c r="F6" s="963"/>
      <c r="G6" s="963"/>
      <c r="H6" s="963"/>
      <c r="I6" s="963"/>
      <c r="J6" s="963"/>
      <c r="K6" s="963"/>
      <c r="L6" s="963"/>
      <c r="M6" s="963"/>
      <c r="N6" s="963"/>
      <c r="O6" s="963"/>
      <c r="P6" s="963"/>
    </row>
    <row r="7" spans="1:16" ht="12.75" customHeight="1" x14ac:dyDescent="0.25">
      <c r="A7" s="963" t="s">
        <v>662</v>
      </c>
      <c r="B7" s="963"/>
      <c r="C7" s="963"/>
      <c r="D7" s="963"/>
      <c r="E7" s="963"/>
      <c r="F7" s="963"/>
      <c r="G7" s="963"/>
      <c r="H7" s="963"/>
      <c r="I7" s="963"/>
      <c r="J7" s="963"/>
      <c r="K7" s="963"/>
      <c r="L7" s="963"/>
      <c r="M7" s="963"/>
      <c r="N7" s="963"/>
      <c r="O7" s="963"/>
      <c r="P7" s="963"/>
    </row>
    <row r="8" spans="1:16" ht="12.75" customHeight="1" x14ac:dyDescent="0.25">
      <c r="A8" s="963" t="s">
        <v>663</v>
      </c>
      <c r="B8" s="963"/>
      <c r="C8" s="963"/>
      <c r="D8" s="963"/>
      <c r="E8" s="963"/>
      <c r="F8" s="963"/>
      <c r="G8" s="963"/>
      <c r="H8" s="963"/>
      <c r="I8" s="963"/>
      <c r="J8" s="963"/>
      <c r="K8" s="963"/>
      <c r="L8" s="963"/>
      <c r="M8" s="963"/>
      <c r="N8" s="963"/>
      <c r="O8" s="963"/>
      <c r="P8" s="963"/>
    </row>
    <row r="9" spans="1:16" s="41" customFormat="1" ht="15.75" customHeight="1" x14ac:dyDescent="0.25">
      <c r="A9" s="36" t="s">
        <v>4</v>
      </c>
      <c r="B9" s="42"/>
      <c r="C9" s="36"/>
      <c r="D9" s="36"/>
      <c r="E9" s="42"/>
      <c r="F9" s="42"/>
      <c r="G9" s="42"/>
      <c r="H9" s="42"/>
      <c r="I9" s="42"/>
      <c r="J9" s="42"/>
      <c r="K9" s="42"/>
      <c r="L9" s="42"/>
      <c r="M9" s="42"/>
      <c r="N9" s="42"/>
      <c r="O9" s="42"/>
      <c r="P9" s="42"/>
    </row>
    <row r="10" spans="1:16" s="128" customFormat="1" ht="12.75" customHeight="1" x14ac:dyDescent="0.25">
      <c r="A10" s="198" t="s">
        <v>5</v>
      </c>
      <c r="B10" s="197"/>
      <c r="C10" s="197"/>
      <c r="D10" s="197"/>
      <c r="E10" s="197"/>
      <c r="F10" s="197"/>
      <c r="G10" s="197"/>
      <c r="H10" s="197"/>
      <c r="I10" s="197"/>
      <c r="J10" s="197"/>
      <c r="K10" s="197"/>
      <c r="L10" s="197"/>
      <c r="M10" s="197"/>
      <c r="N10" s="197"/>
      <c r="O10" s="197"/>
      <c r="P10" s="197"/>
    </row>
    <row r="11" spans="1:16" s="128" customFormat="1" ht="12.75" customHeight="1" x14ac:dyDescent="0.25">
      <c r="A11" s="128" t="s">
        <v>6</v>
      </c>
    </row>
    <row r="12" spans="1:16" s="128" customFormat="1" ht="12.75" customHeight="1" x14ac:dyDescent="0.25">
      <c r="A12" s="128" t="s">
        <v>7</v>
      </c>
    </row>
    <row r="13" spans="1:16" s="128" customFormat="1" ht="12.75" customHeight="1" x14ac:dyDescent="0.25">
      <c r="A13" s="128" t="s">
        <v>8</v>
      </c>
    </row>
    <row r="14" spans="1:16" s="128" customFormat="1" ht="12.75" customHeight="1" x14ac:dyDescent="0.25">
      <c r="A14" s="69"/>
    </row>
    <row r="15" spans="1:16" s="128" customFormat="1" ht="12.75" customHeight="1" x14ac:dyDescent="0.25">
      <c r="A15" s="94" t="s">
        <v>9</v>
      </c>
      <c r="B15" s="973"/>
      <c r="C15" s="973"/>
      <c r="D15" s="973"/>
      <c r="E15" s="973"/>
      <c r="F15" s="973"/>
      <c r="G15" s="973"/>
      <c r="H15" s="973"/>
      <c r="I15" s="973"/>
      <c r="J15" s="973"/>
      <c r="K15" s="973"/>
      <c r="L15" s="973"/>
      <c r="M15" s="973"/>
      <c r="N15" s="973"/>
      <c r="O15" s="973"/>
      <c r="P15" s="973"/>
    </row>
    <row r="16" spans="1:16" s="128" customFormat="1" ht="12.75" customHeight="1" x14ac:dyDescent="0.25">
      <c r="A16" s="94" t="s">
        <v>10</v>
      </c>
      <c r="B16" s="973"/>
      <c r="C16" s="973"/>
      <c r="D16" s="973"/>
      <c r="E16" s="973"/>
      <c r="F16" s="973"/>
      <c r="G16" s="973"/>
      <c r="H16" s="973"/>
      <c r="I16" s="973"/>
      <c r="J16" s="973"/>
      <c r="K16" s="973"/>
      <c r="L16" s="973"/>
      <c r="M16" s="973"/>
      <c r="N16" s="973"/>
      <c r="O16" s="973"/>
      <c r="P16" s="973"/>
    </row>
    <row r="17" spans="1:16" s="128" customFormat="1" ht="12.75" customHeight="1" x14ac:dyDescent="0.25">
      <c r="A17" s="94" t="s">
        <v>11</v>
      </c>
      <c r="B17" s="973"/>
      <c r="C17" s="973"/>
      <c r="D17" s="973"/>
      <c r="E17" s="973"/>
      <c r="F17" s="973"/>
      <c r="G17" s="973"/>
      <c r="H17" s="973"/>
      <c r="I17" s="973"/>
      <c r="J17" s="973"/>
      <c r="K17" s="973"/>
      <c r="L17" s="973"/>
      <c r="M17" s="973"/>
      <c r="N17" s="973"/>
      <c r="O17" s="973"/>
      <c r="P17" s="973"/>
    </row>
    <row r="18" spans="1:16" s="128" customFormat="1" ht="12.75" customHeight="1" x14ac:dyDescent="0.25">
      <c r="A18" s="94" t="s">
        <v>12</v>
      </c>
    </row>
    <row r="19" spans="1:16" s="128" customFormat="1" ht="12.75" customHeight="1" x14ac:dyDescent="0.25">
      <c r="A19" s="69" t="s">
        <v>13</v>
      </c>
    </row>
    <row r="20" spans="1:16" s="128" customFormat="1" ht="12.75" customHeight="1" x14ac:dyDescent="0.25">
      <c r="A20" s="69" t="s">
        <v>14</v>
      </c>
    </row>
    <row r="21" spans="1:16" s="128" customFormat="1" ht="12.75" customHeight="1" x14ac:dyDescent="0.25">
      <c r="A21" s="69" t="s">
        <v>15</v>
      </c>
    </row>
    <row r="22" spans="1:16" s="128" customFormat="1" ht="12.75" customHeight="1" x14ac:dyDescent="0.25">
      <c r="A22" s="69" t="s">
        <v>16</v>
      </c>
    </row>
    <row r="23" spans="1:16" s="128" customFormat="1" ht="12.75" customHeight="1" thickBot="1" x14ac:dyDescent="0.3">
      <c r="A23" s="94"/>
    </row>
    <row r="24" spans="1:16" s="41" customFormat="1" ht="15.75" customHeight="1" thickBot="1" x14ac:dyDescent="0.3">
      <c r="A24" s="37" t="s">
        <v>17</v>
      </c>
      <c r="B24" s="100"/>
      <c r="C24" s="101"/>
      <c r="D24" s="101"/>
      <c r="E24" s="100"/>
      <c r="F24" s="100"/>
      <c r="G24" s="100"/>
      <c r="H24" s="100"/>
      <c r="I24" s="100"/>
      <c r="J24" s="100"/>
      <c r="K24" s="100"/>
      <c r="L24" s="100"/>
      <c r="M24" s="100"/>
      <c r="N24" s="100"/>
      <c r="O24" s="100"/>
      <c r="P24" s="102"/>
    </row>
    <row r="25" spans="1:16" ht="12.75" customHeight="1" x14ac:dyDescent="0.25">
      <c r="A25" s="94" t="s">
        <v>18</v>
      </c>
      <c r="B25" s="963"/>
      <c r="C25" s="963"/>
      <c r="D25" s="964"/>
      <c r="E25" s="963"/>
      <c r="F25" s="963"/>
      <c r="G25" s="963"/>
      <c r="H25" s="963"/>
      <c r="I25" s="963"/>
      <c r="J25" s="963"/>
      <c r="K25" s="963"/>
      <c r="L25" s="963"/>
      <c r="M25" s="963"/>
      <c r="N25" s="963"/>
      <c r="O25" s="963"/>
      <c r="P25" s="963"/>
    </row>
    <row r="26" spans="1:16" ht="12.75" customHeight="1" x14ac:dyDescent="0.25">
      <c r="A26" s="974" t="s">
        <v>19</v>
      </c>
      <c r="B26" s="963"/>
      <c r="C26" s="963"/>
      <c r="D26" s="964"/>
      <c r="E26" s="963"/>
      <c r="F26" s="963"/>
      <c r="G26" s="963"/>
      <c r="H26" s="963"/>
      <c r="I26" s="963"/>
      <c r="J26" s="963"/>
      <c r="K26" s="963"/>
      <c r="L26" s="963"/>
      <c r="M26" s="963"/>
      <c r="N26" s="963"/>
      <c r="O26" s="963"/>
      <c r="P26" s="963"/>
    </row>
    <row r="27" spans="1:16" ht="12.75" customHeight="1" x14ac:dyDescent="0.25">
      <c r="A27" s="974"/>
      <c r="B27" s="963"/>
      <c r="C27" s="963"/>
      <c r="D27" s="964"/>
      <c r="E27" s="963"/>
      <c r="F27" s="963"/>
      <c r="G27" s="963"/>
      <c r="H27" s="963"/>
      <c r="I27" s="963"/>
      <c r="J27" s="963"/>
      <c r="K27" s="963"/>
      <c r="L27" s="963"/>
      <c r="M27" s="963"/>
      <c r="N27" s="963"/>
      <c r="O27" s="963"/>
      <c r="P27" s="963"/>
    </row>
    <row r="28" spans="1:16" ht="12.75" customHeight="1" x14ac:dyDescent="0.25">
      <c r="A28" s="69" t="s">
        <v>20</v>
      </c>
      <c r="B28" s="963"/>
      <c r="C28" s="963"/>
      <c r="D28" s="964"/>
      <c r="E28" s="963"/>
      <c r="F28" s="963"/>
      <c r="G28" s="963"/>
      <c r="H28" s="963"/>
      <c r="I28" s="963"/>
      <c r="J28" s="963"/>
      <c r="K28" s="963"/>
      <c r="L28" s="963"/>
      <c r="M28" s="963"/>
      <c r="N28" s="963"/>
      <c r="O28" s="963"/>
      <c r="P28" s="963"/>
    </row>
    <row r="29" spans="1:16" ht="12.75" customHeight="1" x14ac:dyDescent="0.25">
      <c r="A29" s="69"/>
      <c r="B29" s="963"/>
      <c r="C29" s="963"/>
      <c r="D29" s="964"/>
      <c r="E29" s="963"/>
      <c r="F29" s="963"/>
      <c r="G29" s="963"/>
      <c r="H29" s="963"/>
      <c r="I29" s="963"/>
      <c r="J29" s="963"/>
      <c r="K29" s="963"/>
      <c r="L29" s="963"/>
      <c r="M29" s="963"/>
      <c r="N29" s="963"/>
      <c r="O29" s="963"/>
      <c r="P29" s="963"/>
    </row>
    <row r="30" spans="1:16" ht="12.75" customHeight="1" x14ac:dyDescent="0.25">
      <c r="A30" s="94" t="s">
        <v>21</v>
      </c>
      <c r="B30" s="963"/>
      <c r="C30" s="963"/>
      <c r="D30" s="964"/>
      <c r="E30" s="963"/>
      <c r="F30" s="963"/>
      <c r="G30" s="963"/>
      <c r="H30" s="963"/>
      <c r="I30" s="963"/>
      <c r="J30" s="963"/>
      <c r="K30" s="963"/>
      <c r="L30" s="963"/>
      <c r="M30" s="963"/>
      <c r="N30" s="963"/>
      <c r="O30" s="963"/>
      <c r="P30" s="963"/>
    </row>
    <row r="31" spans="1:16" ht="12.75" customHeight="1" x14ac:dyDescent="0.25">
      <c r="A31" s="69" t="s">
        <v>22</v>
      </c>
      <c r="B31" s="963"/>
      <c r="C31" s="963"/>
      <c r="D31" s="964"/>
      <c r="E31" s="963"/>
      <c r="F31" s="963"/>
      <c r="G31" s="963"/>
      <c r="H31" s="963"/>
      <c r="I31" s="963"/>
      <c r="J31" s="963"/>
      <c r="K31" s="963"/>
      <c r="L31" s="963"/>
      <c r="M31" s="963"/>
      <c r="N31" s="963"/>
      <c r="O31" s="963"/>
      <c r="P31" s="963"/>
    </row>
    <row r="32" spans="1:16" ht="12.75" customHeight="1" x14ac:dyDescent="0.25">
      <c r="A32" s="975" t="s">
        <v>23</v>
      </c>
      <c r="B32" s="976" t="s">
        <v>24</v>
      </c>
      <c r="C32" s="963"/>
      <c r="D32" s="964"/>
      <c r="E32" s="963"/>
      <c r="F32" s="963"/>
      <c r="G32" s="963"/>
      <c r="H32" s="963"/>
      <c r="I32" s="963"/>
      <c r="J32" s="963"/>
      <c r="K32" s="963"/>
      <c r="L32" s="963"/>
      <c r="M32" s="963"/>
      <c r="N32" s="963"/>
      <c r="O32" s="963"/>
      <c r="P32" s="963"/>
    </row>
    <row r="33" spans="1:16" ht="12.75" customHeight="1" x14ac:dyDescent="0.25">
      <c r="A33" s="975" t="s">
        <v>23</v>
      </c>
      <c r="B33" s="976" t="s">
        <v>25</v>
      </c>
      <c r="C33" s="963"/>
      <c r="D33" s="964"/>
      <c r="E33" s="963"/>
      <c r="F33" s="963"/>
      <c r="G33" s="963"/>
      <c r="H33" s="963"/>
      <c r="I33" s="963"/>
      <c r="J33" s="963"/>
      <c r="K33" s="963"/>
      <c r="L33" s="963"/>
      <c r="M33" s="963"/>
      <c r="N33" s="963"/>
      <c r="O33" s="963"/>
      <c r="P33" s="963"/>
    </row>
    <row r="34" spans="1:16" ht="12.75" customHeight="1" x14ac:dyDescent="0.25">
      <c r="A34" s="69"/>
      <c r="B34" s="963"/>
      <c r="C34" s="963"/>
      <c r="D34" s="964"/>
      <c r="E34" s="963"/>
      <c r="F34" s="963"/>
      <c r="G34" s="963"/>
      <c r="H34" s="963"/>
      <c r="I34" s="963"/>
      <c r="J34" s="963"/>
      <c r="K34" s="963"/>
      <c r="L34" s="963"/>
      <c r="M34" s="963"/>
      <c r="N34" s="963"/>
      <c r="O34" s="963"/>
      <c r="P34" s="963"/>
    </row>
    <row r="35" spans="1:16" ht="12.75" customHeight="1" x14ac:dyDescent="0.25">
      <c r="A35" s="94" t="s">
        <v>26</v>
      </c>
      <c r="B35" s="963"/>
      <c r="C35" s="963"/>
      <c r="D35" s="964"/>
      <c r="E35" s="963"/>
      <c r="F35" s="963"/>
      <c r="G35" s="963"/>
      <c r="H35" s="963"/>
      <c r="I35" s="963"/>
      <c r="J35" s="963"/>
      <c r="K35" s="963"/>
      <c r="L35" s="963"/>
      <c r="M35" s="963"/>
      <c r="N35" s="963"/>
      <c r="O35" s="963"/>
      <c r="P35" s="963"/>
    </row>
    <row r="36" spans="1:16" ht="12.75" customHeight="1" x14ac:dyDescent="0.25">
      <c r="A36" s="977" t="s">
        <v>23</v>
      </c>
      <c r="B36" s="963" t="s">
        <v>27</v>
      </c>
      <c r="C36" s="963"/>
      <c r="D36" s="964"/>
      <c r="E36" s="963"/>
      <c r="F36" s="963"/>
      <c r="G36" s="963"/>
      <c r="H36" s="963"/>
      <c r="I36" s="963"/>
      <c r="J36" s="963"/>
      <c r="K36" s="963"/>
      <c r="L36" s="963"/>
      <c r="M36" s="963"/>
      <c r="N36" s="963"/>
      <c r="O36" s="963"/>
      <c r="P36" s="963"/>
    </row>
    <row r="37" spans="1:16" ht="12.75" customHeight="1" x14ac:dyDescent="0.25">
      <c r="A37" s="977" t="s">
        <v>23</v>
      </c>
      <c r="B37" s="978" t="s">
        <v>28</v>
      </c>
      <c r="C37" s="963"/>
      <c r="D37" s="964"/>
      <c r="E37" s="963"/>
      <c r="F37" s="963"/>
      <c r="G37" s="963"/>
      <c r="H37" s="963"/>
      <c r="I37" s="963"/>
      <c r="J37" s="963"/>
      <c r="K37" s="963"/>
      <c r="L37" s="963"/>
      <c r="M37" s="963"/>
      <c r="N37" s="963"/>
      <c r="O37" s="963"/>
      <c r="P37" s="963"/>
    </row>
    <row r="38" spans="1:16" ht="12.75" customHeight="1" x14ac:dyDescent="0.25">
      <c r="A38" s="977" t="s">
        <v>23</v>
      </c>
      <c r="B38" s="978" t="s">
        <v>29</v>
      </c>
      <c r="C38" s="963"/>
      <c r="D38" s="964"/>
      <c r="E38" s="963"/>
      <c r="F38" s="963"/>
      <c r="G38" s="963"/>
      <c r="H38" s="963"/>
      <c r="I38" s="963"/>
      <c r="J38" s="963"/>
      <c r="K38" s="963"/>
      <c r="L38" s="963"/>
      <c r="M38" s="963"/>
      <c r="N38" s="963"/>
      <c r="O38" s="963"/>
      <c r="P38" s="963"/>
    </row>
    <row r="39" spans="1:16" ht="12.75" customHeight="1" x14ac:dyDescent="0.25">
      <c r="A39" s="977"/>
      <c r="B39" s="963"/>
      <c r="C39" s="963"/>
      <c r="D39" s="964"/>
      <c r="E39" s="963"/>
      <c r="F39" s="963"/>
      <c r="G39" s="963"/>
      <c r="H39" s="963"/>
      <c r="I39" s="963"/>
      <c r="J39" s="963"/>
      <c r="K39" s="963"/>
      <c r="L39" s="963"/>
      <c r="M39" s="963"/>
      <c r="N39" s="963"/>
      <c r="O39" s="963"/>
      <c r="P39" s="963"/>
    </row>
    <row r="40" spans="1:16" ht="12.75" customHeight="1" x14ac:dyDescent="0.25">
      <c r="A40" s="978" t="s">
        <v>30</v>
      </c>
      <c r="B40" s="963"/>
      <c r="C40" s="963"/>
      <c r="D40" s="964"/>
      <c r="E40" s="963"/>
      <c r="F40" s="963"/>
      <c r="G40" s="963"/>
      <c r="H40" s="963"/>
      <c r="I40" s="963"/>
      <c r="J40" s="963"/>
      <c r="K40" s="963"/>
      <c r="L40" s="963"/>
      <c r="M40" s="963"/>
      <c r="N40" s="963"/>
      <c r="O40" s="963"/>
      <c r="P40" s="963"/>
    </row>
    <row r="41" spans="1:16" ht="12.75" customHeight="1" x14ac:dyDescent="0.25">
      <c r="A41" s="979" t="s">
        <v>23</v>
      </c>
      <c r="B41" s="963" t="s">
        <v>31</v>
      </c>
      <c r="C41" s="963"/>
      <c r="D41" s="964"/>
      <c r="E41" s="963"/>
      <c r="F41" s="963"/>
      <c r="G41" s="963"/>
      <c r="H41" s="963"/>
      <c r="I41" s="963"/>
      <c r="J41" s="963"/>
      <c r="K41" s="963"/>
      <c r="L41" s="963"/>
      <c r="M41" s="963"/>
      <c r="N41" s="963"/>
      <c r="O41" s="963"/>
      <c r="P41" s="963"/>
    </row>
    <row r="42" spans="1:16" ht="12.75" customHeight="1" x14ac:dyDescent="0.25">
      <c r="A42" s="975" t="s">
        <v>23</v>
      </c>
      <c r="B42" s="978" t="s">
        <v>32</v>
      </c>
      <c r="C42" s="963"/>
      <c r="D42" s="964"/>
      <c r="E42" s="963"/>
      <c r="F42" s="963"/>
      <c r="G42" s="963"/>
      <c r="H42" s="963"/>
      <c r="I42" s="963"/>
      <c r="J42" s="963"/>
      <c r="K42" s="963"/>
      <c r="L42" s="963"/>
      <c r="M42" s="963"/>
      <c r="N42" s="963"/>
      <c r="O42" s="963"/>
      <c r="P42" s="963"/>
    </row>
    <row r="43" spans="1:16" ht="12.75" customHeight="1" x14ac:dyDescent="0.25">
      <c r="A43" s="975" t="s">
        <v>23</v>
      </c>
      <c r="B43" s="978" t="s">
        <v>33</v>
      </c>
      <c r="C43" s="963"/>
      <c r="D43" s="964"/>
      <c r="E43" s="963"/>
      <c r="F43" s="963"/>
      <c r="G43" s="963"/>
      <c r="H43" s="963"/>
      <c r="I43" s="963"/>
      <c r="J43" s="963"/>
      <c r="K43" s="963"/>
      <c r="L43" s="963"/>
      <c r="M43" s="963"/>
      <c r="N43" s="963"/>
      <c r="O43" s="963"/>
      <c r="P43" s="963"/>
    </row>
    <row r="44" spans="1:16" ht="12.75" customHeight="1" x14ac:dyDescent="0.25">
      <c r="A44" s="975" t="s">
        <v>23</v>
      </c>
      <c r="B44" s="978" t="s">
        <v>34</v>
      </c>
      <c r="C44" s="963"/>
      <c r="D44" s="964"/>
      <c r="E44" s="963"/>
      <c r="F44" s="963"/>
      <c r="G44" s="963"/>
      <c r="H44" s="963"/>
      <c r="I44" s="963"/>
      <c r="J44" s="963"/>
      <c r="K44" s="963"/>
      <c r="L44" s="963"/>
      <c r="M44" s="963"/>
      <c r="N44" s="963"/>
      <c r="O44" s="963"/>
      <c r="P44" s="963"/>
    </row>
    <row r="45" spans="1:16" ht="12.75" customHeight="1" x14ac:dyDescent="0.25">
      <c r="A45" s="977"/>
      <c r="B45" s="963"/>
      <c r="C45" s="963"/>
      <c r="D45" s="964"/>
      <c r="E45" s="963"/>
      <c r="F45" s="963"/>
      <c r="G45" s="963"/>
      <c r="H45" s="963"/>
      <c r="I45" s="963"/>
      <c r="J45" s="963"/>
      <c r="K45" s="963"/>
      <c r="L45" s="963"/>
      <c r="M45" s="963"/>
      <c r="N45" s="963"/>
      <c r="O45" s="963"/>
      <c r="P45" s="963"/>
    </row>
    <row r="46" spans="1:16" ht="12.75" customHeight="1" x14ac:dyDescent="0.25">
      <c r="A46" s="69" t="s">
        <v>35</v>
      </c>
      <c r="B46" s="963"/>
      <c r="C46" s="963"/>
      <c r="D46" s="964"/>
      <c r="E46" s="963"/>
      <c r="F46" s="963"/>
      <c r="G46" s="963"/>
      <c r="H46" s="963"/>
      <c r="I46" s="963"/>
      <c r="J46" s="963"/>
      <c r="K46" s="963"/>
      <c r="L46" s="963"/>
      <c r="M46" s="963"/>
      <c r="N46" s="963"/>
      <c r="O46" s="963"/>
      <c r="P46" s="963"/>
    </row>
    <row r="47" spans="1:16" ht="12.75" customHeight="1" x14ac:dyDescent="0.25">
      <c r="A47" s="69" t="s">
        <v>36</v>
      </c>
      <c r="B47" s="963"/>
      <c r="C47" s="963"/>
      <c r="D47" s="964"/>
      <c r="E47" s="963"/>
      <c r="F47" s="963"/>
      <c r="G47" s="963"/>
      <c r="H47" s="963"/>
      <c r="I47" s="963"/>
      <c r="J47" s="963"/>
      <c r="K47" s="963"/>
      <c r="L47" s="963"/>
      <c r="M47" s="963"/>
      <c r="N47" s="963"/>
      <c r="O47" s="963"/>
      <c r="P47" s="963"/>
    </row>
    <row r="48" spans="1:16" ht="12.75" customHeight="1" x14ac:dyDescent="0.25">
      <c r="A48" s="977" t="s">
        <v>23</v>
      </c>
      <c r="B48" s="978" t="s">
        <v>37</v>
      </c>
      <c r="C48" s="963"/>
      <c r="D48" s="964"/>
      <c r="E48" s="963"/>
      <c r="F48" s="963"/>
      <c r="G48" s="963"/>
      <c r="H48" s="963"/>
      <c r="I48" s="963"/>
      <c r="J48" s="963"/>
      <c r="K48" s="963"/>
      <c r="L48" s="963"/>
      <c r="M48" s="963"/>
      <c r="N48" s="963"/>
      <c r="O48" s="963"/>
      <c r="P48" s="963"/>
    </row>
    <row r="49" spans="1:16" ht="12.75" customHeight="1" x14ac:dyDescent="0.25">
      <c r="A49" s="977" t="s">
        <v>23</v>
      </c>
      <c r="B49" s="978" t="s">
        <v>38</v>
      </c>
      <c r="C49" s="963"/>
      <c r="D49" s="964"/>
      <c r="E49" s="963"/>
      <c r="F49" s="963"/>
      <c r="G49" s="963"/>
      <c r="H49" s="963"/>
      <c r="I49" s="963"/>
      <c r="J49" s="963"/>
      <c r="K49" s="963"/>
      <c r="L49" s="963"/>
      <c r="M49" s="963"/>
      <c r="N49" s="963"/>
      <c r="O49" s="963"/>
      <c r="P49" s="963"/>
    </row>
    <row r="50" spans="1:16" ht="12.75" customHeight="1" x14ac:dyDescent="0.25">
      <c r="A50" s="977"/>
      <c r="B50" s="978"/>
      <c r="C50" s="963"/>
      <c r="D50" s="964"/>
      <c r="E50" s="963"/>
      <c r="F50" s="963"/>
      <c r="G50" s="963"/>
      <c r="H50" s="963"/>
      <c r="I50" s="963"/>
      <c r="J50" s="963"/>
      <c r="K50" s="963"/>
      <c r="L50" s="963"/>
      <c r="M50" s="963"/>
      <c r="N50" s="963"/>
      <c r="O50" s="963"/>
      <c r="P50" s="963"/>
    </row>
    <row r="51" spans="1:16" ht="12.75" customHeight="1" x14ac:dyDescent="0.25">
      <c r="A51" s="980" t="s">
        <v>39</v>
      </c>
      <c r="B51" s="978"/>
      <c r="C51" s="963"/>
      <c r="D51" s="964"/>
      <c r="E51" s="963"/>
      <c r="F51" s="963"/>
      <c r="G51" s="963"/>
      <c r="H51" s="963"/>
      <c r="I51" s="963"/>
      <c r="J51" s="963"/>
      <c r="K51" s="963"/>
      <c r="L51" s="963"/>
      <c r="M51" s="963"/>
      <c r="N51" s="963"/>
      <c r="O51" s="963"/>
      <c r="P51" s="963"/>
    </row>
    <row r="52" spans="1:16" ht="12.75" customHeight="1" x14ac:dyDescent="0.25">
      <c r="A52" s="975" t="s">
        <v>23</v>
      </c>
      <c r="B52" s="978" t="s">
        <v>40</v>
      </c>
      <c r="C52" s="963"/>
      <c r="D52" s="964"/>
      <c r="E52" s="963"/>
      <c r="F52" s="963"/>
      <c r="G52" s="963"/>
      <c r="H52" s="963"/>
      <c r="I52" s="963"/>
      <c r="J52" s="963"/>
      <c r="K52" s="963"/>
      <c r="L52" s="963"/>
      <c r="M52" s="963"/>
      <c r="N52" s="963"/>
      <c r="O52" s="963"/>
      <c r="P52" s="963"/>
    </row>
    <row r="53" spans="1:16" ht="12.75" customHeight="1" x14ac:dyDescent="0.25">
      <c r="A53" s="974"/>
      <c r="B53" s="963"/>
      <c r="C53" s="963"/>
      <c r="D53" s="964"/>
      <c r="E53" s="963"/>
      <c r="F53" s="963"/>
      <c r="G53" s="963"/>
      <c r="H53" s="963"/>
      <c r="I53" s="963"/>
      <c r="J53" s="963"/>
      <c r="K53" s="963"/>
      <c r="L53" s="963"/>
      <c r="M53" s="963"/>
      <c r="N53" s="963"/>
      <c r="O53" s="963"/>
      <c r="P53" s="963"/>
    </row>
    <row r="54" spans="1:16" s="41" customFormat="1" ht="15.75" customHeight="1" x14ac:dyDescent="0.25">
      <c r="A54" s="39" t="s">
        <v>41</v>
      </c>
      <c r="B54" s="42"/>
      <c r="C54" s="42"/>
      <c r="D54" s="36"/>
      <c r="E54" s="36"/>
      <c r="F54" s="42"/>
      <c r="G54" s="42"/>
      <c r="H54" s="42"/>
      <c r="I54" s="42"/>
      <c r="J54" s="42"/>
      <c r="K54" s="42"/>
      <c r="L54" s="42"/>
      <c r="M54" s="42"/>
      <c r="N54" s="42"/>
      <c r="O54" s="42"/>
      <c r="P54" s="42"/>
    </row>
    <row r="55" spans="1:16" s="41" customFormat="1" ht="12.75" customHeight="1" x14ac:dyDescent="0.25">
      <c r="A55" s="963" t="s">
        <v>42</v>
      </c>
      <c r="B55" s="963"/>
      <c r="C55" s="963"/>
      <c r="D55" s="963"/>
      <c r="E55" s="963"/>
      <c r="F55" s="963"/>
      <c r="G55" s="963"/>
      <c r="H55" s="963"/>
      <c r="I55" s="963"/>
      <c r="J55" s="963"/>
      <c r="K55" s="963"/>
      <c r="L55" s="963"/>
      <c r="M55" s="963"/>
      <c r="N55" s="963"/>
      <c r="O55" s="963"/>
      <c r="P55" s="963"/>
    </row>
    <row r="56" spans="1:16" s="41" customFormat="1" ht="12.75" customHeight="1" x14ac:dyDescent="0.25">
      <c r="A56" s="975" t="s">
        <v>23</v>
      </c>
      <c r="B56" s="978" t="s">
        <v>43</v>
      </c>
      <c r="C56" s="978"/>
      <c r="D56" s="978"/>
      <c r="E56" s="978"/>
      <c r="F56" s="978"/>
      <c r="G56" s="978"/>
      <c r="H56" s="978"/>
      <c r="I56" s="978"/>
      <c r="J56" s="978"/>
      <c r="K56" s="978"/>
      <c r="L56" s="978"/>
      <c r="M56" s="978"/>
      <c r="N56" s="978"/>
      <c r="O56" s="978"/>
      <c r="P56" s="978"/>
    </row>
    <row r="57" spans="1:16" s="41" customFormat="1" ht="12.75" customHeight="1" x14ac:dyDescent="0.25">
      <c r="A57" s="975" t="s">
        <v>23</v>
      </c>
      <c r="B57" s="978" t="s">
        <v>44</v>
      </c>
      <c r="C57" s="978"/>
      <c r="D57" s="978"/>
      <c r="E57" s="978"/>
      <c r="F57" s="978"/>
      <c r="G57" s="978"/>
      <c r="H57" s="978"/>
      <c r="I57" s="978"/>
      <c r="J57" s="978"/>
      <c r="K57" s="978"/>
      <c r="L57" s="978"/>
      <c r="M57" s="978"/>
      <c r="N57" s="978"/>
      <c r="O57" s="978"/>
      <c r="P57" s="978"/>
    </row>
    <row r="58" spans="1:16" s="41" customFormat="1" ht="12.75" customHeight="1" x14ac:dyDescent="0.25">
      <c r="A58" s="975" t="s">
        <v>23</v>
      </c>
      <c r="B58" s="978" t="s">
        <v>45</v>
      </c>
      <c r="C58" s="978"/>
      <c r="D58" s="978"/>
      <c r="E58" s="978"/>
      <c r="F58" s="978"/>
      <c r="G58" s="978"/>
      <c r="H58" s="978"/>
      <c r="I58" s="978"/>
      <c r="J58" s="978"/>
      <c r="K58" s="978"/>
      <c r="L58" s="978"/>
      <c r="M58" s="978"/>
      <c r="N58" s="978"/>
      <c r="O58" s="978"/>
      <c r="P58" s="978"/>
    </row>
    <row r="59" spans="1:16" s="41" customFormat="1" ht="12.75" customHeight="1" x14ac:dyDescent="0.25">
      <c r="B59" s="978"/>
      <c r="C59" s="978"/>
      <c r="D59" s="978"/>
      <c r="E59" s="978"/>
      <c r="F59" s="978"/>
      <c r="G59" s="978"/>
      <c r="H59" s="978"/>
      <c r="I59" s="978"/>
      <c r="J59" s="978"/>
      <c r="K59" s="978"/>
      <c r="L59" s="978"/>
      <c r="M59" s="978"/>
      <c r="N59" s="978"/>
      <c r="O59" s="978"/>
      <c r="P59" s="978"/>
    </row>
    <row r="60" spans="1:16" s="41" customFormat="1" ht="12.75" customHeight="1" x14ac:dyDescent="0.25">
      <c r="A60" s="978" t="s">
        <v>46</v>
      </c>
      <c r="B60" s="978"/>
      <c r="C60" s="978"/>
      <c r="D60" s="978"/>
      <c r="E60" s="978"/>
      <c r="F60" s="978"/>
      <c r="G60" s="978"/>
      <c r="H60" s="978"/>
      <c r="I60" s="978"/>
      <c r="J60" s="978"/>
      <c r="K60" s="978"/>
      <c r="L60" s="978"/>
      <c r="M60" s="978"/>
      <c r="N60" s="978"/>
      <c r="O60" s="978"/>
      <c r="P60" s="978"/>
    </row>
    <row r="61" spans="1:16" s="41" customFormat="1" ht="12.75" customHeight="1" x14ac:dyDescent="0.25">
      <c r="A61" s="963"/>
      <c r="B61" s="963"/>
      <c r="C61" s="963"/>
      <c r="D61" s="963"/>
      <c r="E61" s="963"/>
      <c r="F61" s="963"/>
      <c r="G61" s="963"/>
      <c r="H61" s="963"/>
      <c r="I61" s="963"/>
      <c r="J61" s="963"/>
      <c r="K61" s="963"/>
      <c r="L61" s="963"/>
      <c r="M61" s="963"/>
      <c r="N61" s="963"/>
      <c r="O61" s="963"/>
      <c r="P61" s="963"/>
    </row>
    <row r="62" spans="1:16" ht="12.75" customHeight="1" x14ac:dyDescent="0.25">
      <c r="A62" s="497" t="s">
        <v>47</v>
      </c>
      <c r="B62" s="963"/>
      <c r="C62" s="963"/>
      <c r="D62" s="963"/>
      <c r="E62" s="963"/>
      <c r="F62" s="963"/>
      <c r="G62" s="963"/>
      <c r="H62" s="963"/>
      <c r="I62" s="963"/>
      <c r="J62" s="963"/>
      <c r="K62" s="963"/>
      <c r="L62" s="963"/>
      <c r="M62" s="963"/>
      <c r="N62" s="963"/>
      <c r="O62" s="963"/>
      <c r="P62" s="963"/>
    </row>
    <row r="63" spans="1:16" ht="12.75" customHeight="1" x14ac:dyDescent="0.25">
      <c r="A63" s="975" t="s">
        <v>23</v>
      </c>
      <c r="B63" s="974" t="s">
        <v>48</v>
      </c>
      <c r="C63" s="963"/>
      <c r="D63" s="963"/>
      <c r="E63" s="963"/>
      <c r="F63" s="963"/>
      <c r="G63" s="963"/>
      <c r="H63" s="963"/>
      <c r="I63" s="963"/>
      <c r="J63" s="963"/>
      <c r="K63" s="963"/>
      <c r="L63" s="963"/>
      <c r="M63" s="963"/>
      <c r="N63" s="963"/>
      <c r="O63" s="963"/>
      <c r="P63" s="963"/>
    </row>
    <row r="64" spans="1:16" ht="12.75" customHeight="1" x14ac:dyDescent="0.25">
      <c r="A64" s="975" t="s">
        <v>23</v>
      </c>
      <c r="B64" s="94" t="s">
        <v>49</v>
      </c>
      <c r="C64" s="963"/>
      <c r="D64" s="963"/>
      <c r="E64" s="963"/>
      <c r="F64" s="963"/>
      <c r="G64" s="963"/>
      <c r="H64" s="963"/>
      <c r="I64" s="963"/>
      <c r="J64" s="963"/>
      <c r="K64" s="963"/>
      <c r="L64" s="963"/>
      <c r="M64" s="963"/>
      <c r="N64" s="963"/>
      <c r="O64" s="963"/>
      <c r="P64" s="963"/>
    </row>
    <row r="65" spans="1:18" ht="12.75" customHeight="1" x14ac:dyDescent="0.25">
      <c r="A65" s="975" t="s">
        <v>23</v>
      </c>
      <c r="B65" s="94" t="s">
        <v>50</v>
      </c>
      <c r="C65" s="963"/>
      <c r="D65" s="963"/>
      <c r="E65" s="963"/>
      <c r="F65" s="963"/>
      <c r="G65" s="963"/>
      <c r="H65" s="963"/>
      <c r="I65" s="963"/>
      <c r="J65" s="963"/>
      <c r="K65" s="963"/>
      <c r="L65" s="963"/>
      <c r="M65" s="963"/>
      <c r="N65" s="963"/>
      <c r="O65" s="963"/>
      <c r="P65" s="963"/>
    </row>
    <row r="66" spans="1:18" ht="12.75" customHeight="1" x14ac:dyDescent="0.25">
      <c r="A66" s="94"/>
      <c r="B66" s="963"/>
      <c r="C66" s="963"/>
      <c r="D66" s="963"/>
      <c r="E66" s="963"/>
      <c r="F66" s="963"/>
      <c r="G66" s="963"/>
      <c r="H66" s="963"/>
      <c r="I66" s="963"/>
      <c r="J66" s="963"/>
      <c r="K66" s="963"/>
      <c r="L66" s="963"/>
      <c r="M66" s="963"/>
      <c r="N66" s="963"/>
      <c r="O66" s="963"/>
      <c r="P66" s="963"/>
    </row>
    <row r="67" spans="1:18" ht="12.75" customHeight="1" x14ac:dyDescent="0.25">
      <c r="A67" s="93" t="s">
        <v>51</v>
      </c>
      <c r="B67" s="963"/>
      <c r="C67" s="963"/>
      <c r="D67" s="963"/>
      <c r="E67" s="963"/>
      <c r="F67" s="963"/>
      <c r="G67" s="963"/>
      <c r="H67" s="963"/>
      <c r="I67" s="963"/>
      <c r="J67" s="963"/>
      <c r="K67" s="963"/>
      <c r="L67" s="963"/>
      <c r="M67" s="963"/>
      <c r="N67" s="963"/>
      <c r="O67" s="963"/>
      <c r="P67" s="963"/>
    </row>
    <row r="68" spans="1:18" ht="12.75" customHeight="1" x14ac:dyDescent="0.25">
      <c r="A68" s="975" t="s">
        <v>23</v>
      </c>
      <c r="B68" s="94" t="s">
        <v>52</v>
      </c>
      <c r="C68" s="963"/>
      <c r="D68" s="963"/>
      <c r="E68" s="963"/>
      <c r="F68" s="963"/>
      <c r="G68" s="963"/>
      <c r="H68" s="963"/>
      <c r="I68" s="963"/>
      <c r="J68" s="963"/>
      <c r="K68" s="963"/>
      <c r="L68" s="963"/>
      <c r="M68" s="963"/>
      <c r="N68" s="963"/>
      <c r="O68" s="963"/>
      <c r="P68" s="963"/>
    </row>
    <row r="69" spans="1:18" ht="12.75" customHeight="1" x14ac:dyDescent="0.25">
      <c r="A69" s="975" t="s">
        <v>23</v>
      </c>
      <c r="B69" s="69" t="s">
        <v>53</v>
      </c>
      <c r="C69" s="963"/>
      <c r="D69" s="963"/>
      <c r="E69" s="963"/>
      <c r="F69" s="963"/>
      <c r="G69" s="963"/>
      <c r="H69" s="963"/>
      <c r="I69" s="963"/>
      <c r="J69" s="963"/>
      <c r="K69" s="963"/>
      <c r="L69" s="963"/>
      <c r="M69" s="963"/>
      <c r="N69" s="963"/>
      <c r="O69" s="963"/>
      <c r="P69" s="963"/>
    </row>
    <row r="70" spans="1:18" ht="12.75" customHeight="1" x14ac:dyDescent="0.25">
      <c r="A70" s="69"/>
      <c r="B70" s="963"/>
      <c r="C70" s="963"/>
      <c r="D70" s="963"/>
      <c r="E70" s="963"/>
      <c r="F70" s="963"/>
      <c r="G70" s="963"/>
      <c r="H70" s="963"/>
      <c r="I70" s="963"/>
      <c r="J70" s="963"/>
      <c r="K70" s="963"/>
      <c r="L70" s="963"/>
      <c r="M70" s="963"/>
      <c r="N70" s="963"/>
      <c r="O70" s="963"/>
      <c r="P70" s="963"/>
    </row>
    <row r="71" spans="1:18" ht="12.75" customHeight="1" x14ac:dyDescent="0.25">
      <c r="A71" s="93" t="s">
        <v>54</v>
      </c>
      <c r="B71" s="963"/>
      <c r="C71" s="963"/>
      <c r="D71" s="963"/>
      <c r="E71" s="963"/>
      <c r="F71" s="963"/>
      <c r="G71" s="963"/>
      <c r="H71" s="963"/>
      <c r="I71" s="963"/>
      <c r="J71" s="963"/>
      <c r="K71" s="963"/>
      <c r="L71" s="963"/>
      <c r="M71" s="963"/>
      <c r="N71" s="963"/>
      <c r="O71" s="963"/>
      <c r="P71" s="963"/>
    </row>
    <row r="72" spans="1:18" ht="12.75" customHeight="1" x14ac:dyDescent="0.25">
      <c r="A72" s="975" t="s">
        <v>23</v>
      </c>
      <c r="B72" s="94" t="s">
        <v>55</v>
      </c>
      <c r="C72" s="963"/>
      <c r="D72" s="963"/>
      <c r="E72" s="963"/>
      <c r="F72" s="963"/>
      <c r="G72" s="963"/>
      <c r="H72" s="963"/>
      <c r="I72" s="963"/>
      <c r="J72" s="963"/>
      <c r="K72" s="963"/>
      <c r="L72" s="963"/>
      <c r="M72" s="963"/>
      <c r="N72" s="963"/>
      <c r="O72" s="963"/>
      <c r="P72" s="963"/>
    </row>
    <row r="73" spans="1:18" ht="12.75" customHeight="1" x14ac:dyDescent="0.25">
      <c r="A73" s="975" t="s">
        <v>23</v>
      </c>
      <c r="B73" s="94" t="s">
        <v>56</v>
      </c>
      <c r="C73" s="963"/>
      <c r="D73" s="963"/>
      <c r="E73" s="963"/>
      <c r="F73" s="963"/>
      <c r="G73" s="963"/>
      <c r="H73" s="963"/>
      <c r="I73" s="963"/>
      <c r="J73" s="963"/>
      <c r="K73" s="963"/>
      <c r="L73" s="963"/>
      <c r="M73" s="963"/>
      <c r="N73" s="963"/>
      <c r="O73" s="963"/>
      <c r="P73" s="963"/>
    </row>
    <row r="74" spans="1:18" ht="12.75" customHeight="1" x14ac:dyDescent="0.25">
      <c r="A74" s="975" t="s">
        <v>23</v>
      </c>
      <c r="B74" s="94" t="s">
        <v>57</v>
      </c>
      <c r="C74" s="963"/>
      <c r="D74" s="963"/>
      <c r="E74" s="963"/>
      <c r="F74" s="963"/>
      <c r="G74" s="963"/>
      <c r="H74" s="963"/>
      <c r="I74" s="963"/>
      <c r="J74" s="963"/>
      <c r="K74" s="963"/>
      <c r="L74" s="963"/>
      <c r="M74" s="963"/>
      <c r="N74" s="963"/>
      <c r="O74" s="963"/>
      <c r="P74" s="963"/>
    </row>
    <row r="75" spans="1:18" ht="12.75" customHeight="1" x14ac:dyDescent="0.25">
      <c r="A75" s="975" t="s">
        <v>23</v>
      </c>
      <c r="B75" s="69" t="s">
        <v>58</v>
      </c>
      <c r="C75" s="963"/>
      <c r="D75" s="963"/>
      <c r="E75" s="963"/>
      <c r="F75" s="963"/>
      <c r="G75" s="963"/>
      <c r="H75" s="963"/>
      <c r="I75" s="963"/>
      <c r="J75" s="963"/>
      <c r="K75" s="963"/>
      <c r="L75" s="963"/>
      <c r="M75" s="963"/>
      <c r="N75" s="963"/>
      <c r="O75" s="963"/>
      <c r="P75" s="963"/>
    </row>
    <row r="76" spans="1:18" ht="12.75" customHeight="1" x14ac:dyDescent="0.25">
      <c r="A76" s="94"/>
      <c r="B76" s="963"/>
      <c r="C76" s="963"/>
      <c r="D76" s="963"/>
      <c r="E76" s="963"/>
      <c r="F76" s="963"/>
      <c r="G76" s="963"/>
      <c r="H76" s="963"/>
      <c r="I76" s="963"/>
      <c r="J76" s="963"/>
      <c r="K76" s="963"/>
      <c r="L76" s="963"/>
      <c r="M76" s="963"/>
      <c r="N76" s="963"/>
      <c r="O76" s="963"/>
      <c r="P76" s="963"/>
    </row>
    <row r="77" spans="1:18" ht="12.75" customHeight="1" x14ac:dyDescent="0.25">
      <c r="A77" s="905" t="s">
        <v>59</v>
      </c>
      <c r="B77" s="981"/>
      <c r="C77" s="982"/>
      <c r="D77" s="982"/>
      <c r="E77" s="982"/>
      <c r="F77" s="982"/>
    </row>
    <row r="78" spans="1:18" ht="12.75" customHeight="1" x14ac:dyDescent="0.25">
      <c r="A78" s="1011" t="s">
        <v>60</v>
      </c>
      <c r="B78" s="1012"/>
      <c r="C78" s="1012"/>
      <c r="D78" s="1012"/>
      <c r="E78" s="1012"/>
      <c r="F78" s="1012"/>
      <c r="G78" s="1012"/>
      <c r="H78" s="1012"/>
      <c r="I78" s="1012"/>
      <c r="J78" s="1012"/>
      <c r="K78" s="1012"/>
      <c r="L78" s="1012"/>
      <c r="M78" s="1012"/>
      <c r="N78" s="1012"/>
      <c r="O78" s="1012"/>
      <c r="P78" s="1012"/>
      <c r="Q78" s="1012"/>
      <c r="R78" s="1012"/>
    </row>
    <row r="79" spans="1:18" ht="12.75" customHeight="1" x14ac:dyDescent="0.25">
      <c r="A79" s="1011" t="s">
        <v>61</v>
      </c>
      <c r="B79" s="1013"/>
      <c r="C79" s="1012"/>
      <c r="D79" s="1012"/>
      <c r="E79" s="1012"/>
      <c r="F79" s="1012"/>
      <c r="G79" s="1012"/>
      <c r="H79" s="1012"/>
      <c r="I79" s="1012"/>
      <c r="J79" s="1012"/>
      <c r="K79" s="1012"/>
      <c r="L79" s="1012"/>
      <c r="M79" s="1012"/>
      <c r="N79" s="1012"/>
      <c r="O79" s="1012"/>
      <c r="P79" s="1012"/>
      <c r="Q79" s="1012"/>
      <c r="R79" s="1012"/>
    </row>
    <row r="80" spans="1:18" ht="12.75" customHeight="1" x14ac:dyDescent="0.25">
      <c r="A80" s="1011" t="s">
        <v>62</v>
      </c>
      <c r="B80" s="1013"/>
      <c r="C80" s="1012"/>
      <c r="D80" s="1012"/>
      <c r="E80" s="1012"/>
      <c r="F80" s="1012"/>
      <c r="G80" s="1012"/>
      <c r="H80" s="1012"/>
      <c r="I80" s="1012"/>
      <c r="J80" s="1012"/>
      <c r="K80" s="1012"/>
      <c r="L80" s="1012"/>
      <c r="M80" s="1012"/>
      <c r="N80" s="1012"/>
      <c r="O80" s="1012"/>
      <c r="P80" s="1012"/>
      <c r="Q80" s="1012"/>
      <c r="R80" s="1012"/>
    </row>
    <row r="81" spans="1:18" ht="12.75" customHeight="1" x14ac:dyDescent="0.25">
      <c r="A81" s="1011" t="s">
        <v>63</v>
      </c>
      <c r="B81" s="1013"/>
      <c r="C81" s="1012"/>
      <c r="D81" s="1012"/>
      <c r="E81" s="1012"/>
      <c r="F81" s="1012"/>
      <c r="G81" s="1012"/>
      <c r="H81" s="1012"/>
      <c r="I81" s="1012"/>
      <c r="J81" s="1012"/>
      <c r="K81" s="1012"/>
      <c r="L81" s="1012"/>
      <c r="M81" s="1012"/>
      <c r="N81" s="1012"/>
      <c r="O81" s="1012"/>
      <c r="P81" s="1012"/>
      <c r="Q81" s="1012"/>
      <c r="R81" s="1012"/>
    </row>
    <row r="82" spans="1:18" ht="12.75" customHeight="1" x14ac:dyDescent="0.25">
      <c r="A82" s="1011" t="s">
        <v>64</v>
      </c>
      <c r="B82" s="1013"/>
      <c r="C82" s="1012"/>
      <c r="D82" s="1012"/>
      <c r="E82" s="1012"/>
      <c r="F82" s="1012"/>
      <c r="G82" s="1012"/>
      <c r="H82" s="1012"/>
      <c r="I82" s="1012"/>
      <c r="J82" s="1012"/>
      <c r="K82" s="1012"/>
      <c r="L82" s="1012"/>
      <c r="M82" s="1012"/>
      <c r="N82" s="1012"/>
      <c r="O82" s="1012"/>
      <c r="P82" s="1012"/>
      <c r="Q82" s="1012"/>
      <c r="R82" s="1012"/>
    </row>
    <row r="83" spans="1:18" ht="12.75" customHeight="1" x14ac:dyDescent="0.25">
      <c r="A83" s="1011" t="s">
        <v>65</v>
      </c>
      <c r="B83" s="1012"/>
      <c r="C83" s="1012"/>
      <c r="D83" s="1012"/>
      <c r="E83" s="1012"/>
      <c r="F83" s="1012"/>
      <c r="G83" s="1012"/>
      <c r="H83" s="1012"/>
      <c r="I83" s="1012"/>
      <c r="J83" s="1012"/>
      <c r="K83" s="1012"/>
      <c r="L83" s="1012"/>
      <c r="M83" s="1012"/>
      <c r="N83" s="1012"/>
      <c r="O83" s="1012"/>
      <c r="P83" s="1012"/>
      <c r="Q83" s="1012"/>
      <c r="R83" s="1012"/>
    </row>
    <row r="84" spans="1:18" ht="12.75" customHeight="1" x14ac:dyDescent="0.25">
      <c r="A84" s="1011" t="s">
        <v>66</v>
      </c>
      <c r="B84" s="1012"/>
      <c r="C84" s="1012"/>
      <c r="D84" s="1012"/>
      <c r="E84" s="1012"/>
      <c r="F84" s="1012"/>
      <c r="G84" s="1012"/>
      <c r="H84" s="1012"/>
      <c r="I84" s="1012"/>
      <c r="J84" s="1012"/>
      <c r="K84" s="1012"/>
      <c r="L84" s="1012"/>
      <c r="M84" s="1012"/>
      <c r="N84" s="1012"/>
      <c r="O84" s="1012"/>
      <c r="P84" s="1012"/>
      <c r="Q84" s="1012"/>
      <c r="R84" s="1012"/>
    </row>
    <row r="85" spans="1:18" ht="12.75" customHeight="1" x14ac:dyDescent="0.25">
      <c r="A85" s="1011" t="s">
        <v>67</v>
      </c>
      <c r="B85" s="1011"/>
      <c r="C85" s="1011"/>
      <c r="D85" s="1011"/>
      <c r="E85" s="1011"/>
      <c r="F85" s="1011"/>
      <c r="G85" s="1011"/>
      <c r="H85" s="1011"/>
      <c r="I85" s="1011"/>
      <c r="J85" s="1011"/>
      <c r="K85" s="1011"/>
      <c r="L85" s="1011"/>
      <c r="M85" s="1011"/>
      <c r="N85" s="1011"/>
      <c r="O85" s="1011"/>
      <c r="P85" s="1011"/>
      <c r="Q85" s="1011"/>
      <c r="R85" s="1011"/>
    </row>
    <row r="86" spans="1:18" ht="12.75" customHeight="1" x14ac:dyDescent="0.25">
      <c r="A86" s="1011" t="s">
        <v>68</v>
      </c>
      <c r="B86" s="1011"/>
      <c r="C86" s="1011"/>
      <c r="D86" s="1011"/>
      <c r="E86" s="1011"/>
      <c r="F86" s="1011"/>
      <c r="G86" s="1011"/>
      <c r="H86" s="1011"/>
      <c r="I86" s="1011"/>
      <c r="J86" s="1011"/>
      <c r="K86" s="1011"/>
      <c r="L86" s="1011"/>
      <c r="M86" s="1011"/>
      <c r="N86" s="1011"/>
      <c r="O86" s="1011"/>
      <c r="P86" s="1011"/>
      <c r="Q86" s="1011"/>
      <c r="R86" s="1011"/>
    </row>
    <row r="87" spans="1:18" ht="12.75" customHeight="1" x14ac:dyDescent="0.25">
      <c r="A87" s="1011" t="s">
        <v>69</v>
      </c>
      <c r="B87" s="1011"/>
      <c r="C87" s="1011"/>
      <c r="D87" s="1011"/>
      <c r="E87" s="1011"/>
      <c r="F87" s="1011"/>
      <c r="G87" s="1011"/>
      <c r="H87" s="1011"/>
      <c r="I87" s="1011"/>
      <c r="J87" s="1011"/>
      <c r="K87" s="1011"/>
      <c r="L87" s="1011"/>
      <c r="M87" s="1011"/>
      <c r="N87" s="1011"/>
      <c r="O87" s="1011"/>
      <c r="P87" s="1011"/>
      <c r="Q87" s="1011"/>
      <c r="R87" s="1011"/>
    </row>
    <row r="88" spans="1:18" ht="12.75" customHeight="1" x14ac:dyDescent="0.25">
      <c r="A88" s="1011" t="s">
        <v>70</v>
      </c>
      <c r="B88" s="1011"/>
      <c r="C88" s="1011"/>
      <c r="D88" s="1011"/>
      <c r="E88" s="1011"/>
      <c r="F88" s="1011"/>
      <c r="G88" s="1011"/>
      <c r="H88" s="1011"/>
      <c r="I88" s="1011"/>
      <c r="J88" s="1011"/>
      <c r="K88" s="1011"/>
      <c r="L88" s="1011"/>
      <c r="M88" s="1011"/>
      <c r="N88" s="1011"/>
      <c r="O88" s="1011"/>
      <c r="P88" s="1011"/>
      <c r="Q88" s="1011"/>
      <c r="R88" s="1011"/>
    </row>
    <row r="89" spans="1:18" ht="12.75" customHeight="1" x14ac:dyDescent="0.25">
      <c r="A89" s="1011" t="s">
        <v>71</v>
      </c>
      <c r="B89" s="1011"/>
      <c r="C89" s="1011"/>
      <c r="D89" s="1011"/>
      <c r="E89" s="1011"/>
      <c r="F89" s="1011"/>
      <c r="G89" s="1011"/>
      <c r="H89" s="1011"/>
      <c r="I89" s="1011"/>
      <c r="J89" s="1011"/>
      <c r="K89" s="1011"/>
      <c r="L89" s="1011"/>
      <c r="M89" s="1011"/>
      <c r="N89" s="1011"/>
      <c r="O89" s="1011"/>
      <c r="P89" s="1011"/>
      <c r="Q89" s="1011"/>
      <c r="R89" s="1011"/>
    </row>
    <row r="90" spans="1:18" ht="12.75" customHeight="1" x14ac:dyDescent="0.25">
      <c r="A90" s="1011" t="s">
        <v>72</v>
      </c>
      <c r="B90" s="1011"/>
      <c r="C90" s="1011"/>
      <c r="D90" s="1011"/>
      <c r="E90" s="1011"/>
      <c r="F90" s="1011"/>
      <c r="G90" s="1011"/>
      <c r="H90" s="1011"/>
      <c r="I90" s="1011"/>
      <c r="J90" s="1011"/>
      <c r="K90" s="1011"/>
      <c r="L90" s="1011"/>
      <c r="M90" s="1011"/>
      <c r="N90" s="1011"/>
      <c r="O90" s="1011"/>
      <c r="P90" s="1011"/>
      <c r="Q90" s="1011"/>
      <c r="R90" s="1011"/>
    </row>
    <row r="91" spans="1:18" ht="12.75" customHeight="1" x14ac:dyDescent="0.25">
      <c r="A91" s="1011" t="s">
        <v>73</v>
      </c>
      <c r="B91" s="1011"/>
      <c r="C91" s="1011"/>
      <c r="D91" s="1011"/>
      <c r="E91" s="1011"/>
      <c r="F91" s="1011"/>
      <c r="G91" s="1011"/>
      <c r="H91" s="1011"/>
      <c r="I91" s="1011"/>
      <c r="J91" s="1011"/>
      <c r="K91" s="1011"/>
      <c r="L91" s="1011"/>
      <c r="M91" s="1011"/>
      <c r="N91" s="1011"/>
      <c r="O91" s="1011"/>
      <c r="P91" s="1011"/>
      <c r="Q91" s="1011"/>
      <c r="R91" s="1011"/>
    </row>
    <row r="92" spans="1:18" ht="12.75" customHeight="1" x14ac:dyDescent="0.25">
      <c r="A92" s="1011" t="s">
        <v>74</v>
      </c>
      <c r="B92" s="1011"/>
      <c r="C92" s="1011"/>
      <c r="D92" s="1011"/>
      <c r="E92" s="1011"/>
      <c r="F92" s="1011"/>
      <c r="G92" s="1011"/>
      <c r="H92" s="1011"/>
      <c r="I92" s="1011"/>
      <c r="J92" s="1011"/>
      <c r="K92" s="1011"/>
      <c r="L92" s="1011"/>
      <c r="M92" s="1011"/>
      <c r="N92" s="1011"/>
      <c r="O92" s="1011"/>
      <c r="P92" s="1011"/>
      <c r="Q92" s="1011"/>
      <c r="R92" s="1011"/>
    </row>
    <row r="93" spans="1:18" ht="12.75" customHeight="1" x14ac:dyDescent="0.25">
      <c r="A93" s="1011" t="s">
        <v>75</v>
      </c>
      <c r="B93" s="1011"/>
      <c r="C93" s="1011"/>
      <c r="D93" s="1011"/>
      <c r="E93" s="1011"/>
      <c r="F93" s="1011"/>
      <c r="G93" s="1011"/>
      <c r="H93" s="1011"/>
      <c r="I93" s="1011"/>
      <c r="J93" s="1011"/>
      <c r="K93" s="1011"/>
      <c r="L93" s="1011"/>
      <c r="M93" s="1011"/>
      <c r="N93" s="1011"/>
      <c r="O93" s="1011"/>
      <c r="P93" s="1011"/>
      <c r="Q93" s="1011"/>
      <c r="R93" s="1011"/>
    </row>
    <row r="94" spans="1:18" ht="12.75" customHeight="1" x14ac:dyDescent="0.25">
      <c r="A94" s="1011" t="s">
        <v>76</v>
      </c>
      <c r="B94" s="1011"/>
      <c r="C94" s="1011"/>
      <c r="D94" s="1011"/>
      <c r="E94" s="1011"/>
      <c r="F94" s="1011"/>
      <c r="G94" s="1011"/>
      <c r="H94" s="1011"/>
      <c r="I94" s="1011"/>
      <c r="J94" s="1011"/>
      <c r="K94" s="1011"/>
      <c r="L94" s="1011"/>
      <c r="M94" s="1011"/>
      <c r="N94" s="1011"/>
      <c r="O94" s="1011"/>
      <c r="P94" s="1011"/>
      <c r="Q94" s="1011"/>
      <c r="R94" s="1011"/>
    </row>
    <row r="95" spans="1:18" ht="12.75" customHeight="1" thickBot="1" x14ac:dyDescent="0.3">
      <c r="A95" s="125"/>
      <c r="B95" s="983"/>
      <c r="C95" s="963"/>
      <c r="D95" s="963"/>
      <c r="E95" s="963"/>
      <c r="F95" s="963"/>
    </row>
    <row r="96" spans="1:18" ht="12.75" customHeight="1" x14ac:dyDescent="0.25">
      <c r="A96" s="984" t="s">
        <v>77</v>
      </c>
      <c r="B96" s="985"/>
      <c r="C96" s="985"/>
      <c r="D96" s="985"/>
      <c r="E96" s="985"/>
      <c r="F96" s="985"/>
      <c r="G96" s="985"/>
      <c r="H96" s="985"/>
      <c r="I96" s="985"/>
      <c r="J96" s="985"/>
      <c r="K96" s="985"/>
      <c r="L96" s="985"/>
      <c r="M96" s="985"/>
      <c r="N96" s="985"/>
      <c r="O96" s="985"/>
      <c r="P96" s="986"/>
    </row>
    <row r="97" spans="1:16" ht="12.75" customHeight="1" x14ac:dyDescent="0.25">
      <c r="A97" s="987" t="s">
        <v>78</v>
      </c>
      <c r="B97" s="988"/>
      <c r="C97" s="988"/>
      <c r="D97" s="988"/>
      <c r="E97" s="988"/>
      <c r="F97" s="988"/>
      <c r="G97" s="988"/>
      <c r="H97" s="988"/>
      <c r="I97" s="988"/>
      <c r="J97" s="988"/>
      <c r="K97" s="988"/>
      <c r="L97" s="988"/>
      <c r="M97" s="988"/>
      <c r="N97" s="988"/>
      <c r="O97" s="988"/>
      <c r="P97" s="989"/>
    </row>
    <row r="98" spans="1:16" ht="12.75" customHeight="1" thickBot="1" x14ac:dyDescent="0.3">
      <c r="A98" s="990" t="s">
        <v>79</v>
      </c>
      <c r="B98" s="991"/>
      <c r="C98" s="991"/>
      <c r="D98" s="991"/>
      <c r="E98" s="991"/>
      <c r="F98" s="991"/>
      <c r="G98" s="991"/>
      <c r="H98" s="991"/>
      <c r="I98" s="991"/>
      <c r="J98" s="991"/>
      <c r="K98" s="991"/>
      <c r="L98" s="991"/>
      <c r="M98" s="991"/>
      <c r="N98" s="991"/>
      <c r="O98" s="991"/>
      <c r="P98" s="992"/>
    </row>
    <row r="99" spans="1:16" ht="12.75" customHeight="1" thickBot="1" x14ac:dyDescent="0.3">
      <c r="A99" s="94"/>
      <c r="B99" s="963"/>
      <c r="C99" s="963"/>
      <c r="D99" s="963"/>
      <c r="E99" s="963"/>
      <c r="F99" s="963"/>
      <c r="G99" s="963"/>
      <c r="H99" s="963"/>
      <c r="I99" s="963"/>
      <c r="J99" s="963"/>
    </row>
    <row r="100" spans="1:16" s="41" customFormat="1" ht="15.75" customHeight="1" thickBot="1" x14ac:dyDescent="0.3">
      <c r="A100" s="38" t="s">
        <v>80</v>
      </c>
      <c r="B100" s="993"/>
      <c r="C100" s="994"/>
      <c r="D100" s="994"/>
      <c r="E100" s="994"/>
      <c r="F100" s="994"/>
      <c r="G100" s="994"/>
      <c r="H100" s="994"/>
      <c r="I100" s="994"/>
      <c r="J100" s="994"/>
      <c r="K100" s="995"/>
      <c r="L100" s="995"/>
      <c r="M100" s="995"/>
      <c r="N100" s="995"/>
      <c r="O100" s="995"/>
      <c r="P100" s="996"/>
    </row>
    <row r="101" spans="1:16" ht="12.75" customHeight="1" x14ac:dyDescent="0.25">
      <c r="A101" s="997" t="s">
        <v>81</v>
      </c>
      <c r="B101" s="198"/>
      <c r="C101" s="198"/>
      <c r="D101" s="198"/>
      <c r="E101" s="198"/>
      <c r="F101" s="198"/>
      <c r="G101" s="198"/>
      <c r="H101" s="198"/>
      <c r="I101" s="198"/>
      <c r="J101" s="198"/>
      <c r="K101" s="198"/>
      <c r="L101" s="198"/>
      <c r="M101" s="198"/>
      <c r="N101" s="198"/>
      <c r="P101" s="868"/>
    </row>
    <row r="102" spans="1:16" ht="12.75" customHeight="1" x14ac:dyDescent="0.25">
      <c r="A102" s="997" t="s">
        <v>82</v>
      </c>
      <c r="B102" s="198"/>
      <c r="C102" s="198"/>
      <c r="D102" s="198"/>
      <c r="E102" s="198"/>
      <c r="F102" s="198"/>
      <c r="G102" s="198"/>
      <c r="H102" s="198"/>
      <c r="I102" s="198"/>
      <c r="J102" s="198"/>
      <c r="K102" s="198"/>
      <c r="L102" s="198"/>
      <c r="M102" s="198"/>
      <c r="N102" s="198"/>
      <c r="P102" s="868"/>
    </row>
    <row r="103" spans="1:16" ht="12.75" customHeight="1" x14ac:dyDescent="0.25">
      <c r="A103" s="198" t="s">
        <v>83</v>
      </c>
      <c r="B103" s="198"/>
      <c r="C103" s="198"/>
      <c r="D103" s="198"/>
      <c r="E103" s="198"/>
      <c r="F103" s="198"/>
      <c r="G103" s="198"/>
      <c r="H103" s="198"/>
      <c r="I103" s="198"/>
      <c r="J103" s="198"/>
      <c r="K103" s="198"/>
      <c r="L103" s="198"/>
      <c r="M103" s="198"/>
      <c r="N103" s="198"/>
      <c r="P103" s="868"/>
    </row>
    <row r="104" spans="1:16" ht="12.75" customHeight="1" x14ac:dyDescent="0.25">
      <c r="A104" s="198" t="s">
        <v>84</v>
      </c>
      <c r="B104" s="198"/>
      <c r="C104" s="198"/>
      <c r="D104" s="198"/>
      <c r="E104" s="198"/>
      <c r="F104" s="198"/>
      <c r="G104" s="198"/>
      <c r="H104" s="198"/>
      <c r="I104" s="198"/>
      <c r="J104" s="198"/>
      <c r="K104" s="198"/>
      <c r="L104" s="198"/>
      <c r="M104" s="198"/>
      <c r="N104" s="198"/>
      <c r="P104" s="868"/>
    </row>
    <row r="105" spans="1:16" ht="12.75" customHeight="1" x14ac:dyDescent="0.25">
      <c r="A105" s="94"/>
      <c r="B105" s="963"/>
      <c r="C105" s="963"/>
      <c r="D105" s="963"/>
      <c r="E105" s="963"/>
      <c r="F105" s="963"/>
      <c r="G105" s="963"/>
      <c r="H105" s="963"/>
      <c r="I105" s="963"/>
      <c r="J105" s="963"/>
      <c r="K105" s="963"/>
      <c r="L105" s="963"/>
      <c r="M105" s="963"/>
      <c r="N105" s="963"/>
      <c r="O105" s="963"/>
      <c r="P105" s="963"/>
    </row>
    <row r="106" spans="1:16" s="41" customFormat="1" ht="15.75" customHeight="1" x14ac:dyDescent="0.25">
      <c r="A106" s="36" t="s">
        <v>85</v>
      </c>
      <c r="B106" s="42"/>
      <c r="C106" s="42"/>
      <c r="D106" s="42"/>
      <c r="E106" s="42"/>
      <c r="F106" s="42"/>
      <c r="G106" s="42"/>
      <c r="H106" s="42"/>
      <c r="I106" s="42"/>
      <c r="J106" s="42"/>
      <c r="K106" s="42"/>
      <c r="L106" s="42"/>
      <c r="M106" s="42"/>
      <c r="N106" s="42"/>
      <c r="O106" s="42"/>
      <c r="P106" s="42"/>
    </row>
    <row r="107" spans="1:16" s="41" customFormat="1" ht="12.75" customHeight="1" x14ac:dyDescent="0.25">
      <c r="A107" s="69" t="s">
        <v>86</v>
      </c>
      <c r="B107" s="966"/>
      <c r="C107" s="966"/>
      <c r="D107" s="966"/>
      <c r="E107" s="966"/>
      <c r="F107" s="966"/>
      <c r="G107" s="966"/>
      <c r="H107" s="966"/>
      <c r="I107" s="966"/>
      <c r="J107" s="43"/>
      <c r="K107" s="43"/>
      <c r="L107" s="43"/>
      <c r="M107" s="43"/>
      <c r="N107" s="43"/>
      <c r="O107" s="43"/>
      <c r="P107" s="43"/>
    </row>
    <row r="108" spans="1:16" s="41" customFormat="1" ht="12.75" customHeight="1" x14ac:dyDescent="0.25">
      <c r="A108" s="69" t="s">
        <v>87</v>
      </c>
      <c r="B108" s="966"/>
      <c r="C108" s="966"/>
      <c r="D108" s="966"/>
      <c r="E108" s="966"/>
      <c r="F108" s="966"/>
      <c r="G108" s="966"/>
      <c r="H108" s="966"/>
      <c r="I108" s="966"/>
      <c r="J108" s="43"/>
      <c r="K108" s="43"/>
      <c r="L108" s="43"/>
      <c r="M108" s="43"/>
      <c r="N108" s="43"/>
      <c r="O108" s="43"/>
      <c r="P108" s="43"/>
    </row>
    <row r="109" spans="1:16" s="41" customFormat="1" ht="12.75" customHeight="1" x14ac:dyDescent="0.25">
      <c r="A109" s="69"/>
      <c r="B109" s="69"/>
      <c r="C109" s="69"/>
      <c r="D109" s="69"/>
      <c r="E109" s="69"/>
      <c r="F109" s="69"/>
      <c r="G109" s="69"/>
      <c r="H109" s="966"/>
      <c r="I109" s="966"/>
      <c r="J109" s="43"/>
      <c r="K109" s="43"/>
      <c r="L109" s="43"/>
      <c r="M109" s="43"/>
      <c r="N109" s="43"/>
      <c r="O109" s="43"/>
      <c r="P109" s="43"/>
    </row>
    <row r="110" spans="1:16" ht="12.75" customHeight="1" x14ac:dyDescent="0.25">
      <c r="A110" s="904" t="s">
        <v>88</v>
      </c>
      <c r="B110" s="69"/>
      <c r="C110" s="69"/>
      <c r="D110" s="69"/>
      <c r="E110" s="69"/>
      <c r="F110" s="69"/>
      <c r="G110" s="69"/>
      <c r="H110" s="69"/>
      <c r="I110" s="69"/>
      <c r="J110" s="69"/>
      <c r="K110" s="69"/>
      <c r="L110" s="69"/>
      <c r="M110" s="69"/>
      <c r="N110" s="69"/>
      <c r="O110" s="69"/>
      <c r="P110" s="69"/>
    </row>
    <row r="111" spans="1:16" ht="12.75" customHeight="1" x14ac:dyDescent="0.25">
      <c r="A111" s="69" t="s">
        <v>89</v>
      </c>
      <c r="B111" s="69"/>
      <c r="C111" s="69"/>
      <c r="D111" s="69"/>
      <c r="E111" s="69"/>
      <c r="F111" s="69"/>
      <c r="G111" s="69"/>
      <c r="H111" s="69"/>
      <c r="I111" s="69"/>
      <c r="J111" s="69"/>
      <c r="K111" s="69"/>
      <c r="L111" s="69"/>
      <c r="M111" s="69"/>
      <c r="N111" s="69"/>
      <c r="O111" s="69"/>
      <c r="P111" s="69"/>
    </row>
    <row r="112" spans="1:16" ht="12.75" customHeight="1" x14ac:dyDescent="0.25">
      <c r="A112" s="69"/>
      <c r="B112" s="69"/>
      <c r="C112" s="69"/>
      <c r="D112" s="69"/>
      <c r="E112" s="69"/>
      <c r="F112" s="69"/>
      <c r="G112" s="69"/>
      <c r="H112" s="69"/>
      <c r="I112" s="69"/>
      <c r="J112" s="69"/>
      <c r="K112" s="69"/>
      <c r="L112" s="69"/>
      <c r="M112" s="69"/>
      <c r="N112" s="69"/>
      <c r="O112" s="69"/>
      <c r="P112" s="69"/>
    </row>
    <row r="113" spans="1:16" s="41" customFormat="1" ht="15.75" customHeight="1" x14ac:dyDescent="0.25">
      <c r="A113" s="39" t="s">
        <v>90</v>
      </c>
      <c r="B113" s="998"/>
      <c r="C113" s="998"/>
      <c r="D113" s="998"/>
      <c r="E113" s="998"/>
      <c r="F113" s="998"/>
      <c r="G113" s="998"/>
      <c r="H113" s="998"/>
      <c r="I113" s="998"/>
      <c r="J113" s="998"/>
      <c r="K113" s="998"/>
      <c r="L113" s="998"/>
      <c r="M113" s="998"/>
      <c r="N113" s="998"/>
      <c r="O113" s="998"/>
      <c r="P113" s="998"/>
    </row>
    <row r="114" spans="1:16" ht="12.75" customHeight="1" x14ac:dyDescent="0.25">
      <c r="A114" s="965" t="s">
        <v>91</v>
      </c>
      <c r="G114" s="982"/>
      <c r="H114" s="982"/>
      <c r="I114" s="982"/>
      <c r="J114" s="982"/>
      <c r="K114" s="982"/>
      <c r="L114" s="982"/>
      <c r="M114" s="982"/>
      <c r="N114" s="982"/>
      <c r="O114" s="982"/>
      <c r="P114" s="982"/>
    </row>
    <row r="115" spans="1:16" ht="12.75" customHeight="1" x14ac:dyDescent="0.25">
      <c r="A115" s="965" t="s">
        <v>92</v>
      </c>
      <c r="G115" s="904" t="s">
        <v>93</v>
      </c>
      <c r="H115" s="982"/>
      <c r="I115" s="982"/>
      <c r="J115" s="982"/>
      <c r="K115" s="982"/>
      <c r="L115" s="982"/>
      <c r="M115" s="982"/>
      <c r="N115" s="982"/>
      <c r="O115" s="982"/>
      <c r="P115" s="982"/>
    </row>
    <row r="116" spans="1:16" ht="12.75" customHeight="1" x14ac:dyDescent="0.25">
      <c r="A116" s="965" t="s">
        <v>94</v>
      </c>
      <c r="G116" s="904" t="s">
        <v>95</v>
      </c>
      <c r="H116" s="999"/>
      <c r="I116" s="999"/>
      <c r="J116" s="999"/>
      <c r="K116" s="999"/>
      <c r="L116" s="999"/>
      <c r="M116" s="999"/>
      <c r="N116" s="999"/>
      <c r="O116" s="999"/>
      <c r="P116" s="999"/>
    </row>
    <row r="117" spans="1:16" ht="12.75" customHeight="1" x14ac:dyDescent="0.25">
      <c r="A117" s="965" t="s">
        <v>96</v>
      </c>
      <c r="G117" s="999" t="s">
        <v>97</v>
      </c>
      <c r="H117" s="999"/>
      <c r="I117" s="999"/>
      <c r="J117" s="999"/>
      <c r="K117" s="999"/>
      <c r="L117" s="999"/>
      <c r="M117" s="999"/>
      <c r="N117" s="999"/>
      <c r="O117" s="999"/>
      <c r="P117" s="999"/>
    </row>
    <row r="118" spans="1:16" ht="12.75" customHeight="1" x14ac:dyDescent="0.25">
      <c r="A118" s="965" t="s">
        <v>98</v>
      </c>
      <c r="G118" s="999" t="s">
        <v>99</v>
      </c>
      <c r="H118" s="982"/>
      <c r="I118" s="982"/>
      <c r="J118" s="982"/>
      <c r="K118" s="982"/>
      <c r="L118" s="982"/>
      <c r="M118" s="982"/>
      <c r="N118" s="982"/>
      <c r="O118" s="982"/>
      <c r="P118" s="982"/>
    </row>
    <row r="119" spans="1:16" ht="12.75" customHeight="1" x14ac:dyDescent="0.25">
      <c r="A119" s="965" t="s">
        <v>664</v>
      </c>
      <c r="C119" s="965" t="s">
        <v>100</v>
      </c>
      <c r="G119" s="999" t="s">
        <v>101</v>
      </c>
      <c r="H119" s="999"/>
      <c r="I119" s="999"/>
      <c r="J119" s="999"/>
      <c r="K119" s="999"/>
      <c r="L119" s="999"/>
      <c r="M119" s="999"/>
      <c r="N119" s="999"/>
      <c r="O119" s="999"/>
      <c r="P119" s="999"/>
    </row>
    <row r="120" spans="1:16" ht="12.75" customHeight="1" x14ac:dyDescent="0.25">
      <c r="C120" s="965" t="s">
        <v>102</v>
      </c>
      <c r="G120" s="982" t="s">
        <v>103</v>
      </c>
      <c r="H120" s="982"/>
      <c r="I120" s="982"/>
      <c r="J120" s="982"/>
      <c r="K120" s="982"/>
      <c r="L120" s="982"/>
      <c r="M120" s="982"/>
      <c r="N120" s="982"/>
      <c r="O120" s="982"/>
      <c r="P120" s="982"/>
    </row>
    <row r="121" spans="1:16" ht="12.75" customHeight="1" x14ac:dyDescent="0.25">
      <c r="C121" s="965" t="s">
        <v>104</v>
      </c>
      <c r="G121" s="904" t="s">
        <v>105</v>
      </c>
      <c r="H121" s="982"/>
      <c r="I121" s="982"/>
      <c r="J121" s="982"/>
      <c r="K121" s="982"/>
      <c r="L121" s="982"/>
      <c r="M121" s="982"/>
      <c r="N121" s="982"/>
      <c r="O121" s="982"/>
      <c r="P121" s="982"/>
    </row>
    <row r="122" spans="1:16" ht="12.75" customHeight="1" x14ac:dyDescent="0.25"/>
    <row r="123" spans="1:16" ht="12.75" customHeight="1" x14ac:dyDescent="0.25"/>
    <row r="124" spans="1:16" ht="12.75" customHeight="1" x14ac:dyDescent="0.25"/>
    <row r="125" spans="1:16" ht="12.75" customHeight="1" x14ac:dyDescent="0.25"/>
    <row r="126" spans="1:16" ht="12.75" customHeight="1" x14ac:dyDescent="0.25"/>
    <row r="127" spans="1:16" ht="12.75" customHeight="1" x14ac:dyDescent="0.25"/>
    <row r="128" spans="1:16" ht="12.75" customHeight="1" x14ac:dyDescent="0.25"/>
  </sheetData>
  <sheetProtection algorithmName="SHA-512" hashValue="UVb2RTE2kSBfgVanB931CCvb4myIlO9R1VeluO6vlC0q+ZiXETIlGyFrWbKIzr6t3+0lu1yY+qUrI7stagLx3w==" saltValue="Cl6MBXkJ5astzqpSZ2zWpg==" spinCount="100000" sheet="1" formatColumns="0" formatRows="0"/>
  <mergeCells count="17">
    <mergeCell ref="A78:R78"/>
    <mergeCell ref="A79:R79"/>
    <mergeCell ref="A80:R80"/>
    <mergeCell ref="A81:R81"/>
    <mergeCell ref="A82:R82"/>
    <mergeCell ref="A83:R83"/>
    <mergeCell ref="A84:R84"/>
    <mergeCell ref="A85:R85"/>
    <mergeCell ref="A86:R86"/>
    <mergeCell ref="A87:R87"/>
    <mergeCell ref="A94:R94"/>
    <mergeCell ref="A88:R88"/>
    <mergeCell ref="A89:R89"/>
    <mergeCell ref="A90:R90"/>
    <mergeCell ref="A91:R91"/>
    <mergeCell ref="A93:R93"/>
    <mergeCell ref="A92:R92"/>
  </mergeCells>
  <phoneticPr fontId="6" type="noConversion"/>
  <hyperlinks>
    <hyperlink ref="G118" r:id="rId1" xr:uid="{00000000-0004-0000-0000-000001000000}"/>
    <hyperlink ref="A110" r:id="rId2" display="https://www.rvo.nl/onderwerpen/subsidiespelregels/ezk/financiering" xr:uid="{00000000-0004-0000-0000-000002000000}"/>
    <hyperlink ref="G115" r:id="rId3" display="http://www.rvo.nl/wis" xr:uid="{59547464-BF74-4640-8412-B972A980702B}"/>
    <hyperlink ref="G117" r:id="rId4" xr:uid="{260D96CB-CBFA-4A67-AF4E-6794B52646A3}"/>
    <hyperlink ref="G116" r:id="rId5" display="https://eur-lex.europa.eu/legal-content/NL/TXT/PDF/?uri=CELEX:02014R0651-20230701" xr:uid="{1B89FCFB-4C15-4D5C-B1D4-03B01D132ACB}"/>
    <hyperlink ref="G119" r:id="rId6" xr:uid="{5AE9D20D-1141-4457-8ED4-8D63B4E2F376}"/>
    <hyperlink ref="G121" r:id="rId7" display="https://zoek.officielebekendmakingen.nl/stcrt-2025-18366.html" xr:uid="{3F95527B-EAC3-46A9-A089-3F04905FAF50}"/>
  </hyperlinks>
  <pageMargins left="0.25" right="0.25" top="0.75" bottom="0.75" header="0.3" footer="0.3"/>
  <pageSetup paperSize="9" scale="48" orientation="portrait" r:id="rId8"/>
  <headerFooter alignWithMargins="0"/>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4">
    <tabColor rgb="FF7030A0"/>
  </sheetPr>
  <dimension ref="A1:AP5"/>
  <sheetViews>
    <sheetView zoomScaleNormal="100" workbookViewId="0">
      <selection activeCell="F28" sqref="F28"/>
    </sheetView>
  </sheetViews>
  <sheetFormatPr defaultColWidth="9.26953125" defaultRowHeight="11.5" x14ac:dyDescent="0.25"/>
  <cols>
    <col min="1" max="1" width="17.7265625" style="13" customWidth="1"/>
    <col min="2" max="2" width="17.7265625" style="29" customWidth="1"/>
    <col min="3" max="3" width="21.1796875" style="29" bestFit="1" customWidth="1"/>
    <col min="4" max="4" width="17.7265625" style="29" customWidth="1"/>
    <col min="5" max="5" width="26" style="56" bestFit="1" customWidth="1"/>
    <col min="6" max="6" width="3.54296875" style="56" customWidth="1"/>
    <col min="7" max="10" width="15.54296875" style="56" customWidth="1"/>
    <col min="11" max="11" width="3.7265625" style="29" customWidth="1"/>
    <col min="12" max="15" width="15.54296875" style="29" customWidth="1"/>
    <col min="16" max="16" width="5.453125" style="29" customWidth="1"/>
    <col min="17" max="23" width="15.54296875" style="29" customWidth="1"/>
    <col min="24" max="24" width="5.1796875" style="29" customWidth="1"/>
    <col min="25" max="25" width="15.54296875" style="29" customWidth="1"/>
    <col min="26" max="27" width="16.81640625" style="29" customWidth="1"/>
    <col min="28" max="28" width="16.54296875" style="29" customWidth="1"/>
    <col min="29" max="29" width="15.54296875" style="29" customWidth="1"/>
    <col min="30" max="30" width="20.1796875" style="29" bestFit="1" customWidth="1"/>
    <col min="31" max="31" width="3.54296875" style="29" customWidth="1"/>
    <col min="32" max="32" width="15.81640625" style="29" customWidth="1"/>
    <col min="33" max="33" width="15.81640625" style="13" customWidth="1"/>
    <col min="34" max="37" width="15.81640625" style="29" customWidth="1"/>
    <col min="38" max="38" width="3.81640625" style="29" customWidth="1"/>
    <col min="39" max="39" width="16.453125" style="29" customWidth="1"/>
    <col min="40" max="40" width="15.26953125" style="29" customWidth="1"/>
    <col min="41" max="41" width="16.1796875" style="29" customWidth="1"/>
    <col min="42" max="42" width="12.453125" style="29" customWidth="1"/>
    <col min="43" max="16384" width="9.26953125" style="29"/>
  </cols>
  <sheetData>
    <row r="1" spans="1:42" s="78" customFormat="1" x14ac:dyDescent="0.25">
      <c r="A1" s="1027" t="s">
        <v>553</v>
      </c>
      <c r="B1" s="1027"/>
      <c r="C1" s="1027"/>
      <c r="D1" s="1027"/>
      <c r="E1" s="1027"/>
      <c r="F1" s="81"/>
      <c r="G1" s="1032" t="s">
        <v>554</v>
      </c>
      <c r="H1" s="1032"/>
      <c r="I1" s="1032"/>
      <c r="J1" s="1032"/>
      <c r="L1" s="1033" t="s">
        <v>555</v>
      </c>
      <c r="M1" s="1033"/>
      <c r="N1" s="1033"/>
      <c r="O1" s="1033"/>
      <c r="P1" s="901"/>
      <c r="Q1" s="1029" t="s">
        <v>556</v>
      </c>
      <c r="R1" s="1029"/>
      <c r="S1" s="1029"/>
      <c r="T1" s="1029"/>
      <c r="U1" s="1029"/>
      <c r="V1" s="1029"/>
      <c r="W1" s="1029"/>
      <c r="X1" s="901"/>
      <c r="Y1" s="1030" t="s">
        <v>557</v>
      </c>
      <c r="Z1" s="1030"/>
      <c r="AA1" s="1030"/>
      <c r="AB1" s="1030"/>
      <c r="AC1" s="1030"/>
      <c r="AD1" s="1030"/>
      <c r="AF1" s="1031" t="s">
        <v>558</v>
      </c>
      <c r="AG1" s="1031"/>
      <c r="AH1" s="1031"/>
      <c r="AI1" s="1031"/>
      <c r="AJ1" s="1031"/>
      <c r="AK1" s="1031"/>
      <c r="AM1" s="1028" t="s">
        <v>559</v>
      </c>
      <c r="AN1" s="1028"/>
      <c r="AO1" s="1028"/>
      <c r="AP1" s="1028"/>
    </row>
    <row r="2" spans="1:42" s="787" customFormat="1" ht="46.5" thickBot="1" x14ac:dyDescent="0.3">
      <c r="A2" s="792" t="s">
        <v>560</v>
      </c>
      <c r="B2" s="792" t="s">
        <v>561</v>
      </c>
      <c r="C2" s="792" t="s">
        <v>562</v>
      </c>
      <c r="D2" s="792" t="s">
        <v>563</v>
      </c>
      <c r="E2" s="792" t="s">
        <v>564</v>
      </c>
      <c r="F2" s="792"/>
      <c r="G2" s="793" t="s">
        <v>565</v>
      </c>
      <c r="H2" s="793" t="s">
        <v>566</v>
      </c>
      <c r="I2" s="793" t="s">
        <v>567</v>
      </c>
      <c r="J2" s="793" t="s">
        <v>568</v>
      </c>
      <c r="L2" s="793" t="s">
        <v>569</v>
      </c>
      <c r="M2" s="793" t="s">
        <v>570</v>
      </c>
      <c r="N2" s="793" t="s">
        <v>571</v>
      </c>
      <c r="O2" s="793" t="s">
        <v>572</v>
      </c>
      <c r="P2" s="793"/>
      <c r="Q2" s="793" t="s">
        <v>573</v>
      </c>
      <c r="R2" s="793" t="s">
        <v>570</v>
      </c>
      <c r="S2" s="793" t="s">
        <v>571</v>
      </c>
      <c r="T2" s="793" t="s">
        <v>574</v>
      </c>
      <c r="U2" s="793" t="s">
        <v>572</v>
      </c>
      <c r="V2" s="793" t="s">
        <v>575</v>
      </c>
      <c r="W2" s="793" t="s">
        <v>576</v>
      </c>
      <c r="X2" s="793"/>
      <c r="Y2" s="793" t="s">
        <v>238</v>
      </c>
      <c r="Z2" s="793" t="s">
        <v>577</v>
      </c>
      <c r="AA2" s="793" t="s">
        <v>578</v>
      </c>
      <c r="AB2" s="793" t="s">
        <v>579</v>
      </c>
      <c r="AC2" s="793" t="s">
        <v>580</v>
      </c>
      <c r="AD2" s="787" t="s">
        <v>581</v>
      </c>
      <c r="AF2" s="795" t="s">
        <v>582</v>
      </c>
      <c r="AG2" s="795" t="s">
        <v>583</v>
      </c>
      <c r="AH2" s="795" t="s">
        <v>479</v>
      </c>
      <c r="AI2" s="795" t="s">
        <v>584</v>
      </c>
      <c r="AJ2" s="793" t="s">
        <v>585</v>
      </c>
      <c r="AK2" s="787" t="s">
        <v>355</v>
      </c>
      <c r="AM2" s="793" t="s">
        <v>586</v>
      </c>
      <c r="AN2" s="793" t="s">
        <v>587</v>
      </c>
      <c r="AO2" s="793" t="s">
        <v>588</v>
      </c>
      <c r="AP2" s="793" t="s">
        <v>589</v>
      </c>
    </row>
    <row r="3" spans="1:42" x14ac:dyDescent="0.25">
      <c r="A3" s="13" t="s">
        <v>590</v>
      </c>
      <c r="B3" s="29">
        <f>Project!B7</f>
        <v>0</v>
      </c>
      <c r="C3" s="29" t="str">
        <f>Project!B4</f>
        <v>[Dit veld vult RVO in]</v>
      </c>
      <c r="D3" s="29">
        <f>Project!B17</f>
        <v>0</v>
      </c>
      <c r="E3" s="29" t="str">
        <f>Project!C17</f>
        <v>&lt;maak een keuze&gt;</v>
      </c>
      <c r="F3" s="29"/>
      <c r="G3" s="902">
        <f>Mijlpalenbegroting!D35</f>
        <v>0</v>
      </c>
      <c r="H3" s="121">
        <f>Mijlpalenbegroting!D72</f>
        <v>0</v>
      </c>
      <c r="I3" s="903">
        <f>Mijlpalenbegroting!D96</f>
        <v>0</v>
      </c>
      <c r="J3" s="786">
        <f>Exploitatieberekening!D87</f>
        <v>0</v>
      </c>
      <c r="L3" s="788">
        <f>Mijlpalenbegroting!I35</f>
        <v>0</v>
      </c>
      <c r="M3" s="789">
        <f>Mijlpalenbegroting!I96</f>
        <v>0</v>
      </c>
      <c r="N3" s="789">
        <f>Mijlpalenbegroting!I72</f>
        <v>0</v>
      </c>
      <c r="O3" s="789">
        <f>Mijlpalenbegroting!I133</f>
        <v>0</v>
      </c>
      <c r="P3" s="789"/>
      <c r="Q3" s="789">
        <f>Mijlpalenbegroting!J35</f>
        <v>0</v>
      </c>
      <c r="R3" s="789">
        <f>Mijlpalenbegroting!J96</f>
        <v>0</v>
      </c>
      <c r="S3" s="789">
        <f>Mijlpalenbegroting!J72</f>
        <v>0</v>
      </c>
      <c r="T3" s="789">
        <f>Mijlpalenbegroting!J52</f>
        <v>0</v>
      </c>
      <c r="U3" s="789">
        <f>Mijlpalenbegroting!J133</f>
        <v>0</v>
      </c>
      <c r="V3" s="789">
        <f>Mijlpalenbegroting!J187</f>
        <v>0</v>
      </c>
      <c r="W3" s="789">
        <f>Mijlpalenbegroting!J229</f>
        <v>0</v>
      </c>
      <c r="X3" s="789"/>
      <c r="Y3" s="121">
        <f>Mijlpalenbegroting!D133</f>
        <v>0</v>
      </c>
      <c r="Z3" s="121">
        <f>SUM(Mijlpalenbegroting!D135:D136)</f>
        <v>0</v>
      </c>
      <c r="AA3" s="121">
        <f>Mijlpalenbegroting!D138</f>
        <v>0</v>
      </c>
      <c r="AB3" s="121">
        <f>Mijlpalenbegroting!D139</f>
        <v>0</v>
      </c>
      <c r="AC3" s="121">
        <f>Mijlpalenbegroting!D137</f>
        <v>0</v>
      </c>
      <c r="AD3" s="29" t="str">
        <f>Project!B19</f>
        <v>&lt;maak een keuze&gt;</v>
      </c>
      <c r="AF3" s="791">
        <f>Exploitatieberekening!D182</f>
        <v>0</v>
      </c>
      <c r="AG3" s="791">
        <f>Exploitatieberekening!D186</f>
        <v>0</v>
      </c>
      <c r="AH3" s="900">
        <f>Exploitatieberekening!D189</f>
        <v>0</v>
      </c>
      <c r="AI3" s="794">
        <f>Exploitatieberekening!D194</f>
        <v>0</v>
      </c>
      <c r="AJ3" s="29">
        <f>MAX(Exploitatieberekening!L53:AT53)</f>
        <v>0</v>
      </c>
      <c r="AK3" s="791" t="str">
        <f>Financiering!C35</f>
        <v/>
      </c>
      <c r="AM3" s="789">
        <f>Mijlpalenbegroting!J232</f>
        <v>0</v>
      </c>
      <c r="AN3" s="789">
        <f>Mijlpalenbegroting!J271</f>
        <v>0</v>
      </c>
      <c r="AO3" s="790">
        <f>Mijlpalenbegroting!J265</f>
        <v>0</v>
      </c>
      <c r="AP3" s="786">
        <f>Mijlpalenbegroting!J267</f>
        <v>0</v>
      </c>
    </row>
    <row r="5" spans="1:42" x14ac:dyDescent="0.25">
      <c r="AG5" s="121"/>
    </row>
  </sheetData>
  <sheetProtection selectLockedCells="1"/>
  <mergeCells count="7">
    <mergeCell ref="A1:E1"/>
    <mergeCell ref="AM1:AP1"/>
    <mergeCell ref="Q1:W1"/>
    <mergeCell ref="Y1:AD1"/>
    <mergeCell ref="AF1:AK1"/>
    <mergeCell ref="G1:J1"/>
    <mergeCell ref="L1:O1"/>
  </mergeCells>
  <phoneticPr fontId="6" type="noConversion"/>
  <pageMargins left="0.75" right="0.75" top="1" bottom="1" header="0.5" footer="0.5"/>
  <pageSetup paperSize="9" scale="4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2">
    <tabColor rgb="FF7030A0"/>
  </sheetPr>
  <dimension ref="A1:J42"/>
  <sheetViews>
    <sheetView zoomScaleNormal="100" workbookViewId="0">
      <selection activeCell="F28" sqref="F28"/>
    </sheetView>
  </sheetViews>
  <sheetFormatPr defaultColWidth="8.81640625" defaultRowHeight="12.5" x14ac:dyDescent="0.25"/>
  <cols>
    <col min="1" max="1" width="33.453125" customWidth="1"/>
    <col min="2" max="2" width="18" bestFit="1" customWidth="1"/>
    <col min="3" max="3" width="18.7265625" bestFit="1" customWidth="1"/>
    <col min="4" max="4" width="63.453125" bestFit="1" customWidth="1"/>
    <col min="5" max="5" width="39.7265625" customWidth="1"/>
    <col min="6" max="6" width="39.26953125" customWidth="1"/>
    <col min="7" max="7" width="38.26953125" customWidth="1"/>
    <col min="8" max="8" width="27.54296875" customWidth="1"/>
    <col min="9" max="9" width="51.7265625" bestFit="1" customWidth="1"/>
    <col min="10" max="11" width="9.26953125" customWidth="1"/>
  </cols>
  <sheetData>
    <row r="1" spans="1:10" ht="13.5" x14ac:dyDescent="0.3">
      <c r="A1" s="6" t="s">
        <v>591</v>
      </c>
      <c r="B1" s="7"/>
      <c r="C1" s="8"/>
      <c r="D1" s="8"/>
      <c r="E1" s="8"/>
      <c r="F1" s="8"/>
      <c r="G1" s="8"/>
      <c r="H1" s="8"/>
      <c r="I1" s="8"/>
      <c r="J1" s="8"/>
    </row>
    <row r="2" spans="1:10" ht="13.5" x14ac:dyDescent="0.3">
      <c r="A2" s="76" t="s">
        <v>592</v>
      </c>
      <c r="B2" s="77" t="s">
        <v>593</v>
      </c>
      <c r="C2" s="76" t="s">
        <v>594</v>
      </c>
      <c r="D2" s="76" t="s">
        <v>595</v>
      </c>
      <c r="E2" s="76" t="s">
        <v>596</v>
      </c>
      <c r="F2" s="76" t="s">
        <v>597</v>
      </c>
      <c r="G2" s="76" t="s">
        <v>598</v>
      </c>
      <c r="H2" s="76" t="s">
        <v>599</v>
      </c>
      <c r="I2" s="76" t="s">
        <v>600</v>
      </c>
      <c r="J2" s="76" t="s">
        <v>601</v>
      </c>
    </row>
    <row r="3" spans="1:10" ht="13.5" x14ac:dyDescent="0.3">
      <c r="A3" s="4" t="s">
        <v>210</v>
      </c>
      <c r="B3" s="4">
        <v>1</v>
      </c>
      <c r="C3" s="4" t="s">
        <v>210</v>
      </c>
      <c r="D3" s="4" t="s">
        <v>210</v>
      </c>
      <c r="E3" s="4" t="s">
        <v>210</v>
      </c>
      <c r="F3" s="4" t="s">
        <v>210</v>
      </c>
      <c r="G3" s="4" t="s">
        <v>210</v>
      </c>
      <c r="H3" s="4" t="s">
        <v>210</v>
      </c>
      <c r="I3" s="4" t="s">
        <v>210</v>
      </c>
      <c r="J3" s="4" t="s">
        <v>210</v>
      </c>
    </row>
    <row r="4" spans="1:10" ht="13.5" x14ac:dyDescent="0.3">
      <c r="A4" s="4" t="s">
        <v>602</v>
      </c>
      <c r="B4" s="4">
        <v>2</v>
      </c>
      <c r="C4" s="4" t="s">
        <v>603</v>
      </c>
      <c r="D4" s="4" t="s">
        <v>604</v>
      </c>
      <c r="E4" s="4" t="s">
        <v>605</v>
      </c>
      <c r="F4" s="4" t="s">
        <v>606</v>
      </c>
      <c r="G4" s="4" t="s">
        <v>364</v>
      </c>
      <c r="H4" s="4" t="s">
        <v>607</v>
      </c>
      <c r="I4" s="4" t="s">
        <v>608</v>
      </c>
      <c r="J4" s="4" t="s">
        <v>609</v>
      </c>
    </row>
    <row r="5" spans="1:10" ht="13.5" x14ac:dyDescent="0.3">
      <c r="A5" s="4" t="s">
        <v>610</v>
      </c>
      <c r="B5" s="4">
        <v>3</v>
      </c>
      <c r="C5" s="4" t="s">
        <v>611</v>
      </c>
      <c r="D5" s="4" t="s">
        <v>612</v>
      </c>
      <c r="E5" s="4" t="s">
        <v>613</v>
      </c>
      <c r="F5" s="4" t="s">
        <v>614</v>
      </c>
      <c r="G5" s="4" t="s">
        <v>615</v>
      </c>
      <c r="H5" s="4" t="s">
        <v>616</v>
      </c>
      <c r="I5" s="4" t="s">
        <v>617</v>
      </c>
      <c r="J5" s="4" t="s">
        <v>618</v>
      </c>
    </row>
    <row r="6" spans="1:10" ht="13.5" x14ac:dyDescent="0.3">
      <c r="A6" s="4" t="s">
        <v>619</v>
      </c>
      <c r="B6" s="4">
        <v>4</v>
      </c>
      <c r="D6" s="4" t="s">
        <v>620</v>
      </c>
      <c r="E6" s="4" t="s">
        <v>621</v>
      </c>
      <c r="F6" s="106"/>
      <c r="G6" s="106"/>
      <c r="H6" s="106"/>
      <c r="I6" s="4" t="s">
        <v>622</v>
      </c>
      <c r="J6" s="4" t="s">
        <v>623</v>
      </c>
    </row>
    <row r="7" spans="1:10" ht="13.5" x14ac:dyDescent="0.3">
      <c r="A7" s="4"/>
      <c r="B7" s="4">
        <v>5</v>
      </c>
      <c r="C7" s="3"/>
      <c r="D7" s="4" t="s">
        <v>624</v>
      </c>
      <c r="E7" s="4" t="s">
        <v>625</v>
      </c>
      <c r="F7" s="106"/>
      <c r="G7" s="106"/>
      <c r="H7" s="106"/>
      <c r="I7" s="4" t="s">
        <v>626</v>
      </c>
      <c r="J7" s="4" t="s">
        <v>627</v>
      </c>
    </row>
    <row r="8" spans="1:10" ht="13.5" x14ac:dyDescent="0.3">
      <c r="A8" s="5"/>
      <c r="B8" s="4">
        <v>6</v>
      </c>
      <c r="C8" s="4"/>
      <c r="D8" s="4" t="s">
        <v>628</v>
      </c>
      <c r="E8" s="4" t="s">
        <v>629</v>
      </c>
      <c r="F8" s="106"/>
      <c r="G8" s="106"/>
      <c r="H8" s="106"/>
      <c r="I8" s="4" t="s">
        <v>630</v>
      </c>
    </row>
    <row r="9" spans="1:10" ht="12.75" customHeight="1" x14ac:dyDescent="0.3">
      <c r="A9" s="5"/>
      <c r="B9" s="4">
        <v>7</v>
      </c>
      <c r="C9" s="4"/>
      <c r="E9" s="4" t="s">
        <v>631</v>
      </c>
      <c r="F9" s="106"/>
      <c r="G9" s="106"/>
      <c r="H9" s="106"/>
      <c r="I9" s="4" t="s">
        <v>632</v>
      </c>
    </row>
    <row r="10" spans="1:10" ht="13.5" x14ac:dyDescent="0.3">
      <c r="A10" s="5"/>
      <c r="B10" s="4">
        <v>8</v>
      </c>
      <c r="C10" s="4"/>
      <c r="D10" s="4"/>
      <c r="E10" s="4" t="s">
        <v>633</v>
      </c>
      <c r="F10" s="106"/>
      <c r="G10" s="106"/>
      <c r="H10" s="106"/>
    </row>
    <row r="11" spans="1:10" ht="12.75" customHeight="1" x14ac:dyDescent="0.3">
      <c r="B11" s="2">
        <v>9</v>
      </c>
      <c r="C11" s="4"/>
      <c r="D11" s="4"/>
      <c r="F11" s="106"/>
      <c r="G11" s="106"/>
      <c r="H11" s="106"/>
    </row>
    <row r="12" spans="1:10" ht="13.5" x14ac:dyDescent="0.3">
      <c r="B12" s="2">
        <v>10</v>
      </c>
    </row>
    <row r="13" spans="1:10" ht="13.5" x14ac:dyDescent="0.3">
      <c r="B13" s="2">
        <v>11</v>
      </c>
    </row>
    <row r="14" spans="1:10" ht="13.5" x14ac:dyDescent="0.3">
      <c r="B14" s="2">
        <v>12</v>
      </c>
    </row>
    <row r="15" spans="1:10" ht="13.5" x14ac:dyDescent="0.3">
      <c r="B15" s="2">
        <v>13</v>
      </c>
      <c r="C15" s="1"/>
    </row>
    <row r="16" spans="1:10" ht="13.5" x14ac:dyDescent="0.3">
      <c r="B16" s="2">
        <v>14</v>
      </c>
      <c r="C16" s="106"/>
    </row>
    <row r="17" spans="1:3" ht="13.5" x14ac:dyDescent="0.3">
      <c r="B17" s="2">
        <v>15</v>
      </c>
      <c r="C17" s="4"/>
    </row>
    <row r="18" spans="1:3" ht="13.5" x14ac:dyDescent="0.3">
      <c r="B18" s="4"/>
      <c r="C18" s="4"/>
    </row>
    <row r="19" spans="1:3" ht="13.5" x14ac:dyDescent="0.3">
      <c r="A19" s="4"/>
      <c r="B19" s="4"/>
      <c r="C19" s="4"/>
    </row>
    <row r="20" spans="1:3" ht="13.5" x14ac:dyDescent="0.3">
      <c r="C20" s="4"/>
    </row>
    <row r="21" spans="1:3" ht="13.5" x14ac:dyDescent="0.3">
      <c r="C21" s="4"/>
    </row>
    <row r="22" spans="1:3" ht="13.5" x14ac:dyDescent="0.3">
      <c r="C22" s="4"/>
    </row>
    <row r="23" spans="1:3" ht="13.5" x14ac:dyDescent="0.3">
      <c r="C23" s="4"/>
    </row>
    <row r="24" spans="1:3" ht="13.5" x14ac:dyDescent="0.3">
      <c r="A24" s="106" t="s">
        <v>634</v>
      </c>
      <c r="C24" s="4"/>
    </row>
    <row r="25" spans="1:3" ht="13.5" x14ac:dyDescent="0.3">
      <c r="A25" s="1"/>
      <c r="C25" s="4"/>
    </row>
    <row r="26" spans="1:3" x14ac:dyDescent="0.25">
      <c r="A26" s="106"/>
    </row>
    <row r="27" spans="1:3" x14ac:dyDescent="0.25">
      <c r="A27" s="106"/>
    </row>
    <row r="28" spans="1:3" x14ac:dyDescent="0.25">
      <c r="A28" s="106"/>
    </row>
    <row r="29" spans="1:3" x14ac:dyDescent="0.25">
      <c r="A29" s="106"/>
    </row>
    <row r="31" spans="1:3" ht="13" x14ac:dyDescent="0.3">
      <c r="A31" s="1"/>
    </row>
    <row r="32" spans="1:3" x14ac:dyDescent="0.25">
      <c r="A32" s="106"/>
    </row>
    <row r="33" spans="1:1" x14ac:dyDescent="0.25">
      <c r="A33" s="106"/>
    </row>
    <row r="41" spans="1:1" x14ac:dyDescent="0.25">
      <c r="A41" s="106" t="s">
        <v>635</v>
      </c>
    </row>
    <row r="42" spans="1:1" x14ac:dyDescent="0.25">
      <c r="A42" s="106" t="s">
        <v>636</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9">
    <tabColor rgb="FF00B0F0"/>
    <pageSetUpPr fitToPage="1"/>
  </sheetPr>
  <dimension ref="A1:AM111"/>
  <sheetViews>
    <sheetView showGridLines="0" zoomScaleNormal="100" zoomScaleSheetLayoutView="115" workbookViewId="0">
      <selection activeCell="A100" sqref="A100:XFD100"/>
    </sheetView>
  </sheetViews>
  <sheetFormatPr defaultColWidth="9.26953125" defaultRowHeight="11.5" x14ac:dyDescent="0.25"/>
  <cols>
    <col min="1" max="1" width="7.453125" style="28" customWidth="1"/>
    <col min="2" max="5" width="9.26953125" style="15"/>
    <col min="6" max="6" width="10.453125" style="15" bestFit="1" customWidth="1"/>
    <col min="7" max="17" width="9.26953125" style="15"/>
    <col min="18" max="18" width="3.26953125" style="15" customWidth="1"/>
    <col min="19" max="16384" width="9.26953125" style="15"/>
  </cols>
  <sheetData>
    <row r="1" spans="1:39" ht="100.5" customHeight="1" x14ac:dyDescent="0.25">
      <c r="A1" s="10"/>
      <c r="B1" s="9"/>
      <c r="C1" s="10"/>
      <c r="D1" s="9"/>
      <c r="E1" s="9"/>
      <c r="F1" s="9"/>
      <c r="G1" s="9"/>
      <c r="H1" s="9"/>
      <c r="I1" s="9"/>
      <c r="J1" s="9"/>
      <c r="K1" s="9"/>
      <c r="L1" s="9"/>
      <c r="M1" s="9"/>
      <c r="N1" s="9"/>
      <c r="O1" s="9"/>
      <c r="P1" s="9"/>
      <c r="Q1" s="9"/>
      <c r="W1" s="16"/>
      <c r="X1" s="16"/>
      <c r="Y1" s="16"/>
      <c r="Z1" s="16"/>
      <c r="AA1" s="16"/>
      <c r="AB1" s="16"/>
      <c r="AC1" s="16"/>
      <c r="AD1" s="16"/>
      <c r="AE1" s="16"/>
      <c r="AF1" s="16"/>
      <c r="AG1" s="16"/>
      <c r="AH1" s="16"/>
      <c r="AI1" s="16"/>
      <c r="AJ1" s="16"/>
      <c r="AK1" s="16"/>
      <c r="AL1" s="16"/>
      <c r="AM1" s="16"/>
    </row>
    <row r="2" spans="1:39" ht="17.5" x14ac:dyDescent="0.35">
      <c r="A2" s="97" t="s">
        <v>106</v>
      </c>
      <c r="B2" s="9"/>
      <c r="C2" s="14"/>
      <c r="D2" s="9"/>
      <c r="E2" s="9"/>
      <c r="F2" s="9"/>
      <c r="G2" s="9"/>
      <c r="H2" s="9"/>
      <c r="I2" s="11"/>
      <c r="J2" s="11"/>
      <c r="K2" s="9"/>
      <c r="L2" s="9"/>
      <c r="M2" s="9"/>
      <c r="N2" s="9"/>
      <c r="O2" s="9"/>
      <c r="P2" s="9"/>
      <c r="Q2" s="9"/>
      <c r="W2" s="16"/>
      <c r="X2" s="16"/>
      <c r="Y2" s="16"/>
      <c r="Z2" s="16"/>
      <c r="AA2" s="16"/>
      <c r="AB2" s="16"/>
      <c r="AC2" s="16"/>
      <c r="AD2" s="16"/>
      <c r="AE2" s="16"/>
      <c r="AF2" s="16"/>
      <c r="AG2" s="16"/>
      <c r="AH2" s="16"/>
      <c r="AI2" s="16"/>
      <c r="AJ2" s="16"/>
      <c r="AK2" s="16"/>
      <c r="AL2" s="16"/>
      <c r="AM2" s="16"/>
    </row>
    <row r="3" spans="1:39" ht="18.5" x14ac:dyDescent="0.25">
      <c r="A3" s="75" t="s">
        <v>107</v>
      </c>
      <c r="B3" s="10"/>
      <c r="C3" s="14"/>
      <c r="D3" s="9"/>
      <c r="E3" s="9"/>
      <c r="F3" s="9"/>
      <c r="G3" s="9"/>
      <c r="H3" s="9"/>
      <c r="I3" s="11"/>
      <c r="J3" s="11"/>
      <c r="K3" s="9"/>
      <c r="L3" s="9"/>
      <c r="M3" s="9"/>
      <c r="N3" s="9"/>
      <c r="O3" s="9"/>
      <c r="P3" s="9"/>
      <c r="Q3" s="9"/>
      <c r="W3" s="16"/>
      <c r="X3" s="16"/>
      <c r="Y3" s="16"/>
      <c r="Z3" s="16"/>
      <c r="AA3" s="16"/>
      <c r="AB3" s="16"/>
      <c r="AC3" s="16"/>
      <c r="AD3" s="16"/>
      <c r="AE3" s="16"/>
      <c r="AF3" s="16"/>
      <c r="AG3" s="16"/>
      <c r="AH3" s="16"/>
      <c r="AI3" s="16"/>
      <c r="AJ3" s="16"/>
      <c r="AK3" s="16"/>
      <c r="AL3" s="16"/>
      <c r="AM3" s="16"/>
    </row>
    <row r="4" spans="1:39" ht="15" x14ac:dyDescent="0.3">
      <c r="A4" s="48"/>
      <c r="B4" s="9"/>
      <c r="C4" s="9"/>
      <c r="D4" s="9"/>
      <c r="E4" s="9"/>
      <c r="F4" s="9"/>
      <c r="G4" s="9"/>
      <c r="H4" s="9"/>
      <c r="I4" s="9"/>
      <c r="J4" s="9"/>
      <c r="K4" s="9"/>
      <c r="L4" s="9"/>
      <c r="M4" s="9"/>
      <c r="N4" s="9"/>
      <c r="O4" s="9"/>
      <c r="P4" s="9"/>
      <c r="Q4" s="9"/>
    </row>
    <row r="5" spans="1:39" s="41" customFormat="1" ht="13.5" x14ac:dyDescent="0.25">
      <c r="A5" s="49" t="s">
        <v>108</v>
      </c>
      <c r="B5" s="42"/>
      <c r="C5" s="42"/>
      <c r="D5" s="42"/>
      <c r="E5" s="42"/>
      <c r="F5" s="42"/>
      <c r="G5" s="42"/>
      <c r="H5" s="42"/>
      <c r="I5" s="42"/>
      <c r="J5" s="42"/>
      <c r="K5" s="42"/>
      <c r="L5" s="42"/>
      <c r="M5" s="42"/>
      <c r="N5" s="42"/>
      <c r="O5" s="42"/>
      <c r="P5" s="42"/>
      <c r="Q5" s="42"/>
      <c r="W5" s="43"/>
      <c r="X5" s="43"/>
      <c r="Y5" s="43"/>
      <c r="Z5" s="43"/>
      <c r="AA5" s="43"/>
      <c r="AB5" s="43"/>
      <c r="AC5" s="43"/>
      <c r="AD5" s="43"/>
      <c r="AE5" s="43"/>
      <c r="AF5" s="43"/>
      <c r="AG5" s="43"/>
      <c r="AH5" s="43"/>
      <c r="AI5" s="43"/>
      <c r="AJ5" s="43"/>
      <c r="AK5" s="43"/>
      <c r="AL5" s="43"/>
      <c r="AM5" s="43"/>
    </row>
    <row r="6" spans="1:39" ht="11.9" customHeight="1" x14ac:dyDescent="0.25">
      <c r="A6" s="50" t="s">
        <v>109</v>
      </c>
      <c r="B6" s="9"/>
      <c r="C6" s="9"/>
      <c r="D6" s="9"/>
      <c r="E6" s="9"/>
      <c r="F6" s="9"/>
      <c r="G6" s="9"/>
      <c r="H6" s="9"/>
      <c r="I6" s="9"/>
      <c r="J6" s="9"/>
      <c r="K6" s="9"/>
      <c r="L6" s="9"/>
      <c r="M6" s="9"/>
      <c r="N6" s="9"/>
      <c r="O6" s="9"/>
      <c r="P6" s="9"/>
      <c r="Q6" s="9"/>
    </row>
    <row r="7" spans="1:39" ht="11.9" customHeight="1" x14ac:dyDescent="0.25">
      <c r="A7" s="24" t="s">
        <v>110</v>
      </c>
    </row>
    <row r="8" spans="1:39" ht="11.9" customHeight="1" x14ac:dyDescent="0.25">
      <c r="A8" s="24" t="s">
        <v>111</v>
      </c>
      <c r="B8" s="9"/>
      <c r="C8" s="9"/>
      <c r="D8" s="9"/>
      <c r="E8" s="9"/>
      <c r="F8" s="9"/>
      <c r="G8" s="9"/>
      <c r="H8" s="9"/>
      <c r="I8" s="9"/>
      <c r="J8" s="9"/>
      <c r="K8" s="9"/>
      <c r="L8" s="9"/>
      <c r="M8" s="9"/>
      <c r="N8" s="9"/>
      <c r="O8" s="9"/>
      <c r="P8" s="9"/>
      <c r="Q8" s="9"/>
    </row>
    <row r="9" spans="1:39" ht="11.9" customHeight="1" x14ac:dyDescent="0.25">
      <c r="A9" s="14"/>
      <c r="B9" s="9"/>
      <c r="C9" s="9"/>
      <c r="D9" s="9"/>
      <c r="E9" s="9"/>
      <c r="F9" s="9"/>
      <c r="G9" s="9"/>
      <c r="H9" s="9"/>
      <c r="I9" s="9"/>
      <c r="J9" s="9"/>
      <c r="K9" s="9"/>
      <c r="L9" s="9"/>
      <c r="M9" s="9"/>
      <c r="N9" s="9"/>
      <c r="O9" s="9"/>
      <c r="P9" s="9"/>
      <c r="Q9" s="9"/>
    </row>
    <row r="10" spans="1:39" ht="11.9" customHeight="1" x14ac:dyDescent="0.25">
      <c r="A10" s="94" t="s">
        <v>112</v>
      </c>
      <c r="B10" s="9"/>
      <c r="C10" s="9"/>
      <c r="D10" s="9"/>
      <c r="E10" s="9"/>
      <c r="F10" s="9"/>
      <c r="G10" s="9"/>
      <c r="H10" s="9"/>
      <c r="I10" s="9"/>
      <c r="J10" s="9"/>
      <c r="K10" s="9"/>
      <c r="L10" s="9"/>
      <c r="M10" s="9"/>
      <c r="N10" s="9"/>
      <c r="O10" s="9"/>
      <c r="P10" s="9"/>
      <c r="Q10" s="9"/>
    </row>
    <row r="11" spans="1:39" ht="11.9" customHeight="1" x14ac:dyDescent="0.25">
      <c r="A11" s="94" t="s">
        <v>113</v>
      </c>
      <c r="B11" s="9"/>
      <c r="C11" s="9"/>
      <c r="D11" s="9"/>
      <c r="E11" s="9"/>
      <c r="F11" s="9"/>
      <c r="G11" s="9"/>
      <c r="H11" s="9"/>
      <c r="I11" s="9"/>
      <c r="J11" s="9"/>
      <c r="K11" s="9"/>
      <c r="L11" s="9"/>
      <c r="M11" s="9"/>
      <c r="N11" s="9"/>
      <c r="O11" s="9"/>
      <c r="P11" s="9"/>
      <c r="Q11" s="9"/>
    </row>
    <row r="12" spans="1:39" ht="11.9" customHeight="1" x14ac:dyDescent="0.25">
      <c r="A12" s="94" t="s">
        <v>114</v>
      </c>
      <c r="B12" s="65"/>
      <c r="C12" s="65"/>
      <c r="D12" s="65"/>
      <c r="E12" s="65"/>
      <c r="F12" s="9"/>
      <c r="G12" s="9"/>
      <c r="H12" s="9"/>
      <c r="I12" s="9"/>
      <c r="J12" s="9"/>
      <c r="K12" s="9"/>
      <c r="L12" s="9"/>
      <c r="M12" s="9"/>
      <c r="N12" s="9"/>
      <c r="O12" s="9"/>
      <c r="P12" s="9"/>
      <c r="Q12" s="9"/>
    </row>
    <row r="13" spans="1:39" ht="11.9" customHeight="1" x14ac:dyDescent="0.25">
      <c r="A13" s="94" t="s">
        <v>115</v>
      </c>
      <c r="B13" s="65"/>
      <c r="C13" s="65"/>
      <c r="D13" s="65"/>
      <c r="E13" s="65"/>
      <c r="F13" s="9"/>
      <c r="G13" s="9"/>
      <c r="H13" s="9"/>
      <c r="I13" s="9"/>
      <c r="J13" s="9"/>
      <c r="K13" s="9"/>
      <c r="L13" s="9"/>
      <c r="M13" s="9"/>
      <c r="N13" s="9"/>
      <c r="O13" s="9"/>
      <c r="P13" s="9"/>
      <c r="Q13" s="9"/>
    </row>
    <row r="14" spans="1:39" ht="11.9" customHeight="1" x14ac:dyDescent="0.25">
      <c r="A14" s="94" t="s">
        <v>116</v>
      </c>
      <c r="B14" s="65"/>
      <c r="C14" s="65"/>
      <c r="D14" s="65"/>
      <c r="E14" s="65"/>
      <c r="F14" s="9"/>
      <c r="G14" s="9"/>
      <c r="H14" s="9"/>
      <c r="I14" s="9"/>
      <c r="J14" s="9"/>
      <c r="K14" s="9"/>
      <c r="L14" s="9"/>
      <c r="M14" s="9"/>
      <c r="N14" s="9"/>
      <c r="O14" s="9"/>
      <c r="P14" s="9"/>
      <c r="Q14" s="9"/>
    </row>
    <row r="15" spans="1:39" ht="11.9" customHeight="1" x14ac:dyDescent="0.25">
      <c r="A15" s="13" t="s">
        <v>117</v>
      </c>
      <c r="B15" s="65"/>
      <c r="C15" s="65"/>
      <c r="D15" s="65"/>
      <c r="E15" s="65"/>
      <c r="F15" s="9"/>
      <c r="G15" s="9"/>
      <c r="H15" s="9"/>
      <c r="I15" s="9"/>
      <c r="J15" s="9"/>
      <c r="K15" s="9"/>
      <c r="L15" s="9"/>
      <c r="M15" s="9"/>
      <c r="N15" s="9"/>
      <c r="O15" s="9"/>
      <c r="P15" s="9"/>
      <c r="Q15" s="9"/>
    </row>
    <row r="16" spans="1:39" ht="11.9" customHeight="1" x14ac:dyDescent="0.25">
      <c r="A16" s="13"/>
      <c r="B16" s="65"/>
      <c r="C16" s="65"/>
      <c r="D16" s="65"/>
      <c r="E16" s="65"/>
      <c r="F16" s="9"/>
      <c r="G16" s="9"/>
      <c r="H16" s="9"/>
      <c r="I16" s="9"/>
      <c r="J16" s="9"/>
      <c r="K16" s="9"/>
      <c r="L16" s="9"/>
      <c r="M16" s="9"/>
      <c r="N16" s="9"/>
      <c r="O16" s="9"/>
      <c r="P16" s="9"/>
      <c r="Q16" s="9"/>
    </row>
    <row r="17" spans="1:17" ht="11.9" customHeight="1" x14ac:dyDescent="0.25">
      <c r="A17" s="14" t="s">
        <v>118</v>
      </c>
      <c r="B17" s="65"/>
      <c r="C17" s="65"/>
      <c r="D17" s="65"/>
      <c r="E17" s="65"/>
      <c r="F17" s="9"/>
      <c r="G17" s="9"/>
      <c r="H17" s="9"/>
      <c r="I17" s="9"/>
      <c r="J17" s="9"/>
      <c r="K17" s="9"/>
      <c r="L17" s="9"/>
      <c r="M17" s="9"/>
      <c r="N17" s="9"/>
      <c r="O17" s="9"/>
      <c r="P17" s="9"/>
      <c r="Q17" s="9"/>
    </row>
    <row r="18" spans="1:17" ht="11.9" customHeight="1" x14ac:dyDescent="0.25">
      <c r="A18" s="28" t="s">
        <v>119</v>
      </c>
      <c r="B18" s="95"/>
      <c r="C18" s="95"/>
      <c r="D18" s="95"/>
      <c r="E18" s="95"/>
      <c r="F18" s="95"/>
      <c r="G18" s="95"/>
      <c r="H18" s="95"/>
      <c r="I18" s="95"/>
    </row>
    <row r="19" spans="1:17" ht="11.9" customHeight="1" x14ac:dyDescent="0.25"/>
    <row r="20" spans="1:17" ht="11.9" customHeight="1" x14ac:dyDescent="0.25">
      <c r="A20" s="906" t="s">
        <v>120</v>
      </c>
    </row>
    <row r="21" spans="1:17" ht="11.9" customHeight="1" x14ac:dyDescent="0.25">
      <c r="A21" s="28" t="s">
        <v>121</v>
      </c>
    </row>
    <row r="22" spans="1:17" ht="11.9" customHeight="1" x14ac:dyDescent="0.25">
      <c r="A22" s="28" t="s">
        <v>122</v>
      </c>
    </row>
    <row r="23" spans="1:17" ht="11.9" customHeight="1" x14ac:dyDescent="0.25">
      <c r="A23" s="28" t="s">
        <v>123</v>
      </c>
    </row>
    <row r="24" spans="1:17" ht="11.9" customHeight="1" x14ac:dyDescent="0.25"/>
    <row r="25" spans="1:17" ht="11.9" customHeight="1" x14ac:dyDescent="0.25">
      <c r="A25" s="28" t="s">
        <v>124</v>
      </c>
      <c r="F25" s="222" t="str">
        <f>"&lt; "&amp;TEXT(Df_Pw,"€ #.##0")</f>
        <v>&lt; € 1.450.000</v>
      </c>
      <c r="G25" s="15" t="s">
        <v>125</v>
      </c>
    </row>
    <row r="26" spans="1:17" ht="11.9" customHeight="1" x14ac:dyDescent="0.25">
      <c r="A26" s="28" t="s">
        <v>126</v>
      </c>
      <c r="F26" s="222" t="str">
        <f>"&lt; "&amp;TEXT(Df_Sw,"€ #.##0")</f>
        <v>&lt; € 1.100.000</v>
      </c>
      <c r="G26" s="15" t="s">
        <v>125</v>
      </c>
    </row>
    <row r="27" spans="1:17" ht="11.9" customHeight="1" x14ac:dyDescent="0.25">
      <c r="A27" s="28" t="s">
        <v>127</v>
      </c>
      <c r="F27" s="222" t="str">
        <f>"&lt; "&amp;TEXT(Df_Os,"€ #.##0")</f>
        <v>&lt; € 120.000</v>
      </c>
      <c r="G27" s="15" t="s">
        <v>128</v>
      </c>
      <c r="I27" s="95"/>
      <c r="J27" s="95"/>
      <c r="K27" s="95"/>
      <c r="L27" s="95"/>
      <c r="M27" s="95"/>
      <c r="N27" s="95"/>
      <c r="O27" s="95"/>
      <c r="P27" s="95"/>
      <c r="Q27" s="95"/>
    </row>
    <row r="28" spans="1:17" ht="11.9" customHeight="1" x14ac:dyDescent="0.25">
      <c r="A28" s="28" t="s">
        <v>129</v>
      </c>
      <c r="F28" s="222" t="str">
        <f>"&lt; "&amp;TEXT(Df_Gra,"€ #.##0")</f>
        <v>&lt; € 4.700</v>
      </c>
      <c r="G28" s="69" t="s">
        <v>130</v>
      </c>
      <c r="I28" s="35"/>
      <c r="J28" s="35"/>
      <c r="K28" s="35"/>
      <c r="L28" s="35"/>
      <c r="M28" s="35"/>
      <c r="N28" s="35"/>
      <c r="O28" s="35"/>
      <c r="P28" s="35"/>
      <c r="Q28" s="35"/>
    </row>
    <row r="29" spans="1:17" ht="11.9" customHeight="1" x14ac:dyDescent="0.25">
      <c r="A29" s="28" t="s">
        <v>131</v>
      </c>
      <c r="F29" s="222" t="str">
        <f>"&lt; "&amp;TEXT(Df_Gea,"€ #.##0")</f>
        <v>&lt; € 2.800</v>
      </c>
      <c r="G29" s="13" t="s">
        <v>132</v>
      </c>
      <c r="I29" s="95"/>
      <c r="J29" s="95"/>
      <c r="K29" s="95"/>
      <c r="L29" s="95"/>
      <c r="M29" s="95"/>
      <c r="N29" s="95"/>
      <c r="O29" s="95"/>
      <c r="P29" s="95"/>
      <c r="Q29" s="95"/>
    </row>
    <row r="30" spans="1:17" ht="11.9" customHeight="1" x14ac:dyDescent="0.25">
      <c r="A30" s="28" t="s">
        <v>133</v>
      </c>
      <c r="F30" s="222" t="str">
        <f>"&lt; "&amp;TEXT(Df_As,"€ #.##0")</f>
        <v>&lt; € 1.400</v>
      </c>
      <c r="G30" s="13" t="s">
        <v>132</v>
      </c>
      <c r="I30" s="95"/>
      <c r="J30" s="95"/>
    </row>
    <row r="31" spans="1:17" ht="11.9" customHeight="1" thickBot="1" x14ac:dyDescent="0.3">
      <c r="H31" s="95"/>
      <c r="I31" s="95"/>
      <c r="J31" s="95"/>
    </row>
    <row r="32" spans="1:17" ht="11.9" customHeight="1" x14ac:dyDescent="0.25">
      <c r="A32" s="251" t="s">
        <v>77</v>
      </c>
      <c r="B32" s="252"/>
      <c r="C32" s="252"/>
      <c r="D32" s="252"/>
      <c r="E32" s="252"/>
      <c r="F32" s="252"/>
      <c r="G32" s="252"/>
      <c r="H32" s="252"/>
      <c r="I32" s="252"/>
      <c r="J32" s="252"/>
      <c r="K32" s="253"/>
      <c r="L32" s="253"/>
      <c r="M32" s="253"/>
      <c r="N32" s="253"/>
      <c r="O32" s="253"/>
      <c r="P32" s="253"/>
      <c r="Q32" s="254"/>
    </row>
    <row r="33" spans="1:39" ht="11.9" customHeight="1" x14ac:dyDescent="0.25">
      <c r="A33" s="255" t="s">
        <v>134</v>
      </c>
      <c r="B33" s="256"/>
      <c r="C33" s="256"/>
      <c r="D33" s="256"/>
      <c r="E33" s="256"/>
      <c r="F33" s="256"/>
      <c r="G33" s="256"/>
      <c r="H33" s="256"/>
      <c r="I33" s="256"/>
      <c r="J33" s="256"/>
      <c r="K33" s="257"/>
      <c r="L33" s="257"/>
      <c r="M33" s="257"/>
      <c r="N33" s="257"/>
      <c r="O33" s="257"/>
      <c r="P33" s="257"/>
      <c r="Q33" s="258"/>
    </row>
    <row r="34" spans="1:39" ht="11.9" customHeight="1" x14ac:dyDescent="0.25">
      <c r="A34" s="255" t="s">
        <v>135</v>
      </c>
      <c r="B34" s="256"/>
      <c r="C34" s="256"/>
      <c r="D34" s="256"/>
      <c r="E34" s="256"/>
      <c r="F34" s="256"/>
      <c r="G34" s="256"/>
      <c r="H34" s="256"/>
      <c r="I34" s="256"/>
      <c r="J34" s="256"/>
      <c r="K34" s="257"/>
      <c r="L34" s="257"/>
      <c r="M34" s="257"/>
      <c r="N34" s="257"/>
      <c r="O34" s="257"/>
      <c r="P34" s="257"/>
      <c r="Q34" s="258"/>
    </row>
    <row r="35" spans="1:39" ht="11.9" customHeight="1" x14ac:dyDescent="0.25">
      <c r="A35" s="255" t="s">
        <v>136</v>
      </c>
      <c r="B35" s="256"/>
      <c r="C35" s="256"/>
      <c r="D35" s="256"/>
      <c r="E35" s="256"/>
      <c r="F35" s="256"/>
      <c r="G35" s="256"/>
      <c r="H35" s="256"/>
      <c r="I35" s="256"/>
      <c r="J35" s="256"/>
      <c r="K35" s="257"/>
      <c r="L35" s="257"/>
      <c r="M35" s="257"/>
      <c r="N35" s="257"/>
      <c r="O35" s="257"/>
      <c r="P35" s="257"/>
      <c r="Q35" s="258"/>
    </row>
    <row r="36" spans="1:39" ht="11.9" customHeight="1" thickBot="1" x14ac:dyDescent="0.3">
      <c r="A36" s="259" t="s">
        <v>137</v>
      </c>
      <c r="B36" s="260"/>
      <c r="C36" s="260"/>
      <c r="D36" s="260"/>
      <c r="E36" s="260"/>
      <c r="F36" s="260"/>
      <c r="G36" s="260"/>
      <c r="H36" s="260"/>
      <c r="I36" s="260"/>
      <c r="J36" s="260"/>
      <c r="K36" s="261"/>
      <c r="L36" s="261"/>
      <c r="M36" s="261"/>
      <c r="N36" s="261"/>
      <c r="O36" s="261"/>
      <c r="P36" s="261"/>
      <c r="Q36" s="262"/>
    </row>
    <row r="37" spans="1:39" ht="11.9" customHeight="1" thickBot="1" x14ac:dyDescent="0.3"/>
    <row r="38" spans="1:39" s="41" customFormat="1" ht="14" thickBot="1" x14ac:dyDescent="0.3">
      <c r="A38" s="99" t="s">
        <v>138</v>
      </c>
      <c r="B38" s="100"/>
      <c r="C38" s="101"/>
      <c r="D38" s="101"/>
      <c r="E38" s="100"/>
      <c r="F38" s="100"/>
      <c r="G38" s="100"/>
      <c r="H38" s="100"/>
      <c r="I38" s="100"/>
      <c r="J38" s="100"/>
      <c r="K38" s="100"/>
      <c r="L38" s="100"/>
      <c r="M38" s="100"/>
      <c r="N38" s="100"/>
      <c r="O38" s="100"/>
      <c r="P38" s="100"/>
      <c r="Q38" s="102"/>
      <c r="W38" s="43"/>
      <c r="X38" s="43"/>
      <c r="Y38" s="43"/>
      <c r="Z38" s="43"/>
      <c r="AA38" s="43"/>
      <c r="AB38" s="43"/>
      <c r="AC38" s="43"/>
      <c r="AD38" s="43"/>
      <c r="AE38" s="43"/>
      <c r="AF38" s="43"/>
      <c r="AG38" s="43"/>
      <c r="AH38" s="43"/>
      <c r="AI38" s="43"/>
      <c r="AJ38" s="43"/>
      <c r="AK38" s="43"/>
      <c r="AL38" s="43"/>
      <c r="AM38" s="43"/>
    </row>
    <row r="39" spans="1:39" ht="11.9" customHeight="1" x14ac:dyDescent="0.25">
      <c r="A39" s="24" t="s">
        <v>139</v>
      </c>
      <c r="B39" s="9"/>
      <c r="C39" s="9"/>
      <c r="D39" s="9"/>
      <c r="E39" s="9"/>
      <c r="F39" s="9"/>
      <c r="G39" s="9"/>
      <c r="H39" s="9"/>
      <c r="I39" s="9"/>
      <c r="J39" s="9"/>
      <c r="K39" s="9"/>
      <c r="L39" s="9"/>
      <c r="M39" s="9"/>
      <c r="N39" s="9"/>
      <c r="O39" s="9"/>
      <c r="P39" s="9"/>
      <c r="Q39" s="9"/>
      <c r="W39" s="16"/>
      <c r="X39" s="16"/>
      <c r="Y39" s="16"/>
      <c r="Z39" s="16"/>
      <c r="AA39" s="16"/>
      <c r="AB39" s="16"/>
      <c r="AC39" s="16"/>
      <c r="AD39" s="16"/>
      <c r="AE39" s="16"/>
      <c r="AF39" s="16"/>
      <c r="AG39" s="16"/>
      <c r="AH39" s="16"/>
      <c r="AI39" s="16"/>
      <c r="AJ39" s="16"/>
      <c r="AK39" s="16"/>
      <c r="AL39" s="16"/>
      <c r="AM39" s="16"/>
    </row>
    <row r="40" spans="1:39" ht="11.9" customHeight="1" x14ac:dyDescent="0.25">
      <c r="A40" s="24" t="s">
        <v>140</v>
      </c>
      <c r="B40" s="9"/>
      <c r="C40" s="9"/>
      <c r="D40" s="9"/>
      <c r="E40" s="9"/>
      <c r="F40" s="9"/>
      <c r="G40" s="9"/>
      <c r="H40" s="9"/>
      <c r="I40" s="9"/>
      <c r="J40" s="9"/>
      <c r="K40" s="9"/>
      <c r="L40" s="9"/>
      <c r="M40" s="9"/>
      <c r="N40" s="9"/>
      <c r="O40" s="9"/>
      <c r="P40" s="9"/>
      <c r="Q40" s="9"/>
      <c r="W40" s="16"/>
      <c r="X40" s="16"/>
      <c r="Y40" s="16"/>
      <c r="Z40" s="16"/>
      <c r="AA40" s="16"/>
      <c r="AB40" s="16"/>
      <c r="AC40" s="16"/>
      <c r="AD40" s="16"/>
      <c r="AE40" s="16"/>
      <c r="AF40" s="16"/>
      <c r="AG40" s="16"/>
      <c r="AH40" s="16"/>
      <c r="AI40" s="16"/>
      <c r="AJ40" s="16"/>
      <c r="AK40" s="16"/>
      <c r="AL40" s="16"/>
      <c r="AM40" s="16"/>
    </row>
    <row r="41" spans="1:39" ht="11.9" customHeight="1" x14ac:dyDescent="0.25">
      <c r="A41" s="24" t="s">
        <v>141</v>
      </c>
      <c r="B41" s="9"/>
      <c r="C41" s="9"/>
      <c r="D41" s="9"/>
      <c r="E41" s="9"/>
      <c r="F41" s="9"/>
      <c r="G41" s="9"/>
      <c r="H41" s="9"/>
      <c r="I41" s="9"/>
      <c r="J41" s="9"/>
      <c r="K41" s="9"/>
      <c r="L41" s="9"/>
      <c r="M41" s="9"/>
      <c r="N41" s="9"/>
      <c r="O41" s="9"/>
      <c r="P41" s="9"/>
      <c r="Q41" s="9"/>
      <c r="W41" s="16"/>
      <c r="X41" s="16"/>
      <c r="Y41" s="16"/>
      <c r="Z41" s="16"/>
      <c r="AA41" s="16"/>
      <c r="AB41" s="16"/>
      <c r="AC41" s="16"/>
      <c r="AD41" s="16"/>
      <c r="AE41" s="16"/>
      <c r="AF41" s="16"/>
      <c r="AG41" s="16"/>
      <c r="AH41" s="16"/>
      <c r="AI41" s="16"/>
      <c r="AJ41" s="16"/>
      <c r="AK41" s="16"/>
      <c r="AL41" s="16"/>
      <c r="AM41" s="16"/>
    </row>
    <row r="42" spans="1:39" ht="11.9" customHeight="1" x14ac:dyDescent="0.25">
      <c r="A42" s="24" t="s">
        <v>142</v>
      </c>
      <c r="B42" s="9"/>
      <c r="C42" s="9"/>
      <c r="D42" s="9"/>
      <c r="E42" s="9"/>
      <c r="F42" s="9"/>
      <c r="G42" s="9"/>
      <c r="H42" s="9"/>
      <c r="I42" s="9"/>
      <c r="J42" s="9"/>
      <c r="K42" s="9"/>
      <c r="L42" s="9"/>
      <c r="M42" s="9"/>
      <c r="N42" s="9"/>
      <c r="O42" s="9"/>
      <c r="P42" s="9"/>
      <c r="Q42" s="9"/>
      <c r="W42" s="16"/>
      <c r="X42" s="16"/>
      <c r="Y42" s="16"/>
      <c r="Z42" s="16"/>
      <c r="AA42" s="16"/>
      <c r="AB42" s="16"/>
      <c r="AC42" s="16"/>
      <c r="AD42" s="16"/>
      <c r="AE42" s="16"/>
      <c r="AF42" s="16"/>
      <c r="AG42" s="16"/>
      <c r="AH42" s="16"/>
      <c r="AI42" s="16"/>
      <c r="AJ42" s="16"/>
      <c r="AK42" s="16"/>
      <c r="AL42" s="16"/>
      <c r="AM42" s="16"/>
    </row>
    <row r="43" spans="1:39" ht="12" customHeight="1" thickBot="1" x14ac:dyDescent="0.3">
      <c r="A43" s="223"/>
      <c r="H43" s="9"/>
      <c r="I43" s="9"/>
      <c r="J43" s="9"/>
      <c r="K43" s="9"/>
      <c r="L43" s="9"/>
      <c r="M43" s="9"/>
      <c r="N43" s="9"/>
      <c r="O43" s="9"/>
      <c r="P43" s="9"/>
      <c r="Q43" s="9"/>
      <c r="W43" s="16"/>
      <c r="X43" s="16"/>
      <c r="Y43" s="16"/>
      <c r="Z43" s="16"/>
      <c r="AA43" s="16"/>
      <c r="AB43" s="16"/>
      <c r="AC43" s="16"/>
      <c r="AD43" s="16"/>
      <c r="AE43" s="16"/>
      <c r="AF43" s="16"/>
      <c r="AG43" s="16"/>
      <c r="AH43" s="16"/>
      <c r="AI43" s="16"/>
      <c r="AJ43" s="16"/>
      <c r="AK43" s="16"/>
      <c r="AL43" s="16"/>
      <c r="AM43" s="16"/>
    </row>
    <row r="44" spans="1:39" ht="12" customHeight="1" x14ac:dyDescent="0.25">
      <c r="A44" s="251" t="s">
        <v>77</v>
      </c>
      <c r="B44" s="252"/>
      <c r="C44" s="252"/>
      <c r="D44" s="252"/>
      <c r="E44" s="252"/>
      <c r="F44" s="252"/>
      <c r="G44" s="252"/>
      <c r="H44" s="252"/>
      <c r="I44" s="252"/>
      <c r="J44" s="252"/>
      <c r="K44" s="253"/>
      <c r="L44" s="253"/>
      <c r="M44" s="253"/>
      <c r="N44" s="253"/>
      <c r="O44" s="253"/>
      <c r="P44" s="253"/>
      <c r="Q44" s="254"/>
      <c r="W44" s="16"/>
      <c r="X44" s="16"/>
      <c r="Y44" s="16"/>
      <c r="Z44" s="16"/>
      <c r="AA44" s="16"/>
      <c r="AB44" s="16"/>
      <c r="AC44" s="16"/>
      <c r="AD44" s="16"/>
      <c r="AE44" s="16"/>
      <c r="AF44" s="16"/>
      <c r="AG44" s="16"/>
      <c r="AH44" s="16"/>
      <c r="AI44" s="16"/>
      <c r="AJ44" s="16"/>
      <c r="AK44" s="16"/>
      <c r="AL44" s="16"/>
      <c r="AM44" s="16"/>
    </row>
    <row r="45" spans="1:39" ht="11.9" customHeight="1" x14ac:dyDescent="0.25">
      <c r="A45" s="263" t="s">
        <v>143</v>
      </c>
      <c r="B45" s="257"/>
      <c r="C45" s="257"/>
      <c r="D45" s="257"/>
      <c r="E45" s="257"/>
      <c r="F45" s="257"/>
      <c r="G45" s="257"/>
      <c r="H45" s="257"/>
      <c r="I45" s="257"/>
      <c r="J45" s="257"/>
      <c r="K45" s="257"/>
      <c r="L45" s="257"/>
      <c r="M45" s="257"/>
      <c r="N45" s="257"/>
      <c r="O45" s="257"/>
      <c r="P45" s="257"/>
      <c r="Q45" s="258"/>
      <c r="W45" s="16"/>
      <c r="X45" s="16"/>
      <c r="Y45" s="16"/>
      <c r="Z45" s="16"/>
      <c r="AA45" s="16"/>
      <c r="AB45" s="16"/>
      <c r="AC45" s="16"/>
      <c r="AD45" s="16"/>
      <c r="AE45" s="16"/>
      <c r="AF45" s="16"/>
      <c r="AG45" s="16"/>
      <c r="AH45" s="16"/>
      <c r="AI45" s="16"/>
      <c r="AJ45" s="16"/>
      <c r="AK45" s="16"/>
      <c r="AL45" s="16"/>
      <c r="AM45" s="16"/>
    </row>
    <row r="46" spans="1:39" ht="11.9" customHeight="1" thickBot="1" x14ac:dyDescent="0.3">
      <c r="A46" s="264" t="s">
        <v>144</v>
      </c>
      <c r="B46" s="261"/>
      <c r="C46" s="261"/>
      <c r="D46" s="261"/>
      <c r="E46" s="261"/>
      <c r="F46" s="261"/>
      <c r="G46" s="261"/>
      <c r="H46" s="261"/>
      <c r="I46" s="261"/>
      <c r="J46" s="261"/>
      <c r="K46" s="261"/>
      <c r="L46" s="261"/>
      <c r="M46" s="261"/>
      <c r="N46" s="261"/>
      <c r="O46" s="261"/>
      <c r="P46" s="261"/>
      <c r="Q46" s="262"/>
      <c r="W46" s="16"/>
      <c r="X46" s="16"/>
      <c r="Y46" s="16"/>
      <c r="Z46" s="16"/>
      <c r="AA46" s="16"/>
      <c r="AB46" s="16"/>
      <c r="AC46" s="16"/>
      <c r="AD46" s="16"/>
      <c r="AE46" s="16"/>
      <c r="AF46" s="16"/>
      <c r="AG46" s="16"/>
      <c r="AH46" s="16"/>
      <c r="AI46" s="16"/>
      <c r="AJ46" s="16"/>
      <c r="AK46" s="16"/>
      <c r="AL46" s="16"/>
      <c r="AM46" s="16"/>
    </row>
    <row r="47" spans="1:39" ht="11.9" customHeight="1" x14ac:dyDescent="0.25">
      <c r="A47" s="52"/>
      <c r="B47" s="9"/>
      <c r="C47" s="9"/>
      <c r="D47" s="9"/>
      <c r="E47" s="9"/>
      <c r="F47" s="9"/>
      <c r="G47" s="9"/>
      <c r="H47" s="9"/>
      <c r="I47" s="9"/>
      <c r="J47" s="9"/>
      <c r="K47" s="9"/>
      <c r="L47" s="9"/>
      <c r="M47" s="9"/>
      <c r="N47" s="9"/>
      <c r="O47" s="9"/>
      <c r="P47" s="9"/>
      <c r="Q47" s="9"/>
      <c r="W47" s="16"/>
      <c r="X47" s="16"/>
      <c r="Y47" s="16"/>
      <c r="Z47" s="16"/>
      <c r="AA47" s="16"/>
      <c r="AB47" s="16"/>
      <c r="AC47" s="16"/>
      <c r="AD47" s="16"/>
      <c r="AE47" s="16"/>
      <c r="AF47" s="16"/>
      <c r="AG47" s="16"/>
      <c r="AH47" s="16"/>
      <c r="AI47" s="16"/>
      <c r="AJ47" s="16"/>
      <c r="AK47" s="16"/>
      <c r="AL47" s="16"/>
      <c r="AM47" s="16"/>
    </row>
    <row r="48" spans="1:39" ht="11.9" customHeight="1" x14ac:dyDescent="0.25">
      <c r="A48" s="52" t="s">
        <v>145</v>
      </c>
      <c r="B48" s="9"/>
      <c r="C48" s="9"/>
      <c r="D48" s="1014" t="s">
        <v>146</v>
      </c>
      <c r="E48" s="1014"/>
      <c r="F48" s="1014"/>
      <c r="G48" s="1014"/>
      <c r="H48" s="1014"/>
      <c r="I48" s="1014"/>
      <c r="J48" s="1014"/>
      <c r="K48" s="1014"/>
      <c r="L48" s="1014"/>
      <c r="M48" s="1014"/>
      <c r="N48" s="271"/>
      <c r="O48" s="271"/>
      <c r="P48" s="9"/>
      <c r="Q48" s="9"/>
      <c r="W48" s="16"/>
      <c r="X48" s="16"/>
      <c r="Y48" s="16"/>
      <c r="Z48" s="16"/>
      <c r="AA48" s="16"/>
      <c r="AB48" s="16"/>
      <c r="AC48" s="16"/>
      <c r="AD48" s="16"/>
      <c r="AE48" s="16"/>
      <c r="AF48" s="16"/>
      <c r="AG48" s="16"/>
      <c r="AH48" s="16"/>
      <c r="AI48" s="16"/>
      <c r="AJ48" s="16"/>
      <c r="AK48" s="16"/>
      <c r="AL48" s="16"/>
      <c r="AM48" s="16"/>
    </row>
    <row r="49" spans="1:39" ht="11.9" customHeight="1" x14ac:dyDescent="0.25">
      <c r="A49" s="52"/>
      <c r="B49" s="9"/>
      <c r="C49" s="9"/>
      <c r="D49" s="19"/>
      <c r="E49" s="19"/>
      <c r="F49" s="19"/>
      <c r="G49" s="19"/>
      <c r="H49" s="19"/>
      <c r="I49" s="19"/>
      <c r="J49" s="19"/>
      <c r="K49" s="19"/>
      <c r="L49" s="19"/>
      <c r="M49" s="19"/>
      <c r="N49" s="9"/>
      <c r="O49" s="9"/>
      <c r="P49" s="9"/>
      <c r="Q49" s="9"/>
      <c r="W49" s="16"/>
      <c r="X49" s="16"/>
      <c r="Y49" s="16"/>
      <c r="Z49" s="16"/>
      <c r="AA49" s="16"/>
      <c r="AB49" s="16"/>
      <c r="AC49" s="16"/>
      <c r="AD49" s="16"/>
      <c r="AE49" s="16"/>
      <c r="AF49" s="16"/>
      <c r="AG49" s="16"/>
      <c r="AH49" s="16"/>
      <c r="AI49" s="16"/>
      <c r="AJ49" s="16"/>
      <c r="AK49" s="16"/>
      <c r="AL49" s="16"/>
      <c r="AM49" s="16"/>
    </row>
    <row r="50" spans="1:39" s="46" customFormat="1" ht="13.5" x14ac:dyDescent="0.25">
      <c r="A50" s="53" t="s">
        <v>147</v>
      </c>
      <c r="B50" s="45"/>
      <c r="C50" s="45"/>
      <c r="D50" s="45"/>
      <c r="E50" s="45"/>
      <c r="F50" s="45"/>
      <c r="G50" s="45"/>
      <c r="H50" s="45"/>
      <c r="I50" s="45"/>
      <c r="J50" s="45"/>
      <c r="K50" s="45"/>
      <c r="L50" s="45"/>
      <c r="M50" s="45"/>
      <c r="N50" s="45"/>
      <c r="O50" s="45"/>
      <c r="P50" s="45"/>
      <c r="Q50" s="45"/>
    </row>
    <row r="51" spans="1:39" ht="11.9" customHeight="1" x14ac:dyDescent="0.25">
      <c r="A51" s="69" t="s">
        <v>148</v>
      </c>
      <c r="B51" s="67"/>
      <c r="C51" s="67"/>
      <c r="D51" s="67"/>
      <c r="E51" s="67"/>
      <c r="F51" s="67"/>
      <c r="G51" s="67"/>
      <c r="H51" s="67"/>
      <c r="I51" s="67"/>
      <c r="J51" s="67"/>
      <c r="K51" s="67"/>
      <c r="L51" s="67"/>
      <c r="M51" s="67"/>
      <c r="N51" s="67"/>
      <c r="O51" s="67"/>
      <c r="P51" s="67"/>
      <c r="Q51" s="67"/>
    </row>
    <row r="52" spans="1:39" ht="11.9" customHeight="1" x14ac:dyDescent="0.25">
      <c r="A52" s="94" t="s">
        <v>149</v>
      </c>
      <c r="B52" s="67"/>
      <c r="C52" s="67"/>
      <c r="D52" s="67"/>
      <c r="E52" s="67"/>
      <c r="F52" s="67"/>
      <c r="G52" s="67"/>
      <c r="H52" s="67"/>
      <c r="I52" s="67"/>
      <c r="J52" s="67"/>
      <c r="K52" s="67"/>
      <c r="L52" s="67"/>
      <c r="M52" s="67"/>
      <c r="N52" s="67"/>
      <c r="O52" s="67"/>
      <c r="P52" s="67"/>
      <c r="Q52" s="67"/>
    </row>
    <row r="53" spans="1:39" ht="11.9" customHeight="1" x14ac:dyDescent="0.25">
      <c r="A53" s="69"/>
      <c r="B53" s="67"/>
      <c r="C53" s="67"/>
      <c r="D53" s="67"/>
      <c r="E53" s="67"/>
      <c r="F53" s="67"/>
      <c r="G53" s="67"/>
      <c r="H53" s="67"/>
      <c r="I53" s="67"/>
      <c r="J53" s="67"/>
      <c r="K53" s="67"/>
      <c r="L53" s="67"/>
      <c r="M53" s="67"/>
      <c r="N53" s="67"/>
      <c r="O53" s="67"/>
      <c r="P53" s="67"/>
      <c r="Q53" s="67"/>
    </row>
    <row r="54" spans="1:39" s="46" customFormat="1" ht="13.5" x14ac:dyDescent="0.25">
      <c r="A54" s="53" t="s">
        <v>150</v>
      </c>
      <c r="B54" s="45"/>
      <c r="C54" s="45"/>
      <c r="D54" s="45"/>
      <c r="E54" s="45"/>
      <c r="F54" s="45"/>
      <c r="G54" s="45"/>
      <c r="H54" s="45"/>
      <c r="I54" s="45"/>
      <c r="J54" s="45"/>
      <c r="K54" s="45"/>
      <c r="L54" s="45"/>
      <c r="M54" s="45"/>
      <c r="N54" s="45"/>
      <c r="O54" s="45"/>
      <c r="P54" s="45"/>
      <c r="Q54" s="45"/>
    </row>
    <row r="55" spans="1:39" ht="11.9" customHeight="1" x14ac:dyDescent="0.25">
      <c r="A55" s="69" t="s">
        <v>151</v>
      </c>
      <c r="B55" s="67"/>
      <c r="C55" s="67"/>
      <c r="D55" s="67"/>
      <c r="E55" s="67"/>
      <c r="F55" s="67"/>
      <c r="G55" s="67"/>
      <c r="H55" s="67"/>
      <c r="I55" s="67"/>
      <c r="J55" s="67"/>
      <c r="K55" s="67"/>
      <c r="L55" s="67"/>
      <c r="M55" s="67"/>
      <c r="N55" s="67"/>
      <c r="O55" s="67"/>
      <c r="P55" s="67"/>
      <c r="Q55" s="67"/>
    </row>
    <row r="56" spans="1:39" ht="11.9" customHeight="1" x14ac:dyDescent="0.25">
      <c r="A56" s="94" t="s">
        <v>152</v>
      </c>
      <c r="B56" s="67"/>
      <c r="C56" s="67"/>
      <c r="D56" s="67"/>
      <c r="E56" s="67"/>
      <c r="F56" s="67"/>
      <c r="G56" s="67"/>
      <c r="H56" s="67"/>
      <c r="I56" s="67"/>
      <c r="J56" s="67"/>
      <c r="K56" s="67"/>
      <c r="L56" s="67"/>
      <c r="M56" s="67"/>
      <c r="N56" s="67"/>
      <c r="O56" s="67"/>
      <c r="P56" s="67"/>
      <c r="Q56" s="67"/>
    </row>
    <row r="57" spans="1:39" ht="11.9" customHeight="1" x14ac:dyDescent="0.25">
      <c r="A57" s="94"/>
      <c r="B57" s="67"/>
      <c r="C57" s="67"/>
      <c r="D57" s="67"/>
      <c r="E57" s="67"/>
      <c r="F57" s="67"/>
      <c r="G57" s="67"/>
      <c r="H57" s="67"/>
      <c r="I57" s="67"/>
      <c r="J57" s="67"/>
      <c r="K57" s="67"/>
      <c r="L57" s="67"/>
      <c r="M57" s="67"/>
      <c r="N57" s="67"/>
      <c r="O57" s="67"/>
      <c r="P57" s="67"/>
      <c r="Q57" s="67"/>
    </row>
    <row r="58" spans="1:39" s="44" customFormat="1" ht="14.15" customHeight="1" x14ac:dyDescent="0.25">
      <c r="A58" s="53" t="s">
        <v>153</v>
      </c>
      <c r="B58" s="53"/>
      <c r="C58" s="53"/>
      <c r="D58" s="53"/>
      <c r="E58" s="53"/>
      <c r="F58" s="53"/>
      <c r="G58" s="53"/>
      <c r="H58" s="53"/>
      <c r="I58" s="53"/>
      <c r="J58" s="53"/>
      <c r="K58" s="53"/>
      <c r="L58" s="53"/>
      <c r="M58" s="53"/>
      <c r="N58" s="47"/>
      <c r="O58" s="47"/>
      <c r="P58" s="47"/>
      <c r="Q58" s="47"/>
    </row>
    <row r="59" spans="1:39" ht="11.9" customHeight="1" x14ac:dyDescent="0.25">
      <c r="A59" s="20" t="s">
        <v>154</v>
      </c>
      <c r="B59" s="80"/>
      <c r="C59" s="80"/>
      <c r="D59" s="80"/>
      <c r="E59" s="80"/>
      <c r="F59" s="80"/>
      <c r="G59" s="80"/>
      <c r="H59" s="80"/>
      <c r="I59" s="80"/>
      <c r="J59" s="80"/>
      <c r="K59" s="80"/>
      <c r="L59" s="80"/>
      <c r="M59" s="80"/>
      <c r="N59" s="80"/>
      <c r="O59" s="80"/>
      <c r="P59" s="80"/>
      <c r="Q59" s="80"/>
    </row>
    <row r="60" spans="1:39" ht="11.9" customHeight="1" x14ac:dyDescent="0.25">
      <c r="A60" s="20" t="s">
        <v>155</v>
      </c>
      <c r="B60" s="80"/>
      <c r="C60" s="80"/>
      <c r="D60" s="80"/>
      <c r="E60" s="80"/>
      <c r="F60" s="80"/>
      <c r="G60" s="80"/>
      <c r="H60" s="80"/>
      <c r="I60" s="80"/>
      <c r="J60" s="80"/>
      <c r="K60" s="80"/>
      <c r="L60" s="80"/>
      <c r="M60" s="80"/>
      <c r="N60" s="80"/>
      <c r="O60" s="80"/>
      <c r="P60" s="80"/>
      <c r="Q60" s="80"/>
    </row>
    <row r="61" spans="1:39" ht="11.9" customHeight="1" x14ac:dyDescent="0.25">
      <c r="A61" s="20" t="s">
        <v>156</v>
      </c>
      <c r="B61" s="80"/>
      <c r="C61" s="80"/>
      <c r="D61" s="80"/>
      <c r="E61" s="80"/>
      <c r="F61" s="80"/>
      <c r="G61" s="80"/>
      <c r="H61" s="80"/>
      <c r="I61" s="80"/>
      <c r="J61" s="80"/>
      <c r="K61" s="80"/>
      <c r="L61" s="80"/>
      <c r="M61" s="80"/>
      <c r="N61" s="80"/>
      <c r="O61" s="80"/>
      <c r="P61" s="80"/>
      <c r="Q61" s="80"/>
    </row>
    <row r="62" spans="1:39" ht="11.9" customHeight="1" x14ac:dyDescent="0.25">
      <c r="A62" s="20"/>
      <c r="B62" s="80"/>
      <c r="C62" s="80"/>
      <c r="D62" s="80"/>
      <c r="E62" s="80"/>
      <c r="F62" s="80"/>
      <c r="G62" s="80"/>
      <c r="H62" s="80"/>
      <c r="I62" s="80"/>
      <c r="J62" s="80"/>
      <c r="K62" s="80"/>
      <c r="L62" s="80"/>
      <c r="M62" s="80"/>
      <c r="N62" s="80"/>
      <c r="O62" s="80"/>
      <c r="P62" s="80"/>
      <c r="Q62" s="80"/>
    </row>
    <row r="63" spans="1:39" s="44" customFormat="1" ht="14.15" customHeight="1" x14ac:dyDescent="0.25">
      <c r="A63" s="53" t="s">
        <v>157</v>
      </c>
      <c r="B63" s="53"/>
      <c r="C63" s="53"/>
      <c r="D63" s="53"/>
      <c r="E63" s="53"/>
      <c r="F63" s="53"/>
      <c r="G63" s="53"/>
      <c r="H63" s="53"/>
      <c r="I63" s="53"/>
      <c r="J63" s="53"/>
      <c r="K63" s="53"/>
      <c r="L63" s="53"/>
      <c r="M63" s="53"/>
      <c r="N63" s="47"/>
      <c r="O63" s="47"/>
      <c r="P63" s="47"/>
      <c r="Q63" s="47"/>
    </row>
    <row r="64" spans="1:39" ht="12.5" x14ac:dyDescent="0.25">
      <c r="A64" s="13" t="s">
        <v>158</v>
      </c>
      <c r="B64" s="63"/>
      <c r="C64" s="63"/>
      <c r="D64" s="63"/>
      <c r="E64" s="63"/>
      <c r="F64" s="63"/>
      <c r="G64" s="63"/>
      <c r="H64" s="63"/>
      <c r="I64" s="63"/>
      <c r="J64" s="63"/>
      <c r="K64" s="63"/>
      <c r="L64" s="63"/>
      <c r="M64" s="63"/>
    </row>
    <row r="65" spans="1:39" ht="12.5" x14ac:dyDescent="0.25">
      <c r="A65" s="25"/>
      <c r="B65" s="63"/>
      <c r="C65" s="63"/>
      <c r="D65" s="63"/>
      <c r="E65" s="63"/>
      <c r="F65" s="63"/>
      <c r="G65" s="63"/>
      <c r="H65" s="63"/>
      <c r="I65" s="63"/>
      <c r="J65" s="63"/>
      <c r="K65" s="63"/>
      <c r="L65" s="63"/>
      <c r="M65" s="63"/>
    </row>
    <row r="66" spans="1:39" s="44" customFormat="1" ht="13.5" x14ac:dyDescent="0.25">
      <c r="A66" s="58" t="s">
        <v>159</v>
      </c>
      <c r="B66" s="58"/>
      <c r="C66" s="58"/>
      <c r="D66" s="58"/>
      <c r="E66" s="58"/>
      <c r="F66" s="58"/>
      <c r="G66" s="58"/>
      <c r="H66" s="58"/>
      <c r="I66" s="58"/>
      <c r="J66" s="58"/>
      <c r="K66" s="58"/>
      <c r="L66" s="58"/>
      <c r="M66" s="58"/>
      <c r="N66" s="59"/>
      <c r="O66" s="59"/>
      <c r="P66" s="59"/>
      <c r="Q66" s="60"/>
    </row>
    <row r="67" spans="1:39" ht="11.9" customHeight="1" x14ac:dyDescent="0.25">
      <c r="A67" s="25" t="s">
        <v>160</v>
      </c>
    </row>
    <row r="68" spans="1:39" ht="11.9" customHeight="1" x14ac:dyDescent="0.25">
      <c r="A68" s="28" t="s">
        <v>161</v>
      </c>
    </row>
    <row r="69" spans="1:39" ht="11.9" customHeight="1" x14ac:dyDescent="0.25">
      <c r="A69" s="15" t="s">
        <v>162</v>
      </c>
      <c r="C69" s="64"/>
      <c r="D69" s="64"/>
      <c r="E69" s="64"/>
      <c r="F69" s="64"/>
      <c r="G69" s="64"/>
      <c r="H69" s="64"/>
      <c r="I69" s="64"/>
      <c r="J69" s="64"/>
      <c r="K69" s="64"/>
      <c r="L69" s="64"/>
      <c r="M69" s="64"/>
      <c r="N69" s="64"/>
      <c r="O69" s="64"/>
      <c r="P69" s="64"/>
      <c r="Q69" s="64"/>
    </row>
    <row r="70" spans="1:39" ht="11.9" customHeight="1" x14ac:dyDescent="0.25">
      <c r="A70" s="923" t="s">
        <v>163</v>
      </c>
      <c r="C70" s="64"/>
      <c r="D70" s="64"/>
      <c r="E70" s="64"/>
      <c r="F70" s="64"/>
      <c r="G70" s="64"/>
      <c r="H70" s="64"/>
      <c r="I70" s="64"/>
      <c r="J70" s="64"/>
      <c r="K70" s="64"/>
      <c r="L70" s="64"/>
      <c r="M70" s="64"/>
      <c r="N70" s="64"/>
      <c r="O70" s="64"/>
      <c r="P70" s="64"/>
      <c r="Q70" s="64"/>
    </row>
    <row r="71" spans="1:39" ht="11.9" customHeight="1" x14ac:dyDescent="0.25">
      <c r="A71" s="15" t="s">
        <v>164</v>
      </c>
      <c r="C71" s="64"/>
      <c r="D71" s="64"/>
      <c r="E71" s="64"/>
      <c r="F71" s="64"/>
      <c r="G71" s="64"/>
      <c r="H71" s="64"/>
      <c r="I71" s="64"/>
      <c r="J71" s="64"/>
      <c r="K71" s="64"/>
      <c r="L71" s="64"/>
      <c r="M71" s="64"/>
      <c r="N71" s="64"/>
      <c r="O71" s="64"/>
      <c r="P71" s="64"/>
      <c r="Q71" s="64"/>
    </row>
    <row r="72" spans="1:39" ht="11.9" customHeight="1" x14ac:dyDescent="0.25">
      <c r="A72" s="95"/>
      <c r="B72" s="96"/>
      <c r="C72" s="96"/>
      <c r="D72" s="96"/>
      <c r="E72" s="96"/>
      <c r="F72" s="96"/>
      <c r="G72" s="96"/>
      <c r="H72" s="96"/>
      <c r="I72" s="64"/>
      <c r="J72" s="64"/>
      <c r="K72" s="64"/>
      <c r="L72" s="64"/>
      <c r="M72" s="64"/>
      <c r="N72" s="64"/>
      <c r="O72" s="64"/>
      <c r="P72" s="64"/>
      <c r="Q72" s="64"/>
    </row>
    <row r="73" spans="1:39" s="44" customFormat="1" ht="13.5" x14ac:dyDescent="0.25">
      <c r="A73" s="54" t="s">
        <v>165</v>
      </c>
      <c r="B73" s="42"/>
      <c r="C73" s="36"/>
      <c r="D73" s="36"/>
      <c r="E73" s="42"/>
      <c r="F73" s="42"/>
      <c r="G73" s="42"/>
      <c r="H73" s="42"/>
      <c r="I73" s="42"/>
      <c r="J73" s="42"/>
      <c r="K73" s="42"/>
      <c r="L73" s="42"/>
      <c r="M73" s="42"/>
      <c r="N73" s="42"/>
      <c r="O73" s="42"/>
      <c r="P73" s="42"/>
      <c r="Q73" s="42"/>
    </row>
    <row r="74" spans="1:39" ht="11.9" customHeight="1" x14ac:dyDescent="0.25">
      <c r="A74" s="51" t="s">
        <v>166</v>
      </c>
      <c r="B74" s="9"/>
      <c r="C74" s="9"/>
      <c r="D74" s="9"/>
      <c r="E74" s="9"/>
      <c r="F74" s="9"/>
      <c r="G74" s="9"/>
      <c r="H74" s="9"/>
      <c r="I74" s="9"/>
      <c r="J74" s="9"/>
      <c r="K74" s="9"/>
      <c r="L74" s="9"/>
      <c r="M74" s="9"/>
      <c r="N74" s="9"/>
      <c r="O74" s="9"/>
      <c r="P74" s="9"/>
      <c r="Q74" s="9"/>
    </row>
    <row r="75" spans="1:39" ht="11.9" customHeight="1" x14ac:dyDescent="0.25">
      <c r="A75" s="52" t="s">
        <v>167</v>
      </c>
      <c r="B75" s="9"/>
      <c r="C75" s="9"/>
      <c r="D75" s="9"/>
      <c r="E75" s="9"/>
      <c r="F75" s="9"/>
      <c r="G75" s="9"/>
      <c r="H75" s="9"/>
      <c r="I75" s="9"/>
      <c r="J75" s="9"/>
      <c r="K75" s="9"/>
      <c r="L75" s="9"/>
      <c r="M75" s="9"/>
      <c r="N75" s="9"/>
      <c r="O75" s="9"/>
      <c r="P75" s="9"/>
      <c r="Q75" s="9"/>
    </row>
    <row r="76" spans="1:39" ht="11.9" customHeight="1" x14ac:dyDescent="0.25">
      <c r="A76" s="52" t="s">
        <v>168</v>
      </c>
      <c r="B76" s="9"/>
      <c r="C76" s="9"/>
      <c r="D76" s="9"/>
      <c r="E76" s="9"/>
      <c r="F76" s="9"/>
      <c r="G76" s="9"/>
      <c r="H76" s="9"/>
      <c r="I76" s="9"/>
      <c r="J76" s="9"/>
      <c r="K76" s="9"/>
      <c r="L76" s="9"/>
      <c r="M76" s="9"/>
      <c r="N76" s="9"/>
      <c r="O76" s="9"/>
      <c r="P76" s="9"/>
      <c r="Q76" s="9"/>
    </row>
    <row r="77" spans="1:39" ht="11.9" customHeight="1" x14ac:dyDescent="0.25">
      <c r="A77" s="52" t="s">
        <v>169</v>
      </c>
      <c r="B77" s="9"/>
      <c r="C77" s="9"/>
      <c r="D77" s="9"/>
      <c r="E77" s="9"/>
      <c r="F77" s="9"/>
      <c r="G77" s="9"/>
      <c r="H77" s="9"/>
      <c r="I77" s="9"/>
      <c r="J77" s="9"/>
      <c r="K77" s="9"/>
      <c r="L77" s="9"/>
      <c r="M77" s="9"/>
      <c r="N77" s="9"/>
      <c r="O77" s="9"/>
      <c r="P77" s="9"/>
      <c r="Q77" s="9"/>
    </row>
    <row r="78" spans="1:39" ht="11.9" customHeight="1" x14ac:dyDescent="0.25">
      <c r="A78" s="24" t="s">
        <v>170</v>
      </c>
      <c r="B78" s="9"/>
      <c r="C78" s="9"/>
      <c r="D78" s="9"/>
      <c r="E78" s="9"/>
      <c r="F78" s="9"/>
      <c r="G78" s="9"/>
      <c r="H78" s="9"/>
      <c r="I78" s="9"/>
      <c r="J78" s="9"/>
      <c r="K78" s="9"/>
      <c r="L78" s="9"/>
      <c r="M78" s="9"/>
      <c r="N78" s="9"/>
      <c r="O78" s="9"/>
      <c r="P78" s="9"/>
      <c r="Q78" s="9"/>
    </row>
    <row r="79" spans="1:39" ht="11.9" customHeight="1" thickBot="1" x14ac:dyDescent="0.3">
      <c r="A79" s="52"/>
      <c r="B79" s="9"/>
      <c r="C79" s="9"/>
      <c r="D79" s="9"/>
      <c r="E79" s="9"/>
      <c r="F79" s="9"/>
      <c r="G79" s="9"/>
      <c r="H79" s="9"/>
      <c r="I79" s="9"/>
      <c r="J79" s="9"/>
      <c r="K79" s="9"/>
      <c r="L79" s="9"/>
      <c r="M79" s="9"/>
      <c r="N79" s="9"/>
      <c r="O79" s="9"/>
      <c r="P79" s="9"/>
      <c r="Q79" s="9"/>
    </row>
    <row r="80" spans="1:39" ht="12" customHeight="1" x14ac:dyDescent="0.25">
      <c r="A80" s="251" t="s">
        <v>77</v>
      </c>
      <c r="B80" s="252"/>
      <c r="C80" s="252"/>
      <c r="D80" s="252"/>
      <c r="E80" s="252"/>
      <c r="F80" s="252"/>
      <c r="G80" s="252"/>
      <c r="H80" s="252"/>
      <c r="I80" s="252"/>
      <c r="J80" s="252"/>
      <c r="K80" s="253"/>
      <c r="L80" s="253"/>
      <c r="M80" s="253"/>
      <c r="N80" s="253"/>
      <c r="O80" s="253"/>
      <c r="P80" s="253"/>
      <c r="Q80" s="254"/>
      <c r="W80" s="16"/>
      <c r="X80" s="16"/>
      <c r="Y80" s="16"/>
      <c r="Z80" s="16"/>
      <c r="AA80" s="16"/>
      <c r="AB80" s="16"/>
      <c r="AC80" s="16"/>
      <c r="AD80" s="16"/>
      <c r="AE80" s="16"/>
      <c r="AF80" s="16"/>
      <c r="AG80" s="16"/>
      <c r="AH80" s="16"/>
      <c r="AI80" s="16"/>
      <c r="AJ80" s="16"/>
      <c r="AK80" s="16"/>
      <c r="AL80" s="16"/>
      <c r="AM80" s="16"/>
    </row>
    <row r="81" spans="1:18" ht="11.9" customHeight="1" x14ac:dyDescent="0.25">
      <c r="A81" s="263" t="s">
        <v>171</v>
      </c>
      <c r="B81" s="257"/>
      <c r="C81" s="257"/>
      <c r="D81" s="257"/>
      <c r="E81" s="257"/>
      <c r="F81" s="257"/>
      <c r="G81" s="257"/>
      <c r="H81" s="257"/>
      <c r="I81" s="257"/>
      <c r="J81" s="257"/>
      <c r="K81" s="257"/>
      <c r="L81" s="257"/>
      <c r="M81" s="257"/>
      <c r="N81" s="257"/>
      <c r="O81" s="257"/>
      <c r="P81" s="257"/>
      <c r="Q81" s="258"/>
    </row>
    <row r="82" spans="1:18" ht="11.9" customHeight="1" thickBot="1" x14ac:dyDescent="0.3">
      <c r="A82" s="264" t="s">
        <v>144</v>
      </c>
      <c r="B82" s="261"/>
      <c r="C82" s="261"/>
      <c r="D82" s="261"/>
      <c r="E82" s="261"/>
      <c r="F82" s="261"/>
      <c r="G82" s="261"/>
      <c r="H82" s="261"/>
      <c r="I82" s="261"/>
      <c r="J82" s="261"/>
      <c r="K82" s="261"/>
      <c r="L82" s="261"/>
      <c r="M82" s="261"/>
      <c r="N82" s="261"/>
      <c r="O82" s="261"/>
      <c r="P82" s="261"/>
      <c r="Q82" s="262"/>
    </row>
    <row r="83" spans="1:18" ht="11.9" customHeight="1" x14ac:dyDescent="0.25">
      <c r="A83" s="52"/>
      <c r="B83" s="9"/>
      <c r="C83" s="9"/>
      <c r="D83" s="9"/>
      <c r="E83" s="9"/>
      <c r="F83" s="9"/>
      <c r="G83" s="9"/>
      <c r="H83" s="9"/>
      <c r="I83" s="9"/>
      <c r="J83" s="9"/>
      <c r="K83" s="9"/>
      <c r="L83" s="9"/>
      <c r="M83" s="9"/>
      <c r="N83" s="9"/>
      <c r="O83" s="9"/>
      <c r="P83" s="9"/>
      <c r="Q83" s="9"/>
    </row>
    <row r="84" spans="1:18" s="41" customFormat="1" ht="13.5" x14ac:dyDescent="0.25">
      <c r="A84" s="98" t="s">
        <v>172</v>
      </c>
      <c r="B84" s="40"/>
      <c r="C84" s="40"/>
      <c r="D84" s="40"/>
      <c r="E84" s="40"/>
      <c r="F84" s="40"/>
      <c r="G84" s="40"/>
      <c r="H84" s="40"/>
      <c r="I84" s="40"/>
      <c r="J84" s="40"/>
      <c r="K84" s="40"/>
      <c r="L84" s="40"/>
      <c r="M84" s="40"/>
      <c r="N84" s="40"/>
      <c r="O84" s="40"/>
      <c r="P84" s="40"/>
      <c r="Q84" s="40"/>
    </row>
    <row r="85" spans="1:18" ht="11.9" customHeight="1" x14ac:dyDescent="0.25">
      <c r="A85" s="50" t="s">
        <v>173</v>
      </c>
      <c r="B85" s="9"/>
      <c r="C85" s="9"/>
      <c r="D85" s="9"/>
      <c r="E85" s="9"/>
      <c r="F85" s="9"/>
      <c r="G85" s="9"/>
      <c r="H85" s="9"/>
      <c r="I85" s="9"/>
      <c r="J85" s="9"/>
      <c r="K85" s="9"/>
      <c r="L85" s="9"/>
      <c r="M85" s="9"/>
      <c r="N85" s="9"/>
      <c r="O85" s="9"/>
      <c r="P85" s="9"/>
      <c r="Q85" s="9"/>
    </row>
    <row r="86" spans="1:18" ht="11.9" customHeight="1" x14ac:dyDescent="0.25">
      <c r="A86" s="51" t="s">
        <v>174</v>
      </c>
      <c r="B86" s="9"/>
      <c r="C86" s="9"/>
      <c r="D86" s="9"/>
      <c r="E86" s="9"/>
      <c r="F86" s="9"/>
      <c r="G86" s="9"/>
      <c r="H86" s="9"/>
      <c r="I86" s="9"/>
      <c r="J86" s="9"/>
      <c r="K86" s="9"/>
      <c r="L86" s="9"/>
      <c r="M86" s="9"/>
      <c r="N86" s="9"/>
      <c r="O86" s="9"/>
      <c r="P86" s="9"/>
      <c r="Q86" s="9"/>
      <c r="R86"/>
    </row>
    <row r="87" spans="1:18" ht="11.9" customHeight="1" x14ac:dyDescent="0.25">
      <c r="A87" s="227" t="s">
        <v>175</v>
      </c>
      <c r="B87" s="9"/>
      <c r="C87" s="9"/>
      <c r="D87" s="9"/>
      <c r="E87" s="9"/>
      <c r="F87" s="9"/>
      <c r="G87" s="9"/>
      <c r="H87" s="9"/>
      <c r="I87" s="9"/>
      <c r="J87" s="9"/>
      <c r="K87" s="9"/>
      <c r="L87" s="9"/>
      <c r="M87" s="9"/>
      <c r="N87" s="9"/>
      <c r="O87" s="9"/>
      <c r="P87" s="9"/>
      <c r="Q87" s="9"/>
    </row>
    <row r="88" spans="1:18" ht="11.9" customHeight="1" x14ac:dyDescent="0.25">
      <c r="A88" s="24" t="s">
        <v>176</v>
      </c>
      <c r="B88" s="103"/>
      <c r="C88" s="103"/>
      <c r="D88" s="103"/>
      <c r="E88" s="103"/>
      <c r="F88" s="103"/>
      <c r="G88" s="103"/>
      <c r="H88" s="103"/>
      <c r="I88" s="103"/>
      <c r="J88" s="103"/>
      <c r="K88" s="103"/>
      <c r="L88" s="103"/>
      <c r="M88" s="103"/>
      <c r="N88" s="103"/>
      <c r="O88" s="103"/>
      <c r="P88" s="103"/>
      <c r="Q88" s="9"/>
    </row>
    <row r="89" spans="1:18" ht="11.9" customHeight="1" x14ac:dyDescent="0.25">
      <c r="A89" s="24" t="s">
        <v>177</v>
      </c>
      <c r="B89" s="104"/>
      <c r="C89" s="104"/>
      <c r="D89" s="104"/>
      <c r="E89" s="104"/>
      <c r="F89" s="104"/>
      <c r="G89" s="104"/>
      <c r="H89" s="104"/>
      <c r="I89" s="104"/>
      <c r="J89" s="104"/>
      <c r="K89" s="104"/>
      <c r="L89" s="104"/>
      <c r="M89" s="104"/>
      <c r="N89" s="104"/>
      <c r="O89" s="104"/>
      <c r="P89" s="104"/>
      <c r="Q89" s="9"/>
    </row>
    <row r="90" spans="1:18" ht="11.9" customHeight="1" x14ac:dyDescent="0.25">
      <c r="A90" s="105" t="s">
        <v>178</v>
      </c>
      <c r="B90" s="104"/>
      <c r="C90" s="104"/>
      <c r="D90" s="104"/>
      <c r="E90" s="104"/>
      <c r="F90" s="104"/>
      <c r="G90" s="104"/>
      <c r="H90" s="104"/>
      <c r="I90" s="104"/>
      <c r="J90" s="104"/>
      <c r="K90" s="104"/>
      <c r="L90" s="104"/>
      <c r="M90" s="104"/>
      <c r="N90" s="104"/>
      <c r="O90" s="104"/>
      <c r="P90" s="104"/>
      <c r="Q90" s="9"/>
    </row>
    <row r="91" spans="1:18" ht="11.9" customHeight="1" x14ac:dyDescent="0.25">
      <c r="A91" s="52"/>
      <c r="B91" s="9"/>
      <c r="C91" s="9"/>
      <c r="D91" s="9"/>
      <c r="E91" s="9"/>
      <c r="F91" s="9"/>
      <c r="G91" s="9"/>
      <c r="H91" s="9"/>
      <c r="I91" s="9"/>
      <c r="J91" s="9"/>
      <c r="K91" s="9"/>
      <c r="L91" s="9"/>
      <c r="M91" s="9"/>
      <c r="N91" s="9"/>
      <c r="O91" s="9"/>
      <c r="P91" s="9"/>
      <c r="Q91" s="9"/>
    </row>
    <row r="92" spans="1:18" s="41" customFormat="1" ht="13.5" x14ac:dyDescent="0.25">
      <c r="A92" s="49" t="s">
        <v>179</v>
      </c>
      <c r="B92" s="42"/>
      <c r="C92" s="42"/>
      <c r="D92" s="42"/>
      <c r="E92" s="42"/>
      <c r="F92" s="42"/>
      <c r="G92" s="42"/>
      <c r="H92" s="42"/>
      <c r="I92" s="42"/>
      <c r="J92" s="42"/>
      <c r="K92" s="42"/>
      <c r="L92" s="42"/>
      <c r="M92" s="42"/>
      <c r="N92" s="42"/>
      <c r="O92" s="42"/>
      <c r="P92" s="42"/>
      <c r="Q92" s="42"/>
    </row>
    <row r="93" spans="1:18" x14ac:dyDescent="0.25">
      <c r="A93" s="69" t="s">
        <v>180</v>
      </c>
      <c r="B93" s="95"/>
      <c r="C93" s="95"/>
      <c r="D93" s="95"/>
      <c r="E93" s="95"/>
      <c r="F93" s="95"/>
      <c r="G93" s="95"/>
      <c r="H93" s="95"/>
      <c r="I93" s="95"/>
      <c r="J93" s="95"/>
      <c r="K93" s="95"/>
      <c r="L93" s="95"/>
      <c r="M93" s="95"/>
      <c r="N93" s="95"/>
      <c r="O93" s="95"/>
      <c r="P93" s="95"/>
    </row>
    <row r="94" spans="1:18" x14ac:dyDescent="0.25">
      <c r="A94" s="69" t="s">
        <v>181</v>
      </c>
      <c r="B94" s="95"/>
      <c r="C94" s="95"/>
      <c r="D94" s="95"/>
      <c r="E94" s="95"/>
      <c r="F94" s="95"/>
      <c r="G94" s="95"/>
      <c r="H94" s="95"/>
      <c r="I94" s="95"/>
      <c r="J94" s="95"/>
      <c r="K94" s="95"/>
      <c r="L94" s="95"/>
      <c r="M94" s="95"/>
      <c r="N94" s="95"/>
      <c r="O94" s="95"/>
      <c r="P94" s="95"/>
    </row>
    <row r="95" spans="1:18" x14ac:dyDescent="0.25">
      <c r="A95" s="69" t="s">
        <v>182</v>
      </c>
    </row>
    <row r="96" spans="1:18" x14ac:dyDescent="0.25">
      <c r="A96" s="69" t="s">
        <v>183</v>
      </c>
    </row>
    <row r="97" spans="1:1" x14ac:dyDescent="0.25">
      <c r="A97" s="69" t="s">
        <v>184</v>
      </c>
    </row>
    <row r="98" spans="1:1" x14ac:dyDescent="0.25">
      <c r="A98" s="15"/>
    </row>
    <row r="99" spans="1:1" x14ac:dyDescent="0.25">
      <c r="A99" s="69" t="s">
        <v>185</v>
      </c>
    </row>
    <row r="100" spans="1:1" x14ac:dyDescent="0.25">
      <c r="A100" s="69" t="s">
        <v>186</v>
      </c>
    </row>
    <row r="101" spans="1:1" x14ac:dyDescent="0.25">
      <c r="A101" s="69" t="s">
        <v>187</v>
      </c>
    </row>
    <row r="102" spans="1:1" x14ac:dyDescent="0.25">
      <c r="A102" s="28" t="s">
        <v>188</v>
      </c>
    </row>
    <row r="103" spans="1:1" x14ac:dyDescent="0.25">
      <c r="A103" s="28" t="s">
        <v>189</v>
      </c>
    </row>
    <row r="104" spans="1:1" x14ac:dyDescent="0.25">
      <c r="A104" s="15" t="s">
        <v>190</v>
      </c>
    </row>
    <row r="105" spans="1:1" x14ac:dyDescent="0.25">
      <c r="A105" s="120"/>
    </row>
    <row r="106" spans="1:1" x14ac:dyDescent="0.25">
      <c r="A106" s="28" t="s">
        <v>191</v>
      </c>
    </row>
    <row r="107" spans="1:1" x14ac:dyDescent="0.25">
      <c r="A107" s="28" t="s">
        <v>192</v>
      </c>
    </row>
    <row r="108" spans="1:1" x14ac:dyDescent="0.25">
      <c r="A108" s="28" t="s">
        <v>193</v>
      </c>
    </row>
    <row r="109" spans="1:1" x14ac:dyDescent="0.25">
      <c r="A109" s="28" t="s">
        <v>194</v>
      </c>
    </row>
    <row r="110" spans="1:1" x14ac:dyDescent="0.25">
      <c r="A110" s="28" t="s">
        <v>195</v>
      </c>
    </row>
    <row r="111" spans="1:1" x14ac:dyDescent="0.25">
      <c r="A111" s="120"/>
    </row>
  </sheetData>
  <sheetProtection algorithmName="SHA-512" hashValue="Ie692McpxlEV3LjjWk88tUdtkqhouuQuTIRl8dodG6dEJ1K4U6SQJmrS+Wllfk68F35DtggI6Mi0H2ymSAPRLw==" saltValue="7MEMOV3s3Yy2j4/DZ4bSpg==" spinCount="100000" sheet="1" formatColumns="0" formatRows="0"/>
  <mergeCells count="1">
    <mergeCell ref="D48:M48"/>
  </mergeCells>
  <hyperlinks>
    <hyperlink ref="D48:M48" r:id="rId1" display="Subsidiespelregels ministerie van Economische Zaken en Klimaat | RVO.nl" xr:uid="{00000000-0004-0000-0100-000000000000}"/>
  </hyperlinks>
  <pageMargins left="0.23622047244094488" right="0.23622047244094488" top="0.74803149606299213" bottom="0.74803149606299213" header="0.31496062992125984" footer="0.31496062992125984"/>
  <pageSetup paperSize="9" scale="52"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1">
    <tabColor rgb="FFFFFFCC"/>
    <pageSetUpPr fitToPage="1"/>
  </sheetPr>
  <dimension ref="A1:N22"/>
  <sheetViews>
    <sheetView showGridLines="0" zoomScaleNormal="100" workbookViewId="0">
      <selection activeCell="E40" sqref="E40"/>
    </sheetView>
  </sheetViews>
  <sheetFormatPr defaultColWidth="8" defaultRowHeight="11.5" x14ac:dyDescent="0.25"/>
  <cols>
    <col min="1" max="1" width="31.7265625" style="12" customWidth="1"/>
    <col min="2" max="3" width="40.1796875" style="12" customWidth="1"/>
    <col min="4" max="4" width="8" style="12" customWidth="1"/>
    <col min="5" max="16384" width="8" style="12"/>
  </cols>
  <sheetData>
    <row r="1" spans="1:14" s="448" customFormat="1" x14ac:dyDescent="0.25">
      <c r="A1" s="659"/>
      <c r="B1" s="660"/>
      <c r="C1" s="661"/>
    </row>
    <row r="2" spans="1:14" ht="18.5" x14ac:dyDescent="0.25">
      <c r="A2" s="1015" t="s">
        <v>196</v>
      </c>
      <c r="B2" s="1015"/>
      <c r="C2" s="1015"/>
      <c r="D2" s="17"/>
    </row>
    <row r="4" spans="1:14" s="128" customFormat="1" ht="13.5" customHeight="1" x14ac:dyDescent="0.25">
      <c r="A4" s="147" t="s">
        <v>197</v>
      </c>
      <c r="B4" s="948" t="s">
        <v>198</v>
      </c>
      <c r="C4" s="734"/>
    </row>
    <row r="5" spans="1:14" s="128" customFormat="1" ht="13.5" customHeight="1" x14ac:dyDescent="0.25">
      <c r="A5" s="147"/>
      <c r="B5" s="154"/>
      <c r="C5" s="949"/>
      <c r="D5" s="147"/>
    </row>
    <row r="6" spans="1:14" s="128" customFormat="1" ht="13.5" customHeight="1" x14ac:dyDescent="0.25">
      <c r="A6" s="147" t="s">
        <v>199</v>
      </c>
      <c r="B6" s="950" t="s">
        <v>2</v>
      </c>
      <c r="C6" s="951"/>
      <c r="D6" s="147"/>
      <c r="E6" s="79"/>
      <c r="F6" s="79"/>
      <c r="G6" s="79"/>
    </row>
    <row r="7" spans="1:14" s="128" customFormat="1" ht="13.5" customHeight="1" x14ac:dyDescent="0.25">
      <c r="A7" s="147" t="s">
        <v>200</v>
      </c>
      <c r="B7" s="952"/>
      <c r="C7" s="951"/>
      <c r="D7" s="147"/>
    </row>
    <row r="8" spans="1:14" s="128" customFormat="1" ht="13.5" customHeight="1" x14ac:dyDescent="0.25">
      <c r="A8" s="147"/>
      <c r="C8" s="197"/>
    </row>
    <row r="9" spans="1:14" s="128" customFormat="1" ht="13.5" customHeight="1" x14ac:dyDescent="0.25">
      <c r="A9" s="147"/>
      <c r="B9" s="172" t="s">
        <v>201</v>
      </c>
      <c r="C9" s="230"/>
    </row>
    <row r="10" spans="1:14" s="128" customFormat="1" ht="13.5" customHeight="1" x14ac:dyDescent="0.25">
      <c r="A10" s="147"/>
      <c r="B10" s="172" t="s">
        <v>202</v>
      </c>
      <c r="C10" s="230"/>
    </row>
    <row r="11" spans="1:14" s="128" customFormat="1" ht="13.5" customHeight="1" x14ac:dyDescent="0.25">
      <c r="A11" s="147"/>
      <c r="B11" s="230"/>
      <c r="C11" s="230"/>
    </row>
    <row r="12" spans="1:14" s="128" customFormat="1" ht="13.5" customHeight="1" x14ac:dyDescent="0.25">
      <c r="A12" s="147"/>
      <c r="B12" s="153" t="s">
        <v>203</v>
      </c>
      <c r="C12" s="153" t="s">
        <v>204</v>
      </c>
      <c r="D12" s="953"/>
    </row>
    <row r="13" spans="1:14" s="128" customFormat="1" ht="13.5" customHeight="1" x14ac:dyDescent="0.25">
      <c r="A13" s="147"/>
      <c r="B13" s="961"/>
      <c r="C13" s="961"/>
      <c r="E13" s="230"/>
      <c r="F13" s="230"/>
      <c r="G13" s="230"/>
      <c r="H13" s="230"/>
      <c r="I13" s="230"/>
      <c r="J13" s="230"/>
      <c r="K13" s="230"/>
      <c r="L13" s="230"/>
      <c r="M13" s="230"/>
      <c r="N13" s="230"/>
    </row>
    <row r="14" spans="1:14" s="128" customFormat="1" ht="13.5" customHeight="1" x14ac:dyDescent="0.25">
      <c r="A14" s="147" t="s">
        <v>205</v>
      </c>
      <c r="B14" s="82">
        <f>IFERROR(DATEDIF(Startdatum,Einddatum,"Y")+ (DATEDIF(Startdatum,Einddatum,"YD")/365),"")</f>
        <v>0</v>
      </c>
      <c r="C14" s="83" t="s">
        <v>206</v>
      </c>
      <c r="D14" s="18" t="str">
        <f>IF(B14&gt;7,"←Let op, maximale looptijd is 7 jaar","")</f>
        <v/>
      </c>
    </row>
    <row r="15" spans="1:14" s="128" customFormat="1" ht="13.5" customHeight="1" x14ac:dyDescent="0.25">
      <c r="B15" s="954"/>
      <c r="C15" s="147"/>
      <c r="D15" s="955"/>
    </row>
    <row r="16" spans="1:14" s="128" customFormat="1" ht="13.5" customHeight="1" x14ac:dyDescent="0.25">
      <c r="A16" s="956"/>
      <c r="B16" s="959" t="s">
        <v>207</v>
      </c>
      <c r="C16" s="959" t="s">
        <v>208</v>
      </c>
    </row>
    <row r="17" spans="1:9" s="128" customFormat="1" ht="13.5" customHeight="1" x14ac:dyDescent="0.25">
      <c r="A17" s="957" t="s">
        <v>209</v>
      </c>
      <c r="B17" s="164"/>
      <c r="C17" s="960" t="s">
        <v>210</v>
      </c>
      <c r="D17" s="79" t="str">
        <f>IF(OR(C17=Lijsten!A5,C17=Lijsten!A6),"Let op, u dient een ingevulde MKB-toets mee te sturen indien u een opslag aanvraagt","")</f>
        <v/>
      </c>
      <c r="I17" s="958"/>
    </row>
    <row r="18" spans="1:9" s="128" customFormat="1" ht="13.5" customHeight="1" x14ac:dyDescent="0.25">
      <c r="B18" s="154"/>
      <c r="C18" s="154"/>
      <c r="D18" s="147"/>
    </row>
    <row r="19" spans="1:9" s="128" customFormat="1" ht="13.5" customHeight="1" x14ac:dyDescent="0.25">
      <c r="A19" s="147" t="s">
        <v>211</v>
      </c>
      <c r="B19" s="164" t="s">
        <v>210</v>
      </c>
      <c r="C19" s="154"/>
      <c r="D19" s="147"/>
    </row>
    <row r="22" spans="1:9" customFormat="1" ht="12.5" x14ac:dyDescent="0.25"/>
  </sheetData>
  <sheetProtection algorithmName="SHA-512" hashValue="VMeFid1WJMK6izE+bA5ASQpJUVlFku1nHvCu4zfdcZcsxtHONKueqMFB/Ih+KEkqYe/wtNZ+MaBmzfISi2d6hQ==" saltValue="VJC/7SIUNjKG8l+HAoszxQ==" spinCount="100000" sheet="1" formatColumns="0" formatRows="0"/>
  <mergeCells count="1">
    <mergeCell ref="A2:C2"/>
  </mergeCells>
  <phoneticPr fontId="8" type="noConversion"/>
  <dataValidations xWindow="409" yWindow="459" count="3">
    <dataValidation type="date" errorStyle="warning" operator="lessThan" allowBlank="1" showInputMessage="1" showErrorMessage="1" error="De looptijd van het project mag maximaal 7 jaar bedragen" sqref="C13" xr:uid="{00000000-0002-0000-0200-000001000000}">
      <formula1>DATE(YEAR(B13)+7,MONTH(B13),DAY(B13))</formula1>
    </dataValidation>
    <dataValidation allowBlank="1" showInputMessage="1" showErrorMessage="1" prompt="Het jaartal van de opgegeven datum wordt ook gebruikt als jaar 1 in de exploitatieberekening. _x000a__x000a_Datumformaat: dd/mm/jjjj_x000a__x000a_" sqref="B13" xr:uid="{4EC33D6C-DB5B-4A9B-864C-5BBB3D7FB7F4}"/>
    <dataValidation type="list" allowBlank="1" showInputMessage="1" showErrorMessage="1" sqref="C17" xr:uid="{2DC37304-F07A-4DD3-B722-728F0471D231}">
      <formula1>Organisatietype</formula1>
    </dataValidation>
  </dataValidations>
  <pageMargins left="0.39370078740157483" right="0.19685039370078741" top="0.19685039370078741" bottom="0.43307086614173229" header="0.47244094488188981" footer="0.11811023622047245"/>
  <pageSetup paperSize="9" fitToWidth="0" orientation="landscape" r:id="rId1"/>
  <headerFooter alignWithMargins="0"/>
  <extLst>
    <ext xmlns:x14="http://schemas.microsoft.com/office/spreadsheetml/2009/9/main" uri="{CCE6A557-97BC-4b89-ADB6-D9C93CAAB3DF}">
      <x14:dataValidations xmlns:xm="http://schemas.microsoft.com/office/excel/2006/main" xWindow="409" yWindow="459" count="1">
        <x14:dataValidation type="list" allowBlank="1" showInputMessage="1" showErrorMessage="1" xr:uid="{FD5C4911-2D8E-465E-831C-175A959B6790}">
          <x14:formula1>
            <xm:f>Lijsten!$J$3:$J$7</xm:f>
          </x14:formula1>
          <xm:sqref>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FDE22-D6CF-41C8-9304-821DF88E2C21}">
  <sheetPr>
    <tabColor rgb="FFFFFFCC"/>
    <pageSetUpPr fitToPage="1"/>
  </sheetPr>
  <dimension ref="A1:S329"/>
  <sheetViews>
    <sheetView showGridLines="0" zoomScale="90" zoomScaleNormal="90" zoomScaleSheetLayoutView="100" workbookViewId="0">
      <selection activeCell="L264" sqref="L264"/>
    </sheetView>
  </sheetViews>
  <sheetFormatPr defaultColWidth="8" defaultRowHeight="11.5" x14ac:dyDescent="0.25"/>
  <cols>
    <col min="1" max="1" width="2" style="141" customWidth="1"/>
    <col min="2" max="2" width="9.7265625" style="128" customWidth="1"/>
    <col min="3" max="3" width="19.453125" style="128" customWidth="1"/>
    <col min="4" max="4" width="14.54296875" style="128" customWidth="1"/>
    <col min="5" max="5" width="66" style="128" customWidth="1"/>
    <col min="6" max="6" width="16.1796875" style="128" customWidth="1"/>
    <col min="7" max="7" width="17.54296875" style="128" customWidth="1"/>
    <col min="8" max="8" width="66.7265625" style="168" customWidth="1"/>
    <col min="9" max="9" width="16.81640625" style="169" customWidth="1"/>
    <col min="10" max="10" width="17.54296875" style="128" customWidth="1"/>
    <col min="11" max="11" width="7.7265625" style="549" hidden="1" customWidth="1"/>
    <col min="12" max="14" width="17.26953125" style="128" customWidth="1"/>
    <col min="15" max="15" width="19.453125" style="128" customWidth="1"/>
    <col min="16" max="16" width="13.26953125" style="128" customWidth="1"/>
    <col min="17" max="17" width="14.7265625" style="128" customWidth="1"/>
    <col min="18" max="16384" width="8" style="128"/>
  </cols>
  <sheetData>
    <row r="1" spans="1:16" x14ac:dyDescent="0.25">
      <c r="A1" s="127"/>
      <c r="C1" s="127"/>
      <c r="D1" s="127"/>
      <c r="E1" s="127"/>
      <c r="F1" s="129" t="str">
        <f>IF(Project!B4="[Dit veld wordt door RVO ingevuld]","",Project!B4)</f>
        <v>[Dit veld vult RVO in]</v>
      </c>
      <c r="G1" s="129"/>
      <c r="H1" s="129"/>
      <c r="I1" s="127"/>
    </row>
    <row r="2" spans="1:16" ht="18.5" x14ac:dyDescent="0.25">
      <c r="A2" s="127"/>
      <c r="B2" s="131" t="s">
        <v>212</v>
      </c>
      <c r="C2" s="127"/>
      <c r="D2" s="127"/>
      <c r="E2" s="127"/>
      <c r="F2" s="127"/>
      <c r="G2" s="127"/>
      <c r="H2" s="127"/>
      <c r="I2" s="132"/>
    </row>
    <row r="3" spans="1:16" ht="14.25" customHeight="1" x14ac:dyDescent="0.25">
      <c r="A3" s="127"/>
      <c r="B3" s="127"/>
      <c r="C3" s="127"/>
      <c r="D3" s="127"/>
      <c r="E3" s="127"/>
      <c r="F3" s="127"/>
      <c r="G3" s="127"/>
      <c r="H3" s="127"/>
      <c r="I3" s="127"/>
    </row>
    <row r="4" spans="1:16" s="117" customFormat="1" ht="14.25" customHeight="1" x14ac:dyDescent="0.25">
      <c r="A4" s="133"/>
      <c r="B4" s="134" t="s">
        <v>213</v>
      </c>
      <c r="C4" s="134"/>
      <c r="D4" s="135"/>
      <c r="E4" s="135"/>
      <c r="F4" s="135"/>
      <c r="G4" s="135"/>
      <c r="H4" s="135"/>
      <c r="I4" s="135"/>
      <c r="J4" s="136"/>
      <c r="K4" s="548"/>
    </row>
    <row r="5" spans="1:16" ht="14.25" customHeight="1" thickBot="1" x14ac:dyDescent="0.3">
      <c r="A5" s="127"/>
      <c r="B5" s="137"/>
      <c r="C5" s="137"/>
      <c r="D5" s="127"/>
      <c r="E5" s="127"/>
      <c r="F5" s="127"/>
      <c r="G5" s="127"/>
      <c r="H5" s="127"/>
      <c r="I5" s="127"/>
    </row>
    <row r="6" spans="1:16" ht="14.25" customHeight="1" x14ac:dyDescent="0.25">
      <c r="A6" s="127"/>
      <c r="B6" s="579" t="s">
        <v>214</v>
      </c>
      <c r="C6" s="580"/>
      <c r="D6" s="580"/>
      <c r="E6" s="603" t="str">
        <f>IF(Project!$B$17="","Invullen bij tabblad 'Project'",Project!$B$17)</f>
        <v>Invullen bij tabblad 'Project'</v>
      </c>
      <c r="F6" s="497"/>
      <c r="G6" s="497"/>
      <c r="H6" s="498"/>
      <c r="I6" s="68"/>
    </row>
    <row r="7" spans="1:16" ht="14.25" customHeight="1" x14ac:dyDescent="0.25">
      <c r="A7" s="127"/>
      <c r="B7" s="581" t="s">
        <v>215</v>
      </c>
      <c r="C7" s="582"/>
      <c r="D7" s="582"/>
      <c r="E7" s="604" t="str">
        <f>IF(Project!$B$7="","Invullen bij tabblad 'Project'",Project!$B$7)</f>
        <v>Invullen bij tabblad 'Project'</v>
      </c>
      <c r="F7" s="497"/>
      <c r="G7" s="497"/>
      <c r="H7" s="498"/>
      <c r="I7" s="68"/>
    </row>
    <row r="8" spans="1:16" ht="14.25" customHeight="1" x14ac:dyDescent="0.25">
      <c r="A8" s="127"/>
      <c r="B8" s="583" t="s">
        <v>216</v>
      </c>
      <c r="C8" s="584"/>
      <c r="D8" s="584"/>
      <c r="E8" s="605" t="s">
        <v>210</v>
      </c>
      <c r="F8" s="497"/>
      <c r="G8" s="497"/>
      <c r="H8" s="498"/>
      <c r="I8" s="68"/>
    </row>
    <row r="9" spans="1:16" ht="14.25" customHeight="1" x14ac:dyDescent="0.25">
      <c r="A9" s="127"/>
      <c r="B9" s="585" t="s">
        <v>217</v>
      </c>
      <c r="C9" s="582"/>
      <c r="D9" s="582"/>
      <c r="E9" s="604" t="str">
        <f>"Vast uurtarief van €"&amp;Uurtarief</f>
        <v>Vast uurtarief van €65</v>
      </c>
      <c r="F9" s="497"/>
      <c r="G9" s="780"/>
      <c r="H9" s="498"/>
      <c r="I9" s="68"/>
    </row>
    <row r="10" spans="1:16" ht="14.25" customHeight="1" thickBot="1" x14ac:dyDescent="0.3">
      <c r="A10" s="127"/>
      <c r="B10" s="586" t="s">
        <v>218</v>
      </c>
      <c r="C10" s="587"/>
      <c r="D10" s="587"/>
      <c r="E10" s="606" t="s">
        <v>2</v>
      </c>
      <c r="F10" s="497"/>
      <c r="G10" s="499"/>
      <c r="H10" s="498"/>
      <c r="I10" s="68"/>
    </row>
    <row r="11" spans="1:16" ht="14.25" customHeight="1" x14ac:dyDescent="0.25">
      <c r="E11" s="79"/>
      <c r="F11" s="79"/>
      <c r="G11" s="79"/>
      <c r="H11" s="118"/>
      <c r="I11" s="79"/>
    </row>
    <row r="12" spans="1:16" ht="14.25" customHeight="1" x14ac:dyDescent="0.25">
      <c r="B12" s="142"/>
      <c r="C12" s="143"/>
      <c r="D12" s="142"/>
      <c r="E12" s="79"/>
      <c r="F12" s="79"/>
      <c r="G12" s="79"/>
      <c r="H12" s="118"/>
      <c r="I12" s="79"/>
    </row>
    <row r="13" spans="1:16" s="117" customFormat="1" ht="14.25" customHeight="1" x14ac:dyDescent="0.25">
      <c r="A13" s="116"/>
      <c r="B13" s="134" t="s">
        <v>219</v>
      </c>
      <c r="C13" s="144"/>
      <c r="D13" s="145"/>
      <c r="E13" s="145"/>
      <c r="F13" s="145"/>
      <c r="G13" s="145"/>
      <c r="H13" s="449"/>
      <c r="I13" s="146"/>
      <c r="J13" s="146"/>
      <c r="K13" s="550"/>
    </row>
    <row r="14" spans="1:16" ht="14.25" customHeight="1" x14ac:dyDescent="0.25">
      <c r="C14" s="230"/>
      <c r="D14" s="230"/>
      <c r="E14" s="230"/>
      <c r="F14" s="230"/>
      <c r="G14" s="230"/>
      <c r="I14" s="155"/>
    </row>
    <row r="15" spans="1:16" s="117" customFormat="1" ht="14.25" customHeight="1" x14ac:dyDescent="0.25">
      <c r="A15" s="116"/>
      <c r="B15" s="134" t="s">
        <v>147</v>
      </c>
      <c r="C15" s="134"/>
      <c r="D15" s="156"/>
      <c r="E15" s="135"/>
      <c r="F15" s="136"/>
      <c r="G15" s="136"/>
      <c r="H15" s="735"/>
      <c r="I15" s="736"/>
      <c r="J15" s="736"/>
      <c r="K15" s="548"/>
    </row>
    <row r="16" spans="1:16" s="161" customFormat="1" ht="14.25" customHeight="1" thickBot="1" x14ac:dyDescent="0.3">
      <c r="A16" s="159"/>
      <c r="B16" s="749" t="s">
        <v>220</v>
      </c>
      <c r="C16" s="752"/>
      <c r="D16" s="752"/>
      <c r="E16" s="752"/>
      <c r="F16" s="752"/>
      <c r="G16" s="752"/>
      <c r="H16" s="753"/>
      <c r="I16" s="434"/>
      <c r="J16" s="434"/>
      <c r="K16" s="551"/>
      <c r="L16" s="160"/>
      <c r="M16" s="160"/>
      <c r="N16" s="160"/>
      <c r="O16" s="160"/>
      <c r="P16" s="754"/>
    </row>
    <row r="17" spans="1:12" s="160" customFormat="1" ht="40.5" customHeight="1" x14ac:dyDescent="0.25">
      <c r="A17" s="162"/>
      <c r="B17" s="519" t="s">
        <v>221</v>
      </c>
      <c r="C17" s="520" t="s">
        <v>222</v>
      </c>
      <c r="D17" s="520" t="s">
        <v>223</v>
      </c>
      <c r="E17" s="518" t="s">
        <v>224</v>
      </c>
      <c r="F17" s="518"/>
      <c r="G17" s="518" t="s">
        <v>225</v>
      </c>
      <c r="H17" s="520" t="s">
        <v>226</v>
      </c>
      <c r="I17" s="518" t="s">
        <v>227</v>
      </c>
      <c r="J17" s="521" t="s">
        <v>228</v>
      </c>
      <c r="K17" s="551"/>
    </row>
    <row r="18" spans="1:12" s="168" customFormat="1" ht="14.25" customHeight="1" x14ac:dyDescent="0.25">
      <c r="A18" s="163"/>
      <c r="B18" s="235"/>
      <c r="C18" s="164"/>
      <c r="D18" s="268"/>
      <c r="E18" s="164"/>
      <c r="F18" s="854"/>
      <c r="G18" s="166"/>
      <c r="H18" s="439"/>
      <c r="I18" s="745" cm="1">
        <f t="array" ref="I18">IF(OR(H18=Lijsten!I$5:I$6,H18=Lijsten!I$9),G18,0)</f>
        <v>0</v>
      </c>
      <c r="J18" s="236" cm="1">
        <f t="array" ref="J18">IF(OR(H18=Lijsten!I$4,H18=Lijsten!I$7:'Lijsten'!I$8),G18,0)</f>
        <v>0</v>
      </c>
      <c r="K18" s="552">
        <f>IF(J18&gt;0,1,0)</f>
        <v>0</v>
      </c>
    </row>
    <row r="19" spans="1:12" s="168" customFormat="1" ht="14.25" customHeight="1" x14ac:dyDescent="0.25">
      <c r="A19" s="163"/>
      <c r="B19" s="235"/>
      <c r="C19" s="164"/>
      <c r="D19" s="268"/>
      <c r="E19" s="164"/>
      <c r="F19" s="854"/>
      <c r="G19" s="166"/>
      <c r="H19" s="439"/>
      <c r="I19" s="745" cm="1">
        <f t="array" ref="I19">IF(OR(H19=Lijsten!I$5:I$6,H19=Lijsten!I$9),G19,0)</f>
        <v>0</v>
      </c>
      <c r="J19" s="236" cm="1">
        <f t="array" ref="J19">IF(OR(H19=Lijsten!I$4,H19=Lijsten!I$7:'Lijsten'!I$8),G19,0)</f>
        <v>0</v>
      </c>
      <c r="K19" s="552">
        <f t="shared" ref="K19:K34" si="0">IF(J19&gt;0,1,0)</f>
        <v>0</v>
      </c>
      <c r="L19" s="118"/>
    </row>
    <row r="20" spans="1:12" s="168" customFormat="1" ht="14.25" customHeight="1" x14ac:dyDescent="0.25">
      <c r="A20" s="163"/>
      <c r="B20" s="235"/>
      <c r="C20" s="164"/>
      <c r="D20" s="268"/>
      <c r="E20" s="164"/>
      <c r="F20" s="854"/>
      <c r="G20" s="166"/>
      <c r="H20" s="439"/>
      <c r="I20" s="745" cm="1">
        <f t="array" ref="I20">IF(OR(H20=Lijsten!I$5:I$6,H20=Lijsten!I$9),G20,0)</f>
        <v>0</v>
      </c>
      <c r="J20" s="236" cm="1">
        <f t="array" ref="J20">IF(OR(H20=Lijsten!I$4,H20=Lijsten!I$7:'Lijsten'!I$8),G20,0)</f>
        <v>0</v>
      </c>
      <c r="K20" s="552">
        <f t="shared" si="0"/>
        <v>0</v>
      </c>
      <c r="L20" s="118"/>
    </row>
    <row r="21" spans="1:12" s="168" customFormat="1" ht="14.25" customHeight="1" x14ac:dyDescent="0.25">
      <c r="A21" s="163"/>
      <c r="B21" s="235"/>
      <c r="C21" s="164"/>
      <c r="D21" s="268"/>
      <c r="E21" s="164"/>
      <c r="F21" s="854"/>
      <c r="G21" s="166"/>
      <c r="H21" s="439"/>
      <c r="I21" s="745" cm="1">
        <f t="array" ref="I21">IF(OR(H21=Lijsten!I$5:I$6,H21=Lijsten!I$9),G21,0)</f>
        <v>0</v>
      </c>
      <c r="J21" s="236" cm="1">
        <f t="array" ref="J21">IF(OR(H21=Lijsten!I$4,H21=Lijsten!I$7:'Lijsten'!I$8),G21,0)</f>
        <v>0</v>
      </c>
      <c r="K21" s="552">
        <f t="shared" si="0"/>
        <v>0</v>
      </c>
      <c r="L21" s="118"/>
    </row>
    <row r="22" spans="1:12" s="168" customFormat="1" ht="14.25" customHeight="1" x14ac:dyDescent="0.25">
      <c r="A22" s="163"/>
      <c r="B22" s="235"/>
      <c r="C22" s="164"/>
      <c r="D22" s="268"/>
      <c r="E22" s="164"/>
      <c r="F22" s="854"/>
      <c r="G22" s="166"/>
      <c r="H22" s="439"/>
      <c r="I22" s="745" cm="1">
        <f t="array" ref="I22">IF(OR(H22=Lijsten!I$5:I$6,H22=Lijsten!I$9),G22,0)</f>
        <v>0</v>
      </c>
      <c r="J22" s="236" cm="1">
        <f t="array" ref="J22">IF(OR(H22=Lijsten!I$4,H22=Lijsten!I$7:'Lijsten'!I$8),G22,0)</f>
        <v>0</v>
      </c>
      <c r="K22" s="552">
        <f t="shared" si="0"/>
        <v>0</v>
      </c>
      <c r="L22" s="118"/>
    </row>
    <row r="23" spans="1:12" s="168" customFormat="1" ht="14.25" customHeight="1" x14ac:dyDescent="0.25">
      <c r="A23" s="163"/>
      <c r="B23" s="235"/>
      <c r="C23" s="164"/>
      <c r="D23" s="268"/>
      <c r="E23" s="164"/>
      <c r="F23" s="854"/>
      <c r="G23" s="166"/>
      <c r="H23" s="439"/>
      <c r="I23" s="745" cm="1">
        <f t="array" ref="I23">IF(OR(H23=Lijsten!I$5:I$6,H23=Lijsten!I$9),G23,0)</f>
        <v>0</v>
      </c>
      <c r="J23" s="236" cm="1">
        <f t="array" ref="J23">IF(OR(H23=Lijsten!I$4,H23=Lijsten!I$7:'Lijsten'!I$8),G23,0)</f>
        <v>0</v>
      </c>
      <c r="K23" s="552">
        <f t="shared" si="0"/>
        <v>0</v>
      </c>
      <c r="L23" s="118"/>
    </row>
    <row r="24" spans="1:12" s="168" customFormat="1" ht="14.25" customHeight="1" x14ac:dyDescent="0.25">
      <c r="A24" s="163"/>
      <c r="B24" s="235"/>
      <c r="C24" s="164"/>
      <c r="D24" s="268"/>
      <c r="E24" s="164"/>
      <c r="F24" s="854"/>
      <c r="G24" s="166"/>
      <c r="H24" s="439"/>
      <c r="I24" s="745" cm="1">
        <f t="array" ref="I24">IF(OR(H24=Lijsten!I$5:I$6,H24=Lijsten!I$9),G24,0)</f>
        <v>0</v>
      </c>
      <c r="J24" s="236" cm="1">
        <f t="array" ref="J24">IF(OR(H24=Lijsten!I$4,H24=Lijsten!I$7:'Lijsten'!I$8),G24,0)</f>
        <v>0</v>
      </c>
      <c r="K24" s="552">
        <f t="shared" si="0"/>
        <v>0</v>
      </c>
      <c r="L24" s="118"/>
    </row>
    <row r="25" spans="1:12" s="168" customFormat="1" ht="14.25" customHeight="1" x14ac:dyDescent="0.25">
      <c r="A25" s="163"/>
      <c r="B25" s="235"/>
      <c r="C25" s="164"/>
      <c r="D25" s="268"/>
      <c r="E25" s="164"/>
      <c r="F25" s="854"/>
      <c r="G25" s="166"/>
      <c r="H25" s="439"/>
      <c r="I25" s="745" cm="1">
        <f t="array" ref="I25">IF(OR(H25=Lijsten!I$5:I$6,H25=Lijsten!I$9),G25,0)</f>
        <v>0</v>
      </c>
      <c r="J25" s="236" cm="1">
        <f t="array" ref="J25">IF(OR(H25=Lijsten!I$4,H25=Lijsten!I$7:'Lijsten'!I$8),G25,0)</f>
        <v>0</v>
      </c>
      <c r="K25" s="552">
        <f t="shared" si="0"/>
        <v>0</v>
      </c>
      <c r="L25" s="118"/>
    </row>
    <row r="26" spans="1:12" s="168" customFormat="1" ht="14.25" customHeight="1" x14ac:dyDescent="0.25">
      <c r="A26" s="163"/>
      <c r="B26" s="235"/>
      <c r="C26" s="164"/>
      <c r="D26" s="268"/>
      <c r="E26" s="164"/>
      <c r="F26" s="854"/>
      <c r="G26" s="166"/>
      <c r="H26" s="439"/>
      <c r="I26" s="745" cm="1">
        <f t="array" ref="I26">IF(OR(H26=Lijsten!I$5:I$6,H26=Lijsten!I$9),G26,0)</f>
        <v>0</v>
      </c>
      <c r="J26" s="236" cm="1">
        <f t="array" ref="J26">IF(OR(H26=Lijsten!I$4,H26=Lijsten!I$7:'Lijsten'!I$8),G26,0)</f>
        <v>0</v>
      </c>
      <c r="K26" s="552">
        <f t="shared" si="0"/>
        <v>0</v>
      </c>
      <c r="L26" s="118"/>
    </row>
    <row r="27" spans="1:12" s="168" customFormat="1" ht="14.25" customHeight="1" x14ac:dyDescent="0.25">
      <c r="A27" s="163"/>
      <c r="B27" s="235"/>
      <c r="C27" s="164"/>
      <c r="D27" s="268"/>
      <c r="E27" s="164"/>
      <c r="F27" s="854"/>
      <c r="G27" s="166"/>
      <c r="H27" s="439"/>
      <c r="I27" s="745" cm="1">
        <f t="array" ref="I27">IF(OR(H27=Lijsten!I$5:I$6,H27=Lijsten!I$9),G27,0)</f>
        <v>0</v>
      </c>
      <c r="J27" s="236" cm="1">
        <f t="array" ref="J27">IF(OR(H27=Lijsten!I$4,H27=Lijsten!I$7:'Lijsten'!I$8),G27,0)</f>
        <v>0</v>
      </c>
      <c r="K27" s="552">
        <f t="shared" si="0"/>
        <v>0</v>
      </c>
      <c r="L27" s="118"/>
    </row>
    <row r="28" spans="1:12" s="168" customFormat="1" ht="14.25" customHeight="1" x14ac:dyDescent="0.25">
      <c r="A28" s="163"/>
      <c r="B28" s="235"/>
      <c r="C28" s="164"/>
      <c r="D28" s="268"/>
      <c r="E28" s="164"/>
      <c r="F28" s="854"/>
      <c r="G28" s="166"/>
      <c r="H28" s="439"/>
      <c r="I28" s="745" cm="1">
        <f t="array" ref="I28">IF(OR(H28=Lijsten!I$5:I$6,H28=Lijsten!I$9),G28,0)</f>
        <v>0</v>
      </c>
      <c r="J28" s="236" cm="1">
        <f t="array" ref="J28">IF(OR(H28=Lijsten!I$4,H28=Lijsten!I$7:'Lijsten'!I$8),G28,0)</f>
        <v>0</v>
      </c>
      <c r="K28" s="552">
        <f t="shared" si="0"/>
        <v>0</v>
      </c>
      <c r="L28" s="118"/>
    </row>
    <row r="29" spans="1:12" s="168" customFormat="1" ht="14.25" customHeight="1" x14ac:dyDescent="0.25">
      <c r="A29" s="163"/>
      <c r="B29" s="235"/>
      <c r="C29" s="164"/>
      <c r="D29" s="268"/>
      <c r="E29" s="164"/>
      <c r="F29" s="854"/>
      <c r="G29" s="166"/>
      <c r="H29" s="439"/>
      <c r="I29" s="745" cm="1">
        <f t="array" ref="I29">IF(OR(H29=Lijsten!I$5:I$6,H29=Lijsten!I$9),G29,0)</f>
        <v>0</v>
      </c>
      <c r="J29" s="236" cm="1">
        <f t="array" ref="J29">IF(OR(H29=Lijsten!I$4,H29=Lijsten!I$7:'Lijsten'!I$8),G29,0)</f>
        <v>0</v>
      </c>
      <c r="K29" s="552">
        <f t="shared" si="0"/>
        <v>0</v>
      </c>
      <c r="L29" s="118"/>
    </row>
    <row r="30" spans="1:12" s="168" customFormat="1" ht="14.25" customHeight="1" x14ac:dyDescent="0.25">
      <c r="A30" s="163"/>
      <c r="B30" s="235"/>
      <c r="C30" s="164"/>
      <c r="D30" s="268"/>
      <c r="E30" s="164"/>
      <c r="F30" s="854"/>
      <c r="G30" s="166"/>
      <c r="H30" s="439"/>
      <c r="I30" s="745" cm="1">
        <f t="array" ref="I30">IF(OR(H30=Lijsten!I$5:I$6,H30=Lijsten!I$9),G30,0)</f>
        <v>0</v>
      </c>
      <c r="J30" s="236" cm="1">
        <f t="array" ref="J30">IF(OR(H30=Lijsten!I$4,H30=Lijsten!I$7:'Lijsten'!I$8),G30,0)</f>
        <v>0</v>
      </c>
      <c r="K30" s="552">
        <f t="shared" si="0"/>
        <v>0</v>
      </c>
      <c r="L30" s="118"/>
    </row>
    <row r="31" spans="1:12" s="168" customFormat="1" ht="14.25" customHeight="1" x14ac:dyDescent="0.25">
      <c r="A31" s="163"/>
      <c r="B31" s="235"/>
      <c r="C31" s="164"/>
      <c r="D31" s="268"/>
      <c r="E31" s="164"/>
      <c r="F31" s="854"/>
      <c r="G31" s="166"/>
      <c r="H31" s="439"/>
      <c r="I31" s="745" cm="1">
        <f t="array" ref="I31">IF(OR(H31=Lijsten!I$5:I$6,H31=Lijsten!I$9),G31,0)</f>
        <v>0</v>
      </c>
      <c r="J31" s="236" cm="1">
        <f t="array" ref="J31">IF(OR(H31=Lijsten!I$4,H31=Lijsten!I$7:'Lijsten'!I$8),G31,0)</f>
        <v>0</v>
      </c>
      <c r="K31" s="552">
        <f t="shared" si="0"/>
        <v>0</v>
      </c>
      <c r="L31" s="118"/>
    </row>
    <row r="32" spans="1:12" s="168" customFormat="1" ht="14.25" customHeight="1" x14ac:dyDescent="0.25">
      <c r="A32" s="163"/>
      <c r="B32" s="235"/>
      <c r="C32" s="164"/>
      <c r="D32" s="268"/>
      <c r="E32" s="164"/>
      <c r="F32" s="854"/>
      <c r="G32" s="166"/>
      <c r="H32" s="439"/>
      <c r="I32" s="745" cm="1">
        <f t="array" ref="I32">IF(OR(H32=Lijsten!I$5:I$6,H32=Lijsten!I$9),G32,0)</f>
        <v>0</v>
      </c>
      <c r="J32" s="236" cm="1">
        <f t="array" ref="J32">IF(OR(H32=Lijsten!I$4,H32=Lijsten!I$7:'Lijsten'!I$8),G32,0)</f>
        <v>0</v>
      </c>
      <c r="K32" s="552">
        <f t="shared" si="0"/>
        <v>0</v>
      </c>
      <c r="L32" s="118"/>
    </row>
    <row r="33" spans="1:16" s="168" customFormat="1" ht="14.25" customHeight="1" x14ac:dyDescent="0.25">
      <c r="A33" s="163"/>
      <c r="B33" s="235"/>
      <c r="C33" s="164"/>
      <c r="D33" s="268"/>
      <c r="E33" s="164"/>
      <c r="F33" s="854"/>
      <c r="G33" s="166"/>
      <c r="H33" s="439"/>
      <c r="I33" s="745" cm="1">
        <f t="array" ref="I33">IF(OR(H33=Lijsten!I$5:I$6,H33=Lijsten!I$9),G33,0)</f>
        <v>0</v>
      </c>
      <c r="J33" s="236" cm="1">
        <f t="array" ref="J33">IF(OR(H33=Lijsten!I$4,H33=Lijsten!I$7:'Lijsten'!I$8),G33,0)</f>
        <v>0</v>
      </c>
      <c r="K33" s="552">
        <f t="shared" si="0"/>
        <v>0</v>
      </c>
      <c r="L33" s="118"/>
    </row>
    <row r="34" spans="1:16" ht="14.25" customHeight="1" thickBot="1" x14ac:dyDescent="0.3">
      <c r="B34" s="237"/>
      <c r="C34" s="243"/>
      <c r="D34" s="269"/>
      <c r="E34" s="243"/>
      <c r="F34" s="855"/>
      <c r="G34" s="244"/>
      <c r="H34" s="440"/>
      <c r="I34" s="746" cm="1">
        <f t="array" ref="I34">IF(OR(H34=Lijsten!I$5:I$6,H34=Lijsten!I$9),G34,0)</f>
        <v>0</v>
      </c>
      <c r="J34" s="242" cm="1">
        <f t="array" ref="J34">IF(OR(H34=Lijsten!I$4,H34=Lijsten!I$7:'Lijsten'!I$8),G34,0)</f>
        <v>0</v>
      </c>
      <c r="K34" s="552">
        <f t="shared" si="0"/>
        <v>0</v>
      </c>
      <c r="L34" s="118"/>
      <c r="M34" s="130"/>
      <c r="N34" s="130"/>
      <c r="O34" s="130"/>
      <c r="P34" s="130"/>
    </row>
    <row r="35" spans="1:16" ht="14.25" customHeight="1" thickBot="1" x14ac:dyDescent="0.3">
      <c r="B35" s="748" t="s">
        <v>229</v>
      </c>
      <c r="D35" s="444">
        <f>SUM(D18:D34)</f>
        <v>0</v>
      </c>
      <c r="F35" s="274"/>
      <c r="I35" s="428">
        <f>SUM(I18:I34)</f>
        <v>0</v>
      </c>
      <c r="J35" s="436">
        <f>SUM(J18:J34)</f>
        <v>0</v>
      </c>
      <c r="K35" s="553"/>
    </row>
    <row r="36" spans="1:16" ht="14.25" hidden="1" customHeight="1" x14ac:dyDescent="0.25">
      <c r="B36" s="128" t="s">
        <v>230</v>
      </c>
      <c r="D36" s="275">
        <f>IFERROR(SUMPRODUCT(K18:K34,J18:J34)/SUMPRODUCT(K18:K34,D18:D34),0)</f>
        <v>0</v>
      </c>
      <c r="E36" s="128" t="s">
        <v>231</v>
      </c>
      <c r="F36" s="274"/>
    </row>
    <row r="37" spans="1:16" ht="14.25" customHeight="1" x14ac:dyDescent="0.25">
      <c r="B37" s="914" t="str">
        <f>IF(D35&gt;0,IF(D36&gt;Df_Pw,"Let op, de waarde voor subsidiabele onderdelen (€ "&amp;TEXT(D36,"0.00")&amp;" per kilometer) is boven de defaultwaarde van € "&amp;TEXT(Df_Pw,"0.00")&amp;" per kilometer. Dit is alleen toegestaan met een goede onderbouwing in het projectplan en met offertes en/of kostenramingen.",""),"")</f>
        <v/>
      </c>
      <c r="F37" s="274"/>
      <c r="J37" s="169"/>
    </row>
    <row r="38" spans="1:16" ht="14.25" customHeight="1" x14ac:dyDescent="0.25">
      <c r="B38" s="230"/>
      <c r="C38" s="230"/>
      <c r="D38" s="230"/>
      <c r="E38" s="230"/>
      <c r="F38" s="230"/>
      <c r="G38" s="230"/>
      <c r="I38" s="155"/>
    </row>
    <row r="39" spans="1:16" s="117" customFormat="1" ht="14.25" customHeight="1" x14ac:dyDescent="0.25">
      <c r="A39" s="116"/>
      <c r="B39" s="134" t="s">
        <v>150</v>
      </c>
      <c r="C39" s="134"/>
      <c r="D39" s="156"/>
      <c r="E39" s="135"/>
      <c r="F39" s="136"/>
      <c r="G39" s="136"/>
      <c r="H39" s="735"/>
      <c r="I39" s="736"/>
      <c r="J39" s="736"/>
      <c r="K39" s="548"/>
    </row>
    <row r="40" spans="1:16" s="161" customFormat="1" ht="14.25" customHeight="1" thickBot="1" x14ac:dyDescent="0.3">
      <c r="A40" s="159"/>
      <c r="B40" s="749" t="s">
        <v>220</v>
      </c>
      <c r="C40" s="755"/>
      <c r="D40" s="755"/>
      <c r="E40" s="755"/>
      <c r="F40" s="755"/>
      <c r="G40" s="755"/>
      <c r="H40" s="756"/>
      <c r="I40" s="757"/>
      <c r="J40" s="757"/>
      <c r="K40" s="554"/>
      <c r="L40" s="160"/>
      <c r="M40" s="160"/>
      <c r="N40" s="160"/>
      <c r="O40" s="160"/>
      <c r="P40" s="754"/>
    </row>
    <row r="41" spans="1:16" s="160" customFormat="1" ht="40.5" customHeight="1" x14ac:dyDescent="0.25">
      <c r="A41" s="162"/>
      <c r="B41" s="519" t="s">
        <v>221</v>
      </c>
      <c r="C41" s="520" t="s">
        <v>222</v>
      </c>
      <c r="D41" s="520"/>
      <c r="E41" s="518" t="s">
        <v>232</v>
      </c>
      <c r="F41" s="518"/>
      <c r="G41" s="518" t="s">
        <v>228</v>
      </c>
      <c r="H41" s="520"/>
      <c r="I41" s="518"/>
      <c r="J41" s="521" t="s">
        <v>228</v>
      </c>
      <c r="K41" s="551"/>
    </row>
    <row r="42" spans="1:16" s="168" customFormat="1" ht="14.25" customHeight="1" x14ac:dyDescent="0.25">
      <c r="A42" s="163"/>
      <c r="B42" s="235"/>
      <c r="C42" s="164"/>
      <c r="D42" s="854"/>
      <c r="E42" s="164"/>
      <c r="F42" s="854"/>
      <c r="G42" s="166"/>
      <c r="H42" s="856"/>
      <c r="I42" s="745"/>
      <c r="J42" s="236">
        <f>G42</f>
        <v>0</v>
      </c>
      <c r="K42" s="552"/>
      <c r="L42" s="118"/>
    </row>
    <row r="43" spans="1:16" s="168" customFormat="1" ht="14.25" customHeight="1" x14ac:dyDescent="0.25">
      <c r="A43" s="163"/>
      <c r="B43" s="235"/>
      <c r="C43" s="164"/>
      <c r="D43" s="854"/>
      <c r="E43" s="164"/>
      <c r="F43" s="854"/>
      <c r="G43" s="166"/>
      <c r="H43" s="856"/>
      <c r="I43" s="745"/>
      <c r="J43" s="236">
        <f t="shared" ref="J43:J51" si="1">G43</f>
        <v>0</v>
      </c>
      <c r="K43" s="552"/>
      <c r="L43" s="118"/>
    </row>
    <row r="44" spans="1:16" s="168" customFormat="1" ht="14.25" customHeight="1" x14ac:dyDescent="0.25">
      <c r="A44" s="163"/>
      <c r="B44" s="235"/>
      <c r="C44" s="164"/>
      <c r="D44" s="854"/>
      <c r="E44" s="164"/>
      <c r="F44" s="854"/>
      <c r="G44" s="166"/>
      <c r="H44" s="856"/>
      <c r="I44" s="745"/>
      <c r="J44" s="236">
        <f t="shared" si="1"/>
        <v>0</v>
      </c>
      <c r="K44" s="552"/>
      <c r="L44" s="118"/>
    </row>
    <row r="45" spans="1:16" s="168" customFormat="1" ht="14.25" customHeight="1" x14ac:dyDescent="0.25">
      <c r="A45" s="163"/>
      <c r="B45" s="235"/>
      <c r="C45" s="164"/>
      <c r="D45" s="854"/>
      <c r="E45" s="164"/>
      <c r="F45" s="854"/>
      <c r="G45" s="166"/>
      <c r="H45" s="856"/>
      <c r="I45" s="745"/>
      <c r="J45" s="236">
        <f t="shared" si="1"/>
        <v>0</v>
      </c>
      <c r="K45" s="552"/>
      <c r="L45" s="118"/>
    </row>
    <row r="46" spans="1:16" s="168" customFormat="1" ht="14.25" customHeight="1" x14ac:dyDescent="0.25">
      <c r="A46" s="163"/>
      <c r="B46" s="235"/>
      <c r="C46" s="164"/>
      <c r="D46" s="854"/>
      <c r="E46" s="164"/>
      <c r="F46" s="854"/>
      <c r="G46" s="166"/>
      <c r="H46" s="856"/>
      <c r="I46" s="745"/>
      <c r="J46" s="236">
        <f t="shared" si="1"/>
        <v>0</v>
      </c>
      <c r="K46" s="552"/>
      <c r="L46" s="118"/>
    </row>
    <row r="47" spans="1:16" s="168" customFormat="1" ht="14.25" customHeight="1" x14ac:dyDescent="0.25">
      <c r="A47" s="163"/>
      <c r="B47" s="235"/>
      <c r="C47" s="164"/>
      <c r="D47" s="854"/>
      <c r="E47" s="164"/>
      <c r="F47" s="854"/>
      <c r="G47" s="166"/>
      <c r="H47" s="856"/>
      <c r="I47" s="745"/>
      <c r="J47" s="236">
        <f t="shared" si="1"/>
        <v>0</v>
      </c>
      <c r="K47" s="552"/>
      <c r="L47" s="118"/>
    </row>
    <row r="48" spans="1:16" s="168" customFormat="1" ht="14.25" customHeight="1" x14ac:dyDescent="0.25">
      <c r="A48" s="163"/>
      <c r="B48" s="235"/>
      <c r="C48" s="164"/>
      <c r="D48" s="854"/>
      <c r="E48" s="164"/>
      <c r="F48" s="854"/>
      <c r="G48" s="166"/>
      <c r="H48" s="856"/>
      <c r="I48" s="745"/>
      <c r="J48" s="236">
        <f t="shared" si="1"/>
        <v>0</v>
      </c>
      <c r="K48" s="552"/>
      <c r="L48" s="118"/>
    </row>
    <row r="49" spans="1:16" s="168" customFormat="1" ht="14.25" customHeight="1" x14ac:dyDescent="0.25">
      <c r="A49" s="163"/>
      <c r="B49" s="235"/>
      <c r="C49" s="164"/>
      <c r="D49" s="854"/>
      <c r="E49" s="164"/>
      <c r="F49" s="854"/>
      <c r="G49" s="166"/>
      <c r="H49" s="856"/>
      <c r="I49" s="745"/>
      <c r="J49" s="236">
        <f t="shared" si="1"/>
        <v>0</v>
      </c>
      <c r="K49" s="552"/>
      <c r="L49" s="118"/>
    </row>
    <row r="50" spans="1:16" s="168" customFormat="1" ht="14.25" customHeight="1" x14ac:dyDescent="0.25">
      <c r="A50" s="163"/>
      <c r="B50" s="235"/>
      <c r="C50" s="164"/>
      <c r="D50" s="854"/>
      <c r="E50" s="164"/>
      <c r="F50" s="854"/>
      <c r="G50" s="166"/>
      <c r="H50" s="856"/>
      <c r="I50" s="745"/>
      <c r="J50" s="236">
        <f t="shared" si="1"/>
        <v>0</v>
      </c>
      <c r="K50" s="552"/>
      <c r="L50" s="118"/>
    </row>
    <row r="51" spans="1:16" ht="14.25" customHeight="1" thickBot="1" x14ac:dyDescent="0.3">
      <c r="B51" s="237"/>
      <c r="C51" s="243"/>
      <c r="D51" s="855"/>
      <c r="E51" s="243"/>
      <c r="F51" s="855"/>
      <c r="G51" s="244"/>
      <c r="H51" s="857"/>
      <c r="I51" s="746"/>
      <c r="J51" s="242">
        <f t="shared" si="1"/>
        <v>0</v>
      </c>
      <c r="K51" s="552"/>
      <c r="L51" s="118"/>
      <c r="M51" s="130"/>
      <c r="N51" s="130"/>
      <c r="O51" s="130"/>
      <c r="P51" s="130"/>
    </row>
    <row r="52" spans="1:16" ht="14.25" customHeight="1" thickBot="1" x14ac:dyDescent="0.3">
      <c r="B52" s="748" t="s">
        <v>229</v>
      </c>
      <c r="D52" s="445"/>
      <c r="F52" s="274"/>
      <c r="I52" s="429"/>
      <c r="J52" s="747">
        <f>SUM(J42:J51)</f>
        <v>0</v>
      </c>
      <c r="K52" s="553"/>
    </row>
    <row r="53" spans="1:16" ht="14.25" customHeight="1" x14ac:dyDescent="0.25">
      <c r="B53" s="118"/>
      <c r="F53" s="274"/>
      <c r="J53" s="169"/>
    </row>
    <row r="54" spans="1:16" s="117" customFormat="1" ht="14.25" customHeight="1" x14ac:dyDescent="0.25">
      <c r="A54" s="116"/>
      <c r="B54" s="758" t="s">
        <v>233</v>
      </c>
      <c r="C54" s="759"/>
      <c r="D54" s="760"/>
      <c r="E54" s="761"/>
      <c r="F54" s="136"/>
      <c r="G54" s="136"/>
      <c r="H54" s="735"/>
      <c r="I54" s="736"/>
      <c r="J54" s="736"/>
      <c r="K54" s="548"/>
    </row>
    <row r="55" spans="1:16" s="117" customFormat="1" ht="14.25" customHeight="1" thickBot="1" x14ac:dyDescent="0.3">
      <c r="A55" s="116"/>
      <c r="B55" s="749" t="s">
        <v>220</v>
      </c>
      <c r="C55" s="752"/>
      <c r="D55" s="752"/>
      <c r="E55" s="752"/>
      <c r="F55" s="752"/>
      <c r="G55" s="752"/>
      <c r="H55" s="753"/>
      <c r="I55" s="434"/>
      <c r="J55" s="434"/>
      <c r="K55" s="551"/>
    </row>
    <row r="56" spans="1:16" s="161" customFormat="1" ht="47.25" customHeight="1" x14ac:dyDescent="0.25">
      <c r="A56" s="159"/>
      <c r="B56" s="519" t="s">
        <v>221</v>
      </c>
      <c r="C56" s="520" t="s">
        <v>222</v>
      </c>
      <c r="D56" s="520" t="s">
        <v>234</v>
      </c>
      <c r="E56" s="518" t="s">
        <v>235</v>
      </c>
      <c r="F56" s="518"/>
      <c r="G56" s="518" t="s">
        <v>665</v>
      </c>
      <c r="H56" s="520" t="s">
        <v>226</v>
      </c>
      <c r="I56" s="518" t="s">
        <v>227</v>
      </c>
      <c r="J56" s="521" t="s">
        <v>228</v>
      </c>
      <c r="K56" s="551"/>
    </row>
    <row r="57" spans="1:16" s="117" customFormat="1" ht="14.25" customHeight="1" x14ac:dyDescent="0.25">
      <c r="A57" s="116"/>
      <c r="B57" s="235"/>
      <c r="C57" s="164"/>
      <c r="D57" s="575"/>
      <c r="E57" s="164"/>
      <c r="F57" s="273"/>
      <c r="G57" s="166"/>
      <c r="H57" s="439"/>
      <c r="I57" s="745" cm="1">
        <f t="array" ref="I57">IF(OR(H57=Lijsten!I$5:I$7,H57=Lijsten!I$9),G57*D57,0)</f>
        <v>0</v>
      </c>
      <c r="J57" s="236">
        <f>IF(OR(H57=Lijsten!I$4,H57=Lijsten!I$8),G57*D57,0)</f>
        <v>0</v>
      </c>
      <c r="K57" s="552">
        <f t="shared" ref="K57:K71" si="2">IF(J57&gt;0,1,0)</f>
        <v>0</v>
      </c>
    </row>
    <row r="58" spans="1:16" s="117" customFormat="1" ht="14.25" customHeight="1" x14ac:dyDescent="0.25">
      <c r="A58" s="116"/>
      <c r="B58" s="235"/>
      <c r="C58" s="164"/>
      <c r="D58" s="575"/>
      <c r="E58" s="164"/>
      <c r="F58" s="273"/>
      <c r="G58" s="166"/>
      <c r="H58" s="439"/>
      <c r="I58" s="745" cm="1">
        <f t="array" ref="I58">IF(OR(H58=Lijsten!I$5:I$7,H58=Lijsten!I$9),G58*D58,0)</f>
        <v>0</v>
      </c>
      <c r="J58" s="236">
        <f>IF(OR(H58=Lijsten!I$4,H58=Lijsten!I$8),G58*D58,0)</f>
        <v>0</v>
      </c>
      <c r="K58" s="552">
        <f t="shared" si="2"/>
        <v>0</v>
      </c>
      <c r="L58" s="118"/>
    </row>
    <row r="59" spans="1:16" s="117" customFormat="1" ht="14.25" customHeight="1" x14ac:dyDescent="0.25">
      <c r="A59" s="116"/>
      <c r="B59" s="235"/>
      <c r="C59" s="164"/>
      <c r="D59" s="575"/>
      <c r="E59" s="164"/>
      <c r="F59" s="273"/>
      <c r="G59" s="166"/>
      <c r="H59" s="439"/>
      <c r="I59" s="745" cm="1">
        <f t="array" ref="I59">IF(OR(H59=Lijsten!I$5:I$7,H59=Lijsten!I$9),G59*D59,0)</f>
        <v>0</v>
      </c>
      <c r="J59" s="236">
        <f>IF(OR(H59=Lijsten!I$4,H59=Lijsten!I$8),G59*D59,0)</f>
        <v>0</v>
      </c>
      <c r="K59" s="552">
        <f t="shared" si="2"/>
        <v>0</v>
      </c>
      <c r="L59" s="118"/>
    </row>
    <row r="60" spans="1:16" s="117" customFormat="1" ht="14.25" customHeight="1" x14ac:dyDescent="0.25">
      <c r="A60" s="116"/>
      <c r="B60" s="235"/>
      <c r="C60" s="164"/>
      <c r="D60" s="575"/>
      <c r="E60" s="164"/>
      <c r="F60" s="273"/>
      <c r="G60" s="166"/>
      <c r="H60" s="439"/>
      <c r="I60" s="745" cm="1">
        <f t="array" ref="I60">IF(OR(H60=Lijsten!I$5:I$7,H60=Lijsten!I$9),G60*D60,0)</f>
        <v>0</v>
      </c>
      <c r="J60" s="236">
        <f>IF(OR(H60=Lijsten!I$4,H60=Lijsten!I$8),G60*D60,0)</f>
        <v>0</v>
      </c>
      <c r="K60" s="552">
        <f t="shared" si="2"/>
        <v>0</v>
      </c>
      <c r="L60" s="118"/>
    </row>
    <row r="61" spans="1:16" s="117" customFormat="1" ht="14.25" customHeight="1" x14ac:dyDescent="0.25">
      <c r="A61" s="116"/>
      <c r="B61" s="235"/>
      <c r="C61" s="164"/>
      <c r="D61" s="575"/>
      <c r="E61" s="164"/>
      <c r="F61" s="273"/>
      <c r="G61" s="166"/>
      <c r="H61" s="439"/>
      <c r="I61" s="745" cm="1">
        <f t="array" ref="I61">IF(OR(H61=Lijsten!I$5:I$7,H61=Lijsten!I$9),G61*D61,0)</f>
        <v>0</v>
      </c>
      <c r="J61" s="236">
        <f>IF(OR(H61=Lijsten!I$4,H61=Lijsten!I$8),G61*D61,0)</f>
        <v>0</v>
      </c>
      <c r="K61" s="552">
        <f t="shared" si="2"/>
        <v>0</v>
      </c>
      <c r="L61" s="118"/>
    </row>
    <row r="62" spans="1:16" s="117" customFormat="1" ht="14.25" customHeight="1" x14ac:dyDescent="0.25">
      <c r="A62" s="116"/>
      <c r="B62" s="235"/>
      <c r="C62" s="164"/>
      <c r="D62" s="575"/>
      <c r="E62" s="164"/>
      <c r="F62" s="273"/>
      <c r="G62" s="166"/>
      <c r="H62" s="439"/>
      <c r="I62" s="745" cm="1">
        <f t="array" ref="I62">IF(OR(H62=Lijsten!I$5:I$7,H62=Lijsten!I$9),G62*D62,0)</f>
        <v>0</v>
      </c>
      <c r="J62" s="236">
        <f>IF(OR(H62=Lijsten!I$4,H62=Lijsten!I$8),G62*D62,0)</f>
        <v>0</v>
      </c>
      <c r="K62" s="552">
        <f t="shared" si="2"/>
        <v>0</v>
      </c>
      <c r="L62" s="118"/>
    </row>
    <row r="63" spans="1:16" s="117" customFormat="1" ht="14.25" customHeight="1" x14ac:dyDescent="0.25">
      <c r="A63" s="116"/>
      <c r="B63" s="235"/>
      <c r="C63" s="164"/>
      <c r="D63" s="575"/>
      <c r="E63" s="164"/>
      <c r="F63" s="273"/>
      <c r="G63" s="166"/>
      <c r="H63" s="439"/>
      <c r="I63" s="745" cm="1">
        <f t="array" ref="I63">IF(OR(H63=Lijsten!I$5:I$7,H63=Lijsten!I$9),G63*D63,0)</f>
        <v>0</v>
      </c>
      <c r="J63" s="236">
        <f>IF(OR(H63=Lijsten!I$4,H63=Lijsten!I$8),G63*D63,0)</f>
        <v>0</v>
      </c>
      <c r="K63" s="552">
        <f t="shared" si="2"/>
        <v>0</v>
      </c>
      <c r="L63" s="118"/>
    </row>
    <row r="64" spans="1:16" s="117" customFormat="1" ht="14.25" customHeight="1" x14ac:dyDescent="0.25">
      <c r="A64" s="116"/>
      <c r="B64" s="235"/>
      <c r="C64" s="164"/>
      <c r="D64" s="575"/>
      <c r="E64" s="164"/>
      <c r="F64" s="273"/>
      <c r="G64" s="166"/>
      <c r="H64" s="439"/>
      <c r="I64" s="745" cm="1">
        <f t="array" ref="I64">IF(OR(H64=Lijsten!I$5:I$7,H64=Lijsten!I$9),G64*D64,0)</f>
        <v>0</v>
      </c>
      <c r="J64" s="236">
        <f>IF(OR(H64=Lijsten!I$4,H64=Lijsten!I$8),G64*D64,0)</f>
        <v>0</v>
      </c>
      <c r="K64" s="552">
        <f t="shared" si="2"/>
        <v>0</v>
      </c>
      <c r="L64" s="118"/>
    </row>
    <row r="65" spans="1:15" s="117" customFormat="1" ht="14.25" customHeight="1" x14ac:dyDescent="0.25">
      <c r="A65" s="116"/>
      <c r="B65" s="235"/>
      <c r="C65" s="164"/>
      <c r="D65" s="575"/>
      <c r="E65" s="164"/>
      <c r="F65" s="273"/>
      <c r="G65" s="166"/>
      <c r="H65" s="439"/>
      <c r="I65" s="745" cm="1">
        <f t="array" ref="I65">IF(OR(H65=Lijsten!I$5:I$7,H65=Lijsten!I$9),G65*D65,0)</f>
        <v>0</v>
      </c>
      <c r="J65" s="236">
        <f>IF(OR(H65=Lijsten!I$4,H65=Lijsten!I$8),G65*D65,0)</f>
        <v>0</v>
      </c>
      <c r="K65" s="552">
        <f t="shared" si="2"/>
        <v>0</v>
      </c>
      <c r="L65" s="118"/>
    </row>
    <row r="66" spans="1:15" s="117" customFormat="1" ht="14.25" customHeight="1" x14ac:dyDescent="0.25">
      <c r="A66" s="116"/>
      <c r="B66" s="235"/>
      <c r="C66" s="164"/>
      <c r="D66" s="575"/>
      <c r="E66" s="164"/>
      <c r="F66" s="273"/>
      <c r="G66" s="166"/>
      <c r="H66" s="439"/>
      <c r="I66" s="745" cm="1">
        <f t="array" ref="I66">IF(OR(H66=Lijsten!I$5:I$7,H66=Lijsten!I$9),G66*D66,0)</f>
        <v>0</v>
      </c>
      <c r="J66" s="236">
        <f>IF(OR(H66=Lijsten!I$4,H66=Lijsten!I$8),G66*D66,0)</f>
        <v>0</v>
      </c>
      <c r="K66" s="552">
        <f t="shared" si="2"/>
        <v>0</v>
      </c>
      <c r="L66" s="118"/>
    </row>
    <row r="67" spans="1:15" s="117" customFormat="1" ht="14.25" customHeight="1" x14ac:dyDescent="0.25">
      <c r="A67" s="116"/>
      <c r="B67" s="235"/>
      <c r="C67" s="164"/>
      <c r="D67" s="575"/>
      <c r="E67" s="164"/>
      <c r="F67" s="273"/>
      <c r="G67" s="166"/>
      <c r="H67" s="439"/>
      <c r="I67" s="745" cm="1">
        <f t="array" ref="I67">IF(OR(H67=Lijsten!I$5:I$7,H67=Lijsten!I$9),G67*D67,0)</f>
        <v>0</v>
      </c>
      <c r="J67" s="236">
        <f>IF(OR(H67=Lijsten!I$4,H67=Lijsten!I$8),G67*D67,0)</f>
        <v>0</v>
      </c>
      <c r="K67" s="552">
        <f t="shared" si="2"/>
        <v>0</v>
      </c>
      <c r="L67" s="118"/>
    </row>
    <row r="68" spans="1:15" s="117" customFormat="1" ht="14.25" customHeight="1" x14ac:dyDescent="0.25">
      <c r="A68" s="116"/>
      <c r="B68" s="235"/>
      <c r="C68" s="164"/>
      <c r="D68" s="575"/>
      <c r="E68" s="164"/>
      <c r="F68" s="273"/>
      <c r="G68" s="166"/>
      <c r="H68" s="439"/>
      <c r="I68" s="745" cm="1">
        <f t="array" ref="I68">IF(OR(H68=Lijsten!I$5:I$7,H68=Lijsten!I$9),G68*D68,0)</f>
        <v>0</v>
      </c>
      <c r="J68" s="236">
        <f>IF(OR(H68=Lijsten!I$4,H68=Lijsten!I$8),G68*D68,0)</f>
        <v>0</v>
      </c>
      <c r="K68" s="552">
        <f t="shared" si="2"/>
        <v>0</v>
      </c>
      <c r="L68" s="118"/>
    </row>
    <row r="69" spans="1:15" s="117" customFormat="1" ht="14.25" customHeight="1" x14ac:dyDescent="0.25">
      <c r="A69" s="116"/>
      <c r="B69" s="235"/>
      <c r="C69" s="164"/>
      <c r="D69" s="575"/>
      <c r="E69" s="164"/>
      <c r="F69" s="273"/>
      <c r="G69" s="166"/>
      <c r="H69" s="439"/>
      <c r="I69" s="745" cm="1">
        <f t="array" ref="I69">IF(OR(H69=Lijsten!I$5:I$7,H69=Lijsten!I$9),G69*D69,0)</f>
        <v>0</v>
      </c>
      <c r="J69" s="236">
        <f>IF(OR(H69=Lijsten!I$4,H69=Lijsten!I$8),G69*D69,0)</f>
        <v>0</v>
      </c>
      <c r="K69" s="552">
        <f t="shared" si="2"/>
        <v>0</v>
      </c>
      <c r="L69" s="118"/>
    </row>
    <row r="70" spans="1:15" s="117" customFormat="1" ht="14.25" customHeight="1" x14ac:dyDescent="0.25">
      <c r="A70" s="116"/>
      <c r="B70" s="235"/>
      <c r="C70" s="164"/>
      <c r="D70" s="575"/>
      <c r="E70" s="164"/>
      <c r="F70" s="273"/>
      <c r="G70" s="166"/>
      <c r="H70" s="439"/>
      <c r="I70" s="745" cm="1">
        <f t="array" ref="I70">IF(OR(H70=Lijsten!I$5:I$7,H70=Lijsten!I$9),G70*D70,0)</f>
        <v>0</v>
      </c>
      <c r="J70" s="236">
        <f>IF(OR(H70=Lijsten!I$4,H70=Lijsten!I$8),G70*D70,0)</f>
        <v>0</v>
      </c>
      <c r="K70" s="552">
        <f t="shared" si="2"/>
        <v>0</v>
      </c>
      <c r="L70" s="118"/>
    </row>
    <row r="71" spans="1:15" s="117" customFormat="1" ht="14.25" customHeight="1" thickBot="1" x14ac:dyDescent="0.3">
      <c r="A71" s="116"/>
      <c r="B71" s="237"/>
      <c r="C71" s="243"/>
      <c r="D71" s="576"/>
      <c r="E71" s="243"/>
      <c r="F71" s="425"/>
      <c r="G71" s="244"/>
      <c r="H71" s="440"/>
      <c r="I71" s="746" cm="1">
        <f t="array" ref="I71">IF(OR(H71=Lijsten!I$5:I$7,H71=Lijsten!I$9),G71*D71,0)</f>
        <v>0</v>
      </c>
      <c r="J71" s="242">
        <f>IF(OR(H71=Lijsten!I$4,H71=Lijsten!I$8),G71*D71,0)</f>
        <v>0</v>
      </c>
      <c r="K71" s="552">
        <f t="shared" si="2"/>
        <v>0</v>
      </c>
      <c r="L71" s="118"/>
    </row>
    <row r="72" spans="1:15" s="117" customFormat="1" ht="14.25" customHeight="1" thickBot="1" x14ac:dyDescent="0.3">
      <c r="A72" s="116"/>
      <c r="B72" s="748" t="s">
        <v>229</v>
      </c>
      <c r="C72" s="128"/>
      <c r="D72" s="577">
        <f>SUM(D57:D71)</f>
        <v>0</v>
      </c>
      <c r="E72" s="128"/>
      <c r="F72" s="128"/>
      <c r="H72" s="168"/>
      <c r="I72" s="428">
        <f>SUM(I57:I71)</f>
        <v>0</v>
      </c>
      <c r="J72" s="436">
        <f>SUM(J57:J71)</f>
        <v>0</v>
      </c>
      <c r="K72" s="553"/>
      <c r="L72" s="128"/>
      <c r="M72" s="128"/>
      <c r="N72" s="128"/>
    </row>
    <row r="73" spans="1:15" s="117" customFormat="1" ht="14.25" hidden="1" customHeight="1" x14ac:dyDescent="0.25">
      <c r="A73" s="116"/>
      <c r="B73" s="168" t="s">
        <v>230</v>
      </c>
      <c r="C73" s="128"/>
      <c r="D73" s="275">
        <f>IFERROR(SUMPRODUCT(K57:K71,J57:J71)/SUMPRODUCT(K57:K71,D57:D71),0)</f>
        <v>0</v>
      </c>
      <c r="E73" s="128" t="s">
        <v>236</v>
      </c>
      <c r="F73" s="128"/>
      <c r="G73" s="128"/>
      <c r="H73" s="168"/>
      <c r="I73" s="128"/>
      <c r="K73" s="548"/>
      <c r="L73" s="128"/>
      <c r="M73" s="128"/>
      <c r="N73" s="128"/>
      <c r="O73" s="128"/>
    </row>
    <row r="74" spans="1:15" s="117" customFormat="1" ht="14.25" customHeight="1" x14ac:dyDescent="0.25">
      <c r="A74" s="116"/>
      <c r="B74" s="914" t="str">
        <f>IF(D72&gt;0,IF(D73&gt;Df_Os,"Let op, de waarde voor subsidiabele onderdelen (€ "&amp;TEXT(D73,"0.00")&amp;" per overdrachtstation) is boven de defaultwaarde van € "&amp;TEXT(Df_Os,"0.00")&amp;" per overdrachtstation. Dit is alleen toegestaan met een goede onderbouwing in het projectplan en met offertes en/of kostenramingen.",""),"")</f>
        <v/>
      </c>
      <c r="C74" s="128"/>
      <c r="D74" s="128"/>
      <c r="E74" s="128"/>
      <c r="F74" s="128"/>
      <c r="G74" s="128"/>
      <c r="H74" s="168"/>
      <c r="I74" s="128"/>
      <c r="J74" s="177"/>
      <c r="K74" s="555"/>
      <c r="L74" s="128"/>
      <c r="M74" s="128"/>
      <c r="N74" s="128"/>
      <c r="O74" s="128"/>
    </row>
    <row r="75" spans="1:15" ht="14.25" customHeight="1" x14ac:dyDescent="0.25"/>
    <row r="76" spans="1:15" s="117" customFormat="1" ht="14.25" customHeight="1" x14ac:dyDescent="0.25">
      <c r="A76" s="116"/>
      <c r="B76" s="134" t="s">
        <v>157</v>
      </c>
      <c r="C76" s="134"/>
      <c r="D76" s="156"/>
      <c r="E76" s="135"/>
      <c r="F76" s="136"/>
      <c r="G76" s="136"/>
      <c r="H76" s="735"/>
      <c r="I76" s="736"/>
      <c r="J76" s="736"/>
      <c r="K76" s="548"/>
    </row>
    <row r="77" spans="1:15" s="172" customFormat="1" ht="14.25" customHeight="1" thickBot="1" x14ac:dyDescent="0.3">
      <c r="A77" s="171"/>
      <c r="B77" s="749" t="s">
        <v>220</v>
      </c>
      <c r="C77" s="752"/>
      <c r="D77" s="752"/>
      <c r="E77" s="752"/>
      <c r="F77" s="752"/>
      <c r="G77" s="752"/>
      <c r="H77" s="753"/>
      <c r="I77" s="434"/>
      <c r="J77" s="434"/>
      <c r="K77" s="551"/>
      <c r="L77" s="147"/>
      <c r="M77" s="147"/>
      <c r="N77" s="147"/>
      <c r="O77" s="147"/>
    </row>
    <row r="78" spans="1:15" s="147" customFormat="1" ht="40.5" customHeight="1" x14ac:dyDescent="0.25">
      <c r="A78" s="148"/>
      <c r="B78" s="768" t="s">
        <v>221</v>
      </c>
      <c r="C78" s="520" t="s">
        <v>222</v>
      </c>
      <c r="D78" s="737" t="s">
        <v>223</v>
      </c>
      <c r="E78" s="769" t="s">
        <v>237</v>
      </c>
      <c r="F78" s="769"/>
      <c r="G78" s="518" t="s">
        <v>225</v>
      </c>
      <c r="H78" s="520" t="s">
        <v>226</v>
      </c>
      <c r="I78" s="518" t="s">
        <v>227</v>
      </c>
      <c r="J78" s="521" t="s">
        <v>228</v>
      </c>
      <c r="K78" s="551"/>
    </row>
    <row r="79" spans="1:15" s="172" customFormat="1" ht="14.25" customHeight="1" x14ac:dyDescent="0.25">
      <c r="A79" s="171"/>
      <c r="B79" s="235"/>
      <c r="C79" s="164"/>
      <c r="D79" s="268"/>
      <c r="E79" s="164"/>
      <c r="F79" s="854"/>
      <c r="G79" s="166"/>
      <c r="H79" s="450"/>
      <c r="I79" s="745" cm="1">
        <f t="array" ref="I79">IF(OR(H79=Lijsten!I$5:I$6,H79=Lijsten!I$9),G79,0)</f>
        <v>0</v>
      </c>
      <c r="J79" s="236" cm="1">
        <f t="array" ref="J79">IF(OR(H79=Lijsten!I$4,H79=Lijsten!I$7:'Lijsten'!I$8),G79,0)</f>
        <v>0</v>
      </c>
      <c r="K79" s="552">
        <f t="shared" ref="K79:K95" si="3">IF(J79&gt;0,1,0)</f>
        <v>0</v>
      </c>
    </row>
    <row r="80" spans="1:15" s="172" customFormat="1" ht="14.25" customHeight="1" x14ac:dyDescent="0.25">
      <c r="A80" s="171"/>
      <c r="B80" s="235"/>
      <c r="C80" s="164"/>
      <c r="D80" s="268"/>
      <c r="E80" s="164"/>
      <c r="F80" s="854"/>
      <c r="G80" s="166"/>
      <c r="H80" s="450"/>
      <c r="I80" s="745" cm="1">
        <f t="array" ref="I80">IF(OR(H80=Lijsten!I$5:I$6,H80=Lijsten!I$9),G80,0)</f>
        <v>0</v>
      </c>
      <c r="J80" s="236" cm="1">
        <f t="array" ref="J80">IF(OR(H80=Lijsten!I$4,H80=Lijsten!I$7:'Lijsten'!I$8),G80,0)</f>
        <v>0</v>
      </c>
      <c r="K80" s="552">
        <f t="shared" si="3"/>
        <v>0</v>
      </c>
      <c r="L80" s="118"/>
    </row>
    <row r="81" spans="1:14" s="172" customFormat="1" ht="14.25" customHeight="1" x14ac:dyDescent="0.25">
      <c r="A81" s="171"/>
      <c r="B81" s="235"/>
      <c r="C81" s="164"/>
      <c r="D81" s="268"/>
      <c r="E81" s="164"/>
      <c r="F81" s="854"/>
      <c r="G81" s="166"/>
      <c r="H81" s="450"/>
      <c r="I81" s="745" cm="1">
        <f t="array" ref="I81">IF(OR(H81=Lijsten!I$5:I$6,H81=Lijsten!I$9),G81,0)</f>
        <v>0</v>
      </c>
      <c r="J81" s="236" cm="1">
        <f t="array" ref="J81">IF(OR(H81=Lijsten!I$4,H81=Lijsten!I$7:'Lijsten'!I$8),G81,0)</f>
        <v>0</v>
      </c>
      <c r="K81" s="552">
        <f t="shared" si="3"/>
        <v>0</v>
      </c>
      <c r="L81" s="118"/>
    </row>
    <row r="82" spans="1:14" s="172" customFormat="1" ht="14.25" customHeight="1" x14ac:dyDescent="0.25">
      <c r="A82" s="171"/>
      <c r="B82" s="235"/>
      <c r="C82" s="164"/>
      <c r="D82" s="268"/>
      <c r="E82" s="164"/>
      <c r="F82" s="854"/>
      <c r="G82" s="166"/>
      <c r="H82" s="450"/>
      <c r="I82" s="745" cm="1">
        <f t="array" ref="I82">IF(OR(H82=Lijsten!I$5:I$6,H82=Lijsten!I$9),G82,0)</f>
        <v>0</v>
      </c>
      <c r="J82" s="236" cm="1">
        <f t="array" ref="J82">IF(OR(H82=Lijsten!I$4,H82=Lijsten!I$7:'Lijsten'!I$8),G82,0)</f>
        <v>0</v>
      </c>
      <c r="K82" s="552">
        <f t="shared" si="3"/>
        <v>0</v>
      </c>
      <c r="L82" s="118"/>
    </row>
    <row r="83" spans="1:14" s="172" customFormat="1" ht="14.25" customHeight="1" x14ac:dyDescent="0.25">
      <c r="A83" s="171"/>
      <c r="B83" s="235"/>
      <c r="C83" s="164"/>
      <c r="D83" s="268"/>
      <c r="E83" s="164"/>
      <c r="F83" s="854"/>
      <c r="G83" s="166"/>
      <c r="H83" s="450"/>
      <c r="I83" s="745" cm="1">
        <f t="array" ref="I83">IF(OR(H83=Lijsten!I$5:I$6,H83=Lijsten!I$9),G83,0)</f>
        <v>0</v>
      </c>
      <c r="J83" s="236" cm="1">
        <f t="array" ref="J83">IF(OR(H83=Lijsten!I$4,H83=Lijsten!I$7:'Lijsten'!I$8),G83,0)</f>
        <v>0</v>
      </c>
      <c r="K83" s="552">
        <f t="shared" si="3"/>
        <v>0</v>
      </c>
      <c r="L83" s="118"/>
    </row>
    <row r="84" spans="1:14" s="172" customFormat="1" ht="14.25" customHeight="1" x14ac:dyDescent="0.25">
      <c r="A84" s="171"/>
      <c r="B84" s="235"/>
      <c r="C84" s="164"/>
      <c r="D84" s="268"/>
      <c r="E84" s="164"/>
      <c r="F84" s="854"/>
      <c r="G84" s="166"/>
      <c r="H84" s="450"/>
      <c r="I84" s="745" cm="1">
        <f t="array" ref="I84">IF(OR(H84=Lijsten!I$5:I$6,H84=Lijsten!I$9),G84,0)</f>
        <v>0</v>
      </c>
      <c r="J84" s="236" cm="1">
        <f t="array" ref="J84">IF(OR(H84=Lijsten!I$4,H84=Lijsten!I$7:'Lijsten'!I$8),G84,0)</f>
        <v>0</v>
      </c>
      <c r="K84" s="552">
        <f t="shared" si="3"/>
        <v>0</v>
      </c>
      <c r="L84" s="118"/>
    </row>
    <row r="85" spans="1:14" s="172" customFormat="1" ht="14.25" customHeight="1" x14ac:dyDescent="0.25">
      <c r="A85" s="171"/>
      <c r="B85" s="235"/>
      <c r="C85" s="164"/>
      <c r="D85" s="268"/>
      <c r="E85" s="164"/>
      <c r="F85" s="854"/>
      <c r="G85" s="166"/>
      <c r="H85" s="450"/>
      <c r="I85" s="745" cm="1">
        <f t="array" ref="I85">IF(OR(H85=Lijsten!I$5:I$6,H85=Lijsten!I$9),G85,0)</f>
        <v>0</v>
      </c>
      <c r="J85" s="236" cm="1">
        <f t="array" ref="J85">IF(OR(H85=Lijsten!I$4,H85=Lijsten!I$7:'Lijsten'!I$8),G85,0)</f>
        <v>0</v>
      </c>
      <c r="K85" s="552">
        <f t="shared" si="3"/>
        <v>0</v>
      </c>
      <c r="L85" s="118"/>
    </row>
    <row r="86" spans="1:14" s="172" customFormat="1" ht="14.25" customHeight="1" x14ac:dyDescent="0.25">
      <c r="A86" s="171"/>
      <c r="B86" s="235"/>
      <c r="C86" s="164"/>
      <c r="D86" s="268"/>
      <c r="E86" s="164"/>
      <c r="F86" s="854"/>
      <c r="G86" s="166"/>
      <c r="H86" s="450"/>
      <c r="I86" s="745" cm="1">
        <f t="array" ref="I86">IF(OR(H86=Lijsten!I$5:I$6,H86=Lijsten!I$9),G86,0)</f>
        <v>0</v>
      </c>
      <c r="J86" s="236" cm="1">
        <f t="array" ref="J86">IF(OR(H86=Lijsten!I$4,H86=Lijsten!I$7:'Lijsten'!I$8),G86,0)</f>
        <v>0</v>
      </c>
      <c r="K86" s="552">
        <f t="shared" si="3"/>
        <v>0</v>
      </c>
      <c r="L86" s="118"/>
    </row>
    <row r="87" spans="1:14" s="172" customFormat="1" ht="14.25" customHeight="1" x14ac:dyDescent="0.25">
      <c r="A87" s="171"/>
      <c r="B87" s="235"/>
      <c r="C87" s="164"/>
      <c r="D87" s="268"/>
      <c r="E87" s="164"/>
      <c r="F87" s="854"/>
      <c r="G87" s="166"/>
      <c r="H87" s="450"/>
      <c r="I87" s="745" cm="1">
        <f t="array" ref="I87">IF(OR(H87=Lijsten!I$5:I$6,H87=Lijsten!I$9),G87,0)</f>
        <v>0</v>
      </c>
      <c r="J87" s="236" cm="1">
        <f t="array" ref="J87">IF(OR(H87=Lijsten!I$4,H87=Lijsten!I$7:'Lijsten'!I$8),G87,0)</f>
        <v>0</v>
      </c>
      <c r="K87" s="552">
        <f t="shared" si="3"/>
        <v>0</v>
      </c>
      <c r="L87" s="118"/>
    </row>
    <row r="88" spans="1:14" s="172" customFormat="1" ht="14.25" customHeight="1" x14ac:dyDescent="0.25">
      <c r="A88" s="171"/>
      <c r="B88" s="235"/>
      <c r="C88" s="164"/>
      <c r="D88" s="268"/>
      <c r="E88" s="164"/>
      <c r="F88" s="854"/>
      <c r="G88" s="166"/>
      <c r="H88" s="450"/>
      <c r="I88" s="745" cm="1">
        <f t="array" ref="I88">IF(OR(H88=Lijsten!I$5:I$6,H88=Lijsten!I$9),G88,0)</f>
        <v>0</v>
      </c>
      <c r="J88" s="236" cm="1">
        <f t="array" ref="J88">IF(OR(H88=Lijsten!I$4,H88=Lijsten!I$7:'Lijsten'!I$8),G88,0)</f>
        <v>0</v>
      </c>
      <c r="K88" s="552">
        <f t="shared" si="3"/>
        <v>0</v>
      </c>
      <c r="L88" s="118"/>
    </row>
    <row r="89" spans="1:14" s="172" customFormat="1" ht="14.25" customHeight="1" x14ac:dyDescent="0.25">
      <c r="A89" s="171"/>
      <c r="B89" s="235"/>
      <c r="C89" s="164"/>
      <c r="D89" s="268"/>
      <c r="E89" s="164"/>
      <c r="F89" s="854"/>
      <c r="G89" s="166"/>
      <c r="H89" s="450"/>
      <c r="I89" s="745" cm="1">
        <f t="array" ref="I89">IF(OR(H89=Lijsten!I$5:I$6,H89=Lijsten!I$9),G89,0)</f>
        <v>0</v>
      </c>
      <c r="J89" s="236" cm="1">
        <f t="array" ref="J89">IF(OR(H89=Lijsten!I$4,H89=Lijsten!I$7:'Lijsten'!I$8),G89,0)</f>
        <v>0</v>
      </c>
      <c r="K89" s="552">
        <f t="shared" si="3"/>
        <v>0</v>
      </c>
      <c r="L89" s="118"/>
    </row>
    <row r="90" spans="1:14" s="172" customFormat="1" ht="14.25" customHeight="1" x14ac:dyDescent="0.25">
      <c r="A90" s="171"/>
      <c r="B90" s="235"/>
      <c r="C90" s="164"/>
      <c r="D90" s="268"/>
      <c r="E90" s="164"/>
      <c r="F90" s="854"/>
      <c r="G90" s="166"/>
      <c r="H90" s="450"/>
      <c r="I90" s="745" cm="1">
        <f t="array" ref="I90">IF(OR(H90=Lijsten!I$5:I$6,H90=Lijsten!I$9),G90,0)</f>
        <v>0</v>
      </c>
      <c r="J90" s="236" cm="1">
        <f t="array" ref="J90">IF(OR(H90=Lijsten!I$4,H90=Lijsten!I$7:'Lijsten'!I$8),G90,0)</f>
        <v>0</v>
      </c>
      <c r="K90" s="552">
        <f t="shared" si="3"/>
        <v>0</v>
      </c>
      <c r="L90" s="118"/>
    </row>
    <row r="91" spans="1:14" s="172" customFormat="1" ht="14.25" customHeight="1" x14ac:dyDescent="0.25">
      <c r="A91" s="171"/>
      <c r="B91" s="235"/>
      <c r="C91" s="164"/>
      <c r="D91" s="268"/>
      <c r="E91" s="164"/>
      <c r="F91" s="854"/>
      <c r="G91" s="166"/>
      <c r="H91" s="450"/>
      <c r="I91" s="745" cm="1">
        <f t="array" ref="I91">IF(OR(H91=Lijsten!I$5:I$6,H91=Lijsten!I$9),G91,0)</f>
        <v>0</v>
      </c>
      <c r="J91" s="236" cm="1">
        <f t="array" ref="J91">IF(OR(H91=Lijsten!I$4,H91=Lijsten!I$7:'Lijsten'!I$8),G91,0)</f>
        <v>0</v>
      </c>
      <c r="K91" s="552">
        <f t="shared" si="3"/>
        <v>0</v>
      </c>
      <c r="L91" s="118"/>
    </row>
    <row r="92" spans="1:14" s="172" customFormat="1" ht="14.25" customHeight="1" x14ac:dyDescent="0.25">
      <c r="A92" s="171"/>
      <c r="B92" s="235"/>
      <c r="C92" s="164"/>
      <c r="D92" s="268"/>
      <c r="E92" s="164"/>
      <c r="F92" s="854"/>
      <c r="G92" s="166"/>
      <c r="H92" s="450"/>
      <c r="I92" s="745" cm="1">
        <f t="array" ref="I92">IF(OR(H92=Lijsten!I$5:I$6,H92=Lijsten!I$9),G92,0)</f>
        <v>0</v>
      </c>
      <c r="J92" s="236" cm="1">
        <f t="array" ref="J92">IF(OR(H92=Lijsten!I$4,H92=Lijsten!I$7:'Lijsten'!I$8),G92,0)</f>
        <v>0</v>
      </c>
      <c r="K92" s="552">
        <f t="shared" si="3"/>
        <v>0</v>
      </c>
      <c r="L92" s="118"/>
    </row>
    <row r="93" spans="1:14" s="172" customFormat="1" ht="14.25" customHeight="1" x14ac:dyDescent="0.25">
      <c r="A93" s="171"/>
      <c r="B93" s="235"/>
      <c r="C93" s="164"/>
      <c r="D93" s="268"/>
      <c r="E93" s="164"/>
      <c r="F93" s="854"/>
      <c r="G93" s="166"/>
      <c r="H93" s="450"/>
      <c r="I93" s="745" cm="1">
        <f t="array" ref="I93">IF(OR(H93=Lijsten!I$5:I$6,H93=Lijsten!I$9),G93,0)</f>
        <v>0</v>
      </c>
      <c r="J93" s="236" cm="1">
        <f t="array" ref="J93">IF(OR(H93=Lijsten!I$4,H93=Lijsten!I$7:'Lijsten'!I$8),G93,0)</f>
        <v>0</v>
      </c>
      <c r="K93" s="552">
        <f t="shared" si="3"/>
        <v>0</v>
      </c>
      <c r="L93" s="118"/>
    </row>
    <row r="94" spans="1:14" s="172" customFormat="1" ht="14.25" customHeight="1" x14ac:dyDescent="0.25">
      <c r="A94" s="171"/>
      <c r="B94" s="235"/>
      <c r="C94" s="164"/>
      <c r="D94" s="268"/>
      <c r="E94" s="164"/>
      <c r="F94" s="854"/>
      <c r="G94" s="166"/>
      <c r="H94" s="450"/>
      <c r="I94" s="745" cm="1">
        <f t="array" ref="I94">IF(OR(H94=Lijsten!I$5:I$6,H94=Lijsten!I$9),G94,0)</f>
        <v>0</v>
      </c>
      <c r="J94" s="236" cm="1">
        <f t="array" ref="J94">IF(OR(H94=Lijsten!I$4,H94=Lijsten!I$7:'Lijsten'!I$8),G94,0)</f>
        <v>0</v>
      </c>
      <c r="K94" s="552">
        <f t="shared" si="3"/>
        <v>0</v>
      </c>
      <c r="L94" s="118"/>
    </row>
    <row r="95" spans="1:14" s="172" customFormat="1" ht="14.25" customHeight="1" thickBot="1" x14ac:dyDescent="0.3">
      <c r="A95" s="171"/>
      <c r="B95" s="237"/>
      <c r="C95" s="243"/>
      <c r="D95" s="269"/>
      <c r="E95" s="243"/>
      <c r="F95" s="855"/>
      <c r="G95" s="244"/>
      <c r="H95" s="451"/>
      <c r="I95" s="746" cm="1">
        <f t="array" ref="I95">IF(OR(H95=Lijsten!I$5:I$6,H95=Lijsten!I$9),G95,0)</f>
        <v>0</v>
      </c>
      <c r="J95" s="242" cm="1">
        <f t="array" ref="J95">IF(OR(H95=Lijsten!I$4,H95=Lijsten!I$7:'Lijsten'!I$8),G95,0)</f>
        <v>0</v>
      </c>
      <c r="K95" s="552">
        <f t="shared" si="3"/>
        <v>0</v>
      </c>
      <c r="L95" s="118"/>
    </row>
    <row r="96" spans="1:14" s="172" customFormat="1" ht="14.25" customHeight="1" thickBot="1" x14ac:dyDescent="0.3">
      <c r="A96" s="171"/>
      <c r="B96" s="748" t="s">
        <v>229</v>
      </c>
      <c r="C96" s="128"/>
      <c r="D96" s="444">
        <f>SUM(D79:D95)</f>
        <v>0</v>
      </c>
      <c r="E96" s="128"/>
      <c r="F96" s="274"/>
      <c r="H96" s="452"/>
      <c r="I96" s="428">
        <f>SUM(I79:I95)</f>
        <v>0</v>
      </c>
      <c r="J96" s="436">
        <f>SUM(J79:J95)</f>
        <v>0</v>
      </c>
      <c r="K96" s="553"/>
      <c r="L96" s="128"/>
      <c r="M96" s="128"/>
      <c r="N96" s="128"/>
    </row>
    <row r="97" spans="1:15" s="172" customFormat="1" ht="14.25" hidden="1" customHeight="1" x14ac:dyDescent="0.25">
      <c r="A97" s="171"/>
      <c r="B97" s="128" t="s">
        <v>230</v>
      </c>
      <c r="C97" s="128"/>
      <c r="D97" s="275">
        <f>IFERROR(SUMPRODUCT(K79:K95,J79:J95)/SUMPRODUCT(K79:K95,D79:D95),0)</f>
        <v>0</v>
      </c>
      <c r="E97" s="128" t="s">
        <v>231</v>
      </c>
      <c r="F97" s="430"/>
      <c r="G97" s="430"/>
      <c r="H97" s="453"/>
      <c r="I97" s="430"/>
      <c r="K97" s="556"/>
    </row>
    <row r="98" spans="1:15" s="172" customFormat="1" ht="14.25" customHeight="1" x14ac:dyDescent="0.25">
      <c r="A98" s="171"/>
      <c r="B98" s="914" t="str">
        <f>IF(D96&gt;0,IF(D97&gt;Df_Sw,"Let op, de waarde voor subsidiabele onderdelen (€ "&amp;TEXT(D97,"0.00")&amp;" per kilometer) is boven de defaultwaarde van € "&amp;TEXT(Df_Sw,"0.00")&amp;" per kilometer. Dit is alleen toegestaan met een goede onderbouwing in het projectplan en met offertes en/of kostenramingen.",""),"")</f>
        <v/>
      </c>
      <c r="C98" s="128"/>
      <c r="D98" s="128"/>
      <c r="E98" s="128"/>
      <c r="F98" s="430"/>
      <c r="G98" s="430"/>
      <c r="H98" s="453"/>
      <c r="I98" s="430"/>
      <c r="J98" s="276"/>
      <c r="K98" s="555"/>
    </row>
    <row r="99" spans="1:15" s="173" customFormat="1" ht="14.25" customHeight="1" x14ac:dyDescent="0.25">
      <c r="H99" s="133"/>
      <c r="K99" s="557"/>
    </row>
    <row r="100" spans="1:15" s="173" customFormat="1" ht="14.25" customHeight="1" x14ac:dyDescent="0.25">
      <c r="B100" s="134" t="s">
        <v>159</v>
      </c>
      <c r="C100" s="134"/>
      <c r="D100" s="156"/>
      <c r="E100" s="135"/>
      <c r="F100" s="136"/>
      <c r="G100" s="136"/>
      <c r="H100" s="735"/>
      <c r="I100" s="736"/>
      <c r="J100" s="736"/>
      <c r="K100" s="548"/>
      <c r="L100" s="119"/>
      <c r="M100" s="174"/>
      <c r="N100" s="174"/>
      <c r="O100" s="174"/>
    </row>
    <row r="101" spans="1:15" s="173" customFormat="1" ht="14.25" customHeight="1" thickBot="1" x14ac:dyDescent="0.3">
      <c r="B101" s="749" t="s">
        <v>220</v>
      </c>
      <c r="C101" s="842"/>
      <c r="D101" s="843"/>
      <c r="E101" s="844"/>
      <c r="F101" s="731"/>
      <c r="G101" s="731"/>
      <c r="H101" s="732"/>
      <c r="I101" s="733"/>
      <c r="J101" s="733"/>
      <c r="K101" s="548"/>
      <c r="L101" s="845"/>
      <c r="M101" s="174"/>
      <c r="N101" s="174"/>
      <c r="O101" s="174"/>
    </row>
    <row r="102" spans="1:15" s="174" customFormat="1" ht="40.5" customHeight="1" x14ac:dyDescent="0.25">
      <c r="B102" s="519" t="s">
        <v>221</v>
      </c>
      <c r="C102" s="520" t="s">
        <v>222</v>
      </c>
      <c r="D102" s="518" t="s">
        <v>238</v>
      </c>
      <c r="E102" s="518" t="s">
        <v>239</v>
      </c>
      <c r="F102" s="518" t="s">
        <v>240</v>
      </c>
      <c r="G102" s="518" t="s">
        <v>241</v>
      </c>
      <c r="H102" s="518" t="s">
        <v>242</v>
      </c>
      <c r="I102" s="518" t="s">
        <v>227</v>
      </c>
      <c r="J102" s="521" t="s">
        <v>228</v>
      </c>
      <c r="K102" s="551"/>
    </row>
    <row r="103" spans="1:15" s="173" customFormat="1" ht="14.25" customHeight="1" x14ac:dyDescent="0.25">
      <c r="B103" s="235"/>
      <c r="C103" s="150"/>
      <c r="D103" s="578"/>
      <c r="E103" s="164"/>
      <c r="F103" s="166"/>
      <c r="G103" s="166"/>
      <c r="H103" s="164"/>
      <c r="I103" s="745" cm="1">
        <f t="array" ref="I103">IF(OR(H103=Lijsten!D$6:D$8),D103*(F103+G103),0)</f>
        <v>0</v>
      </c>
      <c r="J103" s="236" cm="1">
        <f t="array" ref="J103">IF(OR(H103=Lijsten!D$4:D$5),D103*(F103+G103),0)</f>
        <v>0</v>
      </c>
      <c r="K103" s="552"/>
      <c r="L103" s="118"/>
    </row>
    <row r="104" spans="1:15" s="173" customFormat="1" ht="14.25" customHeight="1" x14ac:dyDescent="0.25">
      <c r="B104" s="235"/>
      <c r="C104" s="150"/>
      <c r="D104" s="578"/>
      <c r="E104" s="164"/>
      <c r="F104" s="166"/>
      <c r="G104" s="166"/>
      <c r="H104" s="164"/>
      <c r="I104" s="745" cm="1">
        <f t="array" ref="I104">IF(OR(H104=Lijsten!D$6:D$8),D104*(F104+G104),0)</f>
        <v>0</v>
      </c>
      <c r="J104" s="236" cm="1">
        <f t="array" ref="J104">IF(OR(H104=Lijsten!D$4:D$5),D104*(F104+G104),0)</f>
        <v>0</v>
      </c>
      <c r="K104" s="552"/>
      <c r="L104" s="118"/>
    </row>
    <row r="105" spans="1:15" s="173" customFormat="1" ht="14.25" customHeight="1" x14ac:dyDescent="0.25">
      <c r="B105" s="235"/>
      <c r="C105" s="150"/>
      <c r="D105" s="578"/>
      <c r="E105" s="164"/>
      <c r="F105" s="166"/>
      <c r="G105" s="166"/>
      <c r="H105" s="164"/>
      <c r="I105" s="745" cm="1">
        <f t="array" ref="I105">IF(OR(H105=Lijsten!D$6:D$8),D105*(F105+G105),0)</f>
        <v>0</v>
      </c>
      <c r="J105" s="236" cm="1">
        <f t="array" ref="J105">IF(OR(H105=Lijsten!D$4:D$5),D105*(F105+G105),0)</f>
        <v>0</v>
      </c>
      <c r="K105" s="552"/>
      <c r="L105" s="118"/>
    </row>
    <row r="106" spans="1:15" s="173" customFormat="1" ht="14.25" customHeight="1" x14ac:dyDescent="0.25">
      <c r="B106" s="235"/>
      <c r="C106" s="150"/>
      <c r="D106" s="578"/>
      <c r="E106" s="164"/>
      <c r="F106" s="166"/>
      <c r="G106" s="166"/>
      <c r="H106" s="164"/>
      <c r="I106" s="745" cm="1">
        <f t="array" ref="I106">IF(OR(H106=Lijsten!D$6:D$8),D106*(F106+G106),0)</f>
        <v>0</v>
      </c>
      <c r="J106" s="236" cm="1">
        <f t="array" ref="J106">IF(OR(H106=Lijsten!D$4:D$5),D106*(F106+G106),0)</f>
        <v>0</v>
      </c>
      <c r="K106" s="552"/>
      <c r="L106" s="118"/>
    </row>
    <row r="107" spans="1:15" s="173" customFormat="1" ht="14.25" customHeight="1" x14ac:dyDescent="0.25">
      <c r="B107" s="235"/>
      <c r="C107" s="150"/>
      <c r="D107" s="578"/>
      <c r="E107" s="164"/>
      <c r="F107" s="166"/>
      <c r="G107" s="166"/>
      <c r="H107" s="164"/>
      <c r="I107" s="745" cm="1">
        <f t="array" ref="I107">IF(OR(H107=Lijsten!D$6:D$8),D107*(F107+G107),0)</f>
        <v>0</v>
      </c>
      <c r="J107" s="236" cm="1">
        <f t="array" ref="J107">IF(OR(H107=Lijsten!D$4:D$5),D107*(F107+G107),0)</f>
        <v>0</v>
      </c>
      <c r="K107" s="552"/>
      <c r="L107" s="118"/>
    </row>
    <row r="108" spans="1:15" s="173" customFormat="1" ht="14.25" customHeight="1" x14ac:dyDescent="0.25">
      <c r="B108" s="235"/>
      <c r="C108" s="150"/>
      <c r="D108" s="578"/>
      <c r="E108" s="164"/>
      <c r="F108" s="166"/>
      <c r="G108" s="166"/>
      <c r="H108" s="164"/>
      <c r="I108" s="745" cm="1">
        <f t="array" ref="I108">IF(OR(H108=Lijsten!D$6:D$8),D108*(F108+G108),0)</f>
        <v>0</v>
      </c>
      <c r="J108" s="236" cm="1">
        <f t="array" ref="J108">IF(OR(H108=Lijsten!D$4:D$5),D108*(F108+G108),0)</f>
        <v>0</v>
      </c>
      <c r="K108" s="552"/>
      <c r="L108" s="118"/>
    </row>
    <row r="109" spans="1:15" s="173" customFormat="1" ht="14.25" customHeight="1" x14ac:dyDescent="0.25">
      <c r="B109" s="235"/>
      <c r="C109" s="150"/>
      <c r="D109" s="167"/>
      <c r="E109" s="164"/>
      <c r="F109" s="166"/>
      <c r="G109" s="166"/>
      <c r="H109" s="164"/>
      <c r="I109" s="745" cm="1">
        <f t="array" ref="I109">IF(OR(H109=Lijsten!D$6:D$8),D109*(F109+G109),0)</f>
        <v>0</v>
      </c>
      <c r="J109" s="236" cm="1">
        <f t="array" ref="J109">IF(OR(H109=Lijsten!D$4:D$5),D109*(F109+G109),0)</f>
        <v>0</v>
      </c>
      <c r="K109" s="552"/>
      <c r="L109" s="118"/>
    </row>
    <row r="110" spans="1:15" s="173" customFormat="1" ht="14.25" customHeight="1" x14ac:dyDescent="0.25">
      <c r="B110" s="235"/>
      <c r="C110" s="150"/>
      <c r="D110" s="167"/>
      <c r="E110" s="164"/>
      <c r="F110" s="166"/>
      <c r="G110" s="166"/>
      <c r="H110" s="164"/>
      <c r="I110" s="745" cm="1">
        <f t="array" ref="I110">IF(OR(H110=Lijsten!D$6:D$8),D110*(F110+G110),0)</f>
        <v>0</v>
      </c>
      <c r="J110" s="236" cm="1">
        <f t="array" ref="J110">IF(OR(H110=Lijsten!D$4:D$5),D110*(F110+G110),0)</f>
        <v>0</v>
      </c>
      <c r="K110" s="552"/>
      <c r="L110" s="118"/>
    </row>
    <row r="111" spans="1:15" s="173" customFormat="1" ht="14.25" customHeight="1" x14ac:dyDescent="0.25">
      <c r="B111" s="235"/>
      <c r="C111" s="150"/>
      <c r="D111" s="167"/>
      <c r="E111" s="164"/>
      <c r="F111" s="166"/>
      <c r="G111" s="166"/>
      <c r="H111" s="164"/>
      <c r="I111" s="745" cm="1">
        <f t="array" ref="I111">IF(OR(H111=Lijsten!D$6:D$8),D111*(F111+G111),0)</f>
        <v>0</v>
      </c>
      <c r="J111" s="236" cm="1">
        <f t="array" ref="J111">IF(OR(H111=Lijsten!D$4:D$5),D111*(F111+G111),0)</f>
        <v>0</v>
      </c>
      <c r="K111" s="552"/>
      <c r="L111" s="118"/>
    </row>
    <row r="112" spans="1:15" s="173" customFormat="1" ht="14.25" customHeight="1" x14ac:dyDescent="0.25">
      <c r="B112" s="235"/>
      <c r="C112" s="150"/>
      <c r="D112" s="167"/>
      <c r="E112" s="164"/>
      <c r="F112" s="166"/>
      <c r="G112" s="166"/>
      <c r="H112" s="164"/>
      <c r="I112" s="745" cm="1">
        <f t="array" ref="I112">IF(OR(H112=Lijsten!D$6:D$8),D112*(F112+G112),0)</f>
        <v>0</v>
      </c>
      <c r="J112" s="236" cm="1">
        <f t="array" ref="J112">IF(OR(H112=Lijsten!D$4:D$5),D112*(F112+G112),0)</f>
        <v>0</v>
      </c>
      <c r="K112" s="552"/>
      <c r="L112" s="118"/>
    </row>
    <row r="113" spans="2:12" s="173" customFormat="1" ht="14.25" customHeight="1" x14ac:dyDescent="0.25">
      <c r="B113" s="235"/>
      <c r="C113" s="150"/>
      <c r="D113" s="167"/>
      <c r="E113" s="164"/>
      <c r="F113" s="166"/>
      <c r="G113" s="166"/>
      <c r="H113" s="164"/>
      <c r="I113" s="745" cm="1">
        <f t="array" ref="I113">IF(OR(H113=Lijsten!D$6:D$8),D113*(F113+G113),0)</f>
        <v>0</v>
      </c>
      <c r="J113" s="236" cm="1">
        <f t="array" ref="J113">IF(OR(H113=Lijsten!D$4:D$5),D113*(F113+G113),0)</f>
        <v>0</v>
      </c>
      <c r="K113" s="552"/>
      <c r="L113" s="118"/>
    </row>
    <row r="114" spans="2:12" s="173" customFormat="1" ht="14.25" customHeight="1" x14ac:dyDescent="0.25">
      <c r="B114" s="235"/>
      <c r="C114" s="150"/>
      <c r="D114" s="167"/>
      <c r="E114" s="164"/>
      <c r="F114" s="166"/>
      <c r="G114" s="166"/>
      <c r="H114" s="164"/>
      <c r="I114" s="745" cm="1">
        <f t="array" ref="I114">IF(OR(H114=Lijsten!D$6:D$8),D114*(F114+G114),0)</f>
        <v>0</v>
      </c>
      <c r="J114" s="236" cm="1">
        <f t="array" ref="J114">IF(OR(H114=Lijsten!D$4:D$5),D114*(F114+G114),0)</f>
        <v>0</v>
      </c>
      <c r="K114" s="552"/>
      <c r="L114" s="118"/>
    </row>
    <row r="115" spans="2:12" s="173" customFormat="1" ht="14.25" customHeight="1" x14ac:dyDescent="0.25">
      <c r="B115" s="235"/>
      <c r="C115" s="150"/>
      <c r="D115" s="167"/>
      <c r="E115" s="164"/>
      <c r="F115" s="166"/>
      <c r="G115" s="166"/>
      <c r="H115" s="164"/>
      <c r="I115" s="745" cm="1">
        <f t="array" ref="I115">IF(OR(H115=Lijsten!D$6:D$8),D115*(F115+G115),0)</f>
        <v>0</v>
      </c>
      <c r="J115" s="236" cm="1">
        <f t="array" ref="J115">IF(OR(H115=Lijsten!D$4:D$5),D115*(F115+G115),0)</f>
        <v>0</v>
      </c>
      <c r="K115" s="552"/>
      <c r="L115" s="118"/>
    </row>
    <row r="116" spans="2:12" s="173" customFormat="1" ht="14.25" customHeight="1" x14ac:dyDescent="0.25">
      <c r="B116" s="235"/>
      <c r="C116" s="150"/>
      <c r="D116" s="167"/>
      <c r="E116" s="164"/>
      <c r="F116" s="166"/>
      <c r="G116" s="166"/>
      <c r="H116" s="164"/>
      <c r="I116" s="745" cm="1">
        <f t="array" ref="I116">IF(OR(H116=Lijsten!D$6:D$8),D116*(F116+G116),0)</f>
        <v>0</v>
      </c>
      <c r="J116" s="236" cm="1">
        <f t="array" ref="J116">IF(OR(H116=Lijsten!D$4:D$5),D116*(F116+G116),0)</f>
        <v>0</v>
      </c>
      <c r="K116" s="552"/>
      <c r="L116" s="118"/>
    </row>
    <row r="117" spans="2:12" s="173" customFormat="1" ht="14.25" customHeight="1" x14ac:dyDescent="0.25">
      <c r="B117" s="235"/>
      <c r="C117" s="150"/>
      <c r="D117" s="167"/>
      <c r="E117" s="164"/>
      <c r="F117" s="166"/>
      <c r="G117" s="166"/>
      <c r="H117" s="164"/>
      <c r="I117" s="745" cm="1">
        <f t="array" ref="I117">IF(OR(H117=Lijsten!D$6:D$8),D117*(F117+G117),0)</f>
        <v>0</v>
      </c>
      <c r="J117" s="236" cm="1">
        <f t="array" ref="J117">IF(OR(H117=Lijsten!D$4:D$5),D117*(F117+G117),0)</f>
        <v>0</v>
      </c>
      <c r="K117" s="552"/>
      <c r="L117" s="118"/>
    </row>
    <row r="118" spans="2:12" s="173" customFormat="1" ht="14.25" customHeight="1" x14ac:dyDescent="0.25">
      <c r="B118" s="235"/>
      <c r="C118" s="150"/>
      <c r="D118" s="167"/>
      <c r="E118" s="164"/>
      <c r="F118" s="166"/>
      <c r="G118" s="166"/>
      <c r="H118" s="164"/>
      <c r="I118" s="745" cm="1">
        <f t="array" ref="I118">IF(OR(H118=Lijsten!D$6:D$8),D118*(F118+G118),0)</f>
        <v>0</v>
      </c>
      <c r="J118" s="236" cm="1">
        <f t="array" ref="J118">IF(OR(H118=Lijsten!D$4:D$5),D118*(F118+G118),0)</f>
        <v>0</v>
      </c>
      <c r="K118" s="552"/>
      <c r="L118" s="118"/>
    </row>
    <row r="119" spans="2:12" s="173" customFormat="1" ht="14.25" customHeight="1" x14ac:dyDescent="0.25">
      <c r="B119" s="235"/>
      <c r="C119" s="150"/>
      <c r="D119" s="167"/>
      <c r="E119" s="164"/>
      <c r="F119" s="166"/>
      <c r="G119" s="166"/>
      <c r="H119" s="164"/>
      <c r="I119" s="745" cm="1">
        <f t="array" ref="I119">IF(OR(H119=Lijsten!D$6:D$8),D119*(F119+G119),0)</f>
        <v>0</v>
      </c>
      <c r="J119" s="236" cm="1">
        <f t="array" ref="J119">IF(OR(H119=Lijsten!D$4:D$5),D119*(F119+G119),0)</f>
        <v>0</v>
      </c>
      <c r="K119" s="552"/>
      <c r="L119" s="118"/>
    </row>
    <row r="120" spans="2:12" s="173" customFormat="1" ht="14.25" customHeight="1" x14ac:dyDescent="0.25">
      <c r="B120" s="235"/>
      <c r="C120" s="150"/>
      <c r="D120" s="167"/>
      <c r="E120" s="164"/>
      <c r="F120" s="166"/>
      <c r="G120" s="166"/>
      <c r="H120" s="164"/>
      <c r="I120" s="745" cm="1">
        <f t="array" ref="I120">IF(OR(H120=Lijsten!D$6:D$8),D120*(F120+G120),0)</f>
        <v>0</v>
      </c>
      <c r="J120" s="236" cm="1">
        <f t="array" ref="J120">IF(OR(H120=Lijsten!D$4:D$5),D120*(F120+G120),0)</f>
        <v>0</v>
      </c>
      <c r="K120" s="552"/>
      <c r="L120" s="118"/>
    </row>
    <row r="121" spans="2:12" s="173" customFormat="1" ht="14.25" customHeight="1" x14ac:dyDescent="0.25">
      <c r="B121" s="235"/>
      <c r="C121" s="150"/>
      <c r="D121" s="167"/>
      <c r="E121" s="164"/>
      <c r="F121" s="166"/>
      <c r="G121" s="166"/>
      <c r="H121" s="164"/>
      <c r="I121" s="745" cm="1">
        <f t="array" ref="I121">IF(OR(H121=Lijsten!D$6:D$8),D121*(F121+G121),0)</f>
        <v>0</v>
      </c>
      <c r="J121" s="236" cm="1">
        <f t="array" ref="J121">IF(OR(H121=Lijsten!D$4:D$5),D121*(F121+G121),0)</f>
        <v>0</v>
      </c>
      <c r="K121" s="552"/>
      <c r="L121" s="118"/>
    </row>
    <row r="122" spans="2:12" s="173" customFormat="1" ht="14.25" customHeight="1" x14ac:dyDescent="0.25">
      <c r="B122" s="235"/>
      <c r="C122" s="150"/>
      <c r="D122" s="167"/>
      <c r="E122" s="164"/>
      <c r="F122" s="166"/>
      <c r="G122" s="166"/>
      <c r="H122" s="164"/>
      <c r="I122" s="745" cm="1">
        <f t="array" ref="I122">IF(OR(H122=Lijsten!D$6:D$8),D122*(F122+G122),0)</f>
        <v>0</v>
      </c>
      <c r="J122" s="236" cm="1">
        <f t="array" ref="J122">IF(OR(H122=Lijsten!D$4:D$5),D122*(F122+G122),0)</f>
        <v>0</v>
      </c>
      <c r="K122" s="552"/>
      <c r="L122" s="118"/>
    </row>
    <row r="123" spans="2:12" s="173" customFormat="1" ht="14.25" customHeight="1" x14ac:dyDescent="0.25">
      <c r="B123" s="235"/>
      <c r="C123" s="150"/>
      <c r="D123" s="167"/>
      <c r="E123" s="164"/>
      <c r="F123" s="166"/>
      <c r="G123" s="166"/>
      <c r="H123" s="164"/>
      <c r="I123" s="745" cm="1">
        <f t="array" ref="I123">IF(OR(H123=Lijsten!D$6:D$8),D123*(F123+G123),0)</f>
        <v>0</v>
      </c>
      <c r="J123" s="236" cm="1">
        <f t="array" ref="J123">IF(OR(H123=Lijsten!D$4:D$5),D123*(F123+G123),0)</f>
        <v>0</v>
      </c>
      <c r="K123" s="552"/>
      <c r="L123" s="118"/>
    </row>
    <row r="124" spans="2:12" s="173" customFormat="1" ht="14.25" customHeight="1" x14ac:dyDescent="0.25">
      <c r="B124" s="235"/>
      <c r="C124" s="150"/>
      <c r="D124" s="167"/>
      <c r="E124" s="164"/>
      <c r="F124" s="166"/>
      <c r="G124" s="166"/>
      <c r="H124" s="164"/>
      <c r="I124" s="745" cm="1">
        <f t="array" ref="I124">IF(OR(H124=Lijsten!D$6:D$8),D124*(F124+G124),0)</f>
        <v>0</v>
      </c>
      <c r="J124" s="236" cm="1">
        <f t="array" ref="J124">IF(OR(H124=Lijsten!D$4:D$5),D124*(F124+G124),0)</f>
        <v>0</v>
      </c>
      <c r="K124" s="552"/>
      <c r="L124" s="118"/>
    </row>
    <row r="125" spans="2:12" s="173" customFormat="1" ht="14.25" customHeight="1" x14ac:dyDescent="0.25">
      <c r="B125" s="235"/>
      <c r="C125" s="150"/>
      <c r="D125" s="167"/>
      <c r="E125" s="164"/>
      <c r="F125" s="166"/>
      <c r="G125" s="166"/>
      <c r="H125" s="164"/>
      <c r="I125" s="745" cm="1">
        <f t="array" ref="I125">IF(OR(H125=Lijsten!D$6:D$8),D125*(F125+G125),0)</f>
        <v>0</v>
      </c>
      <c r="J125" s="236" cm="1">
        <f t="array" ref="J125">IF(OR(H125=Lijsten!D$4:D$5),D125*(F125+G125),0)</f>
        <v>0</v>
      </c>
      <c r="K125" s="552"/>
      <c r="L125" s="118"/>
    </row>
    <row r="126" spans="2:12" s="173" customFormat="1" ht="14.25" customHeight="1" x14ac:dyDescent="0.25">
      <c r="B126" s="235"/>
      <c r="C126" s="150"/>
      <c r="D126" s="167"/>
      <c r="E126" s="164"/>
      <c r="F126" s="166"/>
      <c r="G126" s="166"/>
      <c r="H126" s="164"/>
      <c r="I126" s="745" cm="1">
        <f t="array" ref="I126">IF(OR(H126=Lijsten!D$6:D$8),D126*(F126+G126),0)</f>
        <v>0</v>
      </c>
      <c r="J126" s="236" cm="1">
        <f t="array" ref="J126">IF(OR(H126=Lijsten!D$4:D$5),D126*(F126+G126),0)</f>
        <v>0</v>
      </c>
      <c r="K126" s="552"/>
      <c r="L126" s="118"/>
    </row>
    <row r="127" spans="2:12" s="173" customFormat="1" ht="14.25" customHeight="1" x14ac:dyDescent="0.25">
      <c r="B127" s="235"/>
      <c r="C127" s="150"/>
      <c r="D127" s="167"/>
      <c r="E127" s="164"/>
      <c r="F127" s="166"/>
      <c r="G127" s="166"/>
      <c r="H127" s="164"/>
      <c r="I127" s="745" cm="1">
        <f t="array" ref="I127">IF(OR(H127=Lijsten!D$6:D$8),D127*(F127+G127),0)</f>
        <v>0</v>
      </c>
      <c r="J127" s="236" cm="1">
        <f t="array" ref="J127">IF(OR(H127=Lijsten!D$4:D$5),D127*(F127+G127),0)</f>
        <v>0</v>
      </c>
      <c r="K127" s="552"/>
      <c r="L127" s="118"/>
    </row>
    <row r="128" spans="2:12" s="173" customFormat="1" ht="14.25" customHeight="1" x14ac:dyDescent="0.25">
      <c r="B128" s="235"/>
      <c r="C128" s="150"/>
      <c r="D128" s="167"/>
      <c r="E128" s="164"/>
      <c r="F128" s="166"/>
      <c r="G128" s="166"/>
      <c r="H128" s="164"/>
      <c r="I128" s="745" cm="1">
        <f t="array" ref="I128">IF(OR(H128=Lijsten!D$6:D$8),D128*(F128+G128),0)</f>
        <v>0</v>
      </c>
      <c r="J128" s="236" cm="1">
        <f t="array" ref="J128">IF(OR(H128=Lijsten!D$4:D$5),D128*(F128+G128),0)</f>
        <v>0</v>
      </c>
      <c r="K128" s="552"/>
      <c r="L128" s="118"/>
    </row>
    <row r="129" spans="2:12" s="173" customFormat="1" ht="14.25" customHeight="1" x14ac:dyDescent="0.25">
      <c r="B129" s="235"/>
      <c r="C129" s="150"/>
      <c r="D129" s="167"/>
      <c r="E129" s="164"/>
      <c r="F129" s="166"/>
      <c r="G129" s="166"/>
      <c r="H129" s="164"/>
      <c r="I129" s="745" cm="1">
        <f t="array" ref="I129">IF(OR(H129=Lijsten!D$6:D$8),D129*(F129+G129),0)</f>
        <v>0</v>
      </c>
      <c r="J129" s="236" cm="1">
        <f t="array" ref="J129">IF(OR(H129=Lijsten!D$4:D$5),D129*(F129+G129),0)</f>
        <v>0</v>
      </c>
      <c r="K129" s="552"/>
      <c r="L129" s="118"/>
    </row>
    <row r="130" spans="2:12" s="173" customFormat="1" ht="14.25" customHeight="1" x14ac:dyDescent="0.25">
      <c r="B130" s="235"/>
      <c r="C130" s="150"/>
      <c r="D130" s="167"/>
      <c r="E130" s="164"/>
      <c r="F130" s="166"/>
      <c r="G130" s="166"/>
      <c r="H130" s="164"/>
      <c r="I130" s="745" cm="1">
        <f t="array" ref="I130">IF(OR(H130=Lijsten!D$6:D$8),D130*(F130+G130),0)</f>
        <v>0</v>
      </c>
      <c r="J130" s="236" cm="1">
        <f t="array" ref="J130">IF(OR(H130=Lijsten!D$4:D$5),D130*(F130+G130),0)</f>
        <v>0</v>
      </c>
      <c r="K130" s="552"/>
      <c r="L130" s="118"/>
    </row>
    <row r="131" spans="2:12" s="173" customFormat="1" ht="14.25" customHeight="1" x14ac:dyDescent="0.25">
      <c r="B131" s="235"/>
      <c r="C131" s="150"/>
      <c r="D131" s="167"/>
      <c r="E131" s="164"/>
      <c r="F131" s="166"/>
      <c r="G131" s="166"/>
      <c r="H131" s="164"/>
      <c r="I131" s="745" cm="1">
        <f t="array" ref="I131">IF(OR(H131=Lijsten!D$6:D$8),D131*(F131+G131),0)</f>
        <v>0</v>
      </c>
      <c r="J131" s="236" cm="1">
        <f t="array" ref="J131">IF(OR(H131=Lijsten!D$4:D$5),D131*(F131+G131),0)</f>
        <v>0</v>
      </c>
      <c r="K131" s="552"/>
      <c r="L131" s="118"/>
    </row>
    <row r="132" spans="2:12" s="173" customFormat="1" ht="14.25" customHeight="1" thickBot="1" x14ac:dyDescent="0.3">
      <c r="B132" s="237"/>
      <c r="C132" s="574"/>
      <c r="D132" s="245"/>
      <c r="E132" s="243"/>
      <c r="F132" s="244"/>
      <c r="G132" s="244"/>
      <c r="H132" s="243"/>
      <c r="I132" s="746" cm="1">
        <f t="array" ref="I132">IF(OR(H132=Lijsten!D$6:D$8),D132*(F132+G132),0)</f>
        <v>0</v>
      </c>
      <c r="J132" s="242" cm="1">
        <f t="array" ref="J132">IF(OR(H132=Lijsten!D$4:D$5),D132*(F132+G132),0)</f>
        <v>0</v>
      </c>
      <c r="K132" s="552"/>
      <c r="L132" s="118"/>
    </row>
    <row r="133" spans="2:12" s="174" customFormat="1" ht="14.25" customHeight="1" thickBot="1" x14ac:dyDescent="0.3">
      <c r="B133" s="748" t="s">
        <v>229</v>
      </c>
      <c r="C133" s="154"/>
      <c r="D133" s="443">
        <f>SUM(D103:D132)</f>
        <v>0</v>
      </c>
      <c r="E133" s="433"/>
      <c r="F133" s="431"/>
      <c r="G133" s="173"/>
      <c r="H133" s="168"/>
      <c r="I133" s="428">
        <f>SUM(I103:I132)</f>
        <v>0</v>
      </c>
      <c r="J133" s="436">
        <f>SUM(J103:J132)</f>
        <v>0</v>
      </c>
      <c r="K133" s="553"/>
      <c r="L133" s="175"/>
    </row>
    <row r="134" spans="2:12" s="174" customFormat="1" ht="14.25" hidden="1" customHeight="1" x14ac:dyDescent="0.25">
      <c r="B134" s="153" t="s">
        <v>243</v>
      </c>
      <c r="C134" s="153"/>
      <c r="D134" s="216" t="s">
        <v>244</v>
      </c>
      <c r="E134" s="216"/>
      <c r="F134" s="924" t="s">
        <v>130</v>
      </c>
      <c r="G134" s="924" t="s">
        <v>637</v>
      </c>
      <c r="H134" s="216" t="s">
        <v>245</v>
      </c>
      <c r="I134" s="160"/>
      <c r="J134" s="276"/>
      <c r="K134" s="555"/>
      <c r="L134" s="175"/>
    </row>
    <row r="135" spans="2:12" s="174" customFormat="1" ht="14.25" hidden="1" customHeight="1" x14ac:dyDescent="0.25">
      <c r="B135" s="168" t="str">
        <f>Lijsten!D4</f>
        <v>Grondgebonden kleinverbruiker</v>
      </c>
      <c r="C135" s="153"/>
      <c r="D135" s="432" cm="1">
        <f t="array" ref="D135">SUMPRODUCT(ISNUMBER(SEARCH(B135,H103:H132,1))*D103:D132)</f>
        <v>0</v>
      </c>
      <c r="E135" s="433"/>
      <c r="F135" s="277" cm="1">
        <f t="array" ref="F135">IFERROR(SUMPRODUCT(ISNUMBER(SEARCH(B135,H$103:H$132,1))*D$103:D$132*F$103:F$132) / D135,0)</f>
        <v>0</v>
      </c>
      <c r="G135" s="277" cm="1">
        <f t="array" ref="G135">IFERROR(SUMPRODUCT(ISNUMBER(SEARCH(B135,H$103:H$132,1))*D$103:D$132*G$103:G$132) / D135,0)</f>
        <v>0</v>
      </c>
      <c r="H135" s="588">
        <f>IFERROR(G135*D135,"")</f>
        <v>0</v>
      </c>
      <c r="I135" s="434"/>
      <c r="J135" s="276"/>
      <c r="K135" s="555"/>
      <c r="L135" s="175"/>
    </row>
    <row r="136" spans="2:12" s="174" customFormat="1" ht="14.25" hidden="1" customHeight="1" x14ac:dyDescent="0.25">
      <c r="B136" s="168" t="str">
        <f>Lijsten!D5</f>
        <v>Gestapelde kleinverbruiker</v>
      </c>
      <c r="C136" s="153"/>
      <c r="D136" s="432" cm="1">
        <f t="array" ref="D136">SUMPRODUCT(ISNUMBER(SEARCH(B136,H103:H132,1))*D103:D132)</f>
        <v>0</v>
      </c>
      <c r="E136" s="433"/>
      <c r="F136" s="277" cm="1">
        <f t="array" ref="F136">IFERROR(SUMPRODUCT(ISNUMBER(SEARCH(B136,H$103:H$132,1))*D$103:D$132*F$103:F$132) / D136,0)</f>
        <v>0</v>
      </c>
      <c r="G136" s="277" cm="1">
        <f t="array" ref="G136">IFERROR(SUMPRODUCT(ISNUMBER(SEARCH(B136,H$103:H$132,1))*D$103:D$132*G$103:G$132) / D136,0)</f>
        <v>0</v>
      </c>
      <c r="H136" s="588">
        <f>IFERROR(G136*D136,"")</f>
        <v>0</v>
      </c>
      <c r="I136" s="434"/>
      <c r="J136" s="276"/>
      <c r="K136" s="555"/>
      <c r="L136" s="175"/>
    </row>
    <row r="137" spans="2:12" s="174" customFormat="1" ht="14.25" hidden="1" customHeight="1" x14ac:dyDescent="0.25">
      <c r="B137" s="168" t="str">
        <f>Lijsten!D6</f>
        <v>Nieuwbouw</v>
      </c>
      <c r="C137" s="153"/>
      <c r="D137" s="432" cm="1">
        <f t="array" ref="D137">SUMPRODUCT(ISNUMBER(SEARCH(B137,H103:H132,1))*D103:D132)</f>
        <v>0</v>
      </c>
      <c r="E137" s="216"/>
      <c r="F137" s="277" cm="1">
        <f t="array" ref="F137">IFERROR(SUMPRODUCT(ISNUMBER(SEARCH(B137,H$103:H$132,1))*D$103:D$132*F$103:F$132) / D137,0)</f>
        <v>0</v>
      </c>
      <c r="G137" s="277" cm="1">
        <f t="array" ref="G137">IFERROR(SUMPRODUCT(ISNUMBER(SEARCH(B137,H$103:H$132,1))*D$103:D$132*G$103:G$132) / D137,0)</f>
        <v>0</v>
      </c>
      <c r="H137" s="588">
        <f>IFERROR(G137*D137,"")</f>
        <v>0</v>
      </c>
      <c r="I137" s="160"/>
      <c r="J137" s="177"/>
      <c r="K137" s="555"/>
      <c r="L137" s="175"/>
    </row>
    <row r="138" spans="2:12" s="174" customFormat="1" ht="14.25" hidden="1" customHeight="1" x14ac:dyDescent="0.25">
      <c r="B138" s="168" t="str">
        <f>Lijsten!D7</f>
        <v>Blokaansluiting (&gt;100 kW)</v>
      </c>
      <c r="C138" s="153"/>
      <c r="D138" s="432" cm="1">
        <f t="array" ref="D138">SUMPRODUCT(ISNUMBER(SEARCH(B138,H104:H133,1))*D104:D133)</f>
        <v>0</v>
      </c>
      <c r="E138" s="216"/>
      <c r="F138" s="277" cm="1">
        <f t="array" ref="F138">IFERROR(SUMPRODUCT(ISNUMBER(SEARCH(B138,H$103:H$132,1))*D$103:D$132*F$103:F$132) / D138,0)</f>
        <v>0</v>
      </c>
      <c r="G138" s="277" cm="1">
        <f t="array" ref="G138">IFERROR(SUMPRODUCT(ISNUMBER(SEARCH(B138,H$103:H$132,1))*D$103:D$132*G$103:G$132) / D138,0)</f>
        <v>0</v>
      </c>
      <c r="H138" s="588">
        <f>IFERROR(G138*D138,"")</f>
        <v>0</v>
      </c>
      <c r="I138" s="160"/>
      <c r="J138" s="177"/>
      <c r="K138" s="555"/>
      <c r="L138" s="175"/>
    </row>
    <row r="139" spans="2:12" s="174" customFormat="1" ht="14.25" hidden="1" customHeight="1" x14ac:dyDescent="0.25">
      <c r="B139" s="168" t="str">
        <f>Lijsten!D8</f>
        <v>Grootverbruiker (&gt;100 kW)</v>
      </c>
      <c r="C139" s="153"/>
      <c r="D139" s="432" cm="1">
        <f t="array" ref="D139">SUMPRODUCT(ISNUMBER(SEARCH(B139,H105:H133,1))*D105:D133)</f>
        <v>0</v>
      </c>
      <c r="E139" s="216"/>
      <c r="F139" s="277" cm="1">
        <f t="array" ref="F139">IFERROR(SUMPRODUCT(ISNUMBER(SEARCH(B139,H$103:H$132,1))*D$103:D$132*F$103:F$132) / D139,0)</f>
        <v>0</v>
      </c>
      <c r="G139" s="277" cm="1">
        <f t="array" ref="G139">IFERROR(SUMPRODUCT(ISNUMBER(SEARCH(B139,H$103:H$132,1))*D$103:D$132*G$103:G$132) / D139,0)</f>
        <v>0</v>
      </c>
      <c r="H139" s="588">
        <f>IFERROR(G139*D139,"")</f>
        <v>0</v>
      </c>
      <c r="I139" s="160"/>
      <c r="J139" s="177"/>
      <c r="K139" s="555"/>
      <c r="L139" s="175"/>
    </row>
    <row r="140" spans="2:12" s="174" customFormat="1" ht="14.25" hidden="1" customHeight="1" x14ac:dyDescent="0.25">
      <c r="B140" s="168"/>
      <c r="C140" s="153"/>
      <c r="D140" s="432"/>
      <c r="E140" s="216"/>
      <c r="F140" s="277"/>
      <c r="G140" s="277"/>
      <c r="H140" s="588"/>
      <c r="I140" s="160"/>
      <c r="J140" s="177"/>
      <c r="K140" s="555"/>
      <c r="L140" s="175"/>
    </row>
    <row r="141" spans="2:12" s="174" customFormat="1" ht="14.25" hidden="1" customHeight="1" collapsed="1" x14ac:dyDescent="0.25">
      <c r="B141" s="153" t="s">
        <v>243</v>
      </c>
      <c r="C141" s="153"/>
      <c r="D141" s="176"/>
      <c r="E141" s="589" t="s">
        <v>246</v>
      </c>
      <c r="F141" s="590">
        <f>IFERROR( ( (D135*F135) + (D136*F136) ) / (D136+D135),0)</f>
        <v>0</v>
      </c>
      <c r="G141" s="590">
        <f>IFERROR( ( (D135*G135) + (D136*G136) ) / (D136+D135),0)</f>
        <v>0</v>
      </c>
      <c r="H141" s="588"/>
      <c r="I141" s="160"/>
      <c r="J141" s="177"/>
      <c r="K141" s="555"/>
      <c r="L141" s="175"/>
    </row>
    <row r="142" spans="2:12" s="174" customFormat="1" ht="14.25" customHeight="1" x14ac:dyDescent="0.25">
      <c r="B142" s="914" t="str">
        <f>IF(F135&gt;0,IF(F135&gt;Df_Gra,"Let op, de aansluitkosten grondgebonden (€ "&amp;TEXT(F135,"0.00")&amp;" per aansluiting) zijn boven de defaultwaarde van € "&amp;TEXT(Df_Gra,"0.00")&amp;". Dit is alleen toegestaan met een goede onderbouwing in het projectplan en met offertes en/of kostenramingen.",""),"")</f>
        <v/>
      </c>
      <c r="C142" s="153"/>
      <c r="D142" s="176"/>
      <c r="E142" s="216"/>
      <c r="F142" s="216"/>
      <c r="G142" s="431"/>
      <c r="H142" s="118"/>
      <c r="I142" s="160"/>
      <c r="J142" s="177"/>
      <c r="K142" s="555"/>
      <c r="L142" s="175"/>
    </row>
    <row r="143" spans="2:12" s="174" customFormat="1" ht="14.25" customHeight="1" x14ac:dyDescent="0.25">
      <c r="B143" s="914" t="str">
        <f>IF(F136&gt;0,IF(F136&gt;Df_Gea,"Let op, de aansluitkosten gestapeld (€ "&amp;TEXT(F136,"0.00")&amp;" per aansluiting) zijn boven de defaultwaarde van € "&amp;TEXT(Df_Gea,"0.00")&amp;". Dit is alleen toegestaan met een goede onderbouwing in het projectplan en met offertes en/of kostenramingen.",""),"")</f>
        <v/>
      </c>
      <c r="C143" s="153"/>
      <c r="D143" s="176"/>
      <c r="E143" s="216"/>
      <c r="F143" s="216"/>
      <c r="G143" s="431"/>
      <c r="H143" s="118"/>
      <c r="I143" s="160"/>
      <c r="J143" s="177"/>
      <c r="K143" s="555"/>
      <c r="L143" s="175"/>
    </row>
    <row r="144" spans="2:12" s="174" customFormat="1" ht="14.25" customHeight="1" x14ac:dyDescent="0.25">
      <c r="B144" s="914" t="str">
        <f>IF(G141&gt;0,IF(G141&gt;Df_As,"Let op, de kosten voor subsidiabele afleversets (€ "&amp;TEXT(G141,"0.00")&amp;" per afleverset) zijn boven de defaultwaarde van € "&amp;TEXT(Df_As,"0.00")&amp;". Dit is alleen toegestaan met een goede onderbouwing in het projectplan en met offertes en/of kostenramingen.",""),"")</f>
        <v/>
      </c>
      <c r="C144" s="153"/>
      <c r="D144" s="176"/>
      <c r="E144" s="216"/>
      <c r="F144" s="216"/>
      <c r="G144" s="431"/>
      <c r="H144" s="118"/>
      <c r="I144" s="160"/>
      <c r="J144" s="177"/>
      <c r="K144" s="555"/>
      <c r="L144" s="175"/>
    </row>
    <row r="145" spans="1:15" s="890" customFormat="1" ht="14.25" customHeight="1" x14ac:dyDescent="0.25">
      <c r="B145" s="914" t="str">
        <f>IFERROR(IF(LOOKUP(Lijsten!D7,H103:H132,F103:F132)&gt;0,"Let op, investeringen in aansluitleidingen voor blokaansluitingen (&gt;100kW) zijn tot aan de gevel subsidiabel, deze kunt u apart opvoeren onder 'investeringen in primaire netten' of 'investeringen in secundaire netten'.",""),"")</f>
        <v/>
      </c>
      <c r="C145" s="891"/>
      <c r="D145" s="892"/>
      <c r="E145" s="893"/>
      <c r="F145" s="894"/>
      <c r="G145" s="894"/>
      <c r="H145" s="895"/>
      <c r="I145" s="896"/>
      <c r="J145" s="896"/>
      <c r="K145" s="897"/>
      <c r="L145" s="898"/>
      <c r="M145" s="899"/>
      <c r="N145" s="899"/>
      <c r="O145" s="899"/>
    </row>
    <row r="146" spans="1:15" s="69" customFormat="1" ht="14.25" customHeight="1" x14ac:dyDescent="0.25">
      <c r="H146" s="127"/>
      <c r="K146" s="467"/>
    </row>
    <row r="147" spans="1:15" s="117" customFormat="1" ht="14.25" customHeight="1" x14ac:dyDescent="0.25">
      <c r="A147" s="116"/>
      <c r="B147" s="134" t="s">
        <v>247</v>
      </c>
      <c r="C147" s="134"/>
      <c r="D147" s="134"/>
      <c r="E147" s="134"/>
      <c r="F147" s="134"/>
      <c r="G147" s="134"/>
      <c r="H147" s="134"/>
      <c r="I147" s="134"/>
      <c r="J147" s="134"/>
      <c r="K147" s="558"/>
    </row>
    <row r="148" spans="1:15" s="197" customFormat="1" ht="14.25" customHeight="1" thickBot="1" x14ac:dyDescent="0.3">
      <c r="B148" s="749" t="s">
        <v>248</v>
      </c>
      <c r="D148" s="734"/>
      <c r="E148" s="734"/>
      <c r="F148" s="734"/>
      <c r="G148" s="734"/>
      <c r="H148" s="437"/>
      <c r="I148" s="525"/>
      <c r="K148" s="549"/>
    </row>
    <row r="149" spans="1:15" ht="14.25" customHeight="1" x14ac:dyDescent="0.25">
      <c r="B149" s="738" t="s">
        <v>249</v>
      </c>
      <c r="C149" s="739"/>
      <c r="D149" s="740"/>
      <c r="E149" s="740"/>
      <c r="F149" s="741"/>
      <c r="G149" s="741"/>
      <c r="H149" s="742"/>
      <c r="I149" s="743"/>
      <c r="J149" s="744"/>
    </row>
    <row r="150" spans="1:15" s="147" customFormat="1" ht="40.5" customHeight="1" x14ac:dyDescent="0.25">
      <c r="A150" s="148"/>
      <c r="B150" s="770" t="s">
        <v>221</v>
      </c>
      <c r="C150" s="764" t="s">
        <v>250</v>
      </c>
      <c r="D150" s="860"/>
      <c r="E150" s="765" t="s">
        <v>251</v>
      </c>
      <c r="F150" s="767" t="s">
        <v>252</v>
      </c>
      <c r="G150" s="763" t="s">
        <v>253</v>
      </c>
      <c r="H150" s="763"/>
      <c r="I150" s="766"/>
      <c r="J150" s="771" t="s">
        <v>254</v>
      </c>
      <c r="K150" s="551"/>
    </row>
    <row r="151" spans="1:15" ht="14.25" customHeight="1" x14ac:dyDescent="0.25">
      <c r="B151" s="235"/>
      <c r="C151" s="164"/>
      <c r="D151" s="858"/>
      <c r="E151" s="164"/>
      <c r="F151" s="152">
        <f t="shared" ref="F151:F184" si="4">Uurtarief</f>
        <v>65</v>
      </c>
      <c r="G151" s="224"/>
      <c r="H151" s="858"/>
      <c r="I151" s="745"/>
      <c r="J151" s="236">
        <f>G151*F151</f>
        <v>0</v>
      </c>
      <c r="K151" s="552"/>
    </row>
    <row r="152" spans="1:15" ht="14.25" customHeight="1" x14ac:dyDescent="0.25">
      <c r="B152" s="235"/>
      <c r="C152" s="164"/>
      <c r="D152" s="858"/>
      <c r="E152" s="164"/>
      <c r="F152" s="152">
        <f t="shared" si="4"/>
        <v>65</v>
      </c>
      <c r="G152" s="224"/>
      <c r="H152" s="858"/>
      <c r="I152" s="745"/>
      <c r="J152" s="236">
        <f t="shared" ref="J152:J165" si="5">G152*F152</f>
        <v>0</v>
      </c>
      <c r="K152" s="552"/>
    </row>
    <row r="153" spans="1:15" ht="14.25" customHeight="1" x14ac:dyDescent="0.25">
      <c r="B153" s="235"/>
      <c r="C153" s="164"/>
      <c r="D153" s="858"/>
      <c r="E153" s="164"/>
      <c r="F153" s="152">
        <f t="shared" si="4"/>
        <v>65</v>
      </c>
      <c r="G153" s="224"/>
      <c r="H153" s="858"/>
      <c r="I153" s="745"/>
      <c r="J153" s="236">
        <f t="shared" si="5"/>
        <v>0</v>
      </c>
      <c r="K153" s="552"/>
    </row>
    <row r="154" spans="1:15" ht="14.25" customHeight="1" x14ac:dyDescent="0.25">
      <c r="B154" s="235"/>
      <c r="C154" s="164"/>
      <c r="D154" s="858"/>
      <c r="E154" s="164"/>
      <c r="F154" s="152">
        <f t="shared" si="4"/>
        <v>65</v>
      </c>
      <c r="G154" s="224"/>
      <c r="H154" s="858"/>
      <c r="I154" s="745"/>
      <c r="J154" s="236">
        <f t="shared" si="5"/>
        <v>0</v>
      </c>
      <c r="K154" s="552"/>
    </row>
    <row r="155" spans="1:15" ht="14.25" customHeight="1" x14ac:dyDescent="0.25">
      <c r="B155" s="235"/>
      <c r="C155" s="164"/>
      <c r="D155" s="858"/>
      <c r="E155" s="164"/>
      <c r="F155" s="152">
        <f t="shared" si="4"/>
        <v>65</v>
      </c>
      <c r="G155" s="224"/>
      <c r="H155" s="858"/>
      <c r="I155" s="745"/>
      <c r="J155" s="236">
        <f t="shared" si="5"/>
        <v>0</v>
      </c>
      <c r="K155" s="552"/>
    </row>
    <row r="156" spans="1:15" ht="14.25" customHeight="1" x14ac:dyDescent="0.25">
      <c r="B156" s="235"/>
      <c r="C156" s="164"/>
      <c r="D156" s="858"/>
      <c r="E156" s="164"/>
      <c r="F156" s="152">
        <f t="shared" si="4"/>
        <v>65</v>
      </c>
      <c r="G156" s="224"/>
      <c r="H156" s="858"/>
      <c r="I156" s="745"/>
      <c r="J156" s="236">
        <f t="shared" si="5"/>
        <v>0</v>
      </c>
      <c r="K156" s="552"/>
    </row>
    <row r="157" spans="1:15" ht="14.25" customHeight="1" x14ac:dyDescent="0.25">
      <c r="B157" s="235"/>
      <c r="C157" s="164"/>
      <c r="D157" s="858"/>
      <c r="E157" s="164"/>
      <c r="F157" s="152">
        <f t="shared" si="4"/>
        <v>65</v>
      </c>
      <c r="G157" s="224"/>
      <c r="H157" s="858"/>
      <c r="I157" s="745"/>
      <c r="J157" s="236">
        <f t="shared" si="5"/>
        <v>0</v>
      </c>
      <c r="K157" s="552"/>
    </row>
    <row r="158" spans="1:15" ht="14.25" customHeight="1" x14ac:dyDescent="0.25">
      <c r="B158" s="235"/>
      <c r="C158" s="164"/>
      <c r="D158" s="858"/>
      <c r="E158" s="164"/>
      <c r="F158" s="152">
        <f t="shared" si="4"/>
        <v>65</v>
      </c>
      <c r="G158" s="224"/>
      <c r="H158" s="858"/>
      <c r="I158" s="745"/>
      <c r="J158" s="236">
        <f t="shared" si="5"/>
        <v>0</v>
      </c>
      <c r="K158" s="552"/>
    </row>
    <row r="159" spans="1:15" ht="14.25" customHeight="1" x14ac:dyDescent="0.25">
      <c r="B159" s="235"/>
      <c r="C159" s="164"/>
      <c r="D159" s="858"/>
      <c r="E159" s="164"/>
      <c r="F159" s="152">
        <f t="shared" si="4"/>
        <v>65</v>
      </c>
      <c r="G159" s="224"/>
      <c r="H159" s="858"/>
      <c r="I159" s="745"/>
      <c r="J159" s="236">
        <f t="shared" si="5"/>
        <v>0</v>
      </c>
      <c r="K159" s="552"/>
    </row>
    <row r="160" spans="1:15" ht="14.25" customHeight="1" x14ac:dyDescent="0.25">
      <c r="B160" s="235"/>
      <c r="C160" s="164"/>
      <c r="D160" s="858"/>
      <c r="E160" s="164"/>
      <c r="F160" s="152">
        <f t="shared" si="4"/>
        <v>65</v>
      </c>
      <c r="G160" s="224"/>
      <c r="H160" s="858"/>
      <c r="I160" s="745"/>
      <c r="J160" s="236">
        <f t="shared" si="5"/>
        <v>0</v>
      </c>
      <c r="K160" s="552"/>
    </row>
    <row r="161" spans="2:11" ht="14.25" customHeight="1" x14ac:dyDescent="0.25">
      <c r="B161" s="235"/>
      <c r="C161" s="164"/>
      <c r="D161" s="858"/>
      <c r="E161" s="164"/>
      <c r="F161" s="152">
        <f t="shared" si="4"/>
        <v>65</v>
      </c>
      <c r="G161" s="224"/>
      <c r="H161" s="858"/>
      <c r="I161" s="745"/>
      <c r="J161" s="236">
        <f t="shared" si="5"/>
        <v>0</v>
      </c>
      <c r="K161" s="552"/>
    </row>
    <row r="162" spans="2:11" ht="14.25" customHeight="1" x14ac:dyDescent="0.25">
      <c r="B162" s="235"/>
      <c r="C162" s="164"/>
      <c r="D162" s="858"/>
      <c r="E162" s="164"/>
      <c r="F162" s="152">
        <f t="shared" si="4"/>
        <v>65</v>
      </c>
      <c r="G162" s="224"/>
      <c r="H162" s="858"/>
      <c r="I162" s="745"/>
      <c r="J162" s="236">
        <f t="shared" si="5"/>
        <v>0</v>
      </c>
      <c r="K162" s="552"/>
    </row>
    <row r="163" spans="2:11" ht="14.25" customHeight="1" x14ac:dyDescent="0.25">
      <c r="B163" s="235"/>
      <c r="C163" s="164"/>
      <c r="D163" s="858"/>
      <c r="E163" s="164"/>
      <c r="F163" s="152">
        <f t="shared" si="4"/>
        <v>65</v>
      </c>
      <c r="G163" s="224"/>
      <c r="H163" s="858"/>
      <c r="I163" s="745"/>
      <c r="J163" s="236">
        <f t="shared" si="5"/>
        <v>0</v>
      </c>
      <c r="K163" s="552"/>
    </row>
    <row r="164" spans="2:11" ht="14.25" customHeight="1" x14ac:dyDescent="0.25">
      <c r="B164" s="235"/>
      <c r="C164" s="164"/>
      <c r="D164" s="858"/>
      <c r="E164" s="164"/>
      <c r="F164" s="152">
        <f t="shared" si="4"/>
        <v>65</v>
      </c>
      <c r="G164" s="224"/>
      <c r="H164" s="858"/>
      <c r="I164" s="745"/>
      <c r="J164" s="236">
        <f t="shared" si="5"/>
        <v>0</v>
      </c>
      <c r="K164" s="552"/>
    </row>
    <row r="165" spans="2:11" ht="14.25" customHeight="1" thickBot="1" x14ac:dyDescent="0.3">
      <c r="B165" s="237"/>
      <c r="C165" s="243"/>
      <c r="D165" s="859"/>
      <c r="E165" s="243"/>
      <c r="F165" s="239">
        <f t="shared" si="4"/>
        <v>65</v>
      </c>
      <c r="G165" s="240"/>
      <c r="H165" s="859"/>
      <c r="I165" s="746"/>
      <c r="J165" s="242">
        <f t="shared" si="5"/>
        <v>0</v>
      </c>
      <c r="K165" s="552"/>
    </row>
    <row r="166" spans="2:11" ht="14.25" customHeight="1" thickBot="1" x14ac:dyDescent="0.3">
      <c r="B166" s="748" t="s">
        <v>255</v>
      </c>
      <c r="C166" s="197"/>
      <c r="D166" s="203"/>
      <c r="E166" s="203"/>
      <c r="F166" s="203"/>
      <c r="G166" s="203"/>
      <c r="H166" s="454"/>
      <c r="I166" s="429"/>
      <c r="J166" s="747">
        <f>SUM(J151:J165)</f>
        <v>0</v>
      </c>
      <c r="K166" s="553"/>
    </row>
    <row r="167" spans="2:11" s="197" customFormat="1" ht="14.25" customHeight="1" thickBot="1" x14ac:dyDescent="0.3">
      <c r="B167" s="748"/>
      <c r="D167" s="203"/>
      <c r="E167" s="203"/>
      <c r="F167" s="203"/>
      <c r="G167" s="203"/>
      <c r="H167" s="454"/>
      <c r="I167" s="429"/>
      <c r="J167" s="429"/>
      <c r="K167" s="553"/>
    </row>
    <row r="168" spans="2:11" ht="14.25" customHeight="1" x14ac:dyDescent="0.25">
      <c r="B168" s="738" t="s">
        <v>256</v>
      </c>
      <c r="C168" s="739"/>
      <c r="D168" s="740"/>
      <c r="E168" s="740"/>
      <c r="F168" s="741"/>
      <c r="G168" s="741"/>
      <c r="H168" s="742"/>
      <c r="I168" s="743"/>
      <c r="J168" s="744"/>
    </row>
    <row r="169" spans="2:11" ht="40.5" customHeight="1" x14ac:dyDescent="0.25">
      <c r="B169" s="770" t="s">
        <v>221</v>
      </c>
      <c r="C169" s="764" t="s">
        <v>250</v>
      </c>
      <c r="D169" s="860"/>
      <c r="E169" s="765" t="s">
        <v>251</v>
      </c>
      <c r="F169" s="767" t="s">
        <v>252</v>
      </c>
      <c r="G169" s="763" t="s">
        <v>253</v>
      </c>
      <c r="H169" s="763"/>
      <c r="I169" s="766"/>
      <c r="J169" s="771" t="s">
        <v>254</v>
      </c>
      <c r="K169" s="551"/>
    </row>
    <row r="170" spans="2:11" ht="14.25" customHeight="1" x14ac:dyDescent="0.25">
      <c r="B170" s="235"/>
      <c r="C170" s="164"/>
      <c r="D170" s="861"/>
      <c r="E170" s="164"/>
      <c r="F170" s="152">
        <f t="shared" si="4"/>
        <v>65</v>
      </c>
      <c r="G170" s="224"/>
      <c r="H170" s="858"/>
      <c r="I170" s="745"/>
      <c r="J170" s="236">
        <f t="shared" ref="J170:J184" si="6">G170*F170</f>
        <v>0</v>
      </c>
      <c r="K170" s="552"/>
    </row>
    <row r="171" spans="2:11" ht="14.25" customHeight="1" x14ac:dyDescent="0.25">
      <c r="B171" s="235"/>
      <c r="C171" s="164"/>
      <c r="D171" s="861"/>
      <c r="E171" s="164"/>
      <c r="F171" s="152">
        <f t="shared" si="4"/>
        <v>65</v>
      </c>
      <c r="G171" s="224"/>
      <c r="H171" s="858"/>
      <c r="I171" s="745"/>
      <c r="J171" s="236">
        <f t="shared" si="6"/>
        <v>0</v>
      </c>
      <c r="K171" s="552"/>
    </row>
    <row r="172" spans="2:11" ht="14.25" customHeight="1" x14ac:dyDescent="0.25">
      <c r="B172" s="235"/>
      <c r="C172" s="164"/>
      <c r="D172" s="861"/>
      <c r="E172" s="164"/>
      <c r="F172" s="152">
        <f t="shared" si="4"/>
        <v>65</v>
      </c>
      <c r="G172" s="224"/>
      <c r="H172" s="858"/>
      <c r="I172" s="745"/>
      <c r="J172" s="236">
        <f t="shared" si="6"/>
        <v>0</v>
      </c>
      <c r="K172" s="552"/>
    </row>
    <row r="173" spans="2:11" ht="14.25" customHeight="1" x14ac:dyDescent="0.25">
      <c r="B173" s="235"/>
      <c r="C173" s="164"/>
      <c r="D173" s="861"/>
      <c r="E173" s="164"/>
      <c r="F173" s="152">
        <f t="shared" si="4"/>
        <v>65</v>
      </c>
      <c r="G173" s="224"/>
      <c r="H173" s="858"/>
      <c r="I173" s="745"/>
      <c r="J173" s="236">
        <f t="shared" si="6"/>
        <v>0</v>
      </c>
      <c r="K173" s="552"/>
    </row>
    <row r="174" spans="2:11" ht="14.25" customHeight="1" x14ac:dyDescent="0.25">
      <c r="B174" s="235"/>
      <c r="C174" s="164"/>
      <c r="D174" s="861"/>
      <c r="E174" s="164"/>
      <c r="F174" s="152">
        <f t="shared" si="4"/>
        <v>65</v>
      </c>
      <c r="G174" s="224"/>
      <c r="H174" s="858"/>
      <c r="I174" s="745"/>
      <c r="J174" s="236">
        <f t="shared" si="6"/>
        <v>0</v>
      </c>
      <c r="K174" s="552"/>
    </row>
    <row r="175" spans="2:11" ht="14.25" customHeight="1" x14ac:dyDescent="0.25">
      <c r="B175" s="235"/>
      <c r="C175" s="164"/>
      <c r="D175" s="861"/>
      <c r="E175" s="164"/>
      <c r="F175" s="152">
        <f t="shared" si="4"/>
        <v>65</v>
      </c>
      <c r="G175" s="224"/>
      <c r="H175" s="858"/>
      <c r="I175" s="745"/>
      <c r="J175" s="236">
        <f t="shared" si="6"/>
        <v>0</v>
      </c>
      <c r="K175" s="552"/>
    </row>
    <row r="176" spans="2:11" ht="14.25" customHeight="1" x14ac:dyDescent="0.25">
      <c r="B176" s="235"/>
      <c r="C176" s="164"/>
      <c r="D176" s="861"/>
      <c r="E176" s="164"/>
      <c r="F176" s="152">
        <f t="shared" si="4"/>
        <v>65</v>
      </c>
      <c r="G176" s="224"/>
      <c r="H176" s="858"/>
      <c r="I176" s="745"/>
      <c r="J176" s="236">
        <f t="shared" si="6"/>
        <v>0</v>
      </c>
      <c r="K176" s="552"/>
    </row>
    <row r="177" spans="1:11" ht="14.25" customHeight="1" x14ac:dyDescent="0.25">
      <c r="B177" s="235"/>
      <c r="C177" s="164"/>
      <c r="D177" s="861"/>
      <c r="E177" s="164"/>
      <c r="F177" s="152">
        <f t="shared" si="4"/>
        <v>65</v>
      </c>
      <c r="G177" s="224"/>
      <c r="H177" s="858"/>
      <c r="I177" s="745"/>
      <c r="J177" s="236">
        <f t="shared" si="6"/>
        <v>0</v>
      </c>
      <c r="K177" s="552"/>
    </row>
    <row r="178" spans="1:11" ht="14.25" customHeight="1" x14ac:dyDescent="0.25">
      <c r="B178" s="235"/>
      <c r="C178" s="164"/>
      <c r="D178" s="861"/>
      <c r="E178" s="164"/>
      <c r="F178" s="152">
        <f t="shared" si="4"/>
        <v>65</v>
      </c>
      <c r="G178" s="224"/>
      <c r="H178" s="858"/>
      <c r="I178" s="745"/>
      <c r="J178" s="236">
        <f t="shared" si="6"/>
        <v>0</v>
      </c>
      <c r="K178" s="552"/>
    </row>
    <row r="179" spans="1:11" ht="14.25" customHeight="1" x14ac:dyDescent="0.25">
      <c r="B179" s="235"/>
      <c r="C179" s="164"/>
      <c r="D179" s="861"/>
      <c r="E179" s="164"/>
      <c r="F179" s="152">
        <f t="shared" si="4"/>
        <v>65</v>
      </c>
      <c r="G179" s="224"/>
      <c r="H179" s="858"/>
      <c r="I179" s="745"/>
      <c r="J179" s="236">
        <f t="shared" si="6"/>
        <v>0</v>
      </c>
      <c r="K179" s="552"/>
    </row>
    <row r="180" spans="1:11" ht="14.25" customHeight="1" x14ac:dyDescent="0.25">
      <c r="B180" s="235"/>
      <c r="C180" s="164"/>
      <c r="D180" s="861"/>
      <c r="E180" s="164"/>
      <c r="F180" s="152">
        <f t="shared" si="4"/>
        <v>65</v>
      </c>
      <c r="G180" s="224"/>
      <c r="H180" s="858"/>
      <c r="I180" s="745"/>
      <c r="J180" s="236">
        <f t="shared" si="6"/>
        <v>0</v>
      </c>
      <c r="K180" s="552"/>
    </row>
    <row r="181" spans="1:11" ht="14.25" customHeight="1" x14ac:dyDescent="0.25">
      <c r="B181" s="235"/>
      <c r="C181" s="164"/>
      <c r="D181" s="861"/>
      <c r="E181" s="164"/>
      <c r="F181" s="152">
        <f t="shared" si="4"/>
        <v>65</v>
      </c>
      <c r="G181" s="224"/>
      <c r="H181" s="858"/>
      <c r="I181" s="745"/>
      <c r="J181" s="236">
        <f t="shared" si="6"/>
        <v>0</v>
      </c>
      <c r="K181" s="552"/>
    </row>
    <row r="182" spans="1:11" ht="14.25" customHeight="1" x14ac:dyDescent="0.25">
      <c r="B182" s="235"/>
      <c r="C182" s="164"/>
      <c r="D182" s="861"/>
      <c r="E182" s="164"/>
      <c r="F182" s="152">
        <f t="shared" si="4"/>
        <v>65</v>
      </c>
      <c r="G182" s="224"/>
      <c r="H182" s="858"/>
      <c r="I182" s="745"/>
      <c r="J182" s="236">
        <f t="shared" si="6"/>
        <v>0</v>
      </c>
      <c r="K182" s="552"/>
    </row>
    <row r="183" spans="1:11" ht="14.25" customHeight="1" x14ac:dyDescent="0.25">
      <c r="B183" s="235"/>
      <c r="C183" s="164"/>
      <c r="D183" s="861"/>
      <c r="E183" s="164"/>
      <c r="F183" s="152">
        <f t="shared" si="4"/>
        <v>65</v>
      </c>
      <c r="G183" s="224"/>
      <c r="H183" s="858"/>
      <c r="I183" s="745"/>
      <c r="J183" s="236">
        <f t="shared" si="6"/>
        <v>0</v>
      </c>
      <c r="K183" s="552"/>
    </row>
    <row r="184" spans="1:11" ht="14.25" customHeight="1" thickBot="1" x14ac:dyDescent="0.3">
      <c r="B184" s="237"/>
      <c r="C184" s="243"/>
      <c r="D184" s="862"/>
      <c r="E184" s="243"/>
      <c r="F184" s="239">
        <f t="shared" si="4"/>
        <v>65</v>
      </c>
      <c r="G184" s="240"/>
      <c r="H184" s="859"/>
      <c r="I184" s="746"/>
      <c r="J184" s="242">
        <f t="shared" si="6"/>
        <v>0</v>
      </c>
      <c r="K184" s="552"/>
    </row>
    <row r="185" spans="1:11" ht="14.25" customHeight="1" thickBot="1" x14ac:dyDescent="0.3">
      <c r="B185" s="749" t="s">
        <v>255</v>
      </c>
      <c r="C185" s="197"/>
      <c r="D185" s="203"/>
      <c r="E185" s="203"/>
      <c r="F185" s="203"/>
      <c r="G185" s="203"/>
      <c r="H185" s="454"/>
      <c r="I185" s="429"/>
      <c r="J185" s="747">
        <f>SUM(J170:J184)</f>
        <v>0</v>
      </c>
      <c r="K185" s="553"/>
    </row>
    <row r="186" spans="1:11" s="197" customFormat="1" ht="14.25" customHeight="1" thickBot="1" x14ac:dyDescent="0.3">
      <c r="D186" s="203"/>
      <c r="E186" s="203"/>
      <c r="F186" s="203"/>
      <c r="G186" s="203"/>
      <c r="H186" s="454"/>
      <c r="I186" s="429"/>
      <c r="J186" s="429"/>
      <c r="K186" s="553"/>
    </row>
    <row r="187" spans="1:11" ht="14.25" customHeight="1" thickBot="1" x14ac:dyDescent="0.3">
      <c r="B187" s="762" t="s">
        <v>257</v>
      </c>
      <c r="C187" s="181"/>
      <c r="D187" s="181"/>
      <c r="E187" s="181"/>
      <c r="F187" s="181"/>
      <c r="G187" s="181"/>
      <c r="H187" s="181"/>
      <c r="I187" s="181"/>
      <c r="J187" s="591">
        <f>J185+J166</f>
        <v>0</v>
      </c>
      <c r="K187" s="555"/>
    </row>
    <row r="188" spans="1:11" s="69" customFormat="1" ht="14.25" customHeight="1" x14ac:dyDescent="0.25">
      <c r="B188" s="230"/>
      <c r="H188" s="127"/>
      <c r="K188" s="467"/>
    </row>
    <row r="189" spans="1:11" s="117" customFormat="1" ht="14.25" customHeight="1" x14ac:dyDescent="0.25">
      <c r="A189" s="116"/>
      <c r="B189" s="134" t="s">
        <v>165</v>
      </c>
      <c r="C189" s="134"/>
      <c r="D189" s="156"/>
      <c r="E189" s="135"/>
      <c r="F189" s="136"/>
      <c r="G189" s="136"/>
      <c r="H189" s="735"/>
      <c r="I189" s="736"/>
      <c r="J189" s="736"/>
      <c r="K189" s="548"/>
    </row>
    <row r="190" spans="1:11" s="731" customFormat="1" ht="14.25" customHeight="1" thickBot="1" x14ac:dyDescent="0.3">
      <c r="B190" s="749" t="s">
        <v>258</v>
      </c>
      <c r="C190" s="842"/>
      <c r="D190" s="843"/>
      <c r="E190" s="844"/>
      <c r="H190" s="732"/>
      <c r="I190" s="733"/>
      <c r="J190" s="733"/>
      <c r="K190" s="548"/>
    </row>
    <row r="191" spans="1:11" ht="14.25" customHeight="1" x14ac:dyDescent="0.25">
      <c r="B191" s="738" t="s">
        <v>249</v>
      </c>
      <c r="C191" s="739"/>
      <c r="D191" s="740"/>
      <c r="E191" s="740"/>
      <c r="F191" s="741"/>
      <c r="G191" s="741"/>
      <c r="H191" s="742"/>
      <c r="I191" s="743"/>
      <c r="J191" s="744"/>
    </row>
    <row r="192" spans="1:11" s="147" customFormat="1" ht="40.5" customHeight="1" x14ac:dyDescent="0.25">
      <c r="A192" s="148"/>
      <c r="B192" s="772" t="s">
        <v>221</v>
      </c>
      <c r="C192" s="764" t="s">
        <v>259</v>
      </c>
      <c r="D192" s="765"/>
      <c r="E192" s="765" t="s">
        <v>260</v>
      </c>
      <c r="F192" s="765"/>
      <c r="G192" s="764" t="s">
        <v>254</v>
      </c>
      <c r="H192" s="763"/>
      <c r="I192" s="766"/>
      <c r="J192" s="771" t="s">
        <v>254</v>
      </c>
      <c r="K192" s="551"/>
    </row>
    <row r="193" spans="2:11" ht="14.25" customHeight="1" x14ac:dyDescent="0.25">
      <c r="B193" s="235"/>
      <c r="C193" s="165"/>
      <c r="D193" s="863"/>
      <c r="E193" s="165"/>
      <c r="F193" s="863"/>
      <c r="G193" s="441"/>
      <c r="H193" s="858"/>
      <c r="I193" s="745"/>
      <c r="J193" s="236">
        <f>G193</f>
        <v>0</v>
      </c>
      <c r="K193" s="552"/>
    </row>
    <row r="194" spans="2:11" ht="14.25" customHeight="1" x14ac:dyDescent="0.25">
      <c r="B194" s="235"/>
      <c r="C194" s="165"/>
      <c r="D194" s="865"/>
      <c r="E194" s="165"/>
      <c r="F194" s="863"/>
      <c r="G194" s="441"/>
      <c r="H194" s="858"/>
      <c r="I194" s="745"/>
      <c r="J194" s="236">
        <f t="shared" ref="J194:J207" si="7">G194</f>
        <v>0</v>
      </c>
      <c r="K194" s="552"/>
    </row>
    <row r="195" spans="2:11" ht="14.25" customHeight="1" x14ac:dyDescent="0.25">
      <c r="B195" s="235"/>
      <c r="C195" s="165"/>
      <c r="D195" s="865"/>
      <c r="E195" s="165"/>
      <c r="F195" s="863"/>
      <c r="G195" s="441"/>
      <c r="H195" s="858"/>
      <c r="I195" s="745"/>
      <c r="J195" s="236">
        <f t="shared" si="7"/>
        <v>0</v>
      </c>
      <c r="K195" s="552"/>
    </row>
    <row r="196" spans="2:11" ht="14.25" customHeight="1" x14ac:dyDescent="0.25">
      <c r="B196" s="235"/>
      <c r="C196" s="165"/>
      <c r="D196" s="863"/>
      <c r="E196" s="165"/>
      <c r="F196" s="863"/>
      <c r="G196" s="441"/>
      <c r="H196" s="858"/>
      <c r="I196" s="745"/>
      <c r="J196" s="236">
        <f t="shared" si="7"/>
        <v>0</v>
      </c>
      <c r="K196" s="552"/>
    </row>
    <row r="197" spans="2:11" ht="14.25" customHeight="1" x14ac:dyDescent="0.25">
      <c r="B197" s="235"/>
      <c r="C197" s="165"/>
      <c r="D197" s="863"/>
      <c r="E197" s="165"/>
      <c r="F197" s="863"/>
      <c r="G197" s="441"/>
      <c r="H197" s="858"/>
      <c r="I197" s="745"/>
      <c r="J197" s="236">
        <f t="shared" si="7"/>
        <v>0</v>
      </c>
      <c r="K197" s="552"/>
    </row>
    <row r="198" spans="2:11" ht="14.25" customHeight="1" x14ac:dyDescent="0.25">
      <c r="B198" s="235"/>
      <c r="C198" s="165"/>
      <c r="D198" s="863"/>
      <c r="E198" s="165"/>
      <c r="F198" s="863"/>
      <c r="G198" s="441"/>
      <c r="H198" s="858"/>
      <c r="I198" s="745"/>
      <c r="J198" s="236">
        <f t="shared" si="7"/>
        <v>0</v>
      </c>
      <c r="K198" s="552"/>
    </row>
    <row r="199" spans="2:11" ht="14.25" customHeight="1" x14ac:dyDescent="0.25">
      <c r="B199" s="235"/>
      <c r="C199" s="165"/>
      <c r="D199" s="863"/>
      <c r="E199" s="165"/>
      <c r="F199" s="863"/>
      <c r="G199" s="441"/>
      <c r="H199" s="858"/>
      <c r="I199" s="745"/>
      <c r="J199" s="236">
        <f t="shared" si="7"/>
        <v>0</v>
      </c>
      <c r="K199" s="552"/>
    </row>
    <row r="200" spans="2:11" ht="14.25" customHeight="1" x14ac:dyDescent="0.25">
      <c r="B200" s="235"/>
      <c r="C200" s="165"/>
      <c r="D200" s="863"/>
      <c r="E200" s="165"/>
      <c r="F200" s="863"/>
      <c r="G200" s="441"/>
      <c r="H200" s="858"/>
      <c r="I200" s="745"/>
      <c r="J200" s="236">
        <f t="shared" si="7"/>
        <v>0</v>
      </c>
      <c r="K200" s="552"/>
    </row>
    <row r="201" spans="2:11" ht="14.25" customHeight="1" x14ac:dyDescent="0.25">
      <c r="B201" s="235"/>
      <c r="C201" s="165"/>
      <c r="D201" s="863"/>
      <c r="E201" s="165"/>
      <c r="F201" s="863"/>
      <c r="G201" s="441"/>
      <c r="H201" s="858"/>
      <c r="I201" s="745"/>
      <c r="J201" s="236">
        <f t="shared" si="7"/>
        <v>0</v>
      </c>
      <c r="K201" s="552"/>
    </row>
    <row r="202" spans="2:11" ht="14.25" customHeight="1" x14ac:dyDescent="0.25">
      <c r="B202" s="235"/>
      <c r="C202" s="164"/>
      <c r="D202" s="858"/>
      <c r="E202" s="165"/>
      <c r="F202" s="863"/>
      <c r="G202" s="441"/>
      <c r="H202" s="858"/>
      <c r="I202" s="745"/>
      <c r="J202" s="236">
        <f t="shared" si="7"/>
        <v>0</v>
      </c>
      <c r="K202" s="552"/>
    </row>
    <row r="203" spans="2:11" ht="14.25" customHeight="1" x14ac:dyDescent="0.25">
      <c r="B203" s="235"/>
      <c r="C203" s="164"/>
      <c r="D203" s="858"/>
      <c r="E203" s="165"/>
      <c r="F203" s="863"/>
      <c r="G203" s="441"/>
      <c r="H203" s="858"/>
      <c r="I203" s="745"/>
      <c r="J203" s="236">
        <f t="shared" si="7"/>
        <v>0</v>
      </c>
      <c r="K203" s="552"/>
    </row>
    <row r="204" spans="2:11" ht="14.25" customHeight="1" x14ac:dyDescent="0.25">
      <c r="B204" s="235"/>
      <c r="C204" s="164"/>
      <c r="D204" s="858"/>
      <c r="E204" s="165"/>
      <c r="F204" s="863"/>
      <c r="G204" s="441"/>
      <c r="H204" s="858"/>
      <c r="I204" s="745"/>
      <c r="J204" s="236">
        <f t="shared" si="7"/>
        <v>0</v>
      </c>
      <c r="K204" s="552"/>
    </row>
    <row r="205" spans="2:11" ht="14.25" customHeight="1" x14ac:dyDescent="0.25">
      <c r="B205" s="235"/>
      <c r="C205" s="164"/>
      <c r="D205" s="858"/>
      <c r="E205" s="165"/>
      <c r="F205" s="863"/>
      <c r="G205" s="441"/>
      <c r="H205" s="858"/>
      <c r="I205" s="745"/>
      <c r="J205" s="236">
        <f t="shared" si="7"/>
        <v>0</v>
      </c>
      <c r="K205" s="552"/>
    </row>
    <row r="206" spans="2:11" ht="14.25" customHeight="1" x14ac:dyDescent="0.25">
      <c r="B206" s="235"/>
      <c r="C206" s="164"/>
      <c r="D206" s="858"/>
      <c r="E206" s="165"/>
      <c r="F206" s="863"/>
      <c r="G206" s="441"/>
      <c r="H206" s="858"/>
      <c r="I206" s="745"/>
      <c r="J206" s="236">
        <f t="shared" si="7"/>
        <v>0</v>
      </c>
      <c r="K206" s="552"/>
    </row>
    <row r="207" spans="2:11" ht="14.25" customHeight="1" thickBot="1" x14ac:dyDescent="0.3">
      <c r="B207" s="237"/>
      <c r="C207" s="243"/>
      <c r="D207" s="859"/>
      <c r="E207" s="427"/>
      <c r="F207" s="864"/>
      <c r="G207" s="442"/>
      <c r="H207" s="859"/>
      <c r="I207" s="746"/>
      <c r="J207" s="242">
        <f t="shared" si="7"/>
        <v>0</v>
      </c>
      <c r="K207" s="552"/>
    </row>
    <row r="208" spans="2:11" ht="14.25" customHeight="1" thickBot="1" x14ac:dyDescent="0.3">
      <c r="B208" s="748" t="s">
        <v>255</v>
      </c>
      <c r="C208" s="197"/>
      <c r="D208" s="203"/>
      <c r="E208" s="203"/>
      <c r="F208" s="203"/>
      <c r="G208" s="203"/>
      <c r="H208" s="454"/>
      <c r="I208" s="429"/>
      <c r="J208" s="747">
        <f>SUM(J193:J207)</f>
        <v>0</v>
      </c>
      <c r="K208" s="553"/>
    </row>
    <row r="209" spans="1:11" s="197" customFormat="1" ht="14.25" customHeight="1" thickBot="1" x14ac:dyDescent="0.3">
      <c r="B209" s="748"/>
      <c r="D209" s="203"/>
      <c r="E209" s="203"/>
      <c r="F209" s="203"/>
      <c r="G209" s="203"/>
      <c r="H209" s="454"/>
      <c r="I209" s="429"/>
      <c r="J209" s="429"/>
      <c r="K209" s="553"/>
    </row>
    <row r="210" spans="1:11" ht="14.25" customHeight="1" x14ac:dyDescent="0.25">
      <c r="B210" s="738" t="s">
        <v>256</v>
      </c>
      <c r="C210" s="739"/>
      <c r="D210" s="740"/>
      <c r="E210" s="740"/>
      <c r="F210" s="741"/>
      <c r="G210" s="741"/>
      <c r="H210" s="742"/>
      <c r="I210" s="743"/>
      <c r="J210" s="744"/>
    </row>
    <row r="211" spans="1:11" s="147" customFormat="1" ht="40.5" customHeight="1" x14ac:dyDescent="0.25">
      <c r="A211" s="148"/>
      <c r="B211" s="772" t="s">
        <v>221</v>
      </c>
      <c r="C211" s="764" t="s">
        <v>259</v>
      </c>
      <c r="D211" s="765"/>
      <c r="E211" s="765" t="s">
        <v>260</v>
      </c>
      <c r="F211" s="765"/>
      <c r="G211" s="764" t="s">
        <v>254</v>
      </c>
      <c r="H211" s="763"/>
      <c r="I211" s="766"/>
      <c r="J211" s="771" t="s">
        <v>254</v>
      </c>
      <c r="K211" s="551"/>
    </row>
    <row r="212" spans="1:11" ht="14.25" customHeight="1" x14ac:dyDescent="0.25">
      <c r="B212" s="235"/>
      <c r="C212" s="165"/>
      <c r="D212" s="863"/>
      <c r="E212" s="165"/>
      <c r="F212" s="863"/>
      <c r="G212" s="441"/>
      <c r="H212" s="858"/>
      <c r="I212" s="745"/>
      <c r="J212" s="236">
        <f t="shared" ref="J212:J226" si="8">G212</f>
        <v>0</v>
      </c>
      <c r="K212" s="552"/>
    </row>
    <row r="213" spans="1:11" ht="14.25" customHeight="1" x14ac:dyDescent="0.25">
      <c r="B213" s="235"/>
      <c r="C213" s="165"/>
      <c r="D213" s="865"/>
      <c r="E213" s="165"/>
      <c r="F213" s="863"/>
      <c r="G213" s="441"/>
      <c r="H213" s="858"/>
      <c r="I213" s="745"/>
      <c r="J213" s="236">
        <f t="shared" si="8"/>
        <v>0</v>
      </c>
      <c r="K213" s="552"/>
    </row>
    <row r="214" spans="1:11" ht="14.25" customHeight="1" x14ac:dyDescent="0.25">
      <c r="B214" s="235"/>
      <c r="C214" s="165"/>
      <c r="D214" s="865"/>
      <c r="E214" s="165"/>
      <c r="F214" s="863"/>
      <c r="G214" s="441"/>
      <c r="H214" s="858"/>
      <c r="I214" s="745"/>
      <c r="J214" s="236">
        <f t="shared" si="8"/>
        <v>0</v>
      </c>
      <c r="K214" s="552"/>
    </row>
    <row r="215" spans="1:11" ht="14.25" customHeight="1" x14ac:dyDescent="0.25">
      <c r="B215" s="235"/>
      <c r="C215" s="165"/>
      <c r="D215" s="865"/>
      <c r="E215" s="165"/>
      <c r="F215" s="863"/>
      <c r="G215" s="441"/>
      <c r="H215" s="858"/>
      <c r="I215" s="745"/>
      <c r="J215" s="236">
        <f t="shared" si="8"/>
        <v>0</v>
      </c>
      <c r="K215" s="552"/>
    </row>
    <row r="216" spans="1:11" ht="14.25" customHeight="1" x14ac:dyDescent="0.25">
      <c r="B216" s="235"/>
      <c r="C216" s="165"/>
      <c r="D216" s="865"/>
      <c r="E216" s="165"/>
      <c r="F216" s="863"/>
      <c r="G216" s="441"/>
      <c r="H216" s="858"/>
      <c r="I216" s="745"/>
      <c r="J216" s="236">
        <f t="shared" si="8"/>
        <v>0</v>
      </c>
      <c r="K216" s="552"/>
    </row>
    <row r="217" spans="1:11" ht="14.25" customHeight="1" x14ac:dyDescent="0.25">
      <c r="B217" s="235"/>
      <c r="C217" s="165"/>
      <c r="D217" s="865"/>
      <c r="E217" s="165"/>
      <c r="F217" s="863"/>
      <c r="G217" s="441"/>
      <c r="H217" s="858"/>
      <c r="I217" s="745"/>
      <c r="J217" s="236">
        <f t="shared" si="8"/>
        <v>0</v>
      </c>
      <c r="K217" s="552"/>
    </row>
    <row r="218" spans="1:11" ht="14.25" customHeight="1" x14ac:dyDescent="0.25">
      <c r="B218" s="235"/>
      <c r="C218" s="165"/>
      <c r="D218" s="865"/>
      <c r="E218" s="165"/>
      <c r="F218" s="863"/>
      <c r="G218" s="441"/>
      <c r="H218" s="858"/>
      <c r="I218" s="745"/>
      <c r="J218" s="236">
        <f t="shared" si="8"/>
        <v>0</v>
      </c>
      <c r="K218" s="552"/>
    </row>
    <row r="219" spans="1:11" ht="14.25" customHeight="1" x14ac:dyDescent="0.25">
      <c r="B219" s="235"/>
      <c r="C219" s="165"/>
      <c r="D219" s="865"/>
      <c r="E219" s="165"/>
      <c r="F219" s="863"/>
      <c r="G219" s="441"/>
      <c r="H219" s="858"/>
      <c r="I219" s="745"/>
      <c r="J219" s="236">
        <f t="shared" si="8"/>
        <v>0</v>
      </c>
      <c r="K219" s="552"/>
    </row>
    <row r="220" spans="1:11" ht="14.25" customHeight="1" x14ac:dyDescent="0.25">
      <c r="B220" s="235"/>
      <c r="C220" s="165"/>
      <c r="D220" s="865"/>
      <c r="E220" s="165"/>
      <c r="F220" s="863"/>
      <c r="G220" s="441"/>
      <c r="H220" s="858"/>
      <c r="I220" s="745"/>
      <c r="J220" s="236">
        <f t="shared" si="8"/>
        <v>0</v>
      </c>
      <c r="K220" s="552"/>
    </row>
    <row r="221" spans="1:11" ht="14.25" customHeight="1" x14ac:dyDescent="0.25">
      <c r="B221" s="235"/>
      <c r="C221" s="165"/>
      <c r="D221" s="865"/>
      <c r="E221" s="165"/>
      <c r="F221" s="863"/>
      <c r="G221" s="441"/>
      <c r="H221" s="858"/>
      <c r="I221" s="745"/>
      <c r="J221" s="236">
        <f t="shared" si="8"/>
        <v>0</v>
      </c>
      <c r="K221" s="552"/>
    </row>
    <row r="222" spans="1:11" ht="14.25" customHeight="1" x14ac:dyDescent="0.25">
      <c r="B222" s="235"/>
      <c r="C222" s="165"/>
      <c r="D222" s="865"/>
      <c r="E222" s="165"/>
      <c r="F222" s="863"/>
      <c r="G222" s="441"/>
      <c r="H222" s="858"/>
      <c r="I222" s="745"/>
      <c r="J222" s="236">
        <f t="shared" si="8"/>
        <v>0</v>
      </c>
      <c r="K222" s="552"/>
    </row>
    <row r="223" spans="1:11" ht="14.25" customHeight="1" x14ac:dyDescent="0.25">
      <c r="B223" s="235"/>
      <c r="C223" s="165"/>
      <c r="D223" s="865"/>
      <c r="E223" s="165"/>
      <c r="F223" s="863"/>
      <c r="G223" s="441"/>
      <c r="H223" s="858"/>
      <c r="I223" s="745"/>
      <c r="J223" s="236">
        <f t="shared" si="8"/>
        <v>0</v>
      </c>
      <c r="K223" s="552"/>
    </row>
    <row r="224" spans="1:11" ht="14.25" customHeight="1" x14ac:dyDescent="0.25">
      <c r="B224" s="235"/>
      <c r="C224" s="165"/>
      <c r="D224" s="865"/>
      <c r="E224" s="165"/>
      <c r="F224" s="863"/>
      <c r="G224" s="441"/>
      <c r="H224" s="858"/>
      <c r="I224" s="745"/>
      <c r="J224" s="236">
        <f t="shared" si="8"/>
        <v>0</v>
      </c>
      <c r="K224" s="552"/>
    </row>
    <row r="225" spans="1:14" ht="14.25" customHeight="1" x14ac:dyDescent="0.25">
      <c r="B225" s="235"/>
      <c r="C225" s="165"/>
      <c r="D225" s="865"/>
      <c r="E225" s="165"/>
      <c r="F225" s="863"/>
      <c r="G225" s="441"/>
      <c r="H225" s="858"/>
      <c r="I225" s="745"/>
      <c r="J225" s="236">
        <f t="shared" si="8"/>
        <v>0</v>
      </c>
      <c r="K225" s="552"/>
    </row>
    <row r="226" spans="1:14" ht="14.25" customHeight="1" thickBot="1" x14ac:dyDescent="0.3">
      <c r="B226" s="237"/>
      <c r="C226" s="427"/>
      <c r="D226" s="866"/>
      <c r="E226" s="427"/>
      <c r="F226" s="864"/>
      <c r="G226" s="442"/>
      <c r="H226" s="859"/>
      <c r="I226" s="746"/>
      <c r="J226" s="242">
        <f t="shared" si="8"/>
        <v>0</v>
      </c>
      <c r="K226" s="552"/>
    </row>
    <row r="227" spans="1:14" ht="14.25" customHeight="1" thickBot="1" x14ac:dyDescent="0.3">
      <c r="B227" s="749" t="s">
        <v>255</v>
      </c>
      <c r="C227" s="197"/>
      <c r="D227" s="203"/>
      <c r="E227" s="203"/>
      <c r="F227" s="203"/>
      <c r="G227" s="203"/>
      <c r="H227" s="454"/>
      <c r="I227" s="429"/>
      <c r="J227" s="747">
        <f>SUM(J212:J226)</f>
        <v>0</v>
      </c>
      <c r="K227" s="553"/>
    </row>
    <row r="228" spans="1:14" s="197" customFormat="1" ht="14.25" customHeight="1" thickBot="1" x14ac:dyDescent="0.3">
      <c r="D228" s="203"/>
      <c r="E228" s="203"/>
      <c r="F228" s="203"/>
      <c r="G228" s="203"/>
      <c r="H228" s="454"/>
      <c r="I228" s="429"/>
      <c r="J228" s="429"/>
      <c r="K228" s="553"/>
    </row>
    <row r="229" spans="1:14" ht="14.25" customHeight="1" thickBot="1" x14ac:dyDescent="0.3">
      <c r="B229" s="762" t="s">
        <v>261</v>
      </c>
      <c r="C229" s="181"/>
      <c r="D229" s="181"/>
      <c r="E229" s="181"/>
      <c r="F229" s="181"/>
      <c r="G229" s="181"/>
      <c r="H229" s="181"/>
      <c r="I229" s="181"/>
      <c r="J229" s="591">
        <f>J227+J208</f>
        <v>0</v>
      </c>
      <c r="K229" s="555"/>
    </row>
    <row r="230" spans="1:14" s="197" customFormat="1" ht="14.25" customHeight="1" x14ac:dyDescent="0.25">
      <c r="B230" s="437"/>
      <c r="D230" s="203"/>
      <c r="E230" s="203"/>
      <c r="F230" s="203"/>
      <c r="G230" s="203"/>
      <c r="H230" s="454"/>
      <c r="I230" s="429"/>
      <c r="J230" s="438"/>
      <c r="K230" s="555"/>
    </row>
    <row r="231" spans="1:14" s="197" customFormat="1" ht="19.5" customHeight="1" thickBot="1" x14ac:dyDescent="0.3">
      <c r="B231" s="437"/>
      <c r="D231" s="203"/>
      <c r="E231" s="203"/>
      <c r="F231" s="203"/>
      <c r="G231" s="203"/>
      <c r="H231" s="454"/>
      <c r="I231" s="1001" t="s">
        <v>262</v>
      </c>
      <c r="J231" s="751" t="s">
        <v>263</v>
      </c>
      <c r="K231" s="559"/>
    </row>
    <row r="232" spans="1:14" ht="14.25" customHeight="1" thickBot="1" x14ac:dyDescent="0.3">
      <c r="B232" s="750" t="s">
        <v>264</v>
      </c>
      <c r="C232" s="170"/>
      <c r="D232" s="170"/>
      <c r="E232" s="181"/>
      <c r="F232" s="170"/>
      <c r="G232" s="170"/>
      <c r="H232" s="455"/>
      <c r="I232" s="435">
        <f>I35+I72+I96+I133</f>
        <v>0</v>
      </c>
      <c r="J232" s="908">
        <f>+J187+J35+J52+J72+J96+J133+J229</f>
        <v>0</v>
      </c>
      <c r="K232" s="555"/>
      <c r="L232" s="130"/>
    </row>
    <row r="233" spans="1:14" ht="14.25" customHeight="1" x14ac:dyDescent="0.25">
      <c r="B233" s="147"/>
      <c r="E233" s="147"/>
      <c r="I233" s="128"/>
      <c r="J233" s="130"/>
      <c r="K233" s="554"/>
      <c r="L233" s="130"/>
    </row>
    <row r="234" spans="1:14" ht="14.25" customHeight="1" x14ac:dyDescent="0.25">
      <c r="I234" s="154"/>
      <c r="L234" s="130"/>
    </row>
    <row r="235" spans="1:14" ht="14.25" customHeight="1" thickBot="1" x14ac:dyDescent="0.3">
      <c r="B235" s="134" t="s">
        <v>265</v>
      </c>
      <c r="C235" s="134"/>
      <c r="D235" s="156"/>
      <c r="E235" s="135"/>
      <c r="F235" s="157"/>
      <c r="G235" s="157"/>
      <c r="H235" s="456"/>
      <c r="I235" s="248"/>
      <c r="J235" s="158"/>
      <c r="K235" s="548"/>
      <c r="L235" s="130"/>
    </row>
    <row r="236" spans="1:14" s="172" customFormat="1" ht="40.5" customHeight="1" x14ac:dyDescent="0.25">
      <c r="A236" s="171"/>
      <c r="B236" s="846" t="s">
        <v>266</v>
      </c>
      <c r="C236" s="847"/>
      <c r="D236" s="526"/>
      <c r="E236" s="526"/>
      <c r="F236" s="526"/>
      <c r="G236" s="526"/>
      <c r="H236" s="527"/>
      <c r="I236" s="526"/>
      <c r="J236" s="524" t="s">
        <v>267</v>
      </c>
      <c r="K236" s="559"/>
      <c r="L236" s="179"/>
      <c r="M236" s="180"/>
      <c r="N236" s="180"/>
    </row>
    <row r="237" spans="1:14" ht="14.25" customHeight="1" x14ac:dyDescent="0.25">
      <c r="B237" s="249"/>
      <c r="C237" s="151"/>
      <c r="D237" s="151"/>
      <c r="E237" s="151"/>
      <c r="F237" s="151"/>
      <c r="G237" s="151"/>
      <c r="H237" s="225"/>
      <c r="I237" s="151"/>
      <c r="J237" s="246"/>
      <c r="K237" s="560"/>
      <c r="L237" s="178"/>
      <c r="M237" s="69"/>
      <c r="N237" s="69"/>
    </row>
    <row r="238" spans="1:14" ht="14.25" customHeight="1" x14ac:dyDescent="0.25">
      <c r="B238" s="249"/>
      <c r="C238" s="151"/>
      <c r="D238" s="151"/>
      <c r="E238" s="151"/>
      <c r="F238" s="151"/>
      <c r="G238" s="151"/>
      <c r="H238" s="225"/>
      <c r="I238" s="151"/>
      <c r="J238" s="246"/>
      <c r="K238" s="560"/>
      <c r="L238" s="178"/>
      <c r="M238" s="69"/>
      <c r="N238" s="69"/>
    </row>
    <row r="239" spans="1:14" ht="14.25" customHeight="1" x14ac:dyDescent="0.25">
      <c r="B239" s="249"/>
      <c r="C239" s="151"/>
      <c r="D239" s="151"/>
      <c r="E239" s="151"/>
      <c r="F239" s="151"/>
      <c r="G239" s="151"/>
      <c r="H239" s="225"/>
      <c r="I239" s="151"/>
      <c r="J239" s="246"/>
      <c r="K239" s="560"/>
      <c r="L239" s="178"/>
      <c r="M239" s="69"/>
      <c r="N239" s="69"/>
    </row>
    <row r="240" spans="1:14" ht="14.25" customHeight="1" x14ac:dyDescent="0.25">
      <c r="B240" s="249"/>
      <c r="C240" s="151"/>
      <c r="D240" s="151"/>
      <c r="E240" s="151"/>
      <c r="F240" s="151"/>
      <c r="G240" s="151"/>
      <c r="H240" s="225"/>
      <c r="I240" s="151"/>
      <c r="J240" s="246"/>
      <c r="K240" s="560"/>
      <c r="L240" s="178"/>
      <c r="M240" s="69"/>
      <c r="N240" s="69"/>
    </row>
    <row r="241" spans="1:19" ht="14.25" customHeight="1" x14ac:dyDescent="0.25">
      <c r="B241" s="249"/>
      <c r="C241" s="151"/>
      <c r="D241" s="151"/>
      <c r="E241" s="151"/>
      <c r="F241" s="151"/>
      <c r="G241" s="151"/>
      <c r="H241" s="225"/>
      <c r="I241" s="151"/>
      <c r="J241" s="246"/>
      <c r="K241" s="560"/>
      <c r="L241" s="178"/>
      <c r="M241" s="69"/>
      <c r="N241" s="69"/>
    </row>
    <row r="242" spans="1:19" ht="14.25" customHeight="1" x14ac:dyDescent="0.25">
      <c r="B242" s="249"/>
      <c r="C242" s="151"/>
      <c r="D242" s="151"/>
      <c r="E242" s="151"/>
      <c r="F242" s="151"/>
      <c r="G242" s="151"/>
      <c r="H242" s="225"/>
      <c r="I242" s="151"/>
      <c r="J242" s="246"/>
      <c r="K242" s="560"/>
      <c r="L242" s="178"/>
      <c r="M242" s="69"/>
      <c r="N242" s="69"/>
    </row>
    <row r="243" spans="1:19" ht="14.25" customHeight="1" x14ac:dyDescent="0.25">
      <c r="B243" s="249"/>
      <c r="C243" s="151"/>
      <c r="D243" s="151"/>
      <c r="E243" s="151"/>
      <c r="F243" s="151"/>
      <c r="G243" s="151"/>
      <c r="H243" s="225"/>
      <c r="I243" s="151"/>
      <c r="J243" s="246"/>
      <c r="K243" s="560"/>
      <c r="L243" s="178"/>
      <c r="M243" s="69"/>
      <c r="N243" s="69"/>
    </row>
    <row r="244" spans="1:19" ht="14.25" customHeight="1" thickBot="1" x14ac:dyDescent="0.3">
      <c r="B244" s="250"/>
      <c r="C244" s="241"/>
      <c r="D244" s="241"/>
      <c r="E244" s="241"/>
      <c r="F244" s="241"/>
      <c r="G244" s="241"/>
      <c r="H244" s="238"/>
      <c r="I244" s="241"/>
      <c r="J244" s="247"/>
      <c r="K244" s="560"/>
      <c r="L244" s="178"/>
      <c r="M244" s="69"/>
      <c r="N244" s="69"/>
      <c r="O244" s="69"/>
      <c r="P244" s="69"/>
      <c r="Q244" s="69"/>
      <c r="R244" s="69"/>
      <c r="S244" s="69"/>
    </row>
    <row r="245" spans="1:19" ht="14.25" customHeight="1" thickBot="1" x14ac:dyDescent="0.3">
      <c r="A245" s="128"/>
      <c r="B245" s="168"/>
      <c r="C245" s="168"/>
      <c r="D245" s="168"/>
      <c r="E245" s="168"/>
      <c r="F245" s="168"/>
      <c r="G245" s="168"/>
      <c r="I245" s="168"/>
      <c r="J245" s="184"/>
      <c r="K245" s="561"/>
      <c r="L245" s="178"/>
      <c r="M245" s="69"/>
      <c r="N245" s="69"/>
    </row>
    <row r="246" spans="1:19" ht="14.25" customHeight="1" thickBot="1" x14ac:dyDescent="0.3">
      <c r="B246" s="185" t="s">
        <v>268</v>
      </c>
      <c r="C246" s="186"/>
      <c r="D246" s="186"/>
      <c r="E246" s="185"/>
      <c r="F246" s="186"/>
      <c r="G246" s="915"/>
      <c r="H246" s="920"/>
      <c r="I246" s="921" t="str">
        <f>IF(J246&gt;0,"Let op: De totale steun moeten passen binnen de Europese staatssteunregels, artikel 46 van de AGVV.   ","")</f>
        <v/>
      </c>
      <c r="J246" s="907">
        <f>SUM(J237:J244)</f>
        <v>0</v>
      </c>
      <c r="K246" s="562"/>
      <c r="L246" s="592"/>
    </row>
    <row r="247" spans="1:19" ht="14.25" customHeight="1" x14ac:dyDescent="0.25">
      <c r="B247" s="140"/>
      <c r="C247" s="140"/>
      <c r="D247" s="140"/>
      <c r="E247" s="140"/>
      <c r="F247" s="140"/>
      <c r="G247" s="140"/>
      <c r="H247" s="457"/>
      <c r="I247" s="154"/>
      <c r="J247" s="178"/>
      <c r="K247" s="563"/>
      <c r="L247" s="178"/>
      <c r="M247" s="69"/>
      <c r="N247" s="69"/>
    </row>
    <row r="248" spans="1:19" s="117" customFormat="1" ht="14.25" customHeight="1" x14ac:dyDescent="0.25">
      <c r="A248" s="116"/>
      <c r="B248" s="134" t="s">
        <v>269</v>
      </c>
      <c r="C248" s="187"/>
      <c r="D248" s="145"/>
      <c r="E248" s="145"/>
      <c r="F248" s="145"/>
      <c r="G248" s="145"/>
      <c r="H248" s="449"/>
      <c r="I248" s="145"/>
      <c r="J248" s="188"/>
      <c r="K248" s="564"/>
      <c r="L248" s="182"/>
    </row>
    <row r="249" spans="1:19" ht="14.25" customHeight="1" x14ac:dyDescent="0.25">
      <c r="B249" s="69"/>
      <c r="C249" s="69"/>
      <c r="D249" s="69"/>
      <c r="E249" s="69"/>
      <c r="F249" s="69"/>
      <c r="G249" s="69"/>
      <c r="H249" s="127"/>
      <c r="I249" s="69"/>
      <c r="J249" s="69"/>
      <c r="K249" s="467"/>
      <c r="L249" s="189"/>
    </row>
    <row r="250" spans="1:19" ht="14.25" customHeight="1" x14ac:dyDescent="0.25">
      <c r="B250" s="528" t="s">
        <v>270</v>
      </c>
      <c r="C250" s="529"/>
      <c r="D250" s="530"/>
      <c r="E250" s="530"/>
      <c r="F250" s="530"/>
      <c r="G250" s="530"/>
      <c r="H250" s="523"/>
      <c r="I250" s="530"/>
      <c r="J250" s="192">
        <f>J232</f>
        <v>0</v>
      </c>
      <c r="K250" s="565"/>
      <c r="L250" s="140"/>
    </row>
    <row r="251" spans="1:19" ht="14.25" customHeight="1" x14ac:dyDescent="0.25">
      <c r="B251" s="190"/>
      <c r="C251" s="183" t="s">
        <v>271</v>
      </c>
      <c r="D251" s="191"/>
      <c r="E251" s="191"/>
      <c r="F251" s="191"/>
      <c r="G251" s="191"/>
      <c r="H251" s="139"/>
      <c r="I251" s="191"/>
      <c r="J251" s="192">
        <f>J208+J166+J133+J96+J72</f>
        <v>0</v>
      </c>
      <c r="K251" s="565"/>
      <c r="L251" s="140"/>
    </row>
    <row r="252" spans="1:19" ht="14.25" customHeight="1" x14ac:dyDescent="0.25">
      <c r="B252" s="528"/>
      <c r="C252" s="529" t="s">
        <v>272</v>
      </c>
      <c r="D252" s="530"/>
      <c r="E252" s="530"/>
      <c r="F252" s="530"/>
      <c r="G252" s="530"/>
      <c r="H252" s="523"/>
      <c r="I252" s="530"/>
      <c r="J252" s="192">
        <f>J227+J185+J52+J35</f>
        <v>0</v>
      </c>
      <c r="K252" s="565"/>
      <c r="L252" s="140"/>
    </row>
    <row r="253" spans="1:19" ht="14.25" customHeight="1" x14ac:dyDescent="0.25">
      <c r="B253" s="217" t="s">
        <v>273</v>
      </c>
      <c r="C253" s="69"/>
      <c r="D253" s="69"/>
      <c r="E253" s="69"/>
      <c r="F253" s="69"/>
      <c r="G253" s="69"/>
      <c r="H253" s="127"/>
      <c r="I253" s="921" t="str">
        <f>IF(J253&gt;0,"Let op: we houden in deze berekening geen rekening met de mogelijke invloed op de maximale subsidie, dit wordt apart getoetst.","")</f>
        <v/>
      </c>
      <c r="J253" s="192">
        <f>J246</f>
        <v>0</v>
      </c>
      <c r="K253" s="565"/>
      <c r="L253" s="917"/>
    </row>
    <row r="254" spans="1:19" ht="14.25" customHeight="1" x14ac:dyDescent="0.25">
      <c r="A254" s="197"/>
      <c r="B254" s="219"/>
      <c r="C254" s="219"/>
      <c r="D254" s="219"/>
      <c r="E254" s="219"/>
      <c r="F254" s="219"/>
      <c r="G254" s="219"/>
      <c r="H254" s="458"/>
      <c r="I254" s="219"/>
      <c r="J254" s="220"/>
      <c r="K254" s="565"/>
      <c r="L254" s="218"/>
    </row>
    <row r="255" spans="1:19" ht="14.25" customHeight="1" x14ac:dyDescent="0.25">
      <c r="B255" s="528" t="s">
        <v>274</v>
      </c>
      <c r="C255" s="530"/>
      <c r="D255" s="531"/>
      <c r="E255" s="531"/>
      <c r="F255" s="530" t="s">
        <v>275</v>
      </c>
      <c r="G255" s="1010" t="str">
        <f>IF(Project!$C$17="Grote onderneming",Max_subs_groot,IF(Project!$C$17="Middelgrote onderneming",Max_subs_mid,IF(Project!$C$17="Kleine onderneming",Max_subs_klein,"Vul type onderneming in op tabblad 'Project'")))</f>
        <v>Vul type onderneming in op tabblad 'Project'</v>
      </c>
      <c r="H255" s="925"/>
      <c r="I255" s="532"/>
      <c r="J255" s="278">
        <f>IFERROR(J251*G255,0)</f>
        <v>0</v>
      </c>
      <c r="K255" s="565"/>
      <c r="L255" s="140"/>
      <c r="M255" s="195"/>
    </row>
    <row r="256" spans="1:19" ht="14.25" customHeight="1" x14ac:dyDescent="0.25">
      <c r="B256" s="194" t="s">
        <v>276</v>
      </c>
      <c r="C256" s="193"/>
      <c r="D256" s="193"/>
      <c r="E256" s="193"/>
      <c r="F256" s="193" t="s">
        <v>277</v>
      </c>
      <c r="G256" s="279">
        <f>Max_subs_sec</f>
        <v>7000</v>
      </c>
      <c r="H256" s="138" t="s">
        <v>278</v>
      </c>
      <c r="I256" s="193"/>
      <c r="J256" s="221">
        <f>G256 * (D135+D136)</f>
        <v>0</v>
      </c>
      <c r="K256" s="467"/>
      <c r="L256" s="126"/>
      <c r="M256" s="196"/>
      <c r="N256" s="126"/>
      <c r="O256" s="126"/>
      <c r="P256" s="126"/>
    </row>
    <row r="257" spans="1:16" ht="14.25" customHeight="1" x14ac:dyDescent="0.25">
      <c r="B257" s="593" t="s">
        <v>279</v>
      </c>
      <c r="C257" s="533"/>
      <c r="D257" s="533"/>
      <c r="E257" s="533"/>
      <c r="F257" s="533"/>
      <c r="G257" s="534"/>
      <c r="H257" s="522"/>
      <c r="I257" s="533"/>
      <c r="J257" s="221">
        <f>MIN(J255:J256)</f>
        <v>0</v>
      </c>
      <c r="K257" s="566"/>
      <c r="L257" s="126"/>
      <c r="M257" s="196"/>
      <c r="N257" s="126"/>
      <c r="O257" s="126"/>
      <c r="P257" s="126"/>
    </row>
    <row r="258" spans="1:16" s="197" customFormat="1" ht="14.25" customHeight="1" x14ac:dyDescent="0.25">
      <c r="B258" s="198"/>
      <c r="C258" s="198"/>
      <c r="D258" s="198"/>
      <c r="E258" s="198"/>
      <c r="F258" s="198"/>
      <c r="G258" s="446"/>
      <c r="H258" s="218"/>
      <c r="I258" s="198"/>
      <c r="J258" s="199"/>
      <c r="K258" s="467"/>
      <c r="L258" s="200"/>
      <c r="M258" s="447"/>
      <c r="N258" s="200"/>
      <c r="O258" s="200"/>
      <c r="P258" s="200"/>
    </row>
    <row r="259" spans="1:16" ht="14.25" customHeight="1" x14ac:dyDescent="0.25">
      <c r="B259" s="528" t="s">
        <v>280</v>
      </c>
      <c r="C259" s="530"/>
      <c r="D259" s="531"/>
      <c r="E259" s="531"/>
      <c r="F259" s="530" t="s">
        <v>275</v>
      </c>
      <c r="G259" s="1010" t="str">
        <f>G255</f>
        <v>Vul type onderneming in op tabblad 'Project'</v>
      </c>
      <c r="H259" s="925"/>
      <c r="I259" s="532"/>
      <c r="J259" s="278">
        <f>IFERROR(J252*G259,0)</f>
        <v>0</v>
      </c>
      <c r="K259" s="565"/>
      <c r="L259" s="140"/>
      <c r="M259" s="195"/>
    </row>
    <row r="260" spans="1:16" ht="14.25" customHeight="1" x14ac:dyDescent="0.25">
      <c r="B260" s="194" t="s">
        <v>281</v>
      </c>
      <c r="C260" s="193"/>
      <c r="D260" s="193"/>
      <c r="E260" s="193"/>
      <c r="F260" s="193" t="s">
        <v>277</v>
      </c>
      <c r="G260" s="279">
        <f>Max_subs_prim</f>
        <v>4000</v>
      </c>
      <c r="H260" s="138" t="s">
        <v>278</v>
      </c>
      <c r="I260" s="193"/>
      <c r="J260" s="221">
        <f>G260* SUM(D135:D136)</f>
        <v>0</v>
      </c>
      <c r="K260" s="467"/>
      <c r="L260" s="126"/>
      <c r="M260" s="196"/>
      <c r="N260" s="126"/>
      <c r="O260" s="126"/>
      <c r="P260" s="126"/>
    </row>
    <row r="261" spans="1:16" ht="14.25" customHeight="1" x14ac:dyDescent="0.25">
      <c r="B261" s="593" t="s">
        <v>282</v>
      </c>
      <c r="C261" s="594"/>
      <c r="D261" s="594"/>
      <c r="E261" s="594"/>
      <c r="F261" s="594"/>
      <c r="G261" s="595"/>
      <c r="H261" s="596"/>
      <c r="I261" s="594"/>
      <c r="J261" s="221">
        <f>MIN(J259:J260)</f>
        <v>0</v>
      </c>
      <c r="K261" s="566"/>
      <c r="L261" s="126"/>
      <c r="M261" s="196"/>
      <c r="N261" s="126"/>
      <c r="O261" s="126"/>
      <c r="P261" s="126"/>
    </row>
    <row r="262" spans="1:16" s="197" customFormat="1" ht="14.25" customHeight="1" x14ac:dyDescent="0.25">
      <c r="B262" s="198"/>
      <c r="C262" s="198"/>
      <c r="D262" s="198"/>
      <c r="E262" s="198"/>
      <c r="F262" s="198"/>
      <c r="G262" s="198"/>
      <c r="H262" s="218"/>
      <c r="I262" s="201"/>
      <c r="J262" s="199"/>
      <c r="K262" s="467"/>
      <c r="L262" s="200"/>
      <c r="M262" s="200"/>
      <c r="N262" s="200"/>
      <c r="O262" s="200"/>
      <c r="P262" s="200"/>
    </row>
    <row r="263" spans="1:16" ht="14.25" customHeight="1" x14ac:dyDescent="0.25">
      <c r="B263" s="600" t="s">
        <v>283</v>
      </c>
      <c r="C263" s="530"/>
      <c r="D263" s="530"/>
      <c r="E263" s="530"/>
      <c r="F263" s="530"/>
      <c r="G263" s="530"/>
      <c r="H263" s="523"/>
      <c r="I263" s="599"/>
      <c r="J263" s="192">
        <f>Max_subs</f>
        <v>30000000</v>
      </c>
      <c r="K263" s="565"/>
      <c r="M263" s="119"/>
      <c r="N263" s="119"/>
      <c r="O263" s="126"/>
      <c r="P263" s="126"/>
    </row>
    <row r="264" spans="1:16" s="197" customFormat="1" ht="14.25" customHeight="1" x14ac:dyDescent="0.25">
      <c r="B264" s="198"/>
      <c r="C264" s="198"/>
      <c r="D264" s="198"/>
      <c r="E264" s="198"/>
      <c r="F264" s="198"/>
      <c r="G264" s="198"/>
      <c r="H264" s="218"/>
      <c r="I264" s="198"/>
      <c r="J264" s="597"/>
      <c r="K264" s="565"/>
      <c r="M264" s="598"/>
      <c r="N264" s="598"/>
      <c r="O264" s="200"/>
      <c r="P264" s="200"/>
    </row>
    <row r="265" spans="1:16" ht="14.25" customHeight="1" x14ac:dyDescent="0.25">
      <c r="B265" s="535" t="s">
        <v>284</v>
      </c>
      <c r="C265" s="536"/>
      <c r="D265" s="536"/>
      <c r="E265" s="536"/>
      <c r="F265" s="536"/>
      <c r="G265" s="536"/>
      <c r="H265" s="537"/>
      <c r="I265" s="538"/>
      <c r="J265" s="192">
        <f>MIN((J257+J261),J263)</f>
        <v>0</v>
      </c>
      <c r="K265" s="565"/>
      <c r="M265" s="119"/>
      <c r="N265" s="119"/>
      <c r="O265" s="126"/>
      <c r="P265" s="126"/>
    </row>
    <row r="266" spans="1:16" ht="14.25" customHeight="1" x14ac:dyDescent="0.25">
      <c r="A266" s="128"/>
      <c r="B266" s="508" t="s">
        <v>285</v>
      </c>
      <c r="C266" s="149"/>
      <c r="D266" s="149"/>
      <c r="E266" s="149"/>
      <c r="F266" s="149"/>
      <c r="G266" s="149"/>
      <c r="H266" s="916"/>
      <c r="I266" s="922" t="str" cm="1">
        <f t="array" ref="I266">_xlfn.IFS(J266=J265,"",J266&lt;=0,"Let op: Vergeet niet de door u gevraagde subsidie in te vullen! → ",AND(J266&lt;J265),"LET OP: U vraagt minder dan de maximale subsidie aan! ",OR(J266&gt;J265),"LET OP: U vraagt meer dan de maximale subsidie aan! ")</f>
        <v/>
      </c>
      <c r="J266" s="267"/>
      <c r="K266" s="567"/>
      <c r="L266" s="119"/>
      <c r="M266" s="119"/>
      <c r="N266" s="119"/>
    </row>
    <row r="267" spans="1:16" ht="14.25" customHeight="1" x14ac:dyDescent="0.25">
      <c r="B267" s="539" t="s">
        <v>286</v>
      </c>
      <c r="C267" s="540"/>
      <c r="D267" s="540"/>
      <c r="E267" s="540"/>
      <c r="F267" s="540"/>
      <c r="G267" s="540"/>
      <c r="H267" s="541"/>
      <c r="I267" s="542"/>
      <c r="J267" s="507">
        <f>IFERROR(J266/J232,0)</f>
        <v>0</v>
      </c>
      <c r="K267" s="568"/>
      <c r="L267" s="119"/>
      <c r="M267" s="119"/>
      <c r="N267" s="119"/>
    </row>
    <row r="268" spans="1:16" ht="14.25" customHeight="1" x14ac:dyDescent="0.25">
      <c r="C268" s="18"/>
      <c r="D268" s="18"/>
      <c r="E268" s="18"/>
      <c r="F268" s="18"/>
      <c r="G268" s="18"/>
      <c r="H268" s="459"/>
      <c r="I268" s="18"/>
      <c r="J268" s="169"/>
      <c r="L268" s="119"/>
      <c r="M268" s="119"/>
      <c r="N268" s="119"/>
    </row>
    <row r="269" spans="1:16" s="117" customFormat="1" ht="14.25" customHeight="1" x14ac:dyDescent="0.25">
      <c r="A269" s="116"/>
      <c r="B269" s="134" t="s">
        <v>287</v>
      </c>
      <c r="C269" s="187"/>
      <c r="D269" s="145"/>
      <c r="E269" s="187"/>
      <c r="F269" s="187"/>
      <c r="G269" s="187"/>
      <c r="H269" s="460"/>
      <c r="I269" s="187"/>
      <c r="J269" s="202"/>
      <c r="K269" s="569"/>
      <c r="L269" s="182"/>
      <c r="M269" s="182"/>
      <c r="N269" s="182"/>
    </row>
    <row r="270" spans="1:16" ht="14.25" customHeight="1" x14ac:dyDescent="0.25">
      <c r="B270" s="203"/>
      <c r="C270" s="204"/>
      <c r="D270" s="203"/>
      <c r="E270" s="204"/>
      <c r="F270" s="204"/>
      <c r="G270" s="204"/>
      <c r="H270" s="461"/>
      <c r="I270" s="204"/>
      <c r="J270" s="205"/>
      <c r="K270" s="570"/>
      <c r="L270" s="130"/>
    </row>
    <row r="271" spans="1:16" ht="14.25" customHeight="1" x14ac:dyDescent="0.25">
      <c r="B271" s="543" t="s">
        <v>288</v>
      </c>
      <c r="C271" s="529"/>
      <c r="D271" s="523"/>
      <c r="E271" s="523"/>
      <c r="F271" s="523"/>
      <c r="G271" s="523"/>
      <c r="H271" s="523"/>
      <c r="I271" s="523"/>
      <c r="J271" s="231">
        <f>SUM(I232:J232)</f>
        <v>0</v>
      </c>
      <c r="K271" s="571"/>
      <c r="L271" s="130"/>
    </row>
    <row r="272" spans="1:16" ht="14.25" customHeight="1" x14ac:dyDescent="0.25">
      <c r="B272" s="190" t="s">
        <v>289</v>
      </c>
      <c r="C272" s="183"/>
      <c r="D272" s="139"/>
      <c r="E272" s="139"/>
      <c r="F272" s="139"/>
      <c r="G272" s="139"/>
      <c r="H272" s="139"/>
      <c r="I272" s="139"/>
      <c r="J272" s="231">
        <f>+J253</f>
        <v>0</v>
      </c>
      <c r="K272" s="571"/>
      <c r="L272" s="130"/>
    </row>
    <row r="273" spans="1:12" ht="14.25" customHeight="1" x14ac:dyDescent="0.25">
      <c r="B273" s="543" t="s">
        <v>285</v>
      </c>
      <c r="C273" s="544"/>
      <c r="D273" s="522"/>
      <c r="E273" s="522"/>
      <c r="F273" s="522"/>
      <c r="G273" s="522"/>
      <c r="H273" s="522"/>
      <c r="I273" s="522"/>
      <c r="J273" s="231">
        <f>+J266</f>
        <v>0</v>
      </c>
      <c r="K273" s="571"/>
      <c r="L273" s="130"/>
    </row>
    <row r="274" spans="1:12" ht="14.25" customHeight="1" x14ac:dyDescent="0.25">
      <c r="B274" s="545" t="s">
        <v>290</v>
      </c>
      <c r="C274" s="546"/>
      <c r="D274" s="546"/>
      <c r="E274" s="546"/>
      <c r="F274" s="547"/>
      <c r="G274" s="547"/>
      <c r="H274" s="546"/>
      <c r="I274" s="547"/>
      <c r="J274" s="231">
        <f>+J271-J272-J273</f>
        <v>0</v>
      </c>
      <c r="K274" s="571"/>
      <c r="L274" s="226"/>
    </row>
    <row r="275" spans="1:12" ht="14.25" customHeight="1" x14ac:dyDescent="0.25">
      <c r="B275" s="147"/>
      <c r="C275" s="147"/>
      <c r="D275" s="147"/>
      <c r="I275" s="206"/>
    </row>
    <row r="276" spans="1:12" s="117" customFormat="1" ht="14.25" customHeight="1" x14ac:dyDescent="0.25">
      <c r="A276" s="116"/>
      <c r="B276" s="134" t="s">
        <v>291</v>
      </c>
      <c r="C276" s="145"/>
      <c r="D276" s="145"/>
      <c r="E276" s="145"/>
      <c r="F276" s="145"/>
      <c r="G276" s="145"/>
      <c r="H276" s="449"/>
      <c r="I276" s="145"/>
      <c r="J276" s="145"/>
      <c r="K276" s="572"/>
    </row>
    <row r="277" spans="1:12" ht="14.25" customHeight="1" x14ac:dyDescent="0.25">
      <c r="B277" s="207"/>
      <c r="C277" s="208"/>
      <c r="D277" s="208"/>
      <c r="E277" s="208"/>
      <c r="F277" s="208"/>
      <c r="G277" s="208"/>
      <c r="H277" s="462"/>
      <c r="I277" s="208"/>
      <c r="J277" s="209"/>
      <c r="K277" s="573"/>
    </row>
    <row r="278" spans="1:12" ht="14.25" customHeight="1" x14ac:dyDescent="0.25">
      <c r="B278" s="210"/>
      <c r="C278" s="211"/>
      <c r="D278" s="211"/>
      <c r="E278" s="211"/>
      <c r="F278" s="211"/>
      <c r="G278" s="211"/>
      <c r="H278" s="463"/>
      <c r="I278" s="211"/>
      <c r="J278" s="212"/>
      <c r="K278" s="573"/>
    </row>
    <row r="279" spans="1:12" ht="14.25" customHeight="1" x14ac:dyDescent="0.25">
      <c r="B279" s="210"/>
      <c r="C279" s="211"/>
      <c r="D279" s="211"/>
      <c r="E279" s="211"/>
      <c r="F279" s="211"/>
      <c r="G279" s="211"/>
      <c r="H279" s="463"/>
      <c r="I279" s="211"/>
      <c r="J279" s="212"/>
      <c r="K279" s="573"/>
    </row>
    <row r="280" spans="1:12" ht="14.25" customHeight="1" x14ac:dyDescent="0.25">
      <c r="B280" s="210"/>
      <c r="C280" s="211"/>
      <c r="D280" s="211"/>
      <c r="E280" s="211"/>
      <c r="F280" s="211"/>
      <c r="G280" s="211"/>
      <c r="H280" s="463"/>
      <c r="I280" s="211"/>
      <c r="J280" s="212"/>
      <c r="K280" s="573"/>
    </row>
    <row r="281" spans="1:12" ht="14.25" customHeight="1" x14ac:dyDescent="0.25">
      <c r="B281" s="210"/>
      <c r="C281" s="211"/>
      <c r="D281" s="211"/>
      <c r="E281" s="211"/>
      <c r="F281" s="211"/>
      <c r="G281" s="211"/>
      <c r="H281" s="463"/>
      <c r="I281" s="211"/>
      <c r="J281" s="212"/>
      <c r="K281" s="573"/>
    </row>
    <row r="282" spans="1:12" ht="14.25" customHeight="1" x14ac:dyDescent="0.25">
      <c r="B282" s="210"/>
      <c r="C282" s="211"/>
      <c r="D282" s="211"/>
      <c r="E282" s="211"/>
      <c r="F282" s="211"/>
      <c r="G282" s="211"/>
      <c r="H282" s="463"/>
      <c r="I282" s="211"/>
      <c r="J282" s="212"/>
      <c r="K282" s="573"/>
    </row>
    <row r="283" spans="1:12" ht="14.25" customHeight="1" x14ac:dyDescent="0.25">
      <c r="B283" s="210"/>
      <c r="C283" s="211"/>
      <c r="D283" s="211"/>
      <c r="E283" s="211"/>
      <c r="F283" s="211"/>
      <c r="G283" s="211"/>
      <c r="H283" s="463"/>
      <c r="I283" s="211"/>
      <c r="J283" s="212"/>
      <c r="K283" s="573"/>
    </row>
    <row r="284" spans="1:12" ht="14.25" customHeight="1" x14ac:dyDescent="0.25">
      <c r="B284" s="210"/>
      <c r="C284" s="211"/>
      <c r="D284" s="211"/>
      <c r="E284" s="211"/>
      <c r="F284" s="211"/>
      <c r="G284" s="211"/>
      <c r="H284" s="463"/>
      <c r="I284" s="211"/>
      <c r="J284" s="212"/>
      <c r="K284" s="573"/>
    </row>
    <row r="285" spans="1:12" ht="14.25" customHeight="1" x14ac:dyDescent="0.25">
      <c r="B285" s="210"/>
      <c r="C285" s="211"/>
      <c r="D285" s="211"/>
      <c r="E285" s="211"/>
      <c r="F285" s="211"/>
      <c r="G285" s="211"/>
      <c r="H285" s="463"/>
      <c r="I285" s="211"/>
      <c r="J285" s="212"/>
      <c r="K285" s="573"/>
    </row>
    <row r="286" spans="1:12" ht="14.25" customHeight="1" x14ac:dyDescent="0.25">
      <c r="B286" s="210"/>
      <c r="C286" s="211"/>
      <c r="D286" s="211"/>
      <c r="E286" s="211"/>
      <c r="F286" s="211"/>
      <c r="G286" s="211"/>
      <c r="H286" s="463"/>
      <c r="I286" s="211"/>
      <c r="J286" s="212"/>
      <c r="K286" s="573"/>
    </row>
    <row r="287" spans="1:12" ht="14.25" customHeight="1" x14ac:dyDescent="0.25">
      <c r="B287" s="210"/>
      <c r="C287" s="211"/>
      <c r="D287" s="211"/>
      <c r="E287" s="211"/>
      <c r="F287" s="211"/>
      <c r="G287" s="211"/>
      <c r="H287" s="463"/>
      <c r="I287" s="211"/>
      <c r="J287" s="212"/>
      <c r="K287" s="573"/>
    </row>
    <row r="288" spans="1:12" ht="14.25" customHeight="1" x14ac:dyDescent="0.25">
      <c r="B288" s="210"/>
      <c r="C288" s="211"/>
      <c r="D288" s="211"/>
      <c r="E288" s="211"/>
      <c r="F288" s="211"/>
      <c r="G288" s="211"/>
      <c r="H288" s="463"/>
      <c r="I288" s="211"/>
      <c r="J288" s="212"/>
      <c r="K288" s="573"/>
    </row>
    <row r="289" spans="2:11" ht="14.25" customHeight="1" x14ac:dyDescent="0.25">
      <c r="B289" s="210"/>
      <c r="C289" s="211"/>
      <c r="D289" s="211"/>
      <c r="E289" s="211"/>
      <c r="F289" s="211"/>
      <c r="G289" s="211"/>
      <c r="H289" s="463"/>
      <c r="I289" s="211"/>
      <c r="J289" s="212"/>
      <c r="K289" s="573"/>
    </row>
    <row r="290" spans="2:11" ht="14.25" customHeight="1" x14ac:dyDescent="0.25">
      <c r="B290" s="210"/>
      <c r="C290" s="211"/>
      <c r="D290" s="211"/>
      <c r="E290" s="211"/>
      <c r="F290" s="211"/>
      <c r="G290" s="211"/>
      <c r="H290" s="463"/>
      <c r="I290" s="211"/>
      <c r="J290" s="212"/>
      <c r="K290" s="573"/>
    </row>
    <row r="291" spans="2:11" ht="14.25" customHeight="1" x14ac:dyDescent="0.25">
      <c r="B291" s="210"/>
      <c r="C291" s="211"/>
      <c r="D291" s="211"/>
      <c r="E291" s="211"/>
      <c r="F291" s="211"/>
      <c r="G291" s="211"/>
      <c r="H291" s="463"/>
      <c r="I291" s="211"/>
      <c r="J291" s="212"/>
      <c r="K291" s="573"/>
    </row>
    <row r="292" spans="2:11" ht="14.25" customHeight="1" x14ac:dyDescent="0.25">
      <c r="B292" s="210"/>
      <c r="C292" s="211"/>
      <c r="D292" s="211"/>
      <c r="E292" s="211"/>
      <c r="F292" s="211"/>
      <c r="G292" s="211"/>
      <c r="H292" s="463"/>
      <c r="I292" s="211"/>
      <c r="J292" s="212"/>
      <c r="K292" s="573"/>
    </row>
    <row r="293" spans="2:11" ht="14.25" customHeight="1" x14ac:dyDescent="0.25">
      <c r="B293" s="210"/>
      <c r="C293" s="211"/>
      <c r="D293" s="211"/>
      <c r="E293" s="211"/>
      <c r="F293" s="211"/>
      <c r="G293" s="211"/>
      <c r="H293" s="463"/>
      <c r="I293" s="211"/>
      <c r="J293" s="212"/>
      <c r="K293" s="573"/>
    </row>
    <row r="294" spans="2:11" ht="14.25" customHeight="1" x14ac:dyDescent="0.25">
      <c r="B294" s="210"/>
      <c r="C294" s="211"/>
      <c r="D294" s="211"/>
      <c r="E294" s="211"/>
      <c r="F294" s="211"/>
      <c r="G294" s="211"/>
      <c r="H294" s="463"/>
      <c r="I294" s="211"/>
      <c r="J294" s="212"/>
      <c r="K294" s="573"/>
    </row>
    <row r="295" spans="2:11" ht="14.25" customHeight="1" x14ac:dyDescent="0.25">
      <c r="B295" s="210"/>
      <c r="C295" s="211"/>
      <c r="D295" s="211"/>
      <c r="E295" s="211"/>
      <c r="F295" s="211"/>
      <c r="G295" s="211"/>
      <c r="H295" s="463"/>
      <c r="I295" s="211"/>
      <c r="J295" s="212"/>
      <c r="K295" s="573"/>
    </row>
    <row r="296" spans="2:11" ht="14.25" customHeight="1" x14ac:dyDescent="0.25">
      <c r="B296" s="210"/>
      <c r="C296" s="211"/>
      <c r="D296" s="211"/>
      <c r="E296" s="211"/>
      <c r="F296" s="211"/>
      <c r="G296" s="211"/>
      <c r="H296" s="463"/>
      <c r="I296" s="211"/>
      <c r="J296" s="212"/>
      <c r="K296" s="573"/>
    </row>
    <row r="297" spans="2:11" ht="14.25" customHeight="1" x14ac:dyDescent="0.25">
      <c r="B297" s="210"/>
      <c r="C297" s="211"/>
      <c r="D297" s="211"/>
      <c r="E297" s="211"/>
      <c r="F297" s="211"/>
      <c r="G297" s="211"/>
      <c r="H297" s="463"/>
      <c r="I297" s="211"/>
      <c r="J297" s="212"/>
      <c r="K297" s="573"/>
    </row>
    <row r="298" spans="2:11" ht="14.25" customHeight="1" x14ac:dyDescent="0.25">
      <c r="B298" s="210"/>
      <c r="C298" s="211"/>
      <c r="D298" s="211"/>
      <c r="E298" s="211"/>
      <c r="F298" s="211"/>
      <c r="G298" s="211"/>
      <c r="H298" s="463"/>
      <c r="I298" s="211"/>
      <c r="J298" s="212"/>
      <c r="K298" s="573"/>
    </row>
    <row r="299" spans="2:11" ht="14.25" customHeight="1" x14ac:dyDescent="0.25">
      <c r="B299" s="210"/>
      <c r="C299" s="211"/>
      <c r="D299" s="211"/>
      <c r="E299" s="211"/>
      <c r="F299" s="211"/>
      <c r="G299" s="211"/>
      <c r="H299" s="463"/>
      <c r="I299" s="211"/>
      <c r="J299" s="212"/>
      <c r="K299" s="573"/>
    </row>
    <row r="300" spans="2:11" ht="14.25" customHeight="1" x14ac:dyDescent="0.25">
      <c r="B300" s="210"/>
      <c r="C300" s="211"/>
      <c r="D300" s="211"/>
      <c r="E300" s="211"/>
      <c r="F300" s="211"/>
      <c r="G300" s="211"/>
      <c r="H300" s="463"/>
      <c r="I300" s="211"/>
      <c r="J300" s="212"/>
      <c r="K300" s="573"/>
    </row>
    <row r="301" spans="2:11" ht="14.25" customHeight="1" x14ac:dyDescent="0.25">
      <c r="B301" s="210"/>
      <c r="C301" s="211"/>
      <c r="D301" s="211"/>
      <c r="E301" s="211"/>
      <c r="F301" s="211"/>
      <c r="G301" s="211"/>
      <c r="H301" s="463"/>
      <c r="I301" s="211"/>
      <c r="J301" s="212"/>
      <c r="K301" s="573"/>
    </row>
    <row r="302" spans="2:11" ht="14.25" customHeight="1" x14ac:dyDescent="0.25">
      <c r="B302" s="210"/>
      <c r="C302" s="211"/>
      <c r="D302" s="211"/>
      <c r="E302" s="211"/>
      <c r="F302" s="211"/>
      <c r="G302" s="211"/>
      <c r="H302" s="463"/>
      <c r="I302" s="211"/>
      <c r="J302" s="212"/>
      <c r="K302" s="573"/>
    </row>
    <row r="303" spans="2:11" ht="14.25" customHeight="1" x14ac:dyDescent="0.25">
      <c r="B303" s="210"/>
      <c r="C303" s="211"/>
      <c r="D303" s="211"/>
      <c r="E303" s="211"/>
      <c r="F303" s="211"/>
      <c r="G303" s="211"/>
      <c r="H303" s="463"/>
      <c r="I303" s="211"/>
      <c r="J303" s="212"/>
      <c r="K303" s="573"/>
    </row>
    <row r="304" spans="2:11" ht="14.25" customHeight="1" x14ac:dyDescent="0.25">
      <c r="B304" s="210"/>
      <c r="C304" s="211"/>
      <c r="D304" s="211"/>
      <c r="E304" s="211"/>
      <c r="F304" s="211"/>
      <c r="G304" s="211"/>
      <c r="H304" s="463"/>
      <c r="I304" s="211"/>
      <c r="J304" s="212"/>
      <c r="K304" s="573"/>
    </row>
    <row r="305" spans="2:11" ht="14.25" customHeight="1" x14ac:dyDescent="0.25">
      <c r="B305" s="210"/>
      <c r="C305" s="211"/>
      <c r="D305" s="211"/>
      <c r="E305" s="211"/>
      <c r="F305" s="211"/>
      <c r="G305" s="211"/>
      <c r="H305" s="463"/>
      <c r="I305" s="211"/>
      <c r="J305" s="212"/>
      <c r="K305" s="573"/>
    </row>
    <row r="306" spans="2:11" ht="14.25" customHeight="1" x14ac:dyDescent="0.25">
      <c r="B306" s="210"/>
      <c r="C306" s="211"/>
      <c r="D306" s="211"/>
      <c r="E306" s="211"/>
      <c r="F306" s="211"/>
      <c r="G306" s="211"/>
      <c r="H306" s="463"/>
      <c r="I306" s="211"/>
      <c r="J306" s="212"/>
      <c r="K306" s="573"/>
    </row>
    <row r="307" spans="2:11" ht="14.25" customHeight="1" x14ac:dyDescent="0.25">
      <c r="B307" s="210"/>
      <c r="C307" s="211"/>
      <c r="D307" s="211"/>
      <c r="E307" s="211"/>
      <c r="F307" s="211"/>
      <c r="G307" s="211"/>
      <c r="H307" s="463"/>
      <c r="I307" s="211"/>
      <c r="J307" s="212"/>
      <c r="K307" s="573"/>
    </row>
    <row r="308" spans="2:11" ht="14.25" customHeight="1" x14ac:dyDescent="0.25">
      <c r="B308" s="210"/>
      <c r="C308" s="211"/>
      <c r="D308" s="211"/>
      <c r="E308" s="211"/>
      <c r="F308" s="211"/>
      <c r="G308" s="211"/>
      <c r="H308" s="463"/>
      <c r="I308" s="211"/>
      <c r="J308" s="212"/>
      <c r="K308" s="573"/>
    </row>
    <row r="309" spans="2:11" ht="14.25" customHeight="1" x14ac:dyDescent="0.25">
      <c r="B309" s="210"/>
      <c r="C309" s="211"/>
      <c r="D309" s="211"/>
      <c r="E309" s="211"/>
      <c r="F309" s="211"/>
      <c r="G309" s="211"/>
      <c r="H309" s="463"/>
      <c r="I309" s="211"/>
      <c r="J309" s="212"/>
      <c r="K309" s="573"/>
    </row>
    <row r="310" spans="2:11" ht="14.25" customHeight="1" x14ac:dyDescent="0.25">
      <c r="B310" s="210"/>
      <c r="C310" s="211"/>
      <c r="D310" s="211"/>
      <c r="E310" s="211"/>
      <c r="F310" s="211"/>
      <c r="G310" s="211"/>
      <c r="H310" s="463"/>
      <c r="I310" s="211"/>
      <c r="J310" s="212"/>
      <c r="K310" s="573"/>
    </row>
    <row r="311" spans="2:11" ht="14.25" customHeight="1" x14ac:dyDescent="0.25">
      <c r="B311" s="210"/>
      <c r="C311" s="211"/>
      <c r="D311" s="211"/>
      <c r="E311" s="211"/>
      <c r="F311" s="211"/>
      <c r="G311" s="211"/>
      <c r="H311" s="463"/>
      <c r="I311" s="211"/>
      <c r="J311" s="212"/>
      <c r="K311" s="573"/>
    </row>
    <row r="312" spans="2:11" ht="14.25" customHeight="1" x14ac:dyDescent="0.25">
      <c r="B312" s="210"/>
      <c r="C312" s="211"/>
      <c r="D312" s="211"/>
      <c r="E312" s="211"/>
      <c r="F312" s="211"/>
      <c r="G312" s="211"/>
      <c r="H312" s="463"/>
      <c r="I312" s="211"/>
      <c r="J312" s="212"/>
      <c r="K312" s="573"/>
    </row>
    <row r="313" spans="2:11" ht="14.25" customHeight="1" x14ac:dyDescent="0.25">
      <c r="B313" s="210"/>
      <c r="C313" s="211"/>
      <c r="D313" s="211"/>
      <c r="E313" s="211"/>
      <c r="F313" s="211"/>
      <c r="G313" s="211"/>
      <c r="H313" s="463"/>
      <c r="I313" s="211"/>
      <c r="J313" s="212"/>
      <c r="K313" s="573"/>
    </row>
    <row r="314" spans="2:11" ht="14.25" customHeight="1" x14ac:dyDescent="0.25">
      <c r="B314" s="210"/>
      <c r="C314" s="211"/>
      <c r="D314" s="211"/>
      <c r="E314" s="211"/>
      <c r="F314" s="211"/>
      <c r="G314" s="211"/>
      <c r="H314" s="463"/>
      <c r="I314" s="211"/>
      <c r="J314" s="212"/>
      <c r="K314" s="573"/>
    </row>
    <row r="315" spans="2:11" ht="14.25" customHeight="1" x14ac:dyDescent="0.25">
      <c r="B315" s="210"/>
      <c r="C315" s="211"/>
      <c r="D315" s="211"/>
      <c r="E315" s="211"/>
      <c r="F315" s="211"/>
      <c r="G315" s="211"/>
      <c r="H315" s="463"/>
      <c r="I315" s="211"/>
      <c r="J315" s="212"/>
      <c r="K315" s="573"/>
    </row>
    <row r="316" spans="2:11" ht="14.25" customHeight="1" x14ac:dyDescent="0.25">
      <c r="B316" s="210"/>
      <c r="C316" s="211"/>
      <c r="D316" s="211"/>
      <c r="E316" s="211"/>
      <c r="F316" s="211"/>
      <c r="G316" s="211"/>
      <c r="H316" s="463"/>
      <c r="I316" s="211"/>
      <c r="J316" s="212"/>
      <c r="K316" s="573"/>
    </row>
    <row r="317" spans="2:11" ht="14.25" customHeight="1" x14ac:dyDescent="0.25">
      <c r="B317" s="210"/>
      <c r="C317" s="211"/>
      <c r="D317" s="211"/>
      <c r="E317" s="211"/>
      <c r="F317" s="211"/>
      <c r="G317" s="211"/>
      <c r="H317" s="463"/>
      <c r="I317" s="211"/>
      <c r="J317" s="212"/>
      <c r="K317" s="573"/>
    </row>
    <row r="318" spans="2:11" ht="14.25" customHeight="1" x14ac:dyDescent="0.25">
      <c r="B318" s="210"/>
      <c r="C318" s="211"/>
      <c r="D318" s="211"/>
      <c r="E318" s="211"/>
      <c r="F318" s="211"/>
      <c r="G318" s="211"/>
      <c r="H318" s="463"/>
      <c r="I318" s="211"/>
      <c r="J318" s="212"/>
      <c r="K318" s="573"/>
    </row>
    <row r="319" spans="2:11" ht="14.25" customHeight="1" x14ac:dyDescent="0.25">
      <c r="B319" s="210"/>
      <c r="C319" s="211"/>
      <c r="D319" s="211"/>
      <c r="E319" s="211"/>
      <c r="F319" s="211"/>
      <c r="G319" s="211"/>
      <c r="H319" s="463"/>
      <c r="I319" s="211"/>
      <c r="J319" s="212"/>
      <c r="K319" s="573"/>
    </row>
    <row r="320" spans="2:11" ht="14.25" customHeight="1" x14ac:dyDescent="0.25">
      <c r="B320" s="210"/>
      <c r="C320" s="211"/>
      <c r="D320" s="211"/>
      <c r="E320" s="211"/>
      <c r="F320" s="211"/>
      <c r="G320" s="211"/>
      <c r="H320" s="463"/>
      <c r="I320" s="211"/>
      <c r="J320" s="212"/>
      <c r="K320" s="573"/>
    </row>
    <row r="321" spans="2:11" ht="14.25" customHeight="1" x14ac:dyDescent="0.25">
      <c r="B321" s="210"/>
      <c r="C321" s="211"/>
      <c r="D321" s="211"/>
      <c r="E321" s="211"/>
      <c r="F321" s="211"/>
      <c r="G321" s="211"/>
      <c r="H321" s="463"/>
      <c r="I321" s="211"/>
      <c r="J321" s="212"/>
      <c r="K321" s="573"/>
    </row>
    <row r="322" spans="2:11" ht="14.25" customHeight="1" x14ac:dyDescent="0.25">
      <c r="B322" s="210"/>
      <c r="C322" s="211"/>
      <c r="D322" s="211"/>
      <c r="E322" s="211"/>
      <c r="F322" s="211"/>
      <c r="G322" s="211"/>
      <c r="H322" s="463"/>
      <c r="I322" s="211"/>
      <c r="J322" s="212"/>
      <c r="K322" s="573"/>
    </row>
    <row r="323" spans="2:11" ht="14.25" customHeight="1" x14ac:dyDescent="0.25">
      <c r="B323" s="210"/>
      <c r="C323" s="211"/>
      <c r="D323" s="211"/>
      <c r="E323" s="211"/>
      <c r="F323" s="211"/>
      <c r="G323" s="211"/>
      <c r="H323" s="463"/>
      <c r="I323" s="211"/>
      <c r="J323" s="212"/>
      <c r="K323" s="573"/>
    </row>
    <row r="324" spans="2:11" ht="14.25" customHeight="1" x14ac:dyDescent="0.25">
      <c r="B324" s="213"/>
      <c r="C324" s="214"/>
      <c r="D324" s="214"/>
      <c r="E324" s="214"/>
      <c r="F324" s="214"/>
      <c r="G324" s="214"/>
      <c r="H324" s="464"/>
      <c r="I324" s="214"/>
      <c r="J324" s="215"/>
      <c r="K324" s="573"/>
    </row>
    <row r="325" spans="2:11" ht="14.25" customHeight="1" x14ac:dyDescent="0.25">
      <c r="B325" s="178"/>
      <c r="C325" s="178"/>
      <c r="D325" s="178"/>
      <c r="E325" s="178"/>
      <c r="F325" s="178"/>
      <c r="G325" s="178"/>
      <c r="H325" s="465"/>
      <c r="I325" s="178"/>
    </row>
    <row r="326" spans="2:11" ht="14.25" customHeight="1" x14ac:dyDescent="0.25">
      <c r="B326" s="178"/>
      <c r="C326" s="178"/>
      <c r="D326" s="178"/>
      <c r="E326" s="178"/>
      <c r="F326" s="178"/>
      <c r="G326" s="178"/>
      <c r="H326" s="465"/>
      <c r="I326" s="178"/>
    </row>
    <row r="327" spans="2:11" x14ac:dyDescent="0.25">
      <c r="B327" s="178"/>
      <c r="C327" s="178"/>
      <c r="D327" s="178"/>
      <c r="E327" s="178"/>
      <c r="F327" s="178"/>
      <c r="G327" s="178"/>
      <c r="H327" s="465"/>
      <c r="I327" s="178"/>
    </row>
    <row r="328" spans="2:11" x14ac:dyDescent="0.25">
      <c r="B328" s="216"/>
    </row>
    <row r="329" spans="2:11" x14ac:dyDescent="0.25">
      <c r="B329" s="127"/>
      <c r="C329" s="127"/>
      <c r="D329" s="127"/>
      <c r="E329" s="127"/>
      <c r="F329" s="127"/>
      <c r="G329" s="127"/>
      <c r="H329" s="127"/>
      <c r="I329" s="127"/>
    </row>
  </sheetData>
  <sheetProtection algorithmName="SHA-512" hashValue="8LS5tE/jzloFfcikNb+LnayQHwbKd+Zx9dLOauTtRtqQPsF4cOHonV5hW0WGKC9FVnZHO/wNvNEJvjXrfK3cfQ==" saltValue="rSG7VVY+WLE/87RQ62niFA==" spinCount="100000" sheet="1" formatColumns="0" formatRows="0"/>
  <conditionalFormatting sqref="B18:B39 B41:B54 B56:B76 B78:B100 B102:B140 B142:B186 B188:B226">
    <cfRule type="expression" dxfId="9" priority="2">
      <formula>AND(OR(NOT(C18=""),NOT(D18=""),NOT(E18=""),NOT(G18=""),NOT(G18="")),B18=0)</formula>
    </cfRule>
  </conditionalFormatting>
  <conditionalFormatting sqref="B141">
    <cfRule type="expression" dxfId="8" priority="42">
      <formula>AND(OR(NOT(C141=""),NOT(D141=""),NOT(#REF!=""),NOT(G141=""),NOT(G141="")),B141=0)</formula>
    </cfRule>
  </conditionalFormatting>
  <conditionalFormatting sqref="C18:E34 G18:H34 C42:C51 E42:E51 G42:G51 C57:E71 G57:H71 C79:E95 G79:H95 C103:H132 C151:C165 E151:E165 G151:G165 C170:C184 E170:E184 G170:G184 C193:C207 E193:E207 G193:G207 C212:C226 E212:E226 G212:G226">
    <cfRule type="expression" dxfId="7" priority="3">
      <formula>AND($B18&lt;&gt;0,C18="")</formula>
    </cfRule>
  </conditionalFormatting>
  <conditionalFormatting sqref="L103:L132">
    <cfRule type="expression" dxfId="6" priority="1">
      <formula>AND(OR(NOT(M103=""),NOT(N103=""),NOT(O103=""),NOT(Q103=""),NOT(Q103="")),L103=0)</formula>
    </cfRule>
  </conditionalFormatting>
  <dataValidations count="3">
    <dataValidation type="list" allowBlank="1" showInputMessage="1" showErrorMessage="1" prompt="Geef aan of de aanvrager voor dit project BTW-plichtig of -vrijgesteld is; BTW-plichtig: voer de kosten op excl. BTW; BTW-vrijgesteld: voer de kosten op incl. BTW." sqref="E8" xr:uid="{4DD98817-D109-43AC-A2F9-A77F3385CEB0}">
      <formula1>BTW</formula1>
    </dataValidation>
    <dataValidation type="list" allowBlank="1" showInputMessage="1" showErrorMessage="1" sqref="B42:B51 B18:B34 B57:B71 B79:B95 B103:B132 B151:B165 B212:B226 B170:B184 B193:B207" xr:uid="{3C5DC316-468E-47D7-BE15-D5B810BD1453}">
      <formula1>Fase</formula1>
    </dataValidation>
    <dataValidation type="list" allowBlank="1" showInputMessage="1" showErrorMessage="1" sqref="H79:H95 H57:H71 H18:H34" xr:uid="{344815C6-4BFC-4326-A606-A4FC31EF89A9}">
      <formula1>type_afnemer</formula1>
    </dataValidation>
  </dataValidations>
  <hyperlinks>
    <hyperlink ref="B8" location="'Uitleg Pilot'!Afdrukbereik" display="BTW (voor informatie, zie tabblad 'Uitleg Pilot')" xr:uid="{FA09B584-C754-4AB9-9771-2C79D8B04FE4}"/>
  </hyperlinks>
  <pageMargins left="0.23622047244094491" right="0.23622047244094491" top="0.74803149606299213" bottom="0.74803149606299213" header="0.31496062992125984" footer="0.31496062992125984"/>
  <pageSetup paperSize="8" scale="87" fitToHeight="0" orientation="portrait" r:id="rId1"/>
  <headerFooter alignWithMargins="0">
    <oddFooter>&amp;R&amp;"Verdana,Standaard"pagina: &amp;P
aantal pagina's: &amp;N</oddFooter>
  </headerFooter>
  <colBreaks count="1" manualBreakCount="1">
    <brk id="1" max="144" man="1"/>
  </colBreaks>
  <extLst>
    <ext xmlns:x14="http://schemas.microsoft.com/office/spreadsheetml/2009/9/main" uri="{CCE6A557-97BC-4b89-ADB6-D9C93CAAB3DF}">
      <x14:dataValidations xmlns:xm="http://schemas.microsoft.com/office/excel/2006/main" count="2">
        <x14:dataValidation type="list" allowBlank="1" showInputMessage="1" xr:uid="{8BBFF0E3-8B31-468F-86C2-F611781D5C45}">
          <x14:formula1>
            <xm:f>Lijsten!$E$3:$E$10</xm:f>
          </x14:formula1>
          <xm:sqref>C151:C165 C170:C184</xm:sqref>
        </x14:dataValidation>
        <x14:dataValidation type="list" allowBlank="1" showInputMessage="1" showErrorMessage="1" xr:uid="{C07DD4A8-C6EF-42C3-BC98-FD176CC5600B}">
          <x14:formula1>
            <xm:f>Lijsten!$D$3:$D$8</xm:f>
          </x14:formula1>
          <xm:sqref>H103:H132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6">
    <tabColor rgb="FFFFFFCC"/>
  </sheetPr>
  <dimension ref="A1:AT317"/>
  <sheetViews>
    <sheetView showGridLines="0" zoomScaleNormal="100" zoomScaleSheetLayoutView="100" workbookViewId="0">
      <selection activeCell="H15" sqref="H15"/>
    </sheetView>
  </sheetViews>
  <sheetFormatPr defaultColWidth="9.26953125" defaultRowHeight="11.5" outlineLevelRow="1" x14ac:dyDescent="0.25"/>
  <cols>
    <col min="1" max="1" width="1.81640625" style="13" customWidth="1"/>
    <col min="2" max="2" width="50.81640625" style="13" customWidth="1"/>
    <col min="3" max="18" width="15.26953125" style="13" customWidth="1"/>
    <col min="19" max="21" width="12.81640625" style="13" customWidth="1"/>
    <col min="22" max="26" width="9.26953125" style="13" customWidth="1"/>
    <col min="27" max="34" width="9.26953125" style="13"/>
    <col min="35" max="45" width="9.26953125" style="13" customWidth="1"/>
    <col min="46" max="16384" width="9.26953125" style="13"/>
  </cols>
  <sheetData>
    <row r="1" spans="1:46" s="27" customFormat="1" ht="18.5" x14ac:dyDescent="0.35">
      <c r="A1" s="630"/>
      <c r="B1" s="653" t="s">
        <v>292</v>
      </c>
    </row>
    <row r="2" spans="1:46" s="27" customFormat="1" ht="18.5" x14ac:dyDescent="0.35">
      <c r="A2" s="630"/>
      <c r="B2" s="653"/>
    </row>
    <row r="3" spans="1:46" s="198" customFormat="1" ht="16.5" customHeight="1" x14ac:dyDescent="0.25">
      <c r="A3" s="867"/>
      <c r="B3" s="134" t="s">
        <v>213</v>
      </c>
      <c r="C3" s="134"/>
      <c r="D3" s="134"/>
      <c r="E3" s="134"/>
      <c r="F3" s="134"/>
      <c r="G3" s="134"/>
      <c r="H3" s="134"/>
      <c r="I3" s="134"/>
      <c r="J3" s="134"/>
      <c r="K3" s="134"/>
      <c r="L3" s="134"/>
      <c r="M3" s="134"/>
      <c r="N3" s="134"/>
      <c r="O3" s="134"/>
      <c r="P3" s="134"/>
      <c r="Q3" s="134"/>
      <c r="R3" s="134"/>
    </row>
    <row r="4" spans="1:46" s="27" customFormat="1" ht="14" thickBot="1" x14ac:dyDescent="0.3">
      <c r="A4" s="630"/>
      <c r="B4" s="496"/>
    </row>
    <row r="5" spans="1:46" ht="12.5" x14ac:dyDescent="0.25">
      <c r="A5" s="21"/>
      <c r="B5" s="648" t="str">
        <f>Project!A4</f>
        <v>Projectnummer:</v>
      </c>
      <c r="C5" s="649" t="str">
        <f>IF(Project!$B$4="","Invullen bij tabblad 'Project'",Project!$B$4)</f>
        <v>[Dit veld vult RVO in]</v>
      </c>
      <c r="D5" s="650"/>
      <c r="E5" s="650"/>
      <c r="F5" s="651"/>
      <c r="G5" s="647"/>
      <c r="H5" s="647"/>
      <c r="I5" s="647"/>
      <c r="J5" s="647"/>
      <c r="K5" s="647"/>
      <c r="L5" s="647"/>
      <c r="M5" s="647"/>
    </row>
    <row r="6" spans="1:46" ht="13" thickBot="1" x14ac:dyDescent="0.3">
      <c r="A6" s="21"/>
      <c r="B6" s="644" t="str">
        <f>Project!A7</f>
        <v>Titel van het project:</v>
      </c>
      <c r="C6" s="645" t="str">
        <f>IF(Project!$B$7="","Invullen bij tabblad 'Project'",Project!$B$7)</f>
        <v>Invullen bij tabblad 'Project'</v>
      </c>
      <c r="D6" s="646"/>
      <c r="E6" s="646"/>
      <c r="F6" s="652"/>
      <c r="G6" s="27"/>
      <c r="H6" s="27"/>
      <c r="I6" s="27"/>
      <c r="J6" s="27"/>
      <c r="K6" s="27"/>
      <c r="L6" s="27"/>
      <c r="M6" s="27"/>
    </row>
    <row r="7" spans="1:46" ht="12.75" customHeight="1" thickBot="1" x14ac:dyDescent="0.3"/>
    <row r="8" spans="1:46" s="69" customFormat="1" ht="16.5" customHeight="1" thickBot="1" x14ac:dyDescent="0.3">
      <c r="A8" s="868"/>
      <c r="B8" s="426" t="s">
        <v>293</v>
      </c>
      <c r="C8" s="654"/>
      <c r="D8" s="654"/>
      <c r="E8" s="654"/>
      <c r="F8" s="654"/>
      <c r="G8" s="654"/>
      <c r="H8" s="654"/>
      <c r="I8" s="654"/>
      <c r="J8" s="654"/>
      <c r="K8" s="654"/>
      <c r="L8" s="654"/>
      <c r="M8" s="654"/>
      <c r="N8" s="654"/>
      <c r="O8" s="654"/>
      <c r="P8" s="654"/>
      <c r="Q8" s="654"/>
      <c r="R8" s="655"/>
      <c r="AT8" s="119"/>
    </row>
    <row r="9" spans="1:46" ht="177.65" customHeight="1" thickBot="1" x14ac:dyDescent="0.3">
      <c r="B9" s="1016" t="s">
        <v>294</v>
      </c>
      <c r="C9" s="1017"/>
      <c r="D9" s="1017"/>
      <c r="E9" s="1017"/>
      <c r="F9" s="1017"/>
      <c r="G9" s="1017"/>
      <c r="H9" s="1017"/>
      <c r="I9" s="1017"/>
      <c r="J9" s="1017"/>
      <c r="K9" s="1017"/>
      <c r="L9" s="1017"/>
      <c r="M9" s="1017"/>
      <c r="N9" s="1017"/>
      <c r="O9" s="1017"/>
      <c r="P9" s="1017"/>
      <c r="Q9" s="1017"/>
      <c r="R9" s="1018"/>
      <c r="AT9"/>
    </row>
    <row r="10" spans="1:46" s="27" customFormat="1" ht="12.75" customHeight="1" x14ac:dyDescent="0.25">
      <c r="C10" s="491"/>
      <c r="D10" s="491"/>
      <c r="E10" s="491"/>
      <c r="F10" s="491"/>
      <c r="G10" s="491"/>
      <c r="H10" s="491"/>
      <c r="I10" s="491"/>
      <c r="J10" s="491"/>
      <c r="K10" s="491"/>
      <c r="L10" s="491"/>
      <c r="M10" s="491"/>
      <c r="AT10" s="492"/>
    </row>
    <row r="11" spans="1:46" s="198" customFormat="1" ht="16.5" customHeight="1" x14ac:dyDescent="0.25">
      <c r="B11" s="609" t="s">
        <v>295</v>
      </c>
      <c r="C11" s="609"/>
      <c r="D11" s="609"/>
      <c r="E11" s="609"/>
      <c r="F11" s="609"/>
      <c r="G11" s="609"/>
      <c r="H11" s="609"/>
      <c r="I11" s="609"/>
      <c r="J11" s="609"/>
      <c r="K11" s="609"/>
      <c r="L11" s="609"/>
      <c r="M11" s="609"/>
      <c r="N11" s="609"/>
      <c r="O11" s="609"/>
      <c r="P11" s="609"/>
      <c r="Q11" s="609"/>
      <c r="R11" s="609"/>
      <c r="AT11" s="598"/>
    </row>
    <row r="12" spans="1:46" s="27" customFormat="1" ht="12.75" customHeight="1" thickBot="1" x14ac:dyDescent="0.3">
      <c r="B12" s="496"/>
      <c r="C12" s="496"/>
      <c r="D12" s="496"/>
      <c r="E12" s="496"/>
      <c r="F12" s="496"/>
      <c r="G12" s="496"/>
      <c r="H12" s="496"/>
      <c r="I12" s="496"/>
      <c r="J12" s="496"/>
      <c r="K12" s="496"/>
      <c r="L12" s="496"/>
      <c r="M12" s="496"/>
      <c r="N12" s="496"/>
      <c r="O12" s="496"/>
      <c r="P12" s="496"/>
      <c r="Q12" s="496"/>
      <c r="R12" s="496"/>
      <c r="AT12" s="492"/>
    </row>
    <row r="13" spans="1:46" ht="12.5" x14ac:dyDescent="0.25">
      <c r="A13" s="22"/>
      <c r="B13" s="662" t="s">
        <v>221</v>
      </c>
      <c r="C13" s="663">
        <v>1</v>
      </c>
      <c r="D13" s="663">
        <v>2</v>
      </c>
      <c r="E13" s="663">
        <v>3</v>
      </c>
      <c r="F13" s="663">
        <v>4</v>
      </c>
      <c r="G13" s="663">
        <v>5</v>
      </c>
      <c r="H13" s="663">
        <v>6</v>
      </c>
      <c r="I13" s="663">
        <v>7</v>
      </c>
      <c r="J13" s="663">
        <v>8</v>
      </c>
      <c r="K13" s="663">
        <v>9</v>
      </c>
      <c r="L13" s="663">
        <v>10</v>
      </c>
      <c r="M13" s="663">
        <v>11</v>
      </c>
      <c r="N13" s="663">
        <v>12</v>
      </c>
      <c r="O13" s="663">
        <v>13</v>
      </c>
      <c r="P13" s="663">
        <v>14</v>
      </c>
      <c r="Q13" s="663">
        <v>15</v>
      </c>
      <c r="R13" s="664" t="s">
        <v>229</v>
      </c>
      <c r="AT13"/>
    </row>
    <row r="14" spans="1:46" ht="12.5" x14ac:dyDescent="0.25">
      <c r="A14" s="22"/>
      <c r="B14" s="665" t="s">
        <v>296</v>
      </c>
      <c r="C14" s="666">
        <f>SUMIFS(Mijlpalenbegroting!$J$18:$J$226,Mijlpalenbegroting!$B$18:$B$226,C13)</f>
        <v>0</v>
      </c>
      <c r="D14" s="666">
        <f>SUMIFS(Mijlpalenbegroting!$J$18:$J$226,Mijlpalenbegroting!$B$18:$B$226,D13)</f>
        <v>0</v>
      </c>
      <c r="E14" s="666">
        <f>SUMIFS(Mijlpalenbegroting!$J$18:$J$226,Mijlpalenbegroting!$B$18:$B$226,E13)</f>
        <v>0</v>
      </c>
      <c r="F14" s="666">
        <f>SUMIFS(Mijlpalenbegroting!$J$18:$J$226,Mijlpalenbegroting!$B$18:$B$226,F13)</f>
        <v>0</v>
      </c>
      <c r="G14" s="666">
        <f>SUMIFS(Mijlpalenbegroting!$J$18:$J$226,Mijlpalenbegroting!$B$18:$B$226,G13)</f>
        <v>0</v>
      </c>
      <c r="H14" s="666">
        <f>SUMIFS(Mijlpalenbegroting!$J$18:$J$226,Mijlpalenbegroting!$B$18:$B$226,H13)</f>
        <v>0</v>
      </c>
      <c r="I14" s="666">
        <f>SUMIFS(Mijlpalenbegroting!$J$18:$J$226,Mijlpalenbegroting!$B$18:$B$226,I13)</f>
        <v>0</v>
      </c>
      <c r="J14" s="666">
        <f>SUMIFS(Mijlpalenbegroting!$J$18:$J$226,Mijlpalenbegroting!$B$18:$B$226,J13)</f>
        <v>0</v>
      </c>
      <c r="K14" s="666">
        <f>SUMIFS(Mijlpalenbegroting!$J$18:$J$226,Mijlpalenbegroting!$B$18:$B$226,K13)</f>
        <v>0</v>
      </c>
      <c r="L14" s="666">
        <f>SUMIFS(Mijlpalenbegroting!$J$18:$J$226,Mijlpalenbegroting!$B$18:$B$226,L13)</f>
        <v>0</v>
      </c>
      <c r="M14" s="666">
        <f>SUMIFS(Mijlpalenbegroting!$J$18:$J$226,Mijlpalenbegroting!$B$18:$B$226,M13)</f>
        <v>0</v>
      </c>
      <c r="N14" s="666">
        <f>SUMIFS(Mijlpalenbegroting!$J$18:$J$226,Mijlpalenbegroting!$B$18:$B$226,N13)</f>
        <v>0</v>
      </c>
      <c r="O14" s="666">
        <f>SUMIFS(Mijlpalenbegroting!$J$18:$J$226,Mijlpalenbegroting!$B$18:$B$226,O13)</f>
        <v>0</v>
      </c>
      <c r="P14" s="666">
        <f>SUMIFS(Mijlpalenbegroting!$J$18:$J$226,Mijlpalenbegroting!$B$18:$B$226,P13)</f>
        <v>0</v>
      </c>
      <c r="Q14" s="666">
        <f>SUMIFS(Mijlpalenbegroting!$J$18:$J$226,Mijlpalenbegroting!$B$18:$B$226,Q13)</f>
        <v>0</v>
      </c>
      <c r="R14" s="667">
        <f>SUM(C14:Q14)</f>
        <v>0</v>
      </c>
      <c r="AT14"/>
    </row>
    <row r="15" spans="1:46" ht="12.5" x14ac:dyDescent="0.25">
      <c r="A15" s="22"/>
      <c r="B15" s="665" t="s">
        <v>297</v>
      </c>
      <c r="C15" s="668">
        <f>SUMIFS(Mijlpalenbegroting!$I$18:$I$226,Mijlpalenbegroting!$B$18:$B$226,C13)</f>
        <v>0</v>
      </c>
      <c r="D15" s="668">
        <f>SUMIFS(Mijlpalenbegroting!$I$18:$I$226,Mijlpalenbegroting!$B$18:$B$226,D13)</f>
        <v>0</v>
      </c>
      <c r="E15" s="668">
        <f>SUMIFS(Mijlpalenbegroting!$I$18:$I$226,Mijlpalenbegroting!$B$18:$B$226,E13)</f>
        <v>0</v>
      </c>
      <c r="F15" s="668">
        <f>SUMIFS(Mijlpalenbegroting!$I$18:$I$226,Mijlpalenbegroting!$B$18:$B$226,F13)</f>
        <v>0</v>
      </c>
      <c r="G15" s="668">
        <f>SUMIFS(Mijlpalenbegroting!$I$18:$I$226,Mijlpalenbegroting!$B$18:$B$226,G13)</f>
        <v>0</v>
      </c>
      <c r="H15" s="668">
        <f>SUMIFS(Mijlpalenbegroting!$I$18:$I$226,Mijlpalenbegroting!$B$18:$B$226,H13)</f>
        <v>0</v>
      </c>
      <c r="I15" s="668">
        <f>SUMIFS(Mijlpalenbegroting!$I$18:$I$226,Mijlpalenbegroting!$B$18:$B$226,I13)</f>
        <v>0</v>
      </c>
      <c r="J15" s="668">
        <f>SUMIFS(Mijlpalenbegroting!$I$18:$I$226,Mijlpalenbegroting!$B$18:$B$226,J13)</f>
        <v>0</v>
      </c>
      <c r="K15" s="668">
        <f>SUMIFS(Mijlpalenbegroting!$I$18:$I$226,Mijlpalenbegroting!$B$18:$B$226,K13)</f>
        <v>0</v>
      </c>
      <c r="L15" s="668">
        <f>SUMIFS(Mijlpalenbegroting!$I$18:$I$226,Mijlpalenbegroting!$B$18:$B$226,L13)</f>
        <v>0</v>
      </c>
      <c r="M15" s="668">
        <f>SUMIFS(Mijlpalenbegroting!$I$18:$I$226,Mijlpalenbegroting!$B$18:$B$226,M13)</f>
        <v>0</v>
      </c>
      <c r="N15" s="668">
        <f>SUMIFS(Mijlpalenbegroting!$I$18:$I$226,Mijlpalenbegroting!$B$18:$B$226,N13)</f>
        <v>0</v>
      </c>
      <c r="O15" s="668">
        <f>SUMIFS(Mijlpalenbegroting!$I$18:$I$226,Mijlpalenbegroting!$B$18:$B$226,O13)</f>
        <v>0</v>
      </c>
      <c r="P15" s="668">
        <f>SUMIFS(Mijlpalenbegroting!$I$18:$I$226,Mijlpalenbegroting!$B$18:$B$226,P13)</f>
        <v>0</v>
      </c>
      <c r="Q15" s="668">
        <f>SUMIFS(Mijlpalenbegroting!$I$18:$I$226,Mijlpalenbegroting!$B$18:$B$226,Q13)</f>
        <v>0</v>
      </c>
      <c r="R15" s="669">
        <f>SUM(C15:Q15)</f>
        <v>0</v>
      </c>
      <c r="AT15"/>
    </row>
    <row r="16" spans="1:46" ht="12.5" hidden="1" x14ac:dyDescent="0.25">
      <c r="A16" s="22"/>
      <c r="B16" s="665" t="s">
        <v>298</v>
      </c>
      <c r="C16" s="670">
        <f>C14*Mijlpalenbegroting!$J$267</f>
        <v>0</v>
      </c>
      <c r="D16" s="670">
        <f>D14*Mijlpalenbegroting!$J$267</f>
        <v>0</v>
      </c>
      <c r="E16" s="670">
        <f>E14*Mijlpalenbegroting!$J$267</f>
        <v>0</v>
      </c>
      <c r="F16" s="670">
        <f>F14*Mijlpalenbegroting!$J$267</f>
        <v>0</v>
      </c>
      <c r="G16" s="670">
        <f>G14*Mijlpalenbegroting!$J$267</f>
        <v>0</v>
      </c>
      <c r="H16" s="670">
        <f>H14*Mijlpalenbegroting!$J$267</f>
        <v>0</v>
      </c>
      <c r="I16" s="670">
        <f>I14*Mijlpalenbegroting!$J$267</f>
        <v>0</v>
      </c>
      <c r="J16" s="670">
        <f>J14*Mijlpalenbegroting!$J$267</f>
        <v>0</v>
      </c>
      <c r="K16" s="670">
        <f>K14*Mijlpalenbegroting!$J$267</f>
        <v>0</v>
      </c>
      <c r="L16" s="670">
        <f>L14*Mijlpalenbegroting!$J$267</f>
        <v>0</v>
      </c>
      <c r="M16" s="670">
        <f>M14*Mijlpalenbegroting!$J$267</f>
        <v>0</v>
      </c>
      <c r="N16" s="670">
        <f>N14*Mijlpalenbegroting!$J$267</f>
        <v>0</v>
      </c>
      <c r="O16" s="670">
        <f>O14*Mijlpalenbegroting!$J$267</f>
        <v>0</v>
      </c>
      <c r="P16" s="670">
        <f>P14*Mijlpalenbegroting!$J$267</f>
        <v>0</v>
      </c>
      <c r="Q16" s="670">
        <f>Q14*Mijlpalenbegroting!$J$267</f>
        <v>0</v>
      </c>
      <c r="R16" s="671">
        <f>SUM(C16:Q16)</f>
        <v>0</v>
      </c>
      <c r="AT16"/>
    </row>
    <row r="17" spans="1:46" ht="12.5" x14ac:dyDescent="0.25">
      <c r="A17" s="22"/>
      <c r="B17" s="672" t="s">
        <v>299</v>
      </c>
      <c r="C17" s="673">
        <f>Startdatum</f>
        <v>0</v>
      </c>
      <c r="D17" s="270"/>
      <c r="E17" s="270"/>
      <c r="F17" s="270"/>
      <c r="G17" s="270"/>
      <c r="H17" s="270"/>
      <c r="I17" s="889"/>
      <c r="J17" s="270"/>
      <c r="K17" s="270"/>
      <c r="L17" s="270"/>
      <c r="M17" s="270"/>
      <c r="N17" s="270"/>
      <c r="O17" s="270"/>
      <c r="P17" s="270"/>
      <c r="Q17" s="270"/>
      <c r="R17" s="674">
        <f>Startdatum</f>
        <v>0</v>
      </c>
      <c r="S17" s="35"/>
      <c r="AT17"/>
    </row>
    <row r="18" spans="1:46" ht="13" thickBot="1" x14ac:dyDescent="0.3">
      <c r="A18" s="22"/>
      <c r="B18" s="675" t="s">
        <v>300</v>
      </c>
      <c r="C18" s="656"/>
      <c r="D18" s="656"/>
      <c r="E18" s="656"/>
      <c r="F18" s="656"/>
      <c r="G18" s="656"/>
      <c r="H18" s="656"/>
      <c r="I18" s="656"/>
      <c r="J18" s="656"/>
      <c r="K18" s="656"/>
      <c r="L18" s="656"/>
      <c r="M18" s="656"/>
      <c r="N18" s="656"/>
      <c r="O18" s="656"/>
      <c r="P18" s="656"/>
      <c r="Q18" s="656"/>
      <c r="R18" s="657">
        <f>Einddatum</f>
        <v>0</v>
      </c>
      <c r="S18" s="23"/>
      <c r="AT18"/>
    </row>
    <row r="19" spans="1:46" s="27" customFormat="1" ht="12.5" hidden="1" x14ac:dyDescent="0.25">
      <c r="B19" s="493" t="s">
        <v>638</v>
      </c>
      <c r="C19" s="494"/>
      <c r="D19" s="494" t="b">
        <f>OR(D17&gt;MAX($C18:C18)+1)</f>
        <v>0</v>
      </c>
      <c r="E19" s="494" t="b">
        <f>OR(E17&gt;MAX($C18:D18)+1)</f>
        <v>0</v>
      </c>
      <c r="F19" s="494" t="b">
        <f>OR(F17&gt;MAX($C18:E18)+1)</f>
        <v>0</v>
      </c>
      <c r="G19" s="494" t="b">
        <f>OR(G17&gt;MAX($C18:F18)+1)</f>
        <v>0</v>
      </c>
      <c r="H19" s="494" t="b">
        <f>OR(H17&gt;MAX($C18:G18)+1)</f>
        <v>0</v>
      </c>
      <c r="I19" s="494" t="b">
        <f>OR(I17&gt;MAX($C18:H18)+1)</f>
        <v>0</v>
      </c>
      <c r="J19" s="494" t="b">
        <f>OR(J17&gt;MAX($C18:I18)+1)</f>
        <v>0</v>
      </c>
      <c r="K19" s="494" t="b">
        <f>OR(K17&gt;MAX($C18:J18)+1)</f>
        <v>0</v>
      </c>
      <c r="L19" s="494" t="b">
        <f>OR(L17&gt;MAX($C18:K18)+1)</f>
        <v>0</v>
      </c>
      <c r="M19" s="494" t="b">
        <f>OR(M17&gt;MAX($C18:L18)+1)</f>
        <v>0</v>
      </c>
      <c r="N19" s="494" t="b">
        <f>OR(N17&gt;MAX($C18:M18)+1)</f>
        <v>0</v>
      </c>
      <c r="O19" s="494" t="b">
        <f>OR(O17&gt;MAX($C18:N18)+1)</f>
        <v>0</v>
      </c>
      <c r="P19" s="494" t="b">
        <f>OR(P17&gt;MAX($C18:O18)+1)</f>
        <v>0</v>
      </c>
      <c r="Q19" s="494" t="b">
        <f>OR(Q17&gt;MAX($C18:P18)+1)</f>
        <v>0</v>
      </c>
      <c r="R19" s="115"/>
      <c r="S19" s="495"/>
      <c r="AT19" s="492"/>
    </row>
    <row r="20" spans="1:46" s="27" customFormat="1" ht="12.5" hidden="1" x14ac:dyDescent="0.25">
      <c r="B20" s="493" t="s">
        <v>639</v>
      </c>
      <c r="C20" s="494" t="b">
        <f>AND(C18&gt;0,C14=0)</f>
        <v>0</v>
      </c>
      <c r="D20" s="494" t="b">
        <f t="shared" ref="D20:Q20" si="0">AND(D17&gt;0,D18&gt;0,D14=0)</f>
        <v>0</v>
      </c>
      <c r="E20" s="494" t="b">
        <f t="shared" si="0"/>
        <v>0</v>
      </c>
      <c r="F20" s="494" t="b">
        <f t="shared" si="0"/>
        <v>0</v>
      </c>
      <c r="G20" s="494" t="b">
        <f t="shared" si="0"/>
        <v>0</v>
      </c>
      <c r="H20" s="494" t="b">
        <f t="shared" si="0"/>
        <v>0</v>
      </c>
      <c r="I20" s="494" t="b">
        <f t="shared" si="0"/>
        <v>0</v>
      </c>
      <c r="J20" s="494" t="b">
        <f t="shared" si="0"/>
        <v>0</v>
      </c>
      <c r="K20" s="494" t="b">
        <f t="shared" si="0"/>
        <v>0</v>
      </c>
      <c r="L20" s="494" t="b">
        <f t="shared" si="0"/>
        <v>0</v>
      </c>
      <c r="M20" s="494" t="b">
        <f t="shared" si="0"/>
        <v>0</v>
      </c>
      <c r="N20" s="494" t="b">
        <f t="shared" si="0"/>
        <v>0</v>
      </c>
      <c r="O20" s="494" t="b">
        <f t="shared" si="0"/>
        <v>0</v>
      </c>
      <c r="P20" s="494" t="b">
        <f t="shared" si="0"/>
        <v>0</v>
      </c>
      <c r="Q20" s="494" t="b">
        <f t="shared" si="0"/>
        <v>0</v>
      </c>
      <c r="R20" s="115"/>
      <c r="S20" s="495"/>
      <c r="AT20" s="492"/>
    </row>
    <row r="21" spans="1:46" ht="12.5" x14ac:dyDescent="0.25">
      <c r="A21" s="22"/>
      <c r="B21" s="517" t="str">
        <f>IF(COUNTIFS(C20:Q20,TRUE),"Let op, niet alle mijlpalen bevatten subsidiabele kosten.","")</f>
        <v/>
      </c>
      <c r="C21" s="114"/>
      <c r="D21" s="114"/>
      <c r="E21" s="114"/>
      <c r="F21" s="114"/>
      <c r="G21" s="114"/>
      <c r="H21" s="122"/>
      <c r="I21" s="114"/>
      <c r="L21" s="114"/>
      <c r="M21" s="114"/>
      <c r="N21" s="114"/>
      <c r="O21" s="114"/>
      <c r="P21" s="114"/>
      <c r="Q21" s="114"/>
      <c r="R21" s="115"/>
      <c r="S21" s="23"/>
      <c r="AT21"/>
    </row>
    <row r="22" spans="1:46" ht="12.5" x14ac:dyDescent="0.25">
      <c r="A22" s="22"/>
      <c r="B22" s="926" t="str">
        <f>IF(COUNTIFS(C19:Q19,TRUE)&gt;0,"Let op, niet alle mijlpalen sluiten niet op elkaar aan. De mijlpalen dienen aan te sluiten of te overlappen","")</f>
        <v/>
      </c>
      <c r="C22" s="114"/>
      <c r="D22" s="114"/>
      <c r="E22" s="114"/>
      <c r="F22" s="114"/>
      <c r="G22" s="114"/>
      <c r="H22" s="122"/>
      <c r="I22" s="114"/>
      <c r="J22" s="123"/>
      <c r="L22" s="114"/>
      <c r="M22" s="114"/>
      <c r="N22" s="114"/>
      <c r="O22" s="114"/>
      <c r="P22" s="114"/>
      <c r="Q22" s="114"/>
      <c r="R22" s="115"/>
      <c r="S22" s="23"/>
      <c r="AT22"/>
    </row>
    <row r="23" spans="1:46" ht="12.5" x14ac:dyDescent="0.25">
      <c r="A23" s="22"/>
      <c r="B23" s="516" t="str">
        <f>IF(SUM(K29:K30)=SUM(Mijlpalenbegroting!I232:J232),"","Let op, niet alle posten uit de mijlpalenbegroting zijn gekoppeld aan een mijlpaal. Controleer of alle mijlpalen zijn ingevuld.")</f>
        <v/>
      </c>
      <c r="C23" s="114"/>
      <c r="D23" s="114"/>
      <c r="E23" s="114"/>
      <c r="F23" s="114"/>
      <c r="G23" s="114"/>
      <c r="H23" s="122"/>
      <c r="I23" s="114"/>
      <c r="J23" s="123"/>
      <c r="L23" s="114"/>
      <c r="M23" s="114"/>
      <c r="N23" s="114"/>
      <c r="O23" s="114"/>
      <c r="P23" s="114"/>
      <c r="Q23" s="114"/>
      <c r="R23" s="115"/>
      <c r="S23" s="23"/>
      <c r="AT23"/>
    </row>
    <row r="24" spans="1:46" ht="12.5" x14ac:dyDescent="0.25">
      <c r="A24" s="22"/>
      <c r="B24" s="517" t="str">
        <f>IF(MAX(C18:Q18)&lt;&gt;Einddatum,"Let op, de einddatum van de laatste mijlpaal moet evereenkomen met de einddatum van het project in tabblad 'Project' ("&amp;DAY(Einddatum)&amp;"-"&amp;MONTH(Einddatum)&amp;"-"&amp;YEAR(Einddatum)&amp;")","")</f>
        <v/>
      </c>
      <c r="C24" s="114"/>
      <c r="D24" s="114"/>
      <c r="E24" s="114"/>
      <c r="F24" s="114"/>
      <c r="G24" s="114"/>
      <c r="H24" s="122"/>
      <c r="I24" s="114"/>
      <c r="J24" s="123"/>
      <c r="L24" s="114"/>
      <c r="M24" s="114"/>
      <c r="N24" s="114"/>
      <c r="O24" s="114"/>
      <c r="P24" s="114"/>
      <c r="Q24" s="114"/>
      <c r="R24" s="115"/>
      <c r="S24" s="23"/>
      <c r="AT24"/>
    </row>
    <row r="25" spans="1:46" ht="12.5" x14ac:dyDescent="0.25">
      <c r="A25" s="22"/>
      <c r="B25" s="926"/>
      <c r="C25" s="114"/>
      <c r="D25" s="114"/>
      <c r="E25" s="114"/>
      <c r="F25" s="114"/>
      <c r="G25" s="114"/>
      <c r="H25" s="122"/>
      <c r="I25" s="114"/>
      <c r="J25" s="123"/>
      <c r="L25" s="114"/>
      <c r="M25" s="114"/>
      <c r="N25" s="114"/>
      <c r="O25" s="114"/>
      <c r="P25" s="114"/>
      <c r="Q25" s="114"/>
      <c r="R25" s="115"/>
      <c r="S25" s="23"/>
      <c r="AT25"/>
    </row>
    <row r="26" spans="1:46" s="69" customFormat="1" ht="16.5" customHeight="1" x14ac:dyDescent="0.25">
      <c r="A26" s="868"/>
      <c r="B26" s="609" t="s">
        <v>301</v>
      </c>
      <c r="C26" s="609"/>
      <c r="D26" s="609"/>
      <c r="E26" s="609"/>
      <c r="F26" s="609"/>
      <c r="G26" s="609"/>
      <c r="H26" s="609"/>
      <c r="I26" s="609"/>
      <c r="J26" s="609"/>
      <c r="K26" s="609"/>
      <c r="L26" s="609"/>
      <c r="M26" s="609"/>
      <c r="N26" s="609"/>
      <c r="O26" s="609"/>
      <c r="P26" s="609"/>
      <c r="Q26" s="609"/>
      <c r="R26" s="609"/>
      <c r="S26" s="869"/>
      <c r="AT26" s="119"/>
    </row>
    <row r="27" spans="1:46" s="27" customFormat="1" ht="14" thickBot="1" x14ac:dyDescent="0.3">
      <c r="B27" s="496"/>
      <c r="C27" s="496"/>
      <c r="D27" s="496"/>
      <c r="E27" s="496"/>
      <c r="F27" s="496"/>
      <c r="G27" s="496"/>
      <c r="H27" s="496"/>
      <c r="I27" s="496"/>
      <c r="J27" s="496"/>
      <c r="K27" s="496"/>
      <c r="L27" s="496"/>
      <c r="M27" s="496"/>
      <c r="N27" s="496"/>
      <c r="O27" s="496"/>
      <c r="P27" s="496"/>
      <c r="Q27" s="496"/>
      <c r="R27" s="496"/>
      <c r="S27" s="495"/>
      <c r="AT27" s="492"/>
    </row>
    <row r="28" spans="1:46" s="69" customFormat="1" ht="12.75" customHeight="1" x14ac:dyDescent="0.25">
      <c r="A28" s="868"/>
      <c r="B28" s="662" t="s">
        <v>302</v>
      </c>
      <c r="C28" s="882">
        <f>YEAR(Startdatum)</f>
        <v>1900</v>
      </c>
      <c r="D28" s="882">
        <f>C28+1</f>
        <v>1901</v>
      </c>
      <c r="E28" s="882">
        <f t="shared" ref="E28:J28" si="1">D28+1</f>
        <v>1902</v>
      </c>
      <c r="F28" s="882">
        <f t="shared" si="1"/>
        <v>1903</v>
      </c>
      <c r="G28" s="882">
        <f t="shared" si="1"/>
        <v>1904</v>
      </c>
      <c r="H28" s="882">
        <f t="shared" si="1"/>
        <v>1905</v>
      </c>
      <c r="I28" s="882">
        <f t="shared" si="1"/>
        <v>1906</v>
      </c>
      <c r="J28" s="882">
        <f t="shared" si="1"/>
        <v>1907</v>
      </c>
      <c r="K28" s="664" t="s">
        <v>229</v>
      </c>
      <c r="L28" s="869"/>
      <c r="M28" s="869"/>
      <c r="N28" s="869"/>
      <c r="O28" s="869"/>
      <c r="P28" s="869"/>
      <c r="Q28" s="869"/>
      <c r="R28" s="869"/>
      <c r="S28" s="869"/>
      <c r="T28" s="883"/>
      <c r="U28" s="883"/>
      <c r="V28" s="883"/>
      <c r="W28" s="883"/>
      <c r="X28" s="883"/>
      <c r="Y28" s="883"/>
      <c r="Z28" s="883"/>
      <c r="AT28" s="119"/>
    </row>
    <row r="29" spans="1:46" s="69" customFormat="1" ht="12.75" customHeight="1" x14ac:dyDescent="0.25">
      <c r="A29" s="868"/>
      <c r="B29" s="672" t="s">
        <v>303</v>
      </c>
      <c r="C29" s="666">
        <f t="shared" ref="C29:J29" si="2">C202+C221+C240+C259+C278+C297+C316</f>
        <v>0</v>
      </c>
      <c r="D29" s="666">
        <f t="shared" si="2"/>
        <v>0</v>
      </c>
      <c r="E29" s="666">
        <f t="shared" si="2"/>
        <v>0</v>
      </c>
      <c r="F29" s="666">
        <f t="shared" si="2"/>
        <v>0</v>
      </c>
      <c r="G29" s="666">
        <f t="shared" si="2"/>
        <v>0</v>
      </c>
      <c r="H29" s="666">
        <f t="shared" si="2"/>
        <v>0</v>
      </c>
      <c r="I29" s="666">
        <f t="shared" si="2"/>
        <v>0</v>
      </c>
      <c r="J29" s="666">
        <f t="shared" si="2"/>
        <v>0</v>
      </c>
      <c r="K29" s="667">
        <f>SUM(C29:J29)</f>
        <v>0</v>
      </c>
      <c r="L29" s="869"/>
      <c r="M29" s="884"/>
      <c r="N29" s="884"/>
      <c r="O29" s="884"/>
      <c r="P29" s="884"/>
      <c r="Q29" s="884"/>
      <c r="R29" s="884"/>
      <c r="S29" s="884"/>
      <c r="T29" s="885"/>
      <c r="U29" s="885"/>
      <c r="V29" s="885"/>
      <c r="W29" s="885"/>
      <c r="X29" s="885"/>
      <c r="Y29" s="885"/>
      <c r="Z29" s="885"/>
      <c r="AT29" s="119"/>
    </row>
    <row r="30" spans="1:46" s="69" customFormat="1" ht="12.75" customHeight="1" x14ac:dyDescent="0.25">
      <c r="A30" s="868"/>
      <c r="B30" s="672" t="s">
        <v>304</v>
      </c>
      <c r="C30" s="668">
        <f t="shared" ref="C30:J30" si="3">M202+M221+M240+M259+M278+M297+M316</f>
        <v>0</v>
      </c>
      <c r="D30" s="668">
        <f t="shared" si="3"/>
        <v>0</v>
      </c>
      <c r="E30" s="668">
        <f t="shared" si="3"/>
        <v>0</v>
      </c>
      <c r="F30" s="668">
        <f t="shared" si="3"/>
        <v>0</v>
      </c>
      <c r="G30" s="668">
        <f t="shared" si="3"/>
        <v>0</v>
      </c>
      <c r="H30" s="668">
        <f t="shared" si="3"/>
        <v>0</v>
      </c>
      <c r="I30" s="668">
        <f t="shared" si="3"/>
        <v>0</v>
      </c>
      <c r="J30" s="668">
        <f t="shared" si="3"/>
        <v>0</v>
      </c>
      <c r="K30" s="669">
        <f>SUM(C30:J30)</f>
        <v>0</v>
      </c>
      <c r="L30" s="869"/>
      <c r="M30" s="884"/>
      <c r="N30" s="884"/>
      <c r="O30" s="884"/>
      <c r="P30" s="884"/>
      <c r="Q30" s="884"/>
      <c r="R30" s="884"/>
      <c r="S30" s="884"/>
      <c r="T30" s="885"/>
      <c r="U30" s="885"/>
      <c r="V30" s="885"/>
      <c r="W30" s="885"/>
      <c r="X30" s="885"/>
      <c r="Y30" s="885"/>
      <c r="Z30" s="885"/>
      <c r="AT30" s="119"/>
    </row>
    <row r="31" spans="1:46" s="69" customFormat="1" ht="12.75" customHeight="1" thickBot="1" x14ac:dyDescent="0.3">
      <c r="A31" s="868"/>
      <c r="B31" s="675" t="s">
        <v>305</v>
      </c>
      <c r="C31" s="886">
        <f>SUM(Exploitatieberekening!L20:L49)</f>
        <v>0</v>
      </c>
      <c r="D31" s="886">
        <f>SUM(Exploitatieberekening!M20:M49)</f>
        <v>0</v>
      </c>
      <c r="E31" s="886">
        <f>SUM(Exploitatieberekening!N20:N49)</f>
        <v>0</v>
      </c>
      <c r="F31" s="886">
        <f>SUM(Exploitatieberekening!O20:O49)</f>
        <v>0</v>
      </c>
      <c r="G31" s="886">
        <f>SUM(Exploitatieberekening!P20:P49)</f>
        <v>0</v>
      </c>
      <c r="H31" s="886">
        <f>SUM(Exploitatieberekening!Q20:Q49)</f>
        <v>0</v>
      </c>
      <c r="I31" s="886">
        <f>SUM(Exploitatieberekening!R20:R49)</f>
        <v>0</v>
      </c>
      <c r="J31" s="886">
        <f>SUM(Exploitatieberekening!S20:S49)</f>
        <v>0</v>
      </c>
      <c r="K31" s="887">
        <f>J31</f>
        <v>0</v>
      </c>
      <c r="L31" s="869"/>
      <c r="M31" s="884"/>
      <c r="N31" s="884"/>
      <c r="O31" s="884"/>
      <c r="P31" s="884"/>
      <c r="Q31" s="884"/>
      <c r="R31" s="884"/>
      <c r="S31" s="884"/>
      <c r="T31" s="885"/>
      <c r="U31" s="885"/>
      <c r="V31" s="885"/>
      <c r="W31" s="885"/>
      <c r="X31" s="885"/>
      <c r="Y31" s="885"/>
      <c r="Z31" s="885"/>
      <c r="AT31" s="119"/>
    </row>
    <row r="32" spans="1:46" ht="12.75" customHeight="1" x14ac:dyDescent="0.25">
      <c r="A32" s="22"/>
      <c r="B32" s="228" t="s">
        <v>306</v>
      </c>
      <c r="C32" s="81"/>
      <c r="D32" s="81"/>
      <c r="E32" s="81"/>
      <c r="F32" s="81"/>
      <c r="G32" s="81"/>
      <c r="H32" s="81"/>
      <c r="I32" s="81"/>
      <c r="J32" s="81"/>
      <c r="K32" s="81"/>
      <c r="L32" s="81"/>
      <c r="M32" s="27"/>
      <c r="N32" s="640"/>
      <c r="O32" s="27"/>
      <c r="P32" s="27"/>
      <c r="Q32" s="27"/>
      <c r="R32" s="27"/>
      <c r="S32" s="27"/>
      <c r="AT32"/>
    </row>
    <row r="33" spans="1:46" ht="12.5" x14ac:dyDescent="0.25">
      <c r="A33" s="22"/>
      <c r="C33" s="22"/>
      <c r="D33" s="22"/>
      <c r="E33" s="22"/>
      <c r="F33" s="22"/>
      <c r="G33" s="22"/>
      <c r="H33" s="22"/>
      <c r="I33" s="22"/>
      <c r="J33" s="22"/>
      <c r="K33" s="22"/>
      <c r="L33" s="22"/>
      <c r="M33" s="641"/>
      <c r="N33" s="641"/>
      <c r="O33" s="641"/>
      <c r="P33" s="641"/>
      <c r="Q33" s="641"/>
      <c r="R33" s="641"/>
      <c r="S33" s="27"/>
      <c r="AT33"/>
    </row>
    <row r="34" spans="1:46" s="69" customFormat="1" ht="16.5" customHeight="1" x14ac:dyDescent="0.25">
      <c r="A34" s="868"/>
      <c r="B34" s="609" t="s">
        <v>307</v>
      </c>
      <c r="C34" s="870"/>
      <c r="D34" s="871"/>
      <c r="E34" s="872"/>
      <c r="F34" s="870"/>
      <c r="G34" s="870"/>
      <c r="H34" s="870"/>
      <c r="I34" s="870"/>
      <c r="J34" s="870"/>
      <c r="K34" s="870"/>
      <c r="L34" s="870"/>
      <c r="M34" s="873"/>
      <c r="N34" s="873"/>
      <c r="O34" s="873"/>
      <c r="P34" s="873"/>
      <c r="Q34" s="873"/>
      <c r="R34" s="873"/>
      <c r="S34" s="67"/>
      <c r="AT34" s="119"/>
    </row>
    <row r="35" spans="1:46" ht="12.5" x14ac:dyDescent="0.25">
      <c r="A35" s="22"/>
      <c r="B35" s="228" t="s">
        <v>308</v>
      </c>
      <c r="Q35" s="642"/>
      <c r="R35" s="643"/>
      <c r="S35" s="35"/>
      <c r="AT35"/>
    </row>
    <row r="36" spans="1:46" ht="13" thickBot="1" x14ac:dyDescent="0.3">
      <c r="A36" s="22"/>
      <c r="C36" s="639"/>
      <c r="D36" s="639"/>
      <c r="E36" s="639"/>
      <c r="F36" s="639"/>
      <c r="G36" s="639"/>
      <c r="H36" s="639"/>
      <c r="I36" s="639"/>
      <c r="J36" s="639"/>
      <c r="K36" s="639"/>
      <c r="R36" s="35"/>
      <c r="S36" s="35"/>
      <c r="AT36"/>
    </row>
    <row r="37" spans="1:46" ht="13" customHeight="1" thickBot="1" x14ac:dyDescent="0.3">
      <c r="A37" s="22"/>
      <c r="B37" s="874" t="s">
        <v>309</v>
      </c>
      <c r="C37" s="875" t="s">
        <v>310</v>
      </c>
      <c r="D37" s="876"/>
      <c r="E37" s="876"/>
      <c r="F37" s="876"/>
      <c r="G37" s="876"/>
      <c r="H37" s="876"/>
      <c r="I37" s="876"/>
      <c r="J37" s="876"/>
      <c r="K37" s="877"/>
      <c r="S37" s="35"/>
      <c r="AT37"/>
    </row>
    <row r="38" spans="1:46" ht="11.25" customHeight="1" x14ac:dyDescent="0.25">
      <c r="A38" s="22"/>
      <c r="B38" s="229" t="s">
        <v>311</v>
      </c>
      <c r="C38" s="265"/>
      <c r="D38" s="265"/>
      <c r="E38" s="265"/>
      <c r="F38" s="265"/>
      <c r="G38" s="265"/>
      <c r="H38" s="265"/>
      <c r="I38" s="265"/>
      <c r="J38" s="265"/>
      <c r="K38" s="266"/>
      <c r="AT38"/>
    </row>
    <row r="39" spans="1:46" ht="11.25" customHeight="1" x14ac:dyDescent="0.25">
      <c r="A39" s="22"/>
      <c r="B39" s="87"/>
      <c r="C39" s="88"/>
      <c r="D39" s="88"/>
      <c r="E39" s="88"/>
      <c r="F39" s="88"/>
      <c r="G39" s="88"/>
      <c r="H39" s="88"/>
      <c r="I39" s="88"/>
      <c r="J39" s="88"/>
      <c r="K39" s="89"/>
      <c r="AT39"/>
    </row>
    <row r="40" spans="1:46" ht="11.25" customHeight="1" x14ac:dyDescent="0.25">
      <c r="A40" s="22"/>
      <c r="B40" s="87"/>
      <c r="C40" s="88"/>
      <c r="D40" s="88"/>
      <c r="E40" s="88"/>
      <c r="F40" s="88"/>
      <c r="G40" s="88"/>
      <c r="H40" s="88"/>
      <c r="I40" s="88"/>
      <c r="J40" s="88"/>
      <c r="K40" s="89"/>
      <c r="AT40"/>
    </row>
    <row r="41" spans="1:46" ht="12" customHeight="1" thickBot="1" x14ac:dyDescent="0.3">
      <c r="A41" s="22"/>
      <c r="B41" s="90"/>
      <c r="C41" s="91"/>
      <c r="D41" s="91"/>
      <c r="E41" s="91"/>
      <c r="F41" s="91"/>
      <c r="G41" s="91"/>
      <c r="H41" s="91"/>
      <c r="I41" s="91"/>
      <c r="J41" s="91"/>
      <c r="K41" s="92"/>
      <c r="O41" s="61"/>
      <c r="P41" s="62"/>
      <c r="AT41"/>
    </row>
    <row r="42" spans="1:46" ht="13" thickBot="1" x14ac:dyDescent="0.3">
      <c r="AT42"/>
    </row>
    <row r="43" spans="1:46" ht="13.5" customHeight="1" thickBot="1" x14ac:dyDescent="0.3">
      <c r="A43" s="22"/>
      <c r="B43" s="878" t="s">
        <v>312</v>
      </c>
      <c r="C43" s="875" t="s">
        <v>313</v>
      </c>
      <c r="D43" s="876"/>
      <c r="E43" s="876"/>
      <c r="F43" s="876"/>
      <c r="G43" s="876"/>
      <c r="H43" s="876"/>
      <c r="I43" s="876"/>
      <c r="J43" s="876"/>
      <c r="K43" s="877"/>
      <c r="AT43"/>
    </row>
    <row r="44" spans="1:46" ht="11.25" customHeight="1" x14ac:dyDescent="0.25">
      <c r="A44" s="22"/>
      <c r="B44" s="229" t="s">
        <v>314</v>
      </c>
      <c r="C44" s="265"/>
      <c r="D44" s="265"/>
      <c r="E44" s="265"/>
      <c r="F44" s="265"/>
      <c r="G44" s="265"/>
      <c r="H44" s="265"/>
      <c r="I44" s="265"/>
      <c r="J44" s="265"/>
      <c r="K44" s="266"/>
      <c r="AT44"/>
    </row>
    <row r="45" spans="1:46" ht="11.25" customHeight="1" x14ac:dyDescent="0.25">
      <c r="A45" s="22"/>
      <c r="B45" s="87"/>
      <c r="C45" s="88"/>
      <c r="D45" s="88"/>
      <c r="E45" s="88"/>
      <c r="F45" s="88"/>
      <c r="G45" s="88"/>
      <c r="H45" s="88"/>
      <c r="I45" s="88"/>
      <c r="J45" s="88"/>
      <c r="K45" s="89"/>
      <c r="AT45"/>
    </row>
    <row r="46" spans="1:46" ht="11.25" customHeight="1" x14ac:dyDescent="0.25">
      <c r="A46" s="22"/>
      <c r="B46" s="87"/>
      <c r="C46" s="88"/>
      <c r="D46" s="88"/>
      <c r="E46" s="88"/>
      <c r="F46" s="88"/>
      <c r="G46" s="88"/>
      <c r="H46" s="88"/>
      <c r="I46" s="88"/>
      <c r="J46" s="88"/>
      <c r="K46" s="89"/>
      <c r="AT46"/>
    </row>
    <row r="47" spans="1:46" ht="12" customHeight="1" thickBot="1" x14ac:dyDescent="0.3">
      <c r="A47" s="22"/>
      <c r="B47" s="90"/>
      <c r="C47" s="91"/>
      <c r="D47" s="91"/>
      <c r="E47" s="91"/>
      <c r="F47" s="91"/>
      <c r="G47" s="91"/>
      <c r="H47" s="91"/>
      <c r="I47" s="91"/>
      <c r="J47" s="91"/>
      <c r="K47" s="92"/>
      <c r="AT47"/>
    </row>
    <row r="48" spans="1:46" ht="13" thickBot="1" x14ac:dyDescent="0.3">
      <c r="AT48"/>
    </row>
    <row r="49" spans="1:46" ht="14.15" customHeight="1" thickBot="1" x14ac:dyDescent="0.3">
      <c r="A49" s="22"/>
      <c r="B49" s="878" t="s">
        <v>315</v>
      </c>
      <c r="C49" s="875" t="s">
        <v>316</v>
      </c>
      <c r="D49" s="876"/>
      <c r="E49" s="876"/>
      <c r="F49" s="876"/>
      <c r="G49" s="876"/>
      <c r="H49" s="876"/>
      <c r="I49" s="876"/>
      <c r="J49" s="876"/>
      <c r="K49" s="877"/>
      <c r="AT49"/>
    </row>
    <row r="50" spans="1:46" ht="11.25" customHeight="1" x14ac:dyDescent="0.25">
      <c r="A50" s="22"/>
      <c r="B50" s="229" t="s">
        <v>314</v>
      </c>
      <c r="C50" s="265"/>
      <c r="D50" s="265"/>
      <c r="E50" s="265"/>
      <c r="F50" s="265"/>
      <c r="G50" s="265"/>
      <c r="H50" s="265"/>
      <c r="I50" s="265"/>
      <c r="J50" s="265"/>
      <c r="K50" s="266"/>
      <c r="AT50"/>
    </row>
    <row r="51" spans="1:46" ht="11.25" customHeight="1" x14ac:dyDescent="0.25">
      <c r="A51" s="22"/>
      <c r="B51" s="87"/>
      <c r="C51" s="88"/>
      <c r="D51" s="88"/>
      <c r="E51" s="88"/>
      <c r="F51" s="88"/>
      <c r="G51" s="88"/>
      <c r="H51" s="88"/>
      <c r="I51" s="88"/>
      <c r="J51" s="88"/>
      <c r="K51" s="89"/>
      <c r="AT51"/>
    </row>
    <row r="52" spans="1:46" ht="11.25" customHeight="1" x14ac:dyDescent="0.25">
      <c r="A52" s="22"/>
      <c r="B52" s="87"/>
      <c r="C52" s="88"/>
      <c r="D52" s="88"/>
      <c r="E52" s="88"/>
      <c r="F52" s="88"/>
      <c r="G52" s="88"/>
      <c r="H52" s="88"/>
      <c r="I52" s="88"/>
      <c r="J52" s="88"/>
      <c r="K52" s="89"/>
      <c r="AT52"/>
    </row>
    <row r="53" spans="1:46" ht="12" customHeight="1" thickBot="1" x14ac:dyDescent="0.3">
      <c r="A53" s="22"/>
      <c r="B53" s="90"/>
      <c r="C53" s="91"/>
      <c r="D53" s="91"/>
      <c r="E53" s="91"/>
      <c r="F53" s="91"/>
      <c r="G53" s="91"/>
      <c r="H53" s="91"/>
      <c r="I53" s="91"/>
      <c r="J53" s="91"/>
      <c r="K53" s="92"/>
      <c r="AT53"/>
    </row>
    <row r="54" spans="1:46" ht="13" thickBot="1" x14ac:dyDescent="0.3">
      <c r="A54" s="22"/>
      <c r="B54" s="879"/>
      <c r="C54" s="879"/>
      <c r="D54" s="879"/>
      <c r="E54" s="879"/>
      <c r="F54" s="879"/>
      <c r="G54" s="879"/>
      <c r="H54" s="879"/>
      <c r="I54" s="879"/>
      <c r="J54" s="879"/>
      <c r="K54" s="879"/>
      <c r="AT54"/>
    </row>
    <row r="55" spans="1:46" ht="13" customHeight="1" thickBot="1" x14ac:dyDescent="0.3">
      <c r="A55" s="22"/>
      <c r="B55" s="878" t="s">
        <v>317</v>
      </c>
      <c r="C55" s="875" t="s">
        <v>318</v>
      </c>
      <c r="D55" s="876"/>
      <c r="E55" s="876"/>
      <c r="F55" s="876"/>
      <c r="G55" s="876"/>
      <c r="H55" s="876"/>
      <c r="I55" s="876"/>
      <c r="J55" s="876"/>
      <c r="K55" s="877"/>
      <c r="AT55"/>
    </row>
    <row r="56" spans="1:46" ht="11.25" customHeight="1" x14ac:dyDescent="0.25">
      <c r="A56" s="22"/>
      <c r="B56" s="229" t="s">
        <v>314</v>
      </c>
      <c r="C56" s="265"/>
      <c r="D56" s="265"/>
      <c r="E56" s="265"/>
      <c r="F56" s="265"/>
      <c r="G56" s="265"/>
      <c r="H56" s="265"/>
      <c r="I56" s="265"/>
      <c r="J56" s="265"/>
      <c r="K56" s="266"/>
      <c r="AT56"/>
    </row>
    <row r="57" spans="1:46" ht="11.25" customHeight="1" x14ac:dyDescent="0.25">
      <c r="A57" s="22"/>
      <c r="B57" s="87"/>
      <c r="C57" s="88"/>
      <c r="D57" s="88"/>
      <c r="E57" s="88"/>
      <c r="F57" s="88"/>
      <c r="G57" s="88"/>
      <c r="H57" s="88"/>
      <c r="I57" s="88"/>
      <c r="J57" s="88"/>
      <c r="K57" s="89"/>
      <c r="AT57"/>
    </row>
    <row r="58" spans="1:46" ht="11.25" customHeight="1" x14ac:dyDescent="0.25">
      <c r="A58" s="22"/>
      <c r="B58" s="87"/>
      <c r="C58" s="88"/>
      <c r="D58" s="88"/>
      <c r="E58" s="88"/>
      <c r="F58" s="88"/>
      <c r="G58" s="88"/>
      <c r="H58" s="88"/>
      <c r="I58" s="88"/>
      <c r="J58" s="88"/>
      <c r="K58" s="89"/>
      <c r="AT58"/>
    </row>
    <row r="59" spans="1:46" ht="12" customHeight="1" thickBot="1" x14ac:dyDescent="0.3">
      <c r="A59" s="22"/>
      <c r="B59" s="90"/>
      <c r="C59" s="91"/>
      <c r="D59" s="91"/>
      <c r="E59" s="91"/>
      <c r="F59" s="91"/>
      <c r="G59" s="91"/>
      <c r="H59" s="91"/>
      <c r="I59" s="91"/>
      <c r="J59" s="91"/>
      <c r="K59" s="92"/>
      <c r="AT59"/>
    </row>
    <row r="60" spans="1:46" ht="13" thickBot="1" x14ac:dyDescent="0.3">
      <c r="A60" s="22"/>
      <c r="B60" s="879"/>
      <c r="C60" s="879"/>
      <c r="D60" s="879"/>
      <c r="E60" s="879"/>
      <c r="F60" s="879"/>
      <c r="G60" s="879"/>
      <c r="H60" s="879"/>
      <c r="I60" s="879"/>
      <c r="J60" s="879"/>
      <c r="K60" s="879"/>
      <c r="AT60"/>
    </row>
    <row r="61" spans="1:46" ht="13" customHeight="1" thickBot="1" x14ac:dyDescent="0.3">
      <c r="A61" s="22"/>
      <c r="B61" s="878" t="s">
        <v>319</v>
      </c>
      <c r="C61" s="875" t="s">
        <v>320</v>
      </c>
      <c r="D61" s="876"/>
      <c r="E61" s="876"/>
      <c r="F61" s="876"/>
      <c r="G61" s="876"/>
      <c r="H61" s="876"/>
      <c r="I61" s="876"/>
      <c r="J61" s="876"/>
      <c r="K61" s="877"/>
      <c r="AT61"/>
    </row>
    <row r="62" spans="1:46" ht="11.25" customHeight="1" x14ac:dyDescent="0.25">
      <c r="A62" s="22"/>
      <c r="B62" s="229" t="s">
        <v>321</v>
      </c>
      <c r="C62" s="265"/>
      <c r="D62" s="265"/>
      <c r="E62" s="265"/>
      <c r="F62" s="265"/>
      <c r="G62" s="265"/>
      <c r="H62" s="265"/>
      <c r="I62" s="265"/>
      <c r="J62" s="265"/>
      <c r="K62" s="266"/>
      <c r="AT62"/>
    </row>
    <row r="63" spans="1:46" ht="11.25" customHeight="1" x14ac:dyDescent="0.25">
      <c r="A63" s="22"/>
      <c r="B63" s="87"/>
      <c r="C63" s="88"/>
      <c r="D63" s="88"/>
      <c r="E63" s="88"/>
      <c r="F63" s="88"/>
      <c r="G63" s="88"/>
      <c r="H63" s="88"/>
      <c r="I63" s="88"/>
      <c r="J63" s="88"/>
      <c r="K63" s="89"/>
      <c r="AT63"/>
    </row>
    <row r="64" spans="1:46" ht="11.25" customHeight="1" x14ac:dyDescent="0.25">
      <c r="A64" s="22"/>
      <c r="B64" s="87"/>
      <c r="C64" s="88"/>
      <c r="D64" s="88"/>
      <c r="E64" s="88"/>
      <c r="F64" s="88"/>
      <c r="G64" s="88"/>
      <c r="H64" s="88"/>
      <c r="I64" s="88"/>
      <c r="J64" s="88"/>
      <c r="K64" s="89"/>
      <c r="AT64"/>
    </row>
    <row r="65" spans="1:46" ht="12" customHeight="1" thickBot="1" x14ac:dyDescent="0.3">
      <c r="A65" s="22"/>
      <c r="B65" s="90"/>
      <c r="C65" s="91"/>
      <c r="D65" s="91"/>
      <c r="E65" s="91"/>
      <c r="F65" s="91"/>
      <c r="G65" s="91"/>
      <c r="H65" s="91"/>
      <c r="I65" s="91"/>
      <c r="J65" s="91"/>
      <c r="K65" s="92"/>
      <c r="AT65"/>
    </row>
    <row r="66" spans="1:46" ht="13" thickBot="1" x14ac:dyDescent="0.3">
      <c r="A66" s="22"/>
      <c r="B66" s="879"/>
      <c r="C66" s="879"/>
      <c r="D66" s="879"/>
      <c r="E66" s="879"/>
      <c r="F66" s="879"/>
      <c r="G66" s="879"/>
      <c r="H66" s="879"/>
      <c r="I66" s="879"/>
      <c r="J66" s="879"/>
      <c r="K66" s="879"/>
      <c r="AT66"/>
    </row>
    <row r="67" spans="1:46" ht="11.9" customHeight="1" thickBot="1" x14ac:dyDescent="0.3">
      <c r="A67" s="22"/>
      <c r="B67" s="878" t="s">
        <v>322</v>
      </c>
      <c r="C67" s="875" t="s">
        <v>323</v>
      </c>
      <c r="D67" s="876"/>
      <c r="E67" s="876"/>
      <c r="F67" s="876"/>
      <c r="G67" s="876"/>
      <c r="H67" s="876"/>
      <c r="I67" s="876"/>
      <c r="J67" s="876"/>
      <c r="K67" s="877"/>
    </row>
    <row r="68" spans="1:46" ht="11.25" customHeight="1" x14ac:dyDescent="0.25">
      <c r="A68" s="22"/>
      <c r="B68" s="229"/>
      <c r="C68" s="265"/>
      <c r="D68" s="265"/>
      <c r="E68" s="265"/>
      <c r="F68" s="265"/>
      <c r="G68" s="265"/>
      <c r="H68" s="265"/>
      <c r="I68" s="265"/>
      <c r="J68" s="265"/>
      <c r="K68" s="266"/>
    </row>
    <row r="69" spans="1:46" ht="11.25" customHeight="1" x14ac:dyDescent="0.25">
      <c r="A69" s="22"/>
      <c r="B69" s="87"/>
      <c r="C69" s="88"/>
      <c r="D69" s="88"/>
      <c r="E69" s="88"/>
      <c r="F69" s="88"/>
      <c r="G69" s="88"/>
      <c r="H69" s="88"/>
      <c r="I69" s="88"/>
      <c r="J69" s="88"/>
      <c r="K69" s="89"/>
    </row>
    <row r="70" spans="1:46" ht="11.25" customHeight="1" x14ac:dyDescent="0.25">
      <c r="A70" s="22"/>
      <c r="B70" s="87"/>
      <c r="C70" s="88"/>
      <c r="D70" s="88"/>
      <c r="E70" s="88"/>
      <c r="F70" s="88"/>
      <c r="G70" s="88"/>
      <c r="H70" s="88"/>
      <c r="I70" s="88"/>
      <c r="J70" s="88"/>
      <c r="K70" s="89"/>
    </row>
    <row r="71" spans="1:46" ht="12" customHeight="1" thickBot="1" x14ac:dyDescent="0.3">
      <c r="A71" s="22"/>
      <c r="B71" s="90"/>
      <c r="C71" s="91"/>
      <c r="D71" s="91"/>
      <c r="E71" s="91"/>
      <c r="F71" s="91"/>
      <c r="G71" s="91"/>
      <c r="H71" s="91"/>
      <c r="I71" s="91"/>
      <c r="J71" s="91"/>
      <c r="K71" s="92"/>
    </row>
    <row r="72" spans="1:46" ht="13" thickBot="1" x14ac:dyDescent="0.3">
      <c r="A72" s="22"/>
      <c r="B72" s="879"/>
      <c r="C72" s="879"/>
      <c r="D72" s="879"/>
      <c r="E72" s="879"/>
      <c r="F72" s="879"/>
      <c r="G72" s="879"/>
      <c r="H72" s="879"/>
      <c r="I72" s="879"/>
      <c r="J72" s="879"/>
      <c r="K72" s="879"/>
    </row>
    <row r="73" spans="1:46" ht="11.9" customHeight="1" thickBot="1" x14ac:dyDescent="0.3">
      <c r="A73" s="22"/>
      <c r="B73" s="878" t="s">
        <v>324</v>
      </c>
      <c r="C73" s="875" t="s">
        <v>323</v>
      </c>
      <c r="D73" s="876"/>
      <c r="E73" s="876"/>
      <c r="F73" s="876"/>
      <c r="G73" s="876"/>
      <c r="H73" s="876"/>
      <c r="I73" s="876"/>
      <c r="J73" s="876"/>
      <c r="K73" s="877"/>
    </row>
    <row r="74" spans="1:46" ht="11.25" customHeight="1" x14ac:dyDescent="0.25">
      <c r="A74" s="22"/>
      <c r="B74" s="229"/>
      <c r="C74" s="265"/>
      <c r="D74" s="265"/>
      <c r="E74" s="265"/>
      <c r="F74" s="265"/>
      <c r="G74" s="265"/>
      <c r="H74" s="265"/>
      <c r="I74" s="265"/>
      <c r="J74" s="265"/>
      <c r="K74" s="266"/>
    </row>
    <row r="75" spans="1:46" ht="11.25" customHeight="1" x14ac:dyDescent="0.25">
      <c r="A75" s="22"/>
      <c r="B75" s="87"/>
      <c r="C75" s="88"/>
      <c r="D75" s="88"/>
      <c r="E75" s="88"/>
      <c r="F75" s="88"/>
      <c r="G75" s="88"/>
      <c r="H75" s="88"/>
      <c r="I75" s="88"/>
      <c r="J75" s="88"/>
      <c r="K75" s="89"/>
    </row>
    <row r="76" spans="1:46" ht="11.25" customHeight="1" x14ac:dyDescent="0.25">
      <c r="A76" s="22"/>
      <c r="B76" s="87"/>
      <c r="C76" s="88"/>
      <c r="D76" s="88"/>
      <c r="E76" s="88"/>
      <c r="F76" s="88"/>
      <c r="G76" s="88"/>
      <c r="H76" s="88"/>
      <c r="I76" s="88"/>
      <c r="J76" s="88"/>
      <c r="K76" s="89"/>
    </row>
    <row r="77" spans="1:46" ht="12" customHeight="1" thickBot="1" x14ac:dyDescent="0.3">
      <c r="A77" s="22"/>
      <c r="B77" s="90"/>
      <c r="C77" s="91"/>
      <c r="D77" s="91"/>
      <c r="E77" s="91"/>
      <c r="F77" s="91"/>
      <c r="G77" s="91"/>
      <c r="H77" s="91"/>
      <c r="I77" s="91"/>
      <c r="J77" s="91"/>
      <c r="K77" s="92"/>
    </row>
    <row r="78" spans="1:46" ht="13" thickBot="1" x14ac:dyDescent="0.3">
      <c r="A78" s="22"/>
      <c r="B78" s="879"/>
      <c r="C78" s="879"/>
      <c r="D78" s="879"/>
      <c r="E78" s="879"/>
      <c r="F78" s="879"/>
      <c r="G78" s="879"/>
      <c r="H78" s="879"/>
      <c r="I78" s="879"/>
      <c r="J78" s="879"/>
      <c r="K78" s="879"/>
    </row>
    <row r="79" spans="1:46" ht="12" thickBot="1" x14ac:dyDescent="0.3">
      <c r="A79" s="22"/>
      <c r="B79" s="878" t="s">
        <v>325</v>
      </c>
      <c r="C79" s="875" t="s">
        <v>323</v>
      </c>
      <c r="D79" s="880"/>
      <c r="E79" s="880"/>
      <c r="F79" s="880"/>
      <c r="G79" s="880"/>
      <c r="H79" s="880"/>
      <c r="I79" s="880"/>
      <c r="J79" s="880"/>
      <c r="K79" s="881"/>
    </row>
    <row r="80" spans="1:46" ht="11.25" customHeight="1" x14ac:dyDescent="0.25">
      <c r="A80" s="22"/>
      <c r="B80" s="229"/>
      <c r="C80" s="265"/>
      <c r="D80" s="265"/>
      <c r="E80" s="265"/>
      <c r="F80" s="265"/>
      <c r="G80" s="265"/>
      <c r="H80" s="265"/>
      <c r="I80" s="265"/>
      <c r="J80" s="265"/>
      <c r="K80" s="266"/>
    </row>
    <row r="81" spans="1:11" ht="11.25" customHeight="1" x14ac:dyDescent="0.25">
      <c r="A81" s="22"/>
      <c r="B81" s="87"/>
      <c r="C81" s="88"/>
      <c r="D81" s="88"/>
      <c r="E81" s="88"/>
      <c r="F81" s="88"/>
      <c r="G81" s="88"/>
      <c r="H81" s="88"/>
      <c r="I81" s="88"/>
      <c r="J81" s="88"/>
      <c r="K81" s="89"/>
    </row>
    <row r="82" spans="1:11" ht="11.25" customHeight="1" x14ac:dyDescent="0.25">
      <c r="A82" s="22"/>
      <c r="B82" s="87"/>
      <c r="C82" s="88"/>
      <c r="D82" s="88"/>
      <c r="E82" s="88"/>
      <c r="F82" s="88"/>
      <c r="G82" s="88"/>
      <c r="H82" s="88"/>
      <c r="I82" s="88"/>
      <c r="J82" s="88"/>
      <c r="K82" s="89"/>
    </row>
    <row r="83" spans="1:11" ht="12" customHeight="1" thickBot="1" x14ac:dyDescent="0.3">
      <c r="A83" s="22"/>
      <c r="B83" s="90"/>
      <c r="C83" s="91"/>
      <c r="D83" s="91"/>
      <c r="E83" s="91"/>
      <c r="F83" s="91"/>
      <c r="G83" s="91"/>
      <c r="H83" s="91"/>
      <c r="I83" s="91"/>
      <c r="J83" s="91"/>
      <c r="K83" s="92"/>
    </row>
    <row r="84" spans="1:11" ht="13" thickBot="1" x14ac:dyDescent="0.3">
      <c r="A84" s="22"/>
      <c r="B84" s="879"/>
      <c r="C84" s="879"/>
      <c r="D84" s="879"/>
      <c r="E84" s="879"/>
      <c r="F84" s="879"/>
      <c r="G84" s="879"/>
      <c r="H84" s="879"/>
      <c r="I84" s="879"/>
      <c r="J84" s="879"/>
      <c r="K84" s="879"/>
    </row>
    <row r="85" spans="1:11" ht="11.9" customHeight="1" thickBot="1" x14ac:dyDescent="0.3">
      <c r="A85" s="22"/>
      <c r="B85" s="878" t="s">
        <v>326</v>
      </c>
      <c r="C85" s="875" t="s">
        <v>323</v>
      </c>
      <c r="D85" s="876"/>
      <c r="E85" s="876"/>
      <c r="F85" s="876"/>
      <c r="G85" s="876"/>
      <c r="H85" s="876"/>
      <c r="I85" s="876"/>
      <c r="J85" s="876"/>
      <c r="K85" s="877"/>
    </row>
    <row r="86" spans="1:11" ht="11.25" customHeight="1" x14ac:dyDescent="0.25">
      <c r="A86" s="22"/>
      <c r="B86" s="229"/>
      <c r="C86" s="265"/>
      <c r="D86" s="265"/>
      <c r="E86" s="265"/>
      <c r="F86" s="265"/>
      <c r="G86" s="265"/>
      <c r="H86" s="265"/>
      <c r="I86" s="265"/>
      <c r="J86" s="265"/>
      <c r="K86" s="266"/>
    </row>
    <row r="87" spans="1:11" ht="11.25" customHeight="1" x14ac:dyDescent="0.25">
      <c r="A87" s="22"/>
      <c r="B87" s="87"/>
      <c r="C87" s="88"/>
      <c r="D87" s="88"/>
      <c r="E87" s="88"/>
      <c r="F87" s="88"/>
      <c r="G87" s="88"/>
      <c r="H87" s="88"/>
      <c r="I87" s="88"/>
      <c r="J87" s="88"/>
      <c r="K87" s="89"/>
    </row>
    <row r="88" spans="1:11" ht="11.25" customHeight="1" x14ac:dyDescent="0.25">
      <c r="A88" s="22"/>
      <c r="B88" s="87"/>
      <c r="C88" s="88"/>
      <c r="D88" s="88"/>
      <c r="E88" s="88"/>
      <c r="F88" s="88"/>
      <c r="G88" s="88"/>
      <c r="H88" s="88"/>
      <c r="I88" s="88"/>
      <c r="J88" s="88"/>
      <c r="K88" s="89"/>
    </row>
    <row r="89" spans="1:11" ht="12" customHeight="1" thickBot="1" x14ac:dyDescent="0.3">
      <c r="A89" s="22"/>
      <c r="B89" s="90"/>
      <c r="C89" s="91"/>
      <c r="D89" s="91"/>
      <c r="E89" s="91"/>
      <c r="F89" s="91"/>
      <c r="G89" s="91"/>
      <c r="H89" s="91"/>
      <c r="I89" s="91"/>
      <c r="J89" s="91"/>
      <c r="K89" s="92"/>
    </row>
    <row r="90" spans="1:11" ht="13" thickBot="1" x14ac:dyDescent="0.3">
      <c r="A90" s="22"/>
      <c r="B90" s="879"/>
      <c r="C90" s="879"/>
      <c r="D90" s="879"/>
      <c r="E90" s="879"/>
      <c r="F90" s="879"/>
      <c r="G90" s="879"/>
      <c r="H90" s="879"/>
      <c r="I90" s="879"/>
      <c r="J90" s="879"/>
      <c r="K90" s="879"/>
    </row>
    <row r="91" spans="1:11" ht="11.9" customHeight="1" thickBot="1" x14ac:dyDescent="0.3">
      <c r="A91" s="22"/>
      <c r="B91" s="878" t="s">
        <v>327</v>
      </c>
      <c r="C91" s="875" t="s">
        <v>323</v>
      </c>
      <c r="D91" s="880"/>
      <c r="E91" s="880"/>
      <c r="F91" s="880"/>
      <c r="G91" s="880"/>
      <c r="H91" s="880"/>
      <c r="I91" s="880"/>
      <c r="J91" s="880"/>
      <c r="K91" s="881"/>
    </row>
    <row r="92" spans="1:11" ht="11.25" customHeight="1" x14ac:dyDescent="0.25">
      <c r="A92" s="22"/>
      <c r="B92" s="229"/>
      <c r="C92" s="265"/>
      <c r="D92" s="265"/>
      <c r="E92" s="265"/>
      <c r="F92" s="265"/>
      <c r="G92" s="265"/>
      <c r="H92" s="265"/>
      <c r="I92" s="265"/>
      <c r="J92" s="265"/>
      <c r="K92" s="266"/>
    </row>
    <row r="93" spans="1:11" ht="11.25" customHeight="1" x14ac:dyDescent="0.25">
      <c r="A93" s="22"/>
      <c r="B93" s="87"/>
      <c r="C93" s="88"/>
      <c r="D93" s="88"/>
      <c r="E93" s="88"/>
      <c r="F93" s="88"/>
      <c r="G93" s="88"/>
      <c r="H93" s="88"/>
      <c r="I93" s="88"/>
      <c r="J93" s="88"/>
      <c r="K93" s="89"/>
    </row>
    <row r="94" spans="1:11" ht="11.25" customHeight="1" x14ac:dyDescent="0.25">
      <c r="A94" s="22"/>
      <c r="B94" s="87"/>
      <c r="C94" s="88"/>
      <c r="D94" s="88"/>
      <c r="E94" s="88"/>
      <c r="F94" s="88"/>
      <c r="G94" s="88"/>
      <c r="H94" s="88"/>
      <c r="I94" s="88"/>
      <c r="J94" s="88"/>
      <c r="K94" s="89"/>
    </row>
    <row r="95" spans="1:11" ht="12" customHeight="1" thickBot="1" x14ac:dyDescent="0.3">
      <c r="A95" s="22"/>
      <c r="B95" s="90"/>
      <c r="C95" s="91"/>
      <c r="D95" s="91"/>
      <c r="E95" s="91"/>
      <c r="F95" s="91"/>
      <c r="G95" s="91"/>
      <c r="H95" s="91"/>
      <c r="I95" s="91"/>
      <c r="J95" s="91"/>
      <c r="K95" s="92"/>
    </row>
    <row r="96" spans="1:11" ht="13" thickBot="1" x14ac:dyDescent="0.3">
      <c r="A96" s="22"/>
      <c r="B96" s="879"/>
      <c r="C96" s="879"/>
      <c r="D96" s="879"/>
      <c r="E96" s="879"/>
      <c r="F96" s="879"/>
      <c r="G96" s="879"/>
      <c r="H96" s="879"/>
      <c r="I96" s="879"/>
      <c r="J96" s="879"/>
      <c r="K96" s="879"/>
    </row>
    <row r="97" spans="1:11" ht="11.9" customHeight="1" thickBot="1" x14ac:dyDescent="0.3">
      <c r="A97" s="22"/>
      <c r="B97" s="878" t="s">
        <v>328</v>
      </c>
      <c r="C97" s="875" t="s">
        <v>329</v>
      </c>
      <c r="D97" s="880"/>
      <c r="E97" s="880"/>
      <c r="F97" s="880"/>
      <c r="G97" s="880"/>
      <c r="H97" s="880"/>
      <c r="I97" s="880"/>
      <c r="J97" s="880"/>
      <c r="K97" s="881"/>
    </row>
    <row r="98" spans="1:11" ht="11.25" customHeight="1" x14ac:dyDescent="0.25">
      <c r="A98" s="22"/>
      <c r="B98" s="229"/>
      <c r="C98" s="265"/>
      <c r="D98" s="265"/>
      <c r="E98" s="265"/>
      <c r="F98" s="265"/>
      <c r="G98" s="265"/>
      <c r="H98" s="265"/>
      <c r="I98" s="265"/>
      <c r="J98" s="265"/>
      <c r="K98" s="266"/>
    </row>
    <row r="99" spans="1:11" ht="11.25" customHeight="1" x14ac:dyDescent="0.25">
      <c r="A99" s="22"/>
      <c r="B99" s="87"/>
      <c r="C99" s="88"/>
      <c r="D99" s="88"/>
      <c r="E99" s="88"/>
      <c r="F99" s="88"/>
      <c r="G99" s="88"/>
      <c r="H99" s="88"/>
      <c r="I99" s="88"/>
      <c r="J99" s="88"/>
      <c r="K99" s="89"/>
    </row>
    <row r="100" spans="1:11" ht="11.25" customHeight="1" x14ac:dyDescent="0.25">
      <c r="A100" s="22"/>
      <c r="B100" s="87"/>
      <c r="C100" s="88"/>
      <c r="D100" s="88"/>
      <c r="E100" s="88"/>
      <c r="F100" s="88"/>
      <c r="G100" s="88"/>
      <c r="H100" s="88"/>
      <c r="I100" s="88"/>
      <c r="J100" s="88"/>
      <c r="K100" s="89"/>
    </row>
    <row r="101" spans="1:11" ht="12" customHeight="1" thickBot="1" x14ac:dyDescent="0.3">
      <c r="A101" s="22"/>
      <c r="B101" s="90"/>
      <c r="C101" s="91"/>
      <c r="D101" s="91"/>
      <c r="E101" s="91"/>
      <c r="F101" s="91"/>
      <c r="G101" s="91"/>
      <c r="H101" s="91"/>
      <c r="I101" s="91"/>
      <c r="J101" s="91"/>
      <c r="K101" s="92"/>
    </row>
    <row r="102" spans="1:11" ht="13" thickBot="1" x14ac:dyDescent="0.3">
      <c r="A102" s="22"/>
      <c r="B102" s="879"/>
      <c r="C102" s="879"/>
      <c r="D102" s="879"/>
      <c r="E102" s="879"/>
      <c r="F102" s="879"/>
      <c r="G102" s="879"/>
      <c r="H102" s="879"/>
      <c r="I102" s="879"/>
      <c r="J102" s="879"/>
      <c r="K102" s="879"/>
    </row>
    <row r="103" spans="1:11" ht="11.9" customHeight="1" thickBot="1" x14ac:dyDescent="0.3">
      <c r="A103" s="22"/>
      <c r="B103" s="878" t="s">
        <v>330</v>
      </c>
      <c r="C103" s="875" t="s">
        <v>323</v>
      </c>
      <c r="D103" s="880"/>
      <c r="E103" s="880"/>
      <c r="F103" s="880"/>
      <c r="G103" s="880"/>
      <c r="H103" s="880"/>
      <c r="I103" s="880"/>
      <c r="J103" s="880"/>
      <c r="K103" s="881"/>
    </row>
    <row r="104" spans="1:11" ht="11.25" customHeight="1" x14ac:dyDescent="0.25">
      <c r="A104" s="22"/>
      <c r="B104" s="229"/>
      <c r="C104" s="265"/>
      <c r="D104" s="265"/>
      <c r="E104" s="265"/>
      <c r="F104" s="265"/>
      <c r="G104" s="265"/>
      <c r="H104" s="265"/>
      <c r="I104" s="265"/>
      <c r="J104" s="265"/>
      <c r="K104" s="266"/>
    </row>
    <row r="105" spans="1:11" ht="11.25" customHeight="1" x14ac:dyDescent="0.25">
      <c r="A105" s="22"/>
      <c r="B105" s="87"/>
      <c r="C105" s="88"/>
      <c r="D105" s="88"/>
      <c r="E105" s="88"/>
      <c r="F105" s="88"/>
      <c r="G105" s="88"/>
      <c r="H105" s="88"/>
      <c r="I105" s="88"/>
      <c r="J105" s="88"/>
      <c r="K105" s="89"/>
    </row>
    <row r="106" spans="1:11" ht="11.25" customHeight="1" x14ac:dyDescent="0.25">
      <c r="A106" s="22"/>
      <c r="B106" s="87"/>
      <c r="C106" s="88"/>
      <c r="D106" s="88"/>
      <c r="E106" s="88"/>
      <c r="F106" s="88"/>
      <c r="G106" s="88"/>
      <c r="H106" s="88"/>
      <c r="I106" s="88"/>
      <c r="J106" s="88"/>
      <c r="K106" s="89"/>
    </row>
    <row r="107" spans="1:11" ht="12" customHeight="1" thickBot="1" x14ac:dyDescent="0.3">
      <c r="A107" s="22"/>
      <c r="B107" s="90"/>
      <c r="C107" s="91"/>
      <c r="D107" s="91"/>
      <c r="E107" s="91"/>
      <c r="F107" s="91"/>
      <c r="G107" s="91"/>
      <c r="H107" s="91"/>
      <c r="I107" s="91"/>
      <c r="J107" s="91"/>
      <c r="K107" s="92"/>
    </row>
    <row r="108" spans="1:11" ht="13" thickBot="1" x14ac:dyDescent="0.3">
      <c r="A108" s="22"/>
      <c r="B108" s="879"/>
      <c r="C108" s="879"/>
      <c r="D108" s="879"/>
      <c r="E108" s="879"/>
      <c r="F108" s="879"/>
      <c r="G108" s="879"/>
      <c r="H108" s="879"/>
      <c r="I108" s="879"/>
      <c r="J108" s="879"/>
      <c r="K108" s="879"/>
    </row>
    <row r="109" spans="1:11" ht="11.9" customHeight="1" thickBot="1" x14ac:dyDescent="0.3">
      <c r="A109" s="22"/>
      <c r="B109" s="878" t="s">
        <v>331</v>
      </c>
      <c r="C109" s="875" t="s">
        <v>323</v>
      </c>
      <c r="D109" s="880"/>
      <c r="E109" s="880"/>
      <c r="F109" s="880"/>
      <c r="G109" s="880"/>
      <c r="H109" s="880"/>
      <c r="I109" s="880"/>
      <c r="J109" s="880"/>
      <c r="K109" s="881"/>
    </row>
    <row r="110" spans="1:11" ht="11.25" customHeight="1" x14ac:dyDescent="0.25">
      <c r="A110" s="22"/>
      <c r="B110" s="229"/>
      <c r="C110" s="265"/>
      <c r="D110" s="265"/>
      <c r="E110" s="265"/>
      <c r="F110" s="265"/>
      <c r="G110" s="265"/>
      <c r="H110" s="265"/>
      <c r="I110" s="265"/>
      <c r="J110" s="265"/>
      <c r="K110" s="266"/>
    </row>
    <row r="111" spans="1:11" ht="11.25" customHeight="1" x14ac:dyDescent="0.25">
      <c r="A111" s="22"/>
      <c r="B111" s="87"/>
      <c r="C111" s="88"/>
      <c r="D111" s="88"/>
      <c r="E111" s="88"/>
      <c r="F111" s="88"/>
      <c r="G111" s="88"/>
      <c r="H111" s="88"/>
      <c r="I111" s="88"/>
      <c r="J111" s="88"/>
      <c r="K111" s="89"/>
    </row>
    <row r="112" spans="1:11" ht="11.25" customHeight="1" x14ac:dyDescent="0.25">
      <c r="A112" s="22"/>
      <c r="B112" s="87"/>
      <c r="C112" s="88"/>
      <c r="D112" s="88"/>
      <c r="E112" s="88"/>
      <c r="F112" s="88"/>
      <c r="G112" s="88"/>
      <c r="H112" s="88"/>
      <c r="I112" s="88"/>
      <c r="J112" s="88"/>
      <c r="K112" s="89"/>
    </row>
    <row r="113" spans="1:11" ht="12" customHeight="1" thickBot="1" x14ac:dyDescent="0.3">
      <c r="A113" s="22"/>
      <c r="B113" s="90"/>
      <c r="C113" s="91"/>
      <c r="D113" s="91"/>
      <c r="E113" s="91"/>
      <c r="F113" s="91"/>
      <c r="G113" s="91"/>
      <c r="H113" s="91"/>
      <c r="I113" s="91"/>
      <c r="J113" s="91"/>
      <c r="K113" s="92"/>
    </row>
    <row r="114" spans="1:11" ht="13" thickBot="1" x14ac:dyDescent="0.3">
      <c r="A114" s="22"/>
      <c r="B114" s="879"/>
      <c r="C114" s="879"/>
      <c r="D114" s="879"/>
      <c r="E114" s="879"/>
      <c r="F114" s="879"/>
      <c r="G114" s="879"/>
      <c r="H114" s="879"/>
      <c r="I114" s="879"/>
      <c r="J114" s="879"/>
      <c r="K114" s="879"/>
    </row>
    <row r="115" spans="1:11" ht="11.9" customHeight="1" thickBot="1" x14ac:dyDescent="0.3">
      <c r="A115" s="22"/>
      <c r="B115" s="878" t="s">
        <v>332</v>
      </c>
      <c r="C115" s="875" t="s">
        <v>323</v>
      </c>
      <c r="D115" s="880"/>
      <c r="E115" s="880"/>
      <c r="F115" s="880"/>
      <c r="G115" s="880"/>
      <c r="H115" s="880"/>
      <c r="I115" s="880"/>
      <c r="J115" s="880"/>
      <c r="K115" s="881"/>
    </row>
    <row r="116" spans="1:11" ht="11.25" customHeight="1" x14ac:dyDescent="0.25">
      <c r="A116" s="22"/>
      <c r="B116" s="229"/>
      <c r="C116" s="265"/>
      <c r="D116" s="265"/>
      <c r="E116" s="265"/>
      <c r="F116" s="265"/>
      <c r="G116" s="265"/>
      <c r="H116" s="265"/>
      <c r="I116" s="265"/>
      <c r="J116" s="265"/>
      <c r="K116" s="266"/>
    </row>
    <row r="117" spans="1:11" ht="11.25" customHeight="1" x14ac:dyDescent="0.25">
      <c r="A117" s="22"/>
      <c r="B117" s="87"/>
      <c r="C117" s="88"/>
      <c r="D117" s="88"/>
      <c r="E117" s="88"/>
      <c r="F117" s="88"/>
      <c r="G117" s="88"/>
      <c r="H117" s="88"/>
      <c r="I117" s="88"/>
      <c r="J117" s="88"/>
      <c r="K117" s="89"/>
    </row>
    <row r="118" spans="1:11" ht="11.25" customHeight="1" x14ac:dyDescent="0.25">
      <c r="A118" s="22"/>
      <c r="B118" s="87"/>
      <c r="C118" s="88"/>
      <c r="D118" s="88"/>
      <c r="E118" s="88"/>
      <c r="F118" s="88"/>
      <c r="G118" s="88"/>
      <c r="H118" s="88"/>
      <c r="I118" s="88"/>
      <c r="J118" s="88"/>
      <c r="K118" s="89"/>
    </row>
    <row r="119" spans="1:11" ht="12" customHeight="1" thickBot="1" x14ac:dyDescent="0.3">
      <c r="A119" s="22"/>
      <c r="B119" s="90"/>
      <c r="C119" s="91"/>
      <c r="D119" s="91"/>
      <c r="E119" s="91"/>
      <c r="F119" s="91"/>
      <c r="G119" s="91"/>
      <c r="H119" s="91"/>
      <c r="I119" s="91"/>
      <c r="J119" s="91"/>
      <c r="K119" s="92"/>
    </row>
    <row r="120" spans="1:11" ht="13" thickBot="1" x14ac:dyDescent="0.3">
      <c r="A120" s="22"/>
      <c r="B120" s="879"/>
      <c r="C120" s="879"/>
      <c r="D120" s="879"/>
      <c r="E120" s="879"/>
      <c r="F120" s="879"/>
      <c r="G120" s="879"/>
      <c r="H120" s="879"/>
      <c r="I120" s="879"/>
      <c r="J120" s="879"/>
      <c r="K120" s="879"/>
    </row>
    <row r="121" spans="1:11" ht="11.9" customHeight="1" thickBot="1" x14ac:dyDescent="0.3">
      <c r="A121" s="22"/>
      <c r="B121" s="878" t="s">
        <v>333</v>
      </c>
      <c r="C121" s="875" t="s">
        <v>323</v>
      </c>
      <c r="D121" s="880"/>
      <c r="E121" s="880"/>
      <c r="F121" s="880"/>
      <c r="G121" s="880"/>
      <c r="H121" s="880"/>
      <c r="I121" s="880"/>
      <c r="J121" s="880"/>
      <c r="K121" s="881"/>
    </row>
    <row r="122" spans="1:11" ht="11.25" customHeight="1" x14ac:dyDescent="0.25">
      <c r="A122" s="22"/>
      <c r="B122" s="229"/>
      <c r="C122" s="265"/>
      <c r="D122" s="265"/>
      <c r="E122" s="265"/>
      <c r="F122" s="265"/>
      <c r="G122" s="265"/>
      <c r="H122" s="265"/>
      <c r="I122" s="265"/>
      <c r="J122" s="265"/>
      <c r="K122" s="266"/>
    </row>
    <row r="123" spans="1:11" ht="11.25" customHeight="1" x14ac:dyDescent="0.25">
      <c r="A123" s="22"/>
      <c r="B123" s="87"/>
      <c r="C123" s="88"/>
      <c r="D123" s="88"/>
      <c r="E123" s="88"/>
      <c r="F123" s="88"/>
      <c r="G123" s="88"/>
      <c r="H123" s="88"/>
      <c r="I123" s="88"/>
      <c r="J123" s="88"/>
      <c r="K123" s="89"/>
    </row>
    <row r="124" spans="1:11" ht="11.25" customHeight="1" x14ac:dyDescent="0.25">
      <c r="A124" s="22"/>
      <c r="B124" s="87"/>
      <c r="C124" s="88"/>
      <c r="D124" s="88"/>
      <c r="E124" s="88"/>
      <c r="F124" s="88"/>
      <c r="G124" s="88"/>
      <c r="H124" s="88"/>
      <c r="I124" s="88"/>
      <c r="J124" s="88"/>
      <c r="K124" s="89"/>
    </row>
    <row r="125" spans="1:11" ht="12" customHeight="1" thickBot="1" x14ac:dyDescent="0.3">
      <c r="A125" s="22"/>
      <c r="B125" s="90"/>
      <c r="C125" s="91"/>
      <c r="D125" s="91"/>
      <c r="E125" s="91"/>
      <c r="F125" s="91"/>
      <c r="G125" s="91"/>
      <c r="H125" s="91"/>
      <c r="I125" s="91"/>
      <c r="J125" s="91"/>
      <c r="K125" s="92"/>
    </row>
    <row r="126" spans="1:11" ht="13" thickBot="1" x14ac:dyDescent="0.3">
      <c r="A126" s="22"/>
      <c r="B126" s="57"/>
      <c r="C126" s="57"/>
      <c r="D126" s="57"/>
      <c r="E126" s="57"/>
      <c r="F126" s="57"/>
      <c r="G126" s="57"/>
      <c r="H126" s="57"/>
      <c r="I126" s="57"/>
      <c r="J126" s="57"/>
      <c r="K126" s="57"/>
    </row>
    <row r="127" spans="1:11" x14ac:dyDescent="0.25">
      <c r="B127" s="70" t="s">
        <v>334</v>
      </c>
      <c r="C127" s="71"/>
      <c r="D127" s="72"/>
      <c r="E127" s="73"/>
      <c r="F127" s="71"/>
      <c r="G127" s="71"/>
      <c r="H127" s="71"/>
      <c r="I127" s="71"/>
      <c r="J127" s="71"/>
      <c r="K127" s="74"/>
    </row>
    <row r="128" spans="1:11" x14ac:dyDescent="0.25">
      <c r="B128" s="84"/>
      <c r="C128" s="85"/>
      <c r="D128" s="85"/>
      <c r="E128" s="85"/>
      <c r="F128" s="85"/>
      <c r="G128" s="85"/>
      <c r="H128" s="85"/>
      <c r="I128" s="85"/>
      <c r="J128" s="85"/>
      <c r="K128" s="86"/>
    </row>
    <row r="129" spans="2:11" x14ac:dyDescent="0.25">
      <c r="B129" s="87"/>
      <c r="C129" s="88"/>
      <c r="D129" s="88"/>
      <c r="E129" s="88"/>
      <c r="F129" s="88"/>
      <c r="G129" s="88"/>
      <c r="H129" s="88"/>
      <c r="I129" s="88"/>
      <c r="J129" s="88"/>
      <c r="K129" s="89"/>
    </row>
    <row r="130" spans="2:11" x14ac:dyDescent="0.25">
      <c r="B130" s="87"/>
      <c r="C130" s="88"/>
      <c r="D130" s="88"/>
      <c r="E130" s="88"/>
      <c r="F130" s="88"/>
      <c r="G130" s="88"/>
      <c r="H130" s="88"/>
      <c r="I130" s="88"/>
      <c r="J130" s="88"/>
      <c r="K130" s="89"/>
    </row>
    <row r="131" spans="2:11" x14ac:dyDescent="0.25">
      <c r="B131" s="87"/>
      <c r="C131" s="88"/>
      <c r="D131" s="88"/>
      <c r="E131" s="88"/>
      <c r="F131" s="88"/>
      <c r="G131" s="88"/>
      <c r="H131" s="88"/>
      <c r="I131" s="88"/>
      <c r="J131" s="88"/>
      <c r="K131" s="89"/>
    </row>
    <row r="132" spans="2:11" x14ac:dyDescent="0.25">
      <c r="B132" s="87"/>
      <c r="C132" s="88"/>
      <c r="D132" s="88"/>
      <c r="E132" s="88"/>
      <c r="F132" s="88"/>
      <c r="G132" s="88"/>
      <c r="H132" s="88"/>
      <c r="I132" s="88"/>
      <c r="J132" s="88"/>
      <c r="K132" s="89"/>
    </row>
    <row r="133" spans="2:11" x14ac:dyDescent="0.25">
      <c r="B133" s="87"/>
      <c r="C133" s="88"/>
      <c r="D133" s="88"/>
      <c r="E133" s="88"/>
      <c r="F133" s="88"/>
      <c r="G133" s="88"/>
      <c r="H133" s="88"/>
      <c r="I133" s="88"/>
      <c r="J133" s="88"/>
      <c r="K133" s="89"/>
    </row>
    <row r="134" spans="2:11" x14ac:dyDescent="0.25">
      <c r="B134" s="87"/>
      <c r="C134" s="88"/>
      <c r="D134" s="88"/>
      <c r="E134" s="88"/>
      <c r="F134" s="88"/>
      <c r="G134" s="88"/>
      <c r="H134" s="88"/>
      <c r="I134" s="88"/>
      <c r="J134" s="88"/>
      <c r="K134" s="89"/>
    </row>
    <row r="135" spans="2:11" x14ac:dyDescent="0.25">
      <c r="B135" s="87"/>
      <c r="C135" s="88"/>
      <c r="D135" s="88"/>
      <c r="E135" s="88"/>
      <c r="F135" s="88"/>
      <c r="G135" s="88"/>
      <c r="H135" s="88"/>
      <c r="I135" s="88"/>
      <c r="J135" s="88"/>
      <c r="K135" s="89"/>
    </row>
    <row r="136" spans="2:11" x14ac:dyDescent="0.25">
      <c r="B136" s="87"/>
      <c r="C136" s="88"/>
      <c r="D136" s="88"/>
      <c r="E136" s="88"/>
      <c r="F136" s="88"/>
      <c r="G136" s="88"/>
      <c r="H136" s="88"/>
      <c r="I136" s="88"/>
      <c r="J136" s="88"/>
      <c r="K136" s="89"/>
    </row>
    <row r="137" spans="2:11" x14ac:dyDescent="0.25">
      <c r="B137" s="87"/>
      <c r="C137" s="88"/>
      <c r="D137" s="88"/>
      <c r="E137" s="88"/>
      <c r="F137" s="88"/>
      <c r="G137" s="88"/>
      <c r="H137" s="88"/>
      <c r="I137" s="88"/>
      <c r="J137" s="88"/>
      <c r="K137" s="89"/>
    </row>
    <row r="138" spans="2:11" x14ac:dyDescent="0.25">
      <c r="B138" s="87"/>
      <c r="C138" s="88"/>
      <c r="D138" s="88"/>
      <c r="E138" s="88"/>
      <c r="F138" s="88"/>
      <c r="G138" s="88"/>
      <c r="H138" s="88"/>
      <c r="I138" s="88"/>
      <c r="J138" s="88"/>
      <c r="K138" s="89"/>
    </row>
    <row r="139" spans="2:11" x14ac:dyDescent="0.25">
      <c r="B139" s="87"/>
      <c r="C139" s="88"/>
      <c r="D139" s="88"/>
      <c r="E139" s="88"/>
      <c r="F139" s="88"/>
      <c r="G139" s="88"/>
      <c r="H139" s="88"/>
      <c r="I139" s="88"/>
      <c r="J139" s="88"/>
      <c r="K139" s="89"/>
    </row>
    <row r="140" spans="2:11" x14ac:dyDescent="0.25">
      <c r="B140" s="87"/>
      <c r="C140" s="88"/>
      <c r="D140" s="88"/>
      <c r="E140" s="88"/>
      <c r="F140" s="88"/>
      <c r="G140" s="88"/>
      <c r="H140" s="88"/>
      <c r="I140" s="88"/>
      <c r="J140" s="88"/>
      <c r="K140" s="89"/>
    </row>
    <row r="141" spans="2:11" x14ac:dyDescent="0.25">
      <c r="B141" s="87"/>
      <c r="C141" s="88"/>
      <c r="D141" s="88"/>
      <c r="E141" s="88"/>
      <c r="F141" s="88"/>
      <c r="G141" s="88"/>
      <c r="H141" s="88"/>
      <c r="I141" s="88"/>
      <c r="J141" s="88"/>
      <c r="K141" s="89"/>
    </row>
    <row r="142" spans="2:11" x14ac:dyDescent="0.25">
      <c r="B142" s="87"/>
      <c r="C142" s="88"/>
      <c r="D142" s="88"/>
      <c r="E142" s="88"/>
      <c r="F142" s="88"/>
      <c r="G142" s="88"/>
      <c r="H142" s="88"/>
      <c r="I142" s="88"/>
      <c r="J142" s="88"/>
      <c r="K142" s="89"/>
    </row>
    <row r="143" spans="2:11" x14ac:dyDescent="0.25">
      <c r="B143" s="87"/>
      <c r="C143" s="88"/>
      <c r="D143" s="88"/>
      <c r="E143" s="88"/>
      <c r="F143" s="88"/>
      <c r="G143" s="88"/>
      <c r="H143" s="88"/>
      <c r="I143" s="88"/>
      <c r="J143" s="88"/>
      <c r="K143" s="89"/>
    </row>
    <row r="144" spans="2:11" x14ac:dyDescent="0.25">
      <c r="B144" s="87"/>
      <c r="C144" s="88"/>
      <c r="D144" s="88"/>
      <c r="E144" s="88"/>
      <c r="F144" s="88"/>
      <c r="G144" s="88"/>
      <c r="H144" s="88"/>
      <c r="I144" s="88"/>
      <c r="J144" s="88"/>
      <c r="K144" s="89"/>
    </row>
    <row r="145" spans="1:46" x14ac:dyDescent="0.25">
      <c r="B145" s="87"/>
      <c r="C145" s="88"/>
      <c r="D145" s="88"/>
      <c r="E145" s="88"/>
      <c r="F145" s="88"/>
      <c r="G145" s="88"/>
      <c r="H145" s="88"/>
      <c r="I145" s="88"/>
      <c r="J145" s="88"/>
      <c r="K145" s="89"/>
    </row>
    <row r="146" spans="1:46" ht="12" thickBot="1" x14ac:dyDescent="0.3">
      <c r="B146" s="90"/>
      <c r="C146" s="91"/>
      <c r="D146" s="91"/>
      <c r="E146" s="91"/>
      <c r="F146" s="91"/>
      <c r="G146" s="91"/>
      <c r="H146" s="91"/>
      <c r="I146" s="91"/>
      <c r="J146" s="91"/>
      <c r="K146" s="92"/>
    </row>
    <row r="148" spans="1:46" ht="12.5" hidden="1" outlineLevel="1" x14ac:dyDescent="0.25">
      <c r="A148" s="22"/>
      <c r="B148" s="124"/>
      <c r="C148" s="467">
        <v>1</v>
      </c>
      <c r="D148" s="467">
        <v>2</v>
      </c>
      <c r="E148" s="467">
        <v>3</v>
      </c>
      <c r="F148" s="467">
        <v>4</v>
      </c>
      <c r="G148" s="467">
        <v>5</v>
      </c>
      <c r="H148" s="467">
        <v>6</v>
      </c>
      <c r="I148" s="467">
        <v>7</v>
      </c>
      <c r="J148" s="467">
        <v>8</v>
      </c>
      <c r="K148" s="468">
        <v>9</v>
      </c>
      <c r="L148" s="467">
        <v>10</v>
      </c>
      <c r="M148" s="467">
        <v>11</v>
      </c>
      <c r="N148" s="467">
        <v>12</v>
      </c>
      <c r="O148" s="467">
        <v>13</v>
      </c>
      <c r="P148" s="467">
        <v>14</v>
      </c>
      <c r="Q148" s="467">
        <v>15</v>
      </c>
      <c r="R148" s="115"/>
      <c r="S148" s="23"/>
      <c r="AT148"/>
    </row>
    <row r="149" spans="1:46" ht="12.5" hidden="1" outlineLevel="1" x14ac:dyDescent="0.25">
      <c r="A149" s="22"/>
      <c r="B149" s="469">
        <f>YEAR(Startdatum)</f>
        <v>1900</v>
      </c>
      <c r="C149" s="470">
        <f t="shared" ref="C149:Q156" si="4">IFERROR(IF(NOT(OR(C$17=0,C$18=0)),DATEDIF(MAX(DATE($B149,1,1), C$17), MIN(DATE($B149,12,31), C$18), "d")+1,0), 0)</f>
        <v>0</v>
      </c>
      <c r="D149" s="470">
        <f t="shared" si="4"/>
        <v>0</v>
      </c>
      <c r="E149" s="470">
        <f t="shared" si="4"/>
        <v>0</v>
      </c>
      <c r="F149" s="470">
        <f t="shared" si="4"/>
        <v>0</v>
      </c>
      <c r="G149" s="470">
        <f t="shared" si="4"/>
        <v>0</v>
      </c>
      <c r="H149" s="470">
        <f t="shared" si="4"/>
        <v>0</v>
      </c>
      <c r="I149" s="470">
        <f t="shared" si="4"/>
        <v>0</v>
      </c>
      <c r="J149" s="471">
        <f t="shared" si="4"/>
        <v>0</v>
      </c>
      <c r="K149" s="472">
        <f t="shared" si="4"/>
        <v>0</v>
      </c>
      <c r="L149" s="470">
        <f t="shared" si="4"/>
        <v>0</v>
      </c>
      <c r="M149" s="470">
        <f t="shared" si="4"/>
        <v>0</v>
      </c>
      <c r="N149" s="470">
        <f t="shared" si="4"/>
        <v>0</v>
      </c>
      <c r="O149" s="470">
        <f t="shared" si="4"/>
        <v>0</v>
      </c>
      <c r="P149" s="470">
        <f t="shared" si="4"/>
        <v>0</v>
      </c>
      <c r="Q149" s="470">
        <f t="shared" si="4"/>
        <v>0</v>
      </c>
      <c r="R149" s="115"/>
      <c r="S149" s="23"/>
      <c r="AT149"/>
    </row>
    <row r="150" spans="1:46" ht="12.5" hidden="1" outlineLevel="1" x14ac:dyDescent="0.25">
      <c r="A150" s="22"/>
      <c r="B150" s="469">
        <f>B149+1</f>
        <v>1901</v>
      </c>
      <c r="C150" s="470">
        <f t="shared" si="4"/>
        <v>0</v>
      </c>
      <c r="D150" s="470">
        <f t="shared" si="4"/>
        <v>0</v>
      </c>
      <c r="E150" s="470">
        <f t="shared" si="4"/>
        <v>0</v>
      </c>
      <c r="F150" s="470">
        <f t="shared" si="4"/>
        <v>0</v>
      </c>
      <c r="G150" s="470">
        <f t="shared" si="4"/>
        <v>0</v>
      </c>
      <c r="H150" s="470">
        <f t="shared" si="4"/>
        <v>0</v>
      </c>
      <c r="I150" s="470">
        <f t="shared" si="4"/>
        <v>0</v>
      </c>
      <c r="J150" s="471">
        <f t="shared" si="4"/>
        <v>0</v>
      </c>
      <c r="K150" s="472">
        <f t="shared" si="4"/>
        <v>0</v>
      </c>
      <c r="L150" s="470">
        <f t="shared" si="4"/>
        <v>0</v>
      </c>
      <c r="M150" s="470">
        <f t="shared" si="4"/>
        <v>0</v>
      </c>
      <c r="N150" s="470">
        <f t="shared" si="4"/>
        <v>0</v>
      </c>
      <c r="O150" s="470">
        <f t="shared" si="4"/>
        <v>0</v>
      </c>
      <c r="P150" s="470">
        <f t="shared" si="4"/>
        <v>0</v>
      </c>
      <c r="Q150" s="470">
        <f t="shared" si="4"/>
        <v>0</v>
      </c>
      <c r="R150" s="115"/>
      <c r="S150" s="23"/>
      <c r="AT150"/>
    </row>
    <row r="151" spans="1:46" ht="12.5" hidden="1" outlineLevel="1" x14ac:dyDescent="0.25">
      <c r="A151" s="22"/>
      <c r="B151" s="469">
        <f t="shared" ref="B151:B156" si="5">B150+1</f>
        <v>1902</v>
      </c>
      <c r="C151" s="470">
        <f t="shared" si="4"/>
        <v>0</v>
      </c>
      <c r="D151" s="470">
        <f t="shared" si="4"/>
        <v>0</v>
      </c>
      <c r="E151" s="470">
        <f t="shared" si="4"/>
        <v>0</v>
      </c>
      <c r="F151" s="470">
        <f t="shared" si="4"/>
        <v>0</v>
      </c>
      <c r="G151" s="470">
        <f t="shared" si="4"/>
        <v>0</v>
      </c>
      <c r="H151" s="470">
        <f t="shared" si="4"/>
        <v>0</v>
      </c>
      <c r="I151" s="470">
        <f t="shared" si="4"/>
        <v>0</v>
      </c>
      <c r="J151" s="471">
        <f t="shared" si="4"/>
        <v>0</v>
      </c>
      <c r="K151" s="472">
        <f t="shared" si="4"/>
        <v>0</v>
      </c>
      <c r="L151" s="470">
        <f t="shared" si="4"/>
        <v>0</v>
      </c>
      <c r="M151" s="470">
        <f t="shared" si="4"/>
        <v>0</v>
      </c>
      <c r="N151" s="470">
        <f t="shared" si="4"/>
        <v>0</v>
      </c>
      <c r="O151" s="470">
        <f t="shared" si="4"/>
        <v>0</v>
      </c>
      <c r="P151" s="470">
        <f t="shared" si="4"/>
        <v>0</v>
      </c>
      <c r="Q151" s="470">
        <f t="shared" si="4"/>
        <v>0</v>
      </c>
      <c r="R151" s="115"/>
      <c r="S151" s="23"/>
      <c r="AT151"/>
    </row>
    <row r="152" spans="1:46" ht="12.5" hidden="1" outlineLevel="1" x14ac:dyDescent="0.25">
      <c r="A152" s="22"/>
      <c r="B152" s="469">
        <f t="shared" si="5"/>
        <v>1903</v>
      </c>
      <c r="C152" s="470">
        <f t="shared" si="4"/>
        <v>0</v>
      </c>
      <c r="D152" s="470">
        <f t="shared" si="4"/>
        <v>0</v>
      </c>
      <c r="E152" s="470">
        <f t="shared" si="4"/>
        <v>0</v>
      </c>
      <c r="F152" s="470">
        <f t="shared" si="4"/>
        <v>0</v>
      </c>
      <c r="G152" s="470">
        <f t="shared" si="4"/>
        <v>0</v>
      </c>
      <c r="H152" s="470">
        <f t="shared" si="4"/>
        <v>0</v>
      </c>
      <c r="I152" s="470">
        <f t="shared" si="4"/>
        <v>0</v>
      </c>
      <c r="J152" s="471">
        <f t="shared" si="4"/>
        <v>0</v>
      </c>
      <c r="K152" s="472">
        <f t="shared" si="4"/>
        <v>0</v>
      </c>
      <c r="L152" s="470">
        <f t="shared" si="4"/>
        <v>0</v>
      </c>
      <c r="M152" s="470">
        <f t="shared" si="4"/>
        <v>0</v>
      </c>
      <c r="N152" s="470">
        <f t="shared" si="4"/>
        <v>0</v>
      </c>
      <c r="O152" s="470">
        <f t="shared" si="4"/>
        <v>0</v>
      </c>
      <c r="P152" s="470">
        <f t="shared" si="4"/>
        <v>0</v>
      </c>
      <c r="Q152" s="470">
        <f t="shared" si="4"/>
        <v>0</v>
      </c>
      <c r="R152" s="115"/>
      <c r="S152" s="23"/>
      <c r="AT152"/>
    </row>
    <row r="153" spans="1:46" ht="12.5" hidden="1" outlineLevel="1" x14ac:dyDescent="0.25">
      <c r="A153" s="22"/>
      <c r="B153" s="469">
        <f t="shared" si="5"/>
        <v>1904</v>
      </c>
      <c r="C153" s="470">
        <f t="shared" si="4"/>
        <v>0</v>
      </c>
      <c r="D153" s="470">
        <f t="shared" si="4"/>
        <v>0</v>
      </c>
      <c r="E153" s="470">
        <f t="shared" si="4"/>
        <v>0</v>
      </c>
      <c r="F153" s="470">
        <f t="shared" si="4"/>
        <v>0</v>
      </c>
      <c r="G153" s="470">
        <f t="shared" si="4"/>
        <v>0</v>
      </c>
      <c r="H153" s="470">
        <f t="shared" si="4"/>
        <v>0</v>
      </c>
      <c r="I153" s="470">
        <f t="shared" si="4"/>
        <v>0</v>
      </c>
      <c r="J153" s="471">
        <f t="shared" si="4"/>
        <v>0</v>
      </c>
      <c r="K153" s="472">
        <f t="shared" si="4"/>
        <v>0</v>
      </c>
      <c r="L153" s="470">
        <f t="shared" si="4"/>
        <v>0</v>
      </c>
      <c r="M153" s="470">
        <f t="shared" si="4"/>
        <v>0</v>
      </c>
      <c r="N153" s="470">
        <f t="shared" si="4"/>
        <v>0</v>
      </c>
      <c r="O153" s="470">
        <f t="shared" si="4"/>
        <v>0</v>
      </c>
      <c r="P153" s="470">
        <f t="shared" si="4"/>
        <v>0</v>
      </c>
      <c r="Q153" s="470">
        <f t="shared" si="4"/>
        <v>0</v>
      </c>
      <c r="R153" s="115"/>
      <c r="S153" s="23"/>
      <c r="AT153"/>
    </row>
    <row r="154" spans="1:46" ht="12.5" hidden="1" outlineLevel="1" x14ac:dyDescent="0.25">
      <c r="A154" s="22"/>
      <c r="B154" s="469">
        <f t="shared" si="5"/>
        <v>1905</v>
      </c>
      <c r="C154" s="470">
        <f t="shared" si="4"/>
        <v>0</v>
      </c>
      <c r="D154" s="470">
        <f t="shared" si="4"/>
        <v>0</v>
      </c>
      <c r="E154" s="470">
        <f t="shared" si="4"/>
        <v>0</v>
      </c>
      <c r="F154" s="470">
        <f t="shared" si="4"/>
        <v>0</v>
      </c>
      <c r="G154" s="470">
        <f t="shared" si="4"/>
        <v>0</v>
      </c>
      <c r="H154" s="470">
        <f t="shared" si="4"/>
        <v>0</v>
      </c>
      <c r="I154" s="470">
        <f t="shared" si="4"/>
        <v>0</v>
      </c>
      <c r="J154" s="471">
        <f t="shared" si="4"/>
        <v>0</v>
      </c>
      <c r="K154" s="472">
        <f t="shared" si="4"/>
        <v>0</v>
      </c>
      <c r="L154" s="470">
        <f t="shared" si="4"/>
        <v>0</v>
      </c>
      <c r="M154" s="470">
        <f t="shared" si="4"/>
        <v>0</v>
      </c>
      <c r="N154" s="470">
        <f t="shared" si="4"/>
        <v>0</v>
      </c>
      <c r="O154" s="470">
        <f t="shared" si="4"/>
        <v>0</v>
      </c>
      <c r="P154" s="470">
        <f t="shared" si="4"/>
        <v>0</v>
      </c>
      <c r="Q154" s="470">
        <f t="shared" si="4"/>
        <v>0</v>
      </c>
      <c r="R154" s="115"/>
      <c r="S154" s="23"/>
      <c r="AT154"/>
    </row>
    <row r="155" spans="1:46" ht="12.5" hidden="1" outlineLevel="1" x14ac:dyDescent="0.25">
      <c r="A155" s="22"/>
      <c r="B155" s="469">
        <f t="shared" si="5"/>
        <v>1906</v>
      </c>
      <c r="C155" s="470">
        <f t="shared" si="4"/>
        <v>0</v>
      </c>
      <c r="D155" s="470">
        <f t="shared" si="4"/>
        <v>0</v>
      </c>
      <c r="E155" s="470">
        <f t="shared" si="4"/>
        <v>0</v>
      </c>
      <c r="F155" s="470">
        <f t="shared" si="4"/>
        <v>0</v>
      </c>
      <c r="G155" s="470">
        <f t="shared" si="4"/>
        <v>0</v>
      </c>
      <c r="H155" s="470">
        <f t="shared" si="4"/>
        <v>0</v>
      </c>
      <c r="I155" s="470">
        <f t="shared" si="4"/>
        <v>0</v>
      </c>
      <c r="J155" s="471">
        <f t="shared" si="4"/>
        <v>0</v>
      </c>
      <c r="K155" s="472">
        <f t="shared" si="4"/>
        <v>0</v>
      </c>
      <c r="L155" s="470">
        <f t="shared" si="4"/>
        <v>0</v>
      </c>
      <c r="M155" s="470">
        <f t="shared" si="4"/>
        <v>0</v>
      </c>
      <c r="N155" s="470">
        <f t="shared" si="4"/>
        <v>0</v>
      </c>
      <c r="O155" s="470">
        <f t="shared" si="4"/>
        <v>0</v>
      </c>
      <c r="P155" s="470">
        <f t="shared" si="4"/>
        <v>0</v>
      </c>
      <c r="Q155" s="470">
        <f t="shared" si="4"/>
        <v>0</v>
      </c>
      <c r="R155" s="115"/>
      <c r="S155" s="23"/>
      <c r="AT155"/>
    </row>
    <row r="156" spans="1:46" ht="12.5" hidden="1" outlineLevel="1" x14ac:dyDescent="0.25">
      <c r="A156" s="22"/>
      <c r="B156" s="469">
        <f t="shared" si="5"/>
        <v>1907</v>
      </c>
      <c r="C156" s="470">
        <f t="shared" si="4"/>
        <v>0</v>
      </c>
      <c r="D156" s="470">
        <f t="shared" si="4"/>
        <v>0</v>
      </c>
      <c r="E156" s="470">
        <f t="shared" si="4"/>
        <v>0</v>
      </c>
      <c r="F156" s="470">
        <f t="shared" si="4"/>
        <v>0</v>
      </c>
      <c r="G156" s="470">
        <f t="shared" si="4"/>
        <v>0</v>
      </c>
      <c r="H156" s="470">
        <f t="shared" si="4"/>
        <v>0</v>
      </c>
      <c r="I156" s="470">
        <f t="shared" si="4"/>
        <v>0</v>
      </c>
      <c r="J156" s="471">
        <f t="shared" si="4"/>
        <v>0</v>
      </c>
      <c r="K156" s="472">
        <f t="shared" si="4"/>
        <v>0</v>
      </c>
      <c r="L156" s="470">
        <f t="shared" si="4"/>
        <v>0</v>
      </c>
      <c r="M156" s="470">
        <f t="shared" si="4"/>
        <v>0</v>
      </c>
      <c r="N156" s="470">
        <f t="shared" si="4"/>
        <v>0</v>
      </c>
      <c r="O156" s="470">
        <f t="shared" si="4"/>
        <v>0</v>
      </c>
      <c r="P156" s="470">
        <f t="shared" si="4"/>
        <v>0</v>
      </c>
      <c r="Q156" s="470">
        <f t="shared" si="4"/>
        <v>0</v>
      </c>
      <c r="R156" s="115"/>
      <c r="S156" s="23"/>
      <c r="AT156"/>
    </row>
    <row r="157" spans="1:46" ht="12.5" hidden="1" outlineLevel="1" x14ac:dyDescent="0.25">
      <c r="A157" s="22"/>
      <c r="B157" s="469"/>
      <c r="C157" s="473"/>
      <c r="D157" s="473"/>
      <c r="E157" s="473"/>
      <c r="F157" s="473"/>
      <c r="G157" s="473"/>
      <c r="H157" s="473"/>
      <c r="I157" s="473"/>
      <c r="J157" s="474"/>
      <c r="K157" s="107"/>
      <c r="L157" s="473"/>
      <c r="M157" s="473"/>
      <c r="N157" s="473"/>
      <c r="O157" s="473"/>
      <c r="P157" s="473"/>
      <c r="Q157" s="473"/>
      <c r="R157" s="115"/>
      <c r="S157" s="23"/>
      <c r="AT157"/>
    </row>
    <row r="158" spans="1:46" ht="12.5" hidden="1" outlineLevel="1" x14ac:dyDescent="0.25">
      <c r="A158" s="22"/>
      <c r="B158" s="475"/>
      <c r="C158" s="467">
        <v>1</v>
      </c>
      <c r="D158" s="467">
        <v>2</v>
      </c>
      <c r="E158" s="467">
        <v>3</v>
      </c>
      <c r="F158" s="467">
        <v>4</v>
      </c>
      <c r="G158" s="467">
        <v>5</v>
      </c>
      <c r="H158" s="467">
        <v>6</v>
      </c>
      <c r="I158" s="467">
        <v>7</v>
      </c>
      <c r="J158" s="467">
        <v>8</v>
      </c>
      <c r="K158" s="468">
        <v>9</v>
      </c>
      <c r="L158" s="467">
        <v>10</v>
      </c>
      <c r="M158" s="467">
        <v>11</v>
      </c>
      <c r="N158" s="467">
        <v>12</v>
      </c>
      <c r="O158" s="467">
        <v>13</v>
      </c>
      <c r="P158" s="467">
        <v>14</v>
      </c>
      <c r="Q158" s="467">
        <v>15</v>
      </c>
      <c r="R158" s="115"/>
      <c r="S158" s="23"/>
      <c r="AT158"/>
    </row>
    <row r="159" spans="1:46" ht="12.5" hidden="1" outlineLevel="1" x14ac:dyDescent="0.25">
      <c r="A159" s="22"/>
      <c r="B159" s="469">
        <f>YEAR(Startdatum)</f>
        <v>1900</v>
      </c>
      <c r="C159" s="476">
        <f t="shared" ref="C159:K159" si="6">IFERROR(C149/SUM(C$149:C$156),0)</f>
        <v>0</v>
      </c>
      <c r="D159" s="476">
        <f t="shared" si="6"/>
        <v>0</v>
      </c>
      <c r="E159" s="476">
        <f t="shared" si="6"/>
        <v>0</v>
      </c>
      <c r="F159" s="476">
        <f t="shared" si="6"/>
        <v>0</v>
      </c>
      <c r="G159" s="476">
        <f t="shared" si="6"/>
        <v>0</v>
      </c>
      <c r="H159" s="476">
        <f t="shared" si="6"/>
        <v>0</v>
      </c>
      <c r="I159" s="476">
        <f t="shared" si="6"/>
        <v>0</v>
      </c>
      <c r="J159" s="476">
        <f t="shared" si="6"/>
        <v>0</v>
      </c>
      <c r="K159" s="476">
        <f t="shared" si="6"/>
        <v>0</v>
      </c>
      <c r="L159" s="476">
        <f t="shared" ref="L159:Q159" si="7">IFERROR(L149/SUM(L$149:L$156),0)</f>
        <v>0</v>
      </c>
      <c r="M159" s="476">
        <f t="shared" si="7"/>
        <v>0</v>
      </c>
      <c r="N159" s="476">
        <f t="shared" si="7"/>
        <v>0</v>
      </c>
      <c r="O159" s="476">
        <f t="shared" si="7"/>
        <v>0</v>
      </c>
      <c r="P159" s="476">
        <f t="shared" si="7"/>
        <v>0</v>
      </c>
      <c r="Q159" s="476">
        <f t="shared" si="7"/>
        <v>0</v>
      </c>
      <c r="R159" s="115"/>
      <c r="S159" s="23"/>
      <c r="AT159"/>
    </row>
    <row r="160" spans="1:46" ht="12.5" hidden="1" outlineLevel="1" x14ac:dyDescent="0.25">
      <c r="A160" s="22"/>
      <c r="B160" s="469">
        <f>B159+1</f>
        <v>1901</v>
      </c>
      <c r="C160" s="476">
        <f t="shared" ref="C160:K160" si="8">IFERROR(C150/SUM(C$149:C$156),0)</f>
        <v>0</v>
      </c>
      <c r="D160" s="476">
        <f t="shared" si="8"/>
        <v>0</v>
      </c>
      <c r="E160" s="476">
        <f t="shared" si="8"/>
        <v>0</v>
      </c>
      <c r="F160" s="476">
        <f t="shared" si="8"/>
        <v>0</v>
      </c>
      <c r="G160" s="476">
        <f t="shared" si="8"/>
        <v>0</v>
      </c>
      <c r="H160" s="476">
        <f t="shared" si="8"/>
        <v>0</v>
      </c>
      <c r="I160" s="476">
        <f t="shared" si="8"/>
        <v>0</v>
      </c>
      <c r="J160" s="476">
        <f t="shared" si="8"/>
        <v>0</v>
      </c>
      <c r="K160" s="476">
        <f t="shared" si="8"/>
        <v>0</v>
      </c>
      <c r="L160" s="476">
        <f t="shared" ref="L160:Q160" si="9">IFERROR(L150/SUM(L$149:L$156),0)</f>
        <v>0</v>
      </c>
      <c r="M160" s="476">
        <f t="shared" si="9"/>
        <v>0</v>
      </c>
      <c r="N160" s="476">
        <f t="shared" si="9"/>
        <v>0</v>
      </c>
      <c r="O160" s="476">
        <f t="shared" si="9"/>
        <v>0</v>
      </c>
      <c r="P160" s="476">
        <f t="shared" si="9"/>
        <v>0</v>
      </c>
      <c r="Q160" s="476">
        <f t="shared" si="9"/>
        <v>0</v>
      </c>
      <c r="R160" s="115"/>
      <c r="S160" s="23"/>
      <c r="AT160"/>
    </row>
    <row r="161" spans="1:46" ht="12.5" hidden="1" outlineLevel="1" x14ac:dyDescent="0.25">
      <c r="A161" s="22"/>
      <c r="B161" s="469">
        <f t="shared" ref="B161:B166" si="10">B160+1</f>
        <v>1902</v>
      </c>
      <c r="C161" s="476">
        <f t="shared" ref="C161:K161" si="11">IFERROR(C151/SUM(C$149:C$156),0)</f>
        <v>0</v>
      </c>
      <c r="D161" s="476">
        <f t="shared" si="11"/>
        <v>0</v>
      </c>
      <c r="E161" s="476">
        <f t="shared" si="11"/>
        <v>0</v>
      </c>
      <c r="F161" s="476">
        <f t="shared" si="11"/>
        <v>0</v>
      </c>
      <c r="G161" s="476">
        <f t="shared" si="11"/>
        <v>0</v>
      </c>
      <c r="H161" s="476">
        <f t="shared" si="11"/>
        <v>0</v>
      </c>
      <c r="I161" s="476">
        <f t="shared" si="11"/>
        <v>0</v>
      </c>
      <c r="J161" s="476">
        <f t="shared" si="11"/>
        <v>0</v>
      </c>
      <c r="K161" s="476">
        <f t="shared" si="11"/>
        <v>0</v>
      </c>
      <c r="L161" s="476">
        <f t="shared" ref="L161:Q161" si="12">IFERROR(L151/SUM(L$149:L$156),0)</f>
        <v>0</v>
      </c>
      <c r="M161" s="476">
        <f t="shared" si="12"/>
        <v>0</v>
      </c>
      <c r="N161" s="476">
        <f t="shared" si="12"/>
        <v>0</v>
      </c>
      <c r="O161" s="476">
        <f t="shared" si="12"/>
        <v>0</v>
      </c>
      <c r="P161" s="476">
        <f t="shared" si="12"/>
        <v>0</v>
      </c>
      <c r="Q161" s="476">
        <f t="shared" si="12"/>
        <v>0</v>
      </c>
      <c r="R161" s="115"/>
      <c r="S161" s="23"/>
      <c r="AT161"/>
    </row>
    <row r="162" spans="1:46" ht="12.5" hidden="1" outlineLevel="1" x14ac:dyDescent="0.25">
      <c r="A162" s="22"/>
      <c r="B162" s="469">
        <f t="shared" si="10"/>
        <v>1903</v>
      </c>
      <c r="C162" s="476">
        <f t="shared" ref="C162:K162" si="13">IFERROR(C152/SUM(C$149:C$156),0)</f>
        <v>0</v>
      </c>
      <c r="D162" s="476">
        <f t="shared" si="13"/>
        <v>0</v>
      </c>
      <c r="E162" s="476">
        <f t="shared" si="13"/>
        <v>0</v>
      </c>
      <c r="F162" s="476">
        <f t="shared" si="13"/>
        <v>0</v>
      </c>
      <c r="G162" s="476">
        <f t="shared" si="13"/>
        <v>0</v>
      </c>
      <c r="H162" s="476">
        <f t="shared" si="13"/>
        <v>0</v>
      </c>
      <c r="I162" s="476">
        <f t="shared" si="13"/>
        <v>0</v>
      </c>
      <c r="J162" s="476">
        <f t="shared" si="13"/>
        <v>0</v>
      </c>
      <c r="K162" s="476">
        <f t="shared" si="13"/>
        <v>0</v>
      </c>
      <c r="L162" s="476">
        <f t="shared" ref="L162:Q162" si="14">IFERROR(L152/SUM(L$149:L$156),0)</f>
        <v>0</v>
      </c>
      <c r="M162" s="476">
        <f t="shared" si="14"/>
        <v>0</v>
      </c>
      <c r="N162" s="476">
        <f t="shared" si="14"/>
        <v>0</v>
      </c>
      <c r="O162" s="476">
        <f t="shared" si="14"/>
        <v>0</v>
      </c>
      <c r="P162" s="476">
        <f t="shared" si="14"/>
        <v>0</v>
      </c>
      <c r="Q162" s="476">
        <f t="shared" si="14"/>
        <v>0</v>
      </c>
      <c r="R162" s="115"/>
      <c r="S162" s="23"/>
      <c r="AT162"/>
    </row>
    <row r="163" spans="1:46" ht="12.5" hidden="1" outlineLevel="1" x14ac:dyDescent="0.25">
      <c r="A163" s="22"/>
      <c r="B163" s="469">
        <f t="shared" si="10"/>
        <v>1904</v>
      </c>
      <c r="C163" s="476">
        <f t="shared" ref="C163:K163" si="15">IFERROR(C153/SUM(C$149:C$156),0)</f>
        <v>0</v>
      </c>
      <c r="D163" s="476">
        <f t="shared" si="15"/>
        <v>0</v>
      </c>
      <c r="E163" s="476">
        <f t="shared" si="15"/>
        <v>0</v>
      </c>
      <c r="F163" s="476">
        <f t="shared" si="15"/>
        <v>0</v>
      </c>
      <c r="G163" s="476">
        <f t="shared" si="15"/>
        <v>0</v>
      </c>
      <c r="H163" s="476">
        <f t="shared" si="15"/>
        <v>0</v>
      </c>
      <c r="I163" s="476">
        <f t="shared" si="15"/>
        <v>0</v>
      </c>
      <c r="J163" s="476">
        <f t="shared" si="15"/>
        <v>0</v>
      </c>
      <c r="K163" s="476">
        <f t="shared" si="15"/>
        <v>0</v>
      </c>
      <c r="L163" s="476">
        <f t="shared" ref="L163:Q163" si="16">IFERROR(L153/SUM(L$149:L$156),0)</f>
        <v>0</v>
      </c>
      <c r="M163" s="476">
        <f t="shared" si="16"/>
        <v>0</v>
      </c>
      <c r="N163" s="476">
        <f t="shared" si="16"/>
        <v>0</v>
      </c>
      <c r="O163" s="476">
        <f t="shared" si="16"/>
        <v>0</v>
      </c>
      <c r="P163" s="476">
        <f t="shared" si="16"/>
        <v>0</v>
      </c>
      <c r="Q163" s="476">
        <f t="shared" si="16"/>
        <v>0</v>
      </c>
      <c r="R163" s="115"/>
      <c r="S163" s="23"/>
      <c r="AT163"/>
    </row>
    <row r="164" spans="1:46" ht="12.5" hidden="1" outlineLevel="1" x14ac:dyDescent="0.25">
      <c r="A164" s="22"/>
      <c r="B164" s="469">
        <f t="shared" si="10"/>
        <v>1905</v>
      </c>
      <c r="C164" s="476">
        <f t="shared" ref="C164:K164" si="17">IFERROR(C154/SUM(C$149:C$156),0)</f>
        <v>0</v>
      </c>
      <c r="D164" s="476">
        <f t="shared" si="17"/>
        <v>0</v>
      </c>
      <c r="E164" s="476">
        <f t="shared" si="17"/>
        <v>0</v>
      </c>
      <c r="F164" s="476">
        <f t="shared" si="17"/>
        <v>0</v>
      </c>
      <c r="G164" s="476">
        <f t="shared" si="17"/>
        <v>0</v>
      </c>
      <c r="H164" s="476">
        <f t="shared" si="17"/>
        <v>0</v>
      </c>
      <c r="I164" s="476">
        <f t="shared" si="17"/>
        <v>0</v>
      </c>
      <c r="J164" s="476">
        <f t="shared" si="17"/>
        <v>0</v>
      </c>
      <c r="K164" s="476">
        <f t="shared" si="17"/>
        <v>0</v>
      </c>
      <c r="L164" s="476">
        <f t="shared" ref="L164:Q164" si="18">IFERROR(L154/SUM(L$149:L$156),0)</f>
        <v>0</v>
      </c>
      <c r="M164" s="476">
        <f t="shared" si="18"/>
        <v>0</v>
      </c>
      <c r="N164" s="476">
        <f t="shared" si="18"/>
        <v>0</v>
      </c>
      <c r="O164" s="476">
        <f t="shared" si="18"/>
        <v>0</v>
      </c>
      <c r="P164" s="476">
        <f t="shared" si="18"/>
        <v>0</v>
      </c>
      <c r="Q164" s="476">
        <f t="shared" si="18"/>
        <v>0</v>
      </c>
      <c r="R164" s="115"/>
      <c r="S164" s="23"/>
      <c r="AT164"/>
    </row>
    <row r="165" spans="1:46" ht="12.5" hidden="1" outlineLevel="1" x14ac:dyDescent="0.25">
      <c r="A165" s="22"/>
      <c r="B165" s="469">
        <f t="shared" si="10"/>
        <v>1906</v>
      </c>
      <c r="C165" s="476">
        <f t="shared" ref="C165:K165" si="19">IFERROR(C155/SUM(C$149:C$156),0)</f>
        <v>0</v>
      </c>
      <c r="D165" s="476">
        <f t="shared" si="19"/>
        <v>0</v>
      </c>
      <c r="E165" s="476">
        <f t="shared" si="19"/>
        <v>0</v>
      </c>
      <c r="F165" s="476">
        <f t="shared" si="19"/>
        <v>0</v>
      </c>
      <c r="G165" s="476">
        <f t="shared" si="19"/>
        <v>0</v>
      </c>
      <c r="H165" s="476">
        <f t="shared" si="19"/>
        <v>0</v>
      </c>
      <c r="I165" s="476">
        <f t="shared" si="19"/>
        <v>0</v>
      </c>
      <c r="J165" s="476">
        <f t="shared" si="19"/>
        <v>0</v>
      </c>
      <c r="K165" s="476">
        <f t="shared" si="19"/>
        <v>0</v>
      </c>
      <c r="L165" s="476">
        <f t="shared" ref="L165:Q165" si="20">IFERROR(L155/SUM(L$149:L$156),0)</f>
        <v>0</v>
      </c>
      <c r="M165" s="476">
        <f t="shared" si="20"/>
        <v>0</v>
      </c>
      <c r="N165" s="476">
        <f t="shared" si="20"/>
        <v>0</v>
      </c>
      <c r="O165" s="476">
        <f t="shared" si="20"/>
        <v>0</v>
      </c>
      <c r="P165" s="476">
        <f t="shared" si="20"/>
        <v>0</v>
      </c>
      <c r="Q165" s="476">
        <f t="shared" si="20"/>
        <v>0</v>
      </c>
      <c r="R165" s="115"/>
      <c r="S165" s="23"/>
      <c r="AT165"/>
    </row>
    <row r="166" spans="1:46" ht="12.5" hidden="1" outlineLevel="1" x14ac:dyDescent="0.25">
      <c r="A166" s="22"/>
      <c r="B166" s="469">
        <f t="shared" si="10"/>
        <v>1907</v>
      </c>
      <c r="C166" s="476">
        <f t="shared" ref="C166:K166" si="21">IFERROR(C156/SUM(C$149:C$156),0)</f>
        <v>0</v>
      </c>
      <c r="D166" s="476">
        <f t="shared" si="21"/>
        <v>0</v>
      </c>
      <c r="E166" s="476">
        <f t="shared" si="21"/>
        <v>0</v>
      </c>
      <c r="F166" s="476">
        <f t="shared" si="21"/>
        <v>0</v>
      </c>
      <c r="G166" s="476">
        <f t="shared" si="21"/>
        <v>0</v>
      </c>
      <c r="H166" s="476">
        <f t="shared" si="21"/>
        <v>0</v>
      </c>
      <c r="I166" s="476">
        <f t="shared" si="21"/>
        <v>0</v>
      </c>
      <c r="J166" s="476">
        <f t="shared" si="21"/>
        <v>0</v>
      </c>
      <c r="K166" s="476">
        <f t="shared" si="21"/>
        <v>0</v>
      </c>
      <c r="L166" s="476">
        <f t="shared" ref="L166:Q166" si="22">IFERROR(L156/SUM(L$149:L$156),0)</f>
        <v>0</v>
      </c>
      <c r="M166" s="476">
        <f t="shared" si="22"/>
        <v>0</v>
      </c>
      <c r="N166" s="476">
        <f t="shared" si="22"/>
        <v>0</v>
      </c>
      <c r="O166" s="476">
        <f t="shared" si="22"/>
        <v>0</v>
      </c>
      <c r="P166" s="476">
        <f t="shared" si="22"/>
        <v>0</v>
      </c>
      <c r="Q166" s="476">
        <f t="shared" si="22"/>
        <v>0</v>
      </c>
      <c r="R166" s="115"/>
      <c r="S166" s="23"/>
      <c r="AT166"/>
    </row>
    <row r="167" spans="1:46" ht="12.5" hidden="1" outlineLevel="1" x14ac:dyDescent="0.25">
      <c r="A167" s="22"/>
      <c r="B167" s="477"/>
      <c r="C167" s="115"/>
      <c r="D167" s="115"/>
      <c r="E167" s="115"/>
      <c r="F167" s="115"/>
      <c r="G167" s="115"/>
      <c r="H167" s="478"/>
      <c r="I167" s="115"/>
      <c r="J167" s="124"/>
      <c r="L167" s="115"/>
      <c r="M167" s="115"/>
      <c r="N167" s="115"/>
      <c r="O167" s="115"/>
      <c r="P167" s="115"/>
      <c r="Q167" s="115"/>
      <c r="R167" s="115"/>
      <c r="S167" s="23"/>
      <c r="AT167"/>
    </row>
    <row r="168" spans="1:46" ht="12.5" hidden="1" outlineLevel="1" x14ac:dyDescent="0.25">
      <c r="A168" s="22"/>
      <c r="B168" s="479" cm="1">
        <f t="array" ref="B168:J183">TRANSPOSE(B158:Q166)</f>
        <v>0</v>
      </c>
      <c r="C168" s="467">
        <v>1900</v>
      </c>
      <c r="D168" s="467">
        <v>1901</v>
      </c>
      <c r="E168" s="467">
        <v>1902</v>
      </c>
      <c r="F168" s="467">
        <v>1903</v>
      </c>
      <c r="G168" s="467">
        <v>1904</v>
      </c>
      <c r="H168" s="467">
        <v>1905</v>
      </c>
      <c r="I168" s="467">
        <v>1906</v>
      </c>
      <c r="J168" s="467">
        <v>1907</v>
      </c>
      <c r="L168" s="115"/>
      <c r="M168" s="115"/>
      <c r="N168" s="115"/>
      <c r="O168" s="115"/>
      <c r="P168" s="115"/>
      <c r="Q168" s="115"/>
      <c r="R168" s="115"/>
      <c r="S168" s="23"/>
      <c r="AT168"/>
    </row>
    <row r="169" spans="1:46" ht="12.5" hidden="1" outlineLevel="1" x14ac:dyDescent="0.25">
      <c r="A169" s="22"/>
      <c r="B169" s="469">
        <v>1</v>
      </c>
      <c r="C169" s="476">
        <v>0</v>
      </c>
      <c r="D169" s="476">
        <v>0</v>
      </c>
      <c r="E169" s="476">
        <v>0</v>
      </c>
      <c r="F169" s="476">
        <v>0</v>
      </c>
      <c r="G169" s="476">
        <v>0</v>
      </c>
      <c r="H169" s="476">
        <v>0</v>
      </c>
      <c r="I169" s="476">
        <v>0</v>
      </c>
      <c r="J169" s="476">
        <v>0</v>
      </c>
      <c r="L169" s="115"/>
      <c r="M169" s="115"/>
      <c r="N169" s="115"/>
      <c r="O169" s="115"/>
      <c r="P169" s="115"/>
      <c r="Q169" s="115"/>
      <c r="R169" s="115"/>
      <c r="S169" s="23"/>
      <c r="AT169"/>
    </row>
    <row r="170" spans="1:46" ht="12.5" hidden="1" outlineLevel="1" x14ac:dyDescent="0.25">
      <c r="A170" s="22"/>
      <c r="B170" s="469">
        <v>2</v>
      </c>
      <c r="C170" s="476">
        <v>0</v>
      </c>
      <c r="D170" s="476">
        <v>0</v>
      </c>
      <c r="E170" s="476">
        <v>0</v>
      </c>
      <c r="F170" s="476">
        <v>0</v>
      </c>
      <c r="G170" s="476">
        <v>0</v>
      </c>
      <c r="H170" s="476">
        <v>0</v>
      </c>
      <c r="I170" s="476">
        <v>0</v>
      </c>
      <c r="J170" s="476">
        <v>0</v>
      </c>
      <c r="L170" s="115"/>
      <c r="M170" s="115"/>
      <c r="N170" s="115"/>
      <c r="O170" s="115"/>
      <c r="P170" s="115"/>
      <c r="Q170" s="115"/>
      <c r="R170" s="115"/>
      <c r="S170" s="23"/>
      <c r="AT170"/>
    </row>
    <row r="171" spans="1:46" ht="12.5" hidden="1" outlineLevel="1" x14ac:dyDescent="0.25">
      <c r="A171" s="22"/>
      <c r="B171" s="469">
        <v>3</v>
      </c>
      <c r="C171" s="476">
        <v>0</v>
      </c>
      <c r="D171" s="476">
        <v>0</v>
      </c>
      <c r="E171" s="476">
        <v>0</v>
      </c>
      <c r="F171" s="476">
        <v>0</v>
      </c>
      <c r="G171" s="476">
        <v>0</v>
      </c>
      <c r="H171" s="476">
        <v>0</v>
      </c>
      <c r="I171" s="476">
        <v>0</v>
      </c>
      <c r="J171" s="476">
        <v>0</v>
      </c>
      <c r="L171" s="115"/>
      <c r="M171" s="115"/>
      <c r="N171" s="115"/>
      <c r="O171" s="115"/>
      <c r="P171" s="115"/>
      <c r="Q171" s="115"/>
      <c r="R171" s="115"/>
      <c r="S171" s="23"/>
      <c r="AT171"/>
    </row>
    <row r="172" spans="1:46" ht="12.5" hidden="1" outlineLevel="1" x14ac:dyDescent="0.25">
      <c r="A172" s="22"/>
      <c r="B172" s="469">
        <v>4</v>
      </c>
      <c r="C172" s="476">
        <v>0</v>
      </c>
      <c r="D172" s="476">
        <v>0</v>
      </c>
      <c r="E172" s="476">
        <v>0</v>
      </c>
      <c r="F172" s="476">
        <v>0</v>
      </c>
      <c r="G172" s="476">
        <v>0</v>
      </c>
      <c r="H172" s="476">
        <v>0</v>
      </c>
      <c r="I172" s="476">
        <v>0</v>
      </c>
      <c r="J172" s="476">
        <v>0</v>
      </c>
      <c r="L172" s="115"/>
      <c r="M172" s="115"/>
      <c r="N172" s="115"/>
      <c r="O172" s="115"/>
      <c r="P172" s="115"/>
      <c r="Q172" s="115"/>
      <c r="R172" s="115"/>
      <c r="S172" s="23"/>
      <c r="AT172"/>
    </row>
    <row r="173" spans="1:46" ht="12.5" hidden="1" outlineLevel="1" x14ac:dyDescent="0.25">
      <c r="A173" s="22"/>
      <c r="B173" s="469">
        <v>5</v>
      </c>
      <c r="C173" s="476">
        <v>0</v>
      </c>
      <c r="D173" s="476">
        <v>0</v>
      </c>
      <c r="E173" s="476">
        <v>0</v>
      </c>
      <c r="F173" s="476">
        <v>0</v>
      </c>
      <c r="G173" s="476">
        <v>0</v>
      </c>
      <c r="H173" s="476">
        <v>0</v>
      </c>
      <c r="I173" s="476">
        <v>0</v>
      </c>
      <c r="J173" s="476">
        <v>0</v>
      </c>
      <c r="L173" s="115"/>
      <c r="M173" s="115"/>
      <c r="N173" s="115"/>
      <c r="O173" s="115"/>
      <c r="P173" s="115"/>
      <c r="Q173" s="115"/>
      <c r="R173" s="115"/>
      <c r="S173" s="23"/>
      <c r="AT173"/>
    </row>
    <row r="174" spans="1:46" ht="12.5" hidden="1" outlineLevel="1" x14ac:dyDescent="0.25">
      <c r="A174" s="22"/>
      <c r="B174" s="469">
        <v>6</v>
      </c>
      <c r="C174" s="476">
        <v>0</v>
      </c>
      <c r="D174" s="476">
        <v>0</v>
      </c>
      <c r="E174" s="476">
        <v>0</v>
      </c>
      <c r="F174" s="476">
        <v>0</v>
      </c>
      <c r="G174" s="476">
        <v>0</v>
      </c>
      <c r="H174" s="476">
        <v>0</v>
      </c>
      <c r="I174" s="476">
        <v>0</v>
      </c>
      <c r="J174" s="476">
        <v>0</v>
      </c>
      <c r="M174" s="115"/>
      <c r="N174" s="115"/>
      <c r="O174" s="115"/>
      <c r="P174" s="115"/>
      <c r="Q174" s="115"/>
      <c r="R174" s="115"/>
      <c r="S174" s="23"/>
      <c r="AT174"/>
    </row>
    <row r="175" spans="1:46" ht="12.5" hidden="1" outlineLevel="1" x14ac:dyDescent="0.25">
      <c r="A175" s="22"/>
      <c r="B175" s="469">
        <v>7</v>
      </c>
      <c r="C175" s="476">
        <v>0</v>
      </c>
      <c r="D175" s="476">
        <v>0</v>
      </c>
      <c r="E175" s="476">
        <v>0</v>
      </c>
      <c r="F175" s="476">
        <v>0</v>
      </c>
      <c r="G175" s="476">
        <v>0</v>
      </c>
      <c r="H175" s="476">
        <v>0</v>
      </c>
      <c r="I175" s="476">
        <v>0</v>
      </c>
      <c r="J175" s="476">
        <v>0</v>
      </c>
      <c r="L175" s="115"/>
      <c r="M175" s="115"/>
      <c r="N175" s="115"/>
      <c r="O175" s="115"/>
      <c r="P175" s="115"/>
      <c r="Q175" s="115"/>
      <c r="R175" s="115"/>
      <c r="S175" s="23"/>
      <c r="AT175"/>
    </row>
    <row r="176" spans="1:46" ht="12.5" hidden="1" outlineLevel="1" x14ac:dyDescent="0.25">
      <c r="A176" s="22"/>
      <c r="B176" s="469">
        <v>8</v>
      </c>
      <c r="C176" s="476">
        <v>0</v>
      </c>
      <c r="D176" s="476">
        <v>0</v>
      </c>
      <c r="E176" s="476">
        <v>0</v>
      </c>
      <c r="F176" s="476">
        <v>0</v>
      </c>
      <c r="G176" s="476">
        <v>0</v>
      </c>
      <c r="H176" s="476">
        <v>0</v>
      </c>
      <c r="I176" s="476">
        <v>0</v>
      </c>
      <c r="J176" s="476">
        <v>0</v>
      </c>
      <c r="L176" s="115"/>
      <c r="M176" s="115"/>
      <c r="N176" s="115"/>
      <c r="O176" s="115"/>
      <c r="P176" s="115"/>
      <c r="Q176" s="115"/>
      <c r="R176" s="115"/>
      <c r="S176" s="23"/>
      <c r="AT176"/>
    </row>
    <row r="177" spans="1:46" ht="12.5" hidden="1" outlineLevel="1" x14ac:dyDescent="0.25">
      <c r="A177" s="22"/>
      <c r="B177" s="469">
        <v>9</v>
      </c>
      <c r="C177" s="476">
        <v>0</v>
      </c>
      <c r="D177" s="476">
        <v>0</v>
      </c>
      <c r="E177" s="476">
        <v>0</v>
      </c>
      <c r="F177" s="476">
        <v>0</v>
      </c>
      <c r="G177" s="476">
        <v>0</v>
      </c>
      <c r="H177" s="476">
        <v>0</v>
      </c>
      <c r="I177" s="476">
        <v>0</v>
      </c>
      <c r="J177" s="476">
        <v>0</v>
      </c>
      <c r="L177" s="115"/>
      <c r="M177" s="115"/>
      <c r="N177" s="115"/>
      <c r="O177" s="115"/>
      <c r="P177" s="115"/>
      <c r="Q177" s="115"/>
      <c r="R177" s="115"/>
      <c r="S177" s="23"/>
      <c r="AT177"/>
    </row>
    <row r="178" spans="1:46" ht="12.5" hidden="1" outlineLevel="1" x14ac:dyDescent="0.25">
      <c r="A178" s="22"/>
      <c r="B178" s="469">
        <v>10</v>
      </c>
      <c r="C178" s="476">
        <v>0</v>
      </c>
      <c r="D178" s="476">
        <v>0</v>
      </c>
      <c r="E178" s="476">
        <v>0</v>
      </c>
      <c r="F178" s="476">
        <v>0</v>
      </c>
      <c r="G178" s="476">
        <v>0</v>
      </c>
      <c r="H178" s="476">
        <v>0</v>
      </c>
      <c r="I178" s="476">
        <v>0</v>
      </c>
      <c r="J178" s="476">
        <v>0</v>
      </c>
      <c r="L178" s="115"/>
      <c r="M178" s="115"/>
      <c r="N178" s="115"/>
      <c r="O178" s="115"/>
      <c r="P178" s="115"/>
      <c r="Q178" s="115"/>
      <c r="R178" s="115"/>
      <c r="S178" s="23"/>
      <c r="AT178"/>
    </row>
    <row r="179" spans="1:46" ht="12.5" hidden="1" outlineLevel="1" x14ac:dyDescent="0.25">
      <c r="A179" s="22"/>
      <c r="B179" s="469">
        <v>11</v>
      </c>
      <c r="C179" s="476">
        <v>0</v>
      </c>
      <c r="D179" s="476">
        <v>0</v>
      </c>
      <c r="E179" s="476">
        <v>0</v>
      </c>
      <c r="F179" s="476">
        <v>0</v>
      </c>
      <c r="G179" s="476">
        <v>0</v>
      </c>
      <c r="H179" s="476">
        <v>0</v>
      </c>
      <c r="I179" s="476">
        <v>0</v>
      </c>
      <c r="J179" s="476">
        <v>0</v>
      </c>
      <c r="L179" s="115"/>
      <c r="M179" s="115"/>
      <c r="N179" s="115"/>
      <c r="O179" s="115"/>
      <c r="P179" s="115"/>
      <c r="Q179" s="115"/>
      <c r="R179" s="115"/>
      <c r="S179" s="23"/>
      <c r="AT179"/>
    </row>
    <row r="180" spans="1:46" ht="12.5" hidden="1" outlineLevel="1" x14ac:dyDescent="0.25">
      <c r="A180" s="22"/>
      <c r="B180" s="469">
        <v>12</v>
      </c>
      <c r="C180" s="476">
        <v>0</v>
      </c>
      <c r="D180" s="476">
        <v>0</v>
      </c>
      <c r="E180" s="476">
        <v>0</v>
      </c>
      <c r="F180" s="476">
        <v>0</v>
      </c>
      <c r="G180" s="476">
        <v>0</v>
      </c>
      <c r="H180" s="476">
        <v>0</v>
      </c>
      <c r="I180" s="476">
        <v>0</v>
      </c>
      <c r="J180" s="476">
        <v>0</v>
      </c>
      <c r="L180" s="115"/>
      <c r="M180" s="115"/>
      <c r="N180" s="115"/>
      <c r="O180" s="115"/>
      <c r="P180" s="115"/>
      <c r="Q180" s="115"/>
      <c r="R180" s="115"/>
      <c r="S180" s="23"/>
      <c r="AT180"/>
    </row>
    <row r="181" spans="1:46" ht="12.5" hidden="1" outlineLevel="1" x14ac:dyDescent="0.25">
      <c r="A181" s="22"/>
      <c r="B181" s="469">
        <v>13</v>
      </c>
      <c r="C181" s="476">
        <v>0</v>
      </c>
      <c r="D181" s="476">
        <v>0</v>
      </c>
      <c r="E181" s="476">
        <v>0</v>
      </c>
      <c r="F181" s="476">
        <v>0</v>
      </c>
      <c r="G181" s="476">
        <v>0</v>
      </c>
      <c r="H181" s="476">
        <v>0</v>
      </c>
      <c r="I181" s="476">
        <v>0</v>
      </c>
      <c r="J181" s="476">
        <v>0</v>
      </c>
      <c r="L181" s="115"/>
      <c r="M181" s="115"/>
      <c r="N181" s="115"/>
      <c r="O181" s="115"/>
      <c r="P181" s="115"/>
      <c r="Q181" s="115"/>
      <c r="R181" s="115"/>
      <c r="S181" s="23"/>
      <c r="AT181"/>
    </row>
    <row r="182" spans="1:46" ht="12.5" hidden="1" outlineLevel="1" x14ac:dyDescent="0.25">
      <c r="A182" s="22"/>
      <c r="B182" s="469">
        <v>14</v>
      </c>
      <c r="C182" s="476">
        <v>0</v>
      </c>
      <c r="D182" s="476">
        <v>0</v>
      </c>
      <c r="E182" s="476">
        <v>0</v>
      </c>
      <c r="F182" s="476">
        <v>0</v>
      </c>
      <c r="G182" s="476">
        <v>0</v>
      </c>
      <c r="H182" s="476">
        <v>0</v>
      </c>
      <c r="I182" s="476">
        <v>0</v>
      </c>
      <c r="J182" s="476">
        <v>0</v>
      </c>
      <c r="L182" s="115"/>
      <c r="M182" s="115"/>
      <c r="N182" s="115"/>
      <c r="O182" s="115"/>
      <c r="P182" s="115"/>
      <c r="Q182" s="115"/>
      <c r="R182" s="115"/>
      <c r="S182" s="23"/>
      <c r="AT182"/>
    </row>
    <row r="183" spans="1:46" ht="12.5" hidden="1" outlineLevel="1" x14ac:dyDescent="0.25">
      <c r="A183" s="22"/>
      <c r="B183" s="469">
        <v>15</v>
      </c>
      <c r="C183" s="476">
        <v>0</v>
      </c>
      <c r="D183" s="476">
        <v>0</v>
      </c>
      <c r="E183" s="476">
        <v>0</v>
      </c>
      <c r="F183" s="476">
        <v>0</v>
      </c>
      <c r="G183" s="476">
        <v>0</v>
      </c>
      <c r="H183" s="476">
        <v>0</v>
      </c>
      <c r="I183" s="476">
        <v>0</v>
      </c>
      <c r="J183" s="476">
        <v>0</v>
      </c>
      <c r="L183" s="115"/>
      <c r="M183" s="115"/>
      <c r="N183" s="115"/>
      <c r="O183" s="115"/>
      <c r="P183" s="115"/>
      <c r="Q183" s="115"/>
      <c r="R183" s="115"/>
      <c r="S183" s="23"/>
      <c r="AT183"/>
    </row>
    <row r="184" spans="1:46" ht="12.5" hidden="1" outlineLevel="1" x14ac:dyDescent="0.25">
      <c r="A184" s="22"/>
      <c r="B184" s="469"/>
      <c r="C184" s="480"/>
      <c r="D184" s="480"/>
      <c r="E184" s="480"/>
      <c r="F184" s="480"/>
      <c r="G184" s="480"/>
      <c r="H184" s="480"/>
      <c r="I184" s="480"/>
      <c r="J184" s="480"/>
      <c r="L184" s="115"/>
      <c r="M184" s="115"/>
      <c r="N184" s="115"/>
      <c r="O184" s="115"/>
      <c r="P184" s="115"/>
      <c r="Q184" s="115"/>
      <c r="R184" s="115"/>
      <c r="S184" s="23"/>
      <c r="AT184"/>
    </row>
    <row r="185" spans="1:46" ht="12.5" hidden="1" outlineLevel="1" x14ac:dyDescent="0.25">
      <c r="A185" s="22"/>
      <c r="B185" s="469"/>
      <c r="C185" s="481" t="s">
        <v>263</v>
      </c>
      <c r="D185" s="480"/>
      <c r="E185" s="480"/>
      <c r="F185" s="480"/>
      <c r="G185" s="480"/>
      <c r="H185" s="480"/>
      <c r="I185" s="480"/>
      <c r="J185" s="480"/>
      <c r="L185" s="115"/>
      <c r="M185" s="482" t="s">
        <v>262</v>
      </c>
      <c r="N185" s="115"/>
      <c r="O185" s="115"/>
      <c r="P185" s="115"/>
      <c r="Q185" s="115"/>
      <c r="R185" s="115"/>
      <c r="S185" s="23"/>
      <c r="AT185"/>
    </row>
    <row r="186" spans="1:46" ht="12.5" hidden="1" outlineLevel="1" x14ac:dyDescent="0.25">
      <c r="A186" s="22"/>
      <c r="B186" s="483" t="str">
        <f>Mijlpalenbegroting!B15</f>
        <v>Investering in primaire netten</v>
      </c>
      <c r="C186" s="484">
        <f>$C$168</f>
        <v>1900</v>
      </c>
      <c r="D186" s="485">
        <f>$D$168</f>
        <v>1901</v>
      </c>
      <c r="E186" s="485">
        <f>$E$168</f>
        <v>1902</v>
      </c>
      <c r="F186" s="485">
        <f>$F$168</f>
        <v>1903</v>
      </c>
      <c r="G186" s="485">
        <f>$G$168</f>
        <v>1904</v>
      </c>
      <c r="H186" s="485">
        <f>$H$168</f>
        <v>1905</v>
      </c>
      <c r="I186" s="485">
        <f>$I$168</f>
        <v>1906</v>
      </c>
      <c r="J186" s="485">
        <f>$J$168</f>
        <v>1907</v>
      </c>
      <c r="K186" s="486" t="s">
        <v>335</v>
      </c>
      <c r="L186" s="479">
        <f>B168</f>
        <v>0</v>
      </c>
      <c r="M186" s="484">
        <f>$C$168</f>
        <v>1900</v>
      </c>
      <c r="N186" s="485">
        <f>$D$168</f>
        <v>1901</v>
      </c>
      <c r="O186" s="485">
        <f>$E$168</f>
        <v>1902</v>
      </c>
      <c r="P186" s="485">
        <f>$F$168</f>
        <v>1903</v>
      </c>
      <c r="Q186" s="485">
        <f>$G$168</f>
        <v>1904</v>
      </c>
      <c r="R186" s="485">
        <f>$H$168</f>
        <v>1905</v>
      </c>
      <c r="S186" s="485">
        <f>$I$168</f>
        <v>1906</v>
      </c>
      <c r="T186" s="485">
        <f>$J$168</f>
        <v>1907</v>
      </c>
      <c r="U186" s="486" t="s">
        <v>335</v>
      </c>
      <c r="AT186"/>
    </row>
    <row r="187" spans="1:46" ht="12.5" hidden="1" outlineLevel="1" x14ac:dyDescent="0.25">
      <c r="A187" s="22"/>
      <c r="B187" s="469">
        <f>$B$169</f>
        <v>1</v>
      </c>
      <c r="C187" s="487" cm="1">
        <f t="array" ref="C187">SUMPRODUCT( (Mijlpalenbegroting!$B$18:$B$34=$B187) * (Mijlpalenbegroting!$J$18:$J$34) )*C169</f>
        <v>0</v>
      </c>
      <c r="D187" s="487" cm="1">
        <f t="array" ref="D187">SUMPRODUCT( (Mijlpalenbegroting!$B$18:$B$34=$B187) * (Mijlpalenbegroting!$J$18:$J$34) )*D169</f>
        <v>0</v>
      </c>
      <c r="E187" s="487" cm="1">
        <f t="array" ref="E187">SUMPRODUCT( (Mijlpalenbegroting!$B$18:$B$34=$B187) * (Mijlpalenbegroting!$J$18:$J$34) )*E169</f>
        <v>0</v>
      </c>
      <c r="F187" s="487" cm="1">
        <f t="array" ref="F187">SUMPRODUCT( (Mijlpalenbegroting!$B$18:$B$34=$B187) * (Mijlpalenbegroting!$J$18:$J$34) )*F169</f>
        <v>0</v>
      </c>
      <c r="G187" s="487" cm="1">
        <f t="array" ref="G187">SUMPRODUCT( (Mijlpalenbegroting!$B$18:$B$34=$B187) * (Mijlpalenbegroting!$J$18:$J$34) )*G169</f>
        <v>0</v>
      </c>
      <c r="H187" s="487" cm="1">
        <f t="array" ref="H187">SUMPRODUCT( (Mijlpalenbegroting!$B$18:$B$34=$B187) * (Mijlpalenbegroting!$J$18:$J$34) )*H169</f>
        <v>0</v>
      </c>
      <c r="I187" s="487" cm="1">
        <f t="array" ref="I187">SUMPRODUCT( (Mijlpalenbegroting!$B$18:$B$34=$B187) * (Mijlpalenbegroting!$J$18:$J$34) )*I169</f>
        <v>0</v>
      </c>
      <c r="J187" s="487" cm="1">
        <f t="array" ref="J187">SUMPRODUCT( (Mijlpalenbegroting!$B$18:$B$34=$B187) * (Mijlpalenbegroting!$J$18:$J$34) )*J169</f>
        <v>0</v>
      </c>
      <c r="K187" s="488">
        <f>SUM(C187:J187)</f>
        <v>0</v>
      </c>
      <c r="L187" s="469">
        <f>$B$169</f>
        <v>1</v>
      </c>
      <c r="M187" s="487" cm="1">
        <f t="array" ref="M187">SUMPRODUCT( (Mijlpalenbegroting!$B$18:$B$34=$B187) * (Mijlpalenbegroting!$I$18:$I$34) )*C169</f>
        <v>0</v>
      </c>
      <c r="N187" s="487" cm="1">
        <f t="array" ref="N187">SUMPRODUCT( (Mijlpalenbegroting!$B$18:$B$34=$B187) * (Mijlpalenbegroting!$I$18:$I$34) )*D169</f>
        <v>0</v>
      </c>
      <c r="O187" s="487" cm="1">
        <f t="array" ref="O187">SUMPRODUCT( (Mijlpalenbegroting!$B$18:$B$34=$B187) * (Mijlpalenbegroting!$I$18:$I$34) )*E169</f>
        <v>0</v>
      </c>
      <c r="P187" s="487" cm="1">
        <f t="array" ref="P187">SUMPRODUCT( (Mijlpalenbegroting!$B$18:$B$34=$B187) * (Mijlpalenbegroting!$I$18:$I$34) )*F169</f>
        <v>0</v>
      </c>
      <c r="Q187" s="487" cm="1">
        <f t="array" ref="Q187">SUMPRODUCT( (Mijlpalenbegroting!$B$18:$B$34=$B187) * (Mijlpalenbegroting!$I$18:$I$34) )*G169</f>
        <v>0</v>
      </c>
      <c r="R187" s="487" cm="1">
        <f t="array" ref="R187">SUMPRODUCT( (Mijlpalenbegroting!$B$18:$B$34=$B187) * (Mijlpalenbegroting!$I$18:$I$34) )*H169</f>
        <v>0</v>
      </c>
      <c r="S187" s="487" cm="1">
        <f t="array" ref="S187">SUMPRODUCT( (Mijlpalenbegroting!$B$18:$B$34=$B187) * (Mijlpalenbegroting!$I$18:$I$34) )*I169</f>
        <v>0</v>
      </c>
      <c r="T187" s="487" cm="1">
        <f t="array" ref="T187">SUMPRODUCT( (Mijlpalenbegroting!$B$18:$B$34=$B187) * (Mijlpalenbegroting!$I$18:$I$34) )*J169</f>
        <v>0</v>
      </c>
      <c r="U187" s="488">
        <f>SUM(M187:T187)</f>
        <v>0</v>
      </c>
      <c r="AT187"/>
    </row>
    <row r="188" spans="1:46" ht="12.5" hidden="1" outlineLevel="1" x14ac:dyDescent="0.25">
      <c r="A188" s="22"/>
      <c r="B188" s="469">
        <f>$B$170</f>
        <v>2</v>
      </c>
      <c r="C188" s="487" cm="1">
        <f t="array" ref="C188">SUMPRODUCT( (Mijlpalenbegroting!$B$18:$B$34=$B188) * (Mijlpalenbegroting!$J$18:$J$34) )*C170</f>
        <v>0</v>
      </c>
      <c r="D188" s="487" cm="1">
        <f t="array" ref="D188">SUMPRODUCT( (Mijlpalenbegroting!$B$18:$B$34=$B188) * (Mijlpalenbegroting!$J$18:$J$34) )*D170</f>
        <v>0</v>
      </c>
      <c r="E188" s="487" cm="1">
        <f t="array" ref="E188">SUMPRODUCT( (Mijlpalenbegroting!$B$18:$B$34=$B188) * (Mijlpalenbegroting!$J$18:$J$34) )*E170</f>
        <v>0</v>
      </c>
      <c r="F188" s="487" cm="1">
        <f t="array" ref="F188">SUMPRODUCT( (Mijlpalenbegroting!$B$18:$B$34=$B188) * (Mijlpalenbegroting!$J$18:$J$34) )*F170</f>
        <v>0</v>
      </c>
      <c r="G188" s="487" cm="1">
        <f t="array" ref="G188">SUMPRODUCT( (Mijlpalenbegroting!$B$18:$B$34=$B188) * (Mijlpalenbegroting!$J$18:$J$34) )*G170</f>
        <v>0</v>
      </c>
      <c r="H188" s="487" cm="1">
        <f t="array" ref="H188">SUMPRODUCT( (Mijlpalenbegroting!$B$18:$B$34=$B188) * (Mijlpalenbegroting!$J$18:$J$34) )*H170</f>
        <v>0</v>
      </c>
      <c r="I188" s="487" cm="1">
        <f t="array" ref="I188">SUMPRODUCT( (Mijlpalenbegroting!$B$18:$B$34=$B188) * (Mijlpalenbegroting!$J$18:$J$34) )*I170</f>
        <v>0</v>
      </c>
      <c r="J188" s="487" cm="1">
        <f t="array" ref="J188">SUMPRODUCT( (Mijlpalenbegroting!$B$18:$B$34=$B188) * (Mijlpalenbegroting!$J$18:$J$34) )*J170</f>
        <v>0</v>
      </c>
      <c r="K188" s="488">
        <f t="shared" ref="K188:K202" si="23">SUM(C188:J188)</f>
        <v>0</v>
      </c>
      <c r="L188" s="469">
        <f>$B$170</f>
        <v>2</v>
      </c>
      <c r="M188" s="487" cm="1">
        <f t="array" ref="M188">SUMPRODUCT( (Mijlpalenbegroting!$B$18:$B$34=$B188) * (Mijlpalenbegroting!$I$18:$I$34) )*C170</f>
        <v>0</v>
      </c>
      <c r="N188" s="487" cm="1">
        <f t="array" ref="N188">SUMPRODUCT( (Mijlpalenbegroting!$B$18:$B$34=$B188) * (Mijlpalenbegroting!$I$18:$I$34) )*D170</f>
        <v>0</v>
      </c>
      <c r="O188" s="487" cm="1">
        <f t="array" ref="O188">SUMPRODUCT( (Mijlpalenbegroting!$B$18:$B$34=$B188) * (Mijlpalenbegroting!$I$18:$I$34) )*E170</f>
        <v>0</v>
      </c>
      <c r="P188" s="487" cm="1">
        <f t="array" ref="P188">SUMPRODUCT( (Mijlpalenbegroting!$B$18:$B$34=$B188) * (Mijlpalenbegroting!$I$18:$I$34) )*F170</f>
        <v>0</v>
      </c>
      <c r="Q188" s="487" cm="1">
        <f t="array" ref="Q188">SUMPRODUCT( (Mijlpalenbegroting!$B$18:$B$34=$B188) * (Mijlpalenbegroting!$I$18:$I$34) )*G170</f>
        <v>0</v>
      </c>
      <c r="R188" s="487" cm="1">
        <f t="array" ref="R188">SUMPRODUCT( (Mijlpalenbegroting!$B$18:$B$34=$B188) * (Mijlpalenbegroting!$I$18:$I$34) )*H170</f>
        <v>0</v>
      </c>
      <c r="S188" s="487" cm="1">
        <f t="array" ref="S188">SUMPRODUCT( (Mijlpalenbegroting!$B$18:$B$34=$B188) * (Mijlpalenbegroting!$I$18:$I$34) )*I170</f>
        <v>0</v>
      </c>
      <c r="T188" s="487" cm="1">
        <f t="array" ref="T188">SUMPRODUCT( (Mijlpalenbegroting!$B$18:$B$34=$B188) * (Mijlpalenbegroting!$I$18:$I$34) )*J170</f>
        <v>0</v>
      </c>
      <c r="U188" s="488">
        <f t="shared" ref="U188:U202" si="24">SUM(M188:T188)</f>
        <v>0</v>
      </c>
      <c r="AT188"/>
    </row>
    <row r="189" spans="1:46" ht="12.5" hidden="1" outlineLevel="1" x14ac:dyDescent="0.25">
      <c r="A189" s="22"/>
      <c r="B189" s="469">
        <f>$B$171</f>
        <v>3</v>
      </c>
      <c r="C189" s="487" cm="1">
        <f t="array" ref="C189">SUMPRODUCT( (Mijlpalenbegroting!$B$18:$B$34=$B189) * (Mijlpalenbegroting!$J$18:$J$34) )*C171</f>
        <v>0</v>
      </c>
      <c r="D189" s="487" cm="1">
        <f t="array" ref="D189">SUMPRODUCT( (Mijlpalenbegroting!$B$18:$B$34=$B189) * (Mijlpalenbegroting!$J$18:$J$34) )*D171</f>
        <v>0</v>
      </c>
      <c r="E189" s="487" cm="1">
        <f t="array" ref="E189">SUMPRODUCT( (Mijlpalenbegroting!$B$18:$B$34=$B189) * (Mijlpalenbegroting!$J$18:$J$34) )*E171</f>
        <v>0</v>
      </c>
      <c r="F189" s="487" cm="1">
        <f t="array" ref="F189">SUMPRODUCT( (Mijlpalenbegroting!$B$18:$B$34=$B189) * (Mijlpalenbegroting!$J$18:$J$34) )*F171</f>
        <v>0</v>
      </c>
      <c r="G189" s="487" cm="1">
        <f t="array" ref="G189">SUMPRODUCT( (Mijlpalenbegroting!$B$18:$B$34=$B189) * (Mijlpalenbegroting!$J$18:$J$34) )*G171</f>
        <v>0</v>
      </c>
      <c r="H189" s="487" cm="1">
        <f t="array" ref="H189">SUMPRODUCT( (Mijlpalenbegroting!$B$18:$B$34=$B189) * (Mijlpalenbegroting!$J$18:$J$34) )*H171</f>
        <v>0</v>
      </c>
      <c r="I189" s="487" cm="1">
        <f t="array" ref="I189">SUMPRODUCT( (Mijlpalenbegroting!$B$18:$B$34=$B189) * (Mijlpalenbegroting!$J$18:$J$34) )*I171</f>
        <v>0</v>
      </c>
      <c r="J189" s="487" cm="1">
        <f t="array" ref="J189">SUMPRODUCT( (Mijlpalenbegroting!$B$18:$B$34=$B189) * (Mijlpalenbegroting!$J$18:$J$34) )*J171</f>
        <v>0</v>
      </c>
      <c r="K189" s="488">
        <f t="shared" si="23"/>
        <v>0</v>
      </c>
      <c r="L189" s="469">
        <f>$B$171</f>
        <v>3</v>
      </c>
      <c r="M189" s="487" cm="1">
        <f t="array" ref="M189">SUMPRODUCT( (Mijlpalenbegroting!$B$18:$B$34=$B189) * (Mijlpalenbegroting!$I$18:$I$34) )*C171</f>
        <v>0</v>
      </c>
      <c r="N189" s="487" cm="1">
        <f t="array" ref="N189">SUMPRODUCT( (Mijlpalenbegroting!$B$18:$B$34=$B189) * (Mijlpalenbegroting!$I$18:$I$34) )*D171</f>
        <v>0</v>
      </c>
      <c r="O189" s="487" cm="1">
        <f t="array" ref="O189">SUMPRODUCT( (Mijlpalenbegroting!$B$18:$B$34=$B189) * (Mijlpalenbegroting!$I$18:$I$34) )*E171</f>
        <v>0</v>
      </c>
      <c r="P189" s="487" cm="1">
        <f t="array" ref="P189">SUMPRODUCT( (Mijlpalenbegroting!$B$18:$B$34=$B189) * (Mijlpalenbegroting!$I$18:$I$34) )*F171</f>
        <v>0</v>
      </c>
      <c r="Q189" s="487" cm="1">
        <f t="array" ref="Q189">SUMPRODUCT( (Mijlpalenbegroting!$B$18:$B$34=$B189) * (Mijlpalenbegroting!$I$18:$I$34) )*G171</f>
        <v>0</v>
      </c>
      <c r="R189" s="487" cm="1">
        <f t="array" ref="R189">SUMPRODUCT( (Mijlpalenbegroting!$B$18:$B$34=$B189) * (Mijlpalenbegroting!$I$18:$I$34) )*H171</f>
        <v>0</v>
      </c>
      <c r="S189" s="487" cm="1">
        <f t="array" ref="S189">SUMPRODUCT( (Mijlpalenbegroting!$B$18:$B$34=$B189) * (Mijlpalenbegroting!$I$18:$I$34) )*I171</f>
        <v>0</v>
      </c>
      <c r="T189" s="487" cm="1">
        <f t="array" ref="T189">SUMPRODUCT( (Mijlpalenbegroting!$B$18:$B$34=$B189) * (Mijlpalenbegroting!$I$18:$I$34) )*J171</f>
        <v>0</v>
      </c>
      <c r="U189" s="488">
        <f t="shared" si="24"/>
        <v>0</v>
      </c>
      <c r="AT189"/>
    </row>
    <row r="190" spans="1:46" ht="12.5" hidden="1" outlineLevel="1" x14ac:dyDescent="0.25">
      <c r="A190" s="22"/>
      <c r="B190" s="469">
        <f>$B$172</f>
        <v>4</v>
      </c>
      <c r="C190" s="487" cm="1">
        <f t="array" ref="C190">SUMPRODUCT( (Mijlpalenbegroting!$B$18:$B$34=$B190) * (Mijlpalenbegroting!$J$18:$J$34) )*C172</f>
        <v>0</v>
      </c>
      <c r="D190" s="487" cm="1">
        <f t="array" ref="D190">SUMPRODUCT( (Mijlpalenbegroting!$B$18:$B$34=$B190) * (Mijlpalenbegroting!$J$18:$J$34) )*D172</f>
        <v>0</v>
      </c>
      <c r="E190" s="487" cm="1">
        <f t="array" ref="E190">SUMPRODUCT( (Mijlpalenbegroting!$B$18:$B$34=$B190) * (Mijlpalenbegroting!$J$18:$J$34) )*E172</f>
        <v>0</v>
      </c>
      <c r="F190" s="487" cm="1">
        <f t="array" ref="F190">SUMPRODUCT( (Mijlpalenbegroting!$B$18:$B$34=$B190) * (Mijlpalenbegroting!$J$18:$J$34) )*F172</f>
        <v>0</v>
      </c>
      <c r="G190" s="487" cm="1">
        <f t="array" ref="G190">SUMPRODUCT( (Mijlpalenbegroting!$B$18:$B$34=$B190) * (Mijlpalenbegroting!$J$18:$J$34) )*G172</f>
        <v>0</v>
      </c>
      <c r="H190" s="487" cm="1">
        <f t="array" ref="H190">SUMPRODUCT( (Mijlpalenbegroting!$B$18:$B$34=$B190) * (Mijlpalenbegroting!$J$18:$J$34) )*H172</f>
        <v>0</v>
      </c>
      <c r="I190" s="487" cm="1">
        <f t="array" ref="I190">SUMPRODUCT( (Mijlpalenbegroting!$B$18:$B$34=$B190) * (Mijlpalenbegroting!$J$18:$J$34) )*I172</f>
        <v>0</v>
      </c>
      <c r="J190" s="487" cm="1">
        <f t="array" ref="J190">SUMPRODUCT( (Mijlpalenbegroting!$B$18:$B$34=$B190) * (Mijlpalenbegroting!$J$18:$J$34) )*J172</f>
        <v>0</v>
      </c>
      <c r="K190" s="488">
        <f t="shared" si="23"/>
        <v>0</v>
      </c>
      <c r="L190" s="469">
        <f>$B$172</f>
        <v>4</v>
      </c>
      <c r="M190" s="487" cm="1">
        <f t="array" ref="M190">SUMPRODUCT( (Mijlpalenbegroting!$B$18:$B$34=$B190) * (Mijlpalenbegroting!$I$18:$I$34) )*C172</f>
        <v>0</v>
      </c>
      <c r="N190" s="487" cm="1">
        <f t="array" ref="N190">SUMPRODUCT( (Mijlpalenbegroting!$B$18:$B$34=$B190) * (Mijlpalenbegroting!$I$18:$I$34) )*D172</f>
        <v>0</v>
      </c>
      <c r="O190" s="487" cm="1">
        <f t="array" ref="O190">SUMPRODUCT( (Mijlpalenbegroting!$B$18:$B$34=$B190) * (Mijlpalenbegroting!$I$18:$I$34) )*E172</f>
        <v>0</v>
      </c>
      <c r="P190" s="487" cm="1">
        <f t="array" ref="P190">SUMPRODUCT( (Mijlpalenbegroting!$B$18:$B$34=$B190) * (Mijlpalenbegroting!$I$18:$I$34) )*F172</f>
        <v>0</v>
      </c>
      <c r="Q190" s="487" cm="1">
        <f t="array" ref="Q190">SUMPRODUCT( (Mijlpalenbegroting!$B$18:$B$34=$B190) * (Mijlpalenbegroting!$I$18:$I$34) )*G172</f>
        <v>0</v>
      </c>
      <c r="R190" s="487" cm="1">
        <f t="array" ref="R190">SUMPRODUCT( (Mijlpalenbegroting!$B$18:$B$34=$B190) * (Mijlpalenbegroting!$I$18:$I$34) )*H172</f>
        <v>0</v>
      </c>
      <c r="S190" s="487" cm="1">
        <f t="array" ref="S190">SUMPRODUCT( (Mijlpalenbegroting!$B$18:$B$34=$B190) * (Mijlpalenbegroting!$I$18:$I$34) )*I172</f>
        <v>0</v>
      </c>
      <c r="T190" s="487" cm="1">
        <f t="array" ref="T190">SUMPRODUCT( (Mijlpalenbegroting!$B$18:$B$34=$B190) * (Mijlpalenbegroting!$I$18:$I$34) )*J172</f>
        <v>0</v>
      </c>
      <c r="U190" s="488">
        <f t="shared" si="24"/>
        <v>0</v>
      </c>
      <c r="AT190"/>
    </row>
    <row r="191" spans="1:46" ht="12.5" hidden="1" outlineLevel="1" x14ac:dyDescent="0.25">
      <c r="A191" s="22"/>
      <c r="B191" s="469">
        <f>$B$173</f>
        <v>5</v>
      </c>
      <c r="C191" s="487" cm="1">
        <f t="array" ref="C191">SUMPRODUCT( (Mijlpalenbegroting!$B$18:$B$34=$B191) * (Mijlpalenbegroting!$J$18:$J$34) )*C173</f>
        <v>0</v>
      </c>
      <c r="D191" s="487" cm="1">
        <f t="array" ref="D191">SUMPRODUCT( (Mijlpalenbegroting!$B$18:$B$34=$B191) * (Mijlpalenbegroting!$J$18:$J$34) )*D173</f>
        <v>0</v>
      </c>
      <c r="E191" s="487" cm="1">
        <f t="array" ref="E191">SUMPRODUCT( (Mijlpalenbegroting!$B$18:$B$34=$B191) * (Mijlpalenbegroting!$J$18:$J$34) )*E173</f>
        <v>0</v>
      </c>
      <c r="F191" s="487" cm="1">
        <f t="array" ref="F191">SUMPRODUCT( (Mijlpalenbegroting!$B$18:$B$34=$B191) * (Mijlpalenbegroting!$J$18:$J$34) )*F173</f>
        <v>0</v>
      </c>
      <c r="G191" s="487" cm="1">
        <f t="array" ref="G191">SUMPRODUCT( (Mijlpalenbegroting!$B$18:$B$34=$B191) * (Mijlpalenbegroting!$J$18:$J$34) )*G173</f>
        <v>0</v>
      </c>
      <c r="H191" s="487" cm="1">
        <f t="array" ref="H191">SUMPRODUCT( (Mijlpalenbegroting!$B$18:$B$34=$B191) * (Mijlpalenbegroting!$J$18:$J$34) )*H173</f>
        <v>0</v>
      </c>
      <c r="I191" s="487" cm="1">
        <f t="array" ref="I191">SUMPRODUCT( (Mijlpalenbegroting!$B$18:$B$34=$B191) * (Mijlpalenbegroting!$J$18:$J$34) )*I173</f>
        <v>0</v>
      </c>
      <c r="J191" s="487" cm="1">
        <f t="array" ref="J191">SUMPRODUCT( (Mijlpalenbegroting!$B$18:$B$34=$B191) * (Mijlpalenbegroting!$J$18:$J$34) )*J173</f>
        <v>0</v>
      </c>
      <c r="K191" s="488">
        <f t="shared" si="23"/>
        <v>0</v>
      </c>
      <c r="L191" s="469">
        <f>$B$173</f>
        <v>5</v>
      </c>
      <c r="M191" s="487" cm="1">
        <f t="array" ref="M191">SUMPRODUCT( (Mijlpalenbegroting!$B$18:$B$34=$B191) * (Mijlpalenbegroting!$I$18:$I$34) )*C173</f>
        <v>0</v>
      </c>
      <c r="N191" s="487" cm="1">
        <f t="array" ref="N191">SUMPRODUCT( (Mijlpalenbegroting!$B$18:$B$34=$B191) * (Mijlpalenbegroting!$I$18:$I$34) )*D173</f>
        <v>0</v>
      </c>
      <c r="O191" s="487" cm="1">
        <f t="array" ref="O191">SUMPRODUCT( (Mijlpalenbegroting!$B$18:$B$34=$B191) * (Mijlpalenbegroting!$I$18:$I$34) )*E173</f>
        <v>0</v>
      </c>
      <c r="P191" s="487" cm="1">
        <f t="array" ref="P191">SUMPRODUCT( (Mijlpalenbegroting!$B$18:$B$34=$B191) * (Mijlpalenbegroting!$I$18:$I$34) )*F173</f>
        <v>0</v>
      </c>
      <c r="Q191" s="487" cm="1">
        <f t="array" ref="Q191">SUMPRODUCT( (Mijlpalenbegroting!$B$18:$B$34=$B191) * (Mijlpalenbegroting!$I$18:$I$34) )*G173</f>
        <v>0</v>
      </c>
      <c r="R191" s="487" cm="1">
        <f t="array" ref="R191">SUMPRODUCT( (Mijlpalenbegroting!$B$18:$B$34=$B191) * (Mijlpalenbegroting!$I$18:$I$34) )*H173</f>
        <v>0</v>
      </c>
      <c r="S191" s="487" cm="1">
        <f t="array" ref="S191">SUMPRODUCT( (Mijlpalenbegroting!$B$18:$B$34=$B191) * (Mijlpalenbegroting!$I$18:$I$34) )*I173</f>
        <v>0</v>
      </c>
      <c r="T191" s="487" cm="1">
        <f t="array" ref="T191">SUMPRODUCT( (Mijlpalenbegroting!$B$18:$B$34=$B191) * (Mijlpalenbegroting!$I$18:$I$34) )*J173</f>
        <v>0</v>
      </c>
      <c r="U191" s="488">
        <f t="shared" si="24"/>
        <v>0</v>
      </c>
      <c r="AT191"/>
    </row>
    <row r="192" spans="1:46" ht="12.5" hidden="1" outlineLevel="1" x14ac:dyDescent="0.25">
      <c r="A192" s="22"/>
      <c r="B192" s="469">
        <f>$B$174</f>
        <v>6</v>
      </c>
      <c r="C192" s="487" cm="1">
        <f t="array" ref="C192">SUMPRODUCT( (Mijlpalenbegroting!$B$18:$B$34=$B192) * (Mijlpalenbegroting!$J$18:$J$34) )*C174</f>
        <v>0</v>
      </c>
      <c r="D192" s="487" cm="1">
        <f t="array" ref="D192">SUMPRODUCT( (Mijlpalenbegroting!$B$18:$B$34=$B192) * (Mijlpalenbegroting!$J$18:$J$34) )*D174</f>
        <v>0</v>
      </c>
      <c r="E192" s="487" cm="1">
        <f t="array" ref="E192">SUMPRODUCT( (Mijlpalenbegroting!$B$18:$B$34=$B192) * (Mijlpalenbegroting!$J$18:$J$34) )*E174</f>
        <v>0</v>
      </c>
      <c r="F192" s="487" cm="1">
        <f t="array" ref="F192">SUMPRODUCT( (Mijlpalenbegroting!$B$18:$B$34=$B192) * (Mijlpalenbegroting!$J$18:$J$34) )*F174</f>
        <v>0</v>
      </c>
      <c r="G192" s="487" cm="1">
        <f t="array" ref="G192">SUMPRODUCT( (Mijlpalenbegroting!$B$18:$B$34=$B192) * (Mijlpalenbegroting!$J$18:$J$34) )*G174</f>
        <v>0</v>
      </c>
      <c r="H192" s="487" cm="1">
        <f t="array" ref="H192">SUMPRODUCT( (Mijlpalenbegroting!$B$18:$B$34=$B192) * (Mijlpalenbegroting!$J$18:$J$34) )*H174</f>
        <v>0</v>
      </c>
      <c r="I192" s="487" cm="1">
        <f t="array" ref="I192">SUMPRODUCT( (Mijlpalenbegroting!$B$18:$B$34=$B192) * (Mijlpalenbegroting!$J$18:$J$34) )*I174</f>
        <v>0</v>
      </c>
      <c r="J192" s="487" cm="1">
        <f t="array" ref="J192">SUMPRODUCT( (Mijlpalenbegroting!$B$18:$B$34=$B192) * (Mijlpalenbegroting!$J$18:$J$34) )*J174</f>
        <v>0</v>
      </c>
      <c r="K192" s="488">
        <f t="shared" si="23"/>
        <v>0</v>
      </c>
      <c r="L192" s="469">
        <f>$B$174</f>
        <v>6</v>
      </c>
      <c r="M192" s="487" cm="1">
        <f t="array" ref="M192">SUMPRODUCT( (Mijlpalenbegroting!$B$18:$B$34=$B192) * (Mijlpalenbegroting!$I$18:$I$34) )*C174</f>
        <v>0</v>
      </c>
      <c r="N192" s="487" cm="1">
        <f t="array" ref="N192">SUMPRODUCT( (Mijlpalenbegroting!$B$18:$B$34=$B192) * (Mijlpalenbegroting!$I$18:$I$34) )*D174</f>
        <v>0</v>
      </c>
      <c r="O192" s="487" cm="1">
        <f t="array" ref="O192">SUMPRODUCT( (Mijlpalenbegroting!$B$18:$B$34=$B192) * (Mijlpalenbegroting!$I$18:$I$34) )*E174</f>
        <v>0</v>
      </c>
      <c r="P192" s="487" cm="1">
        <f t="array" ref="P192">SUMPRODUCT( (Mijlpalenbegroting!$B$18:$B$34=$B192) * (Mijlpalenbegroting!$I$18:$I$34) )*F174</f>
        <v>0</v>
      </c>
      <c r="Q192" s="487" cm="1">
        <f t="array" ref="Q192">SUMPRODUCT( (Mijlpalenbegroting!$B$18:$B$34=$B192) * (Mijlpalenbegroting!$I$18:$I$34) )*G174</f>
        <v>0</v>
      </c>
      <c r="R192" s="487" cm="1">
        <f t="array" ref="R192">SUMPRODUCT( (Mijlpalenbegroting!$B$18:$B$34=$B192) * (Mijlpalenbegroting!$I$18:$I$34) )*H174</f>
        <v>0</v>
      </c>
      <c r="S192" s="487" cm="1">
        <f t="array" ref="S192">SUMPRODUCT( (Mijlpalenbegroting!$B$18:$B$34=$B192) * (Mijlpalenbegroting!$I$18:$I$34) )*I174</f>
        <v>0</v>
      </c>
      <c r="T192" s="487" cm="1">
        <f t="array" ref="T192">SUMPRODUCT( (Mijlpalenbegroting!$B$18:$B$34=$B192) * (Mijlpalenbegroting!$I$18:$I$34) )*J174</f>
        <v>0</v>
      </c>
      <c r="U192" s="488">
        <f t="shared" si="24"/>
        <v>0</v>
      </c>
      <c r="AT192"/>
    </row>
    <row r="193" spans="1:46" ht="12.5" hidden="1" outlineLevel="1" x14ac:dyDescent="0.25">
      <c r="A193" s="22"/>
      <c r="B193" s="469">
        <f>$B$175</f>
        <v>7</v>
      </c>
      <c r="C193" s="487" cm="1">
        <f t="array" ref="C193">SUMPRODUCT( (Mijlpalenbegroting!$B$18:$B$34=$B193) * (Mijlpalenbegroting!$J$18:$J$34) )*C175</f>
        <v>0</v>
      </c>
      <c r="D193" s="487" cm="1">
        <f t="array" ref="D193">SUMPRODUCT( (Mijlpalenbegroting!$B$18:$B$34=$B193) * (Mijlpalenbegroting!$J$18:$J$34) )*D175</f>
        <v>0</v>
      </c>
      <c r="E193" s="487" cm="1">
        <f t="array" ref="E193">SUMPRODUCT( (Mijlpalenbegroting!$B$18:$B$34=$B193) * (Mijlpalenbegroting!$J$18:$J$34) )*E175</f>
        <v>0</v>
      </c>
      <c r="F193" s="487" cm="1">
        <f t="array" ref="F193">SUMPRODUCT( (Mijlpalenbegroting!$B$18:$B$34=$B193) * (Mijlpalenbegroting!$J$18:$J$34) )*F175</f>
        <v>0</v>
      </c>
      <c r="G193" s="487" cm="1">
        <f t="array" ref="G193">SUMPRODUCT( (Mijlpalenbegroting!$B$18:$B$34=$B193) * (Mijlpalenbegroting!$J$18:$J$34) )*G175</f>
        <v>0</v>
      </c>
      <c r="H193" s="487" cm="1">
        <f t="array" ref="H193">SUMPRODUCT( (Mijlpalenbegroting!$B$18:$B$34=$B193) * (Mijlpalenbegroting!$J$18:$J$34) )*H175</f>
        <v>0</v>
      </c>
      <c r="I193" s="487" cm="1">
        <f t="array" ref="I193">SUMPRODUCT( (Mijlpalenbegroting!$B$18:$B$34=$B193) * (Mijlpalenbegroting!$J$18:$J$34) )*I175</f>
        <v>0</v>
      </c>
      <c r="J193" s="487" cm="1">
        <f t="array" ref="J193">SUMPRODUCT( (Mijlpalenbegroting!$B$18:$B$34=$B193) * (Mijlpalenbegroting!$J$18:$J$34) )*J175</f>
        <v>0</v>
      </c>
      <c r="K193" s="488">
        <f t="shared" si="23"/>
        <v>0</v>
      </c>
      <c r="L193" s="469">
        <f>$B$175</f>
        <v>7</v>
      </c>
      <c r="M193" s="487" cm="1">
        <f t="array" ref="M193">SUMPRODUCT( (Mijlpalenbegroting!$B$18:$B$34=$B193) * (Mijlpalenbegroting!$I$18:$I$34) )*C175</f>
        <v>0</v>
      </c>
      <c r="N193" s="487" cm="1">
        <f t="array" ref="N193">SUMPRODUCT( (Mijlpalenbegroting!$B$18:$B$34=$B193) * (Mijlpalenbegroting!$I$18:$I$34) )*D175</f>
        <v>0</v>
      </c>
      <c r="O193" s="487" cm="1">
        <f t="array" ref="O193">SUMPRODUCT( (Mijlpalenbegroting!$B$18:$B$34=$B193) * (Mijlpalenbegroting!$I$18:$I$34) )*E175</f>
        <v>0</v>
      </c>
      <c r="P193" s="487" cm="1">
        <f t="array" ref="P193">SUMPRODUCT( (Mijlpalenbegroting!$B$18:$B$34=$B193) * (Mijlpalenbegroting!$I$18:$I$34) )*F175</f>
        <v>0</v>
      </c>
      <c r="Q193" s="487" cm="1">
        <f t="array" ref="Q193">SUMPRODUCT( (Mijlpalenbegroting!$B$18:$B$34=$B193) * (Mijlpalenbegroting!$I$18:$I$34) )*G175</f>
        <v>0</v>
      </c>
      <c r="R193" s="487" cm="1">
        <f t="array" ref="R193">SUMPRODUCT( (Mijlpalenbegroting!$B$18:$B$34=$B193) * (Mijlpalenbegroting!$I$18:$I$34) )*H175</f>
        <v>0</v>
      </c>
      <c r="S193" s="487" cm="1">
        <f t="array" ref="S193">SUMPRODUCT( (Mijlpalenbegroting!$B$18:$B$34=$B193) * (Mijlpalenbegroting!$I$18:$I$34) )*I175</f>
        <v>0</v>
      </c>
      <c r="T193" s="487" cm="1">
        <f t="array" ref="T193">SUMPRODUCT( (Mijlpalenbegroting!$B$18:$B$34=$B193) * (Mijlpalenbegroting!$I$18:$I$34) )*J175</f>
        <v>0</v>
      </c>
      <c r="U193" s="488">
        <f t="shared" si="24"/>
        <v>0</v>
      </c>
      <c r="AT193"/>
    </row>
    <row r="194" spans="1:46" ht="12.5" hidden="1" outlineLevel="1" x14ac:dyDescent="0.25">
      <c r="A194" s="22"/>
      <c r="B194" s="469">
        <f>$B$176</f>
        <v>8</v>
      </c>
      <c r="C194" s="487" cm="1">
        <f t="array" ref="C194">SUMPRODUCT( (Mijlpalenbegroting!$B$18:$B$34=$B194) * (Mijlpalenbegroting!$J$18:$J$34) )*C176</f>
        <v>0</v>
      </c>
      <c r="D194" s="487" cm="1">
        <f t="array" ref="D194">SUMPRODUCT( (Mijlpalenbegroting!$B$18:$B$34=$B194) * (Mijlpalenbegroting!$J$18:$J$34) )*D176</f>
        <v>0</v>
      </c>
      <c r="E194" s="487" cm="1">
        <f t="array" ref="E194">SUMPRODUCT( (Mijlpalenbegroting!$B$18:$B$34=$B194) * (Mijlpalenbegroting!$J$18:$J$34) )*E176</f>
        <v>0</v>
      </c>
      <c r="F194" s="487" cm="1">
        <f t="array" ref="F194">SUMPRODUCT( (Mijlpalenbegroting!$B$18:$B$34=$B194) * (Mijlpalenbegroting!$J$18:$J$34) )*F176</f>
        <v>0</v>
      </c>
      <c r="G194" s="487" cm="1">
        <f t="array" ref="G194">SUMPRODUCT( (Mijlpalenbegroting!$B$18:$B$34=$B194) * (Mijlpalenbegroting!$J$18:$J$34) )*G176</f>
        <v>0</v>
      </c>
      <c r="H194" s="487" cm="1">
        <f t="array" ref="H194">SUMPRODUCT( (Mijlpalenbegroting!$B$18:$B$34=$B194) * (Mijlpalenbegroting!$J$18:$J$34) )*H176</f>
        <v>0</v>
      </c>
      <c r="I194" s="487" cm="1">
        <f t="array" ref="I194">SUMPRODUCT( (Mijlpalenbegroting!$B$18:$B$34=$B194) * (Mijlpalenbegroting!$J$18:$J$34) )*I176</f>
        <v>0</v>
      </c>
      <c r="J194" s="487" cm="1">
        <f t="array" ref="J194">SUMPRODUCT( (Mijlpalenbegroting!$B$18:$B$34=$B194) * (Mijlpalenbegroting!$J$18:$J$34) )*J176</f>
        <v>0</v>
      </c>
      <c r="K194" s="488">
        <f t="shared" si="23"/>
        <v>0</v>
      </c>
      <c r="L194" s="469">
        <f>$B$176</f>
        <v>8</v>
      </c>
      <c r="M194" s="487" cm="1">
        <f t="array" ref="M194">SUMPRODUCT( (Mijlpalenbegroting!$B$18:$B$34=$B194) * (Mijlpalenbegroting!$I$18:$I$34) )*C176</f>
        <v>0</v>
      </c>
      <c r="N194" s="487" cm="1">
        <f t="array" ref="N194">SUMPRODUCT( (Mijlpalenbegroting!$B$18:$B$34=$B194) * (Mijlpalenbegroting!$I$18:$I$34) )*D176</f>
        <v>0</v>
      </c>
      <c r="O194" s="487" cm="1">
        <f t="array" ref="O194">SUMPRODUCT( (Mijlpalenbegroting!$B$18:$B$34=$B194) * (Mijlpalenbegroting!$I$18:$I$34) )*E176</f>
        <v>0</v>
      </c>
      <c r="P194" s="487" cm="1">
        <f t="array" ref="P194">SUMPRODUCT( (Mijlpalenbegroting!$B$18:$B$34=$B194) * (Mijlpalenbegroting!$I$18:$I$34) )*F176</f>
        <v>0</v>
      </c>
      <c r="Q194" s="487" cm="1">
        <f t="array" ref="Q194">SUMPRODUCT( (Mijlpalenbegroting!$B$18:$B$34=$B194) * (Mijlpalenbegroting!$I$18:$I$34) )*G176</f>
        <v>0</v>
      </c>
      <c r="R194" s="487" cm="1">
        <f t="array" ref="R194">SUMPRODUCT( (Mijlpalenbegroting!$B$18:$B$34=$B194) * (Mijlpalenbegroting!$I$18:$I$34) )*H176</f>
        <v>0</v>
      </c>
      <c r="S194" s="487" cm="1">
        <f t="array" ref="S194">SUMPRODUCT( (Mijlpalenbegroting!$B$18:$B$34=$B194) * (Mijlpalenbegroting!$I$18:$I$34) )*I176</f>
        <v>0</v>
      </c>
      <c r="T194" s="487" cm="1">
        <f t="array" ref="T194">SUMPRODUCT( (Mijlpalenbegroting!$B$18:$B$34=$B194) * (Mijlpalenbegroting!$I$18:$I$34) )*J176</f>
        <v>0</v>
      </c>
      <c r="U194" s="488">
        <f t="shared" si="24"/>
        <v>0</v>
      </c>
      <c r="AT194"/>
    </row>
    <row r="195" spans="1:46" ht="12.5" hidden="1" outlineLevel="1" x14ac:dyDescent="0.25">
      <c r="A195" s="22"/>
      <c r="B195" s="469">
        <f>$B$177</f>
        <v>9</v>
      </c>
      <c r="C195" s="487" cm="1">
        <f t="array" ref="C195">SUMPRODUCT( (Mijlpalenbegroting!$B$18:$B$34=$B195) * (Mijlpalenbegroting!$J$18:$J$34) )*C177</f>
        <v>0</v>
      </c>
      <c r="D195" s="487" cm="1">
        <f t="array" ref="D195">SUMPRODUCT( (Mijlpalenbegroting!$B$18:$B$34=$B195) * (Mijlpalenbegroting!$J$18:$J$34) )*D177</f>
        <v>0</v>
      </c>
      <c r="E195" s="487" cm="1">
        <f t="array" ref="E195">SUMPRODUCT( (Mijlpalenbegroting!$B$18:$B$34=$B195) * (Mijlpalenbegroting!$J$18:$J$34) )*E177</f>
        <v>0</v>
      </c>
      <c r="F195" s="487" cm="1">
        <f t="array" ref="F195">SUMPRODUCT( (Mijlpalenbegroting!$B$18:$B$34=$B195) * (Mijlpalenbegroting!$J$18:$J$34) )*F177</f>
        <v>0</v>
      </c>
      <c r="G195" s="487" cm="1">
        <f t="array" ref="G195">SUMPRODUCT( (Mijlpalenbegroting!$B$18:$B$34=$B195) * (Mijlpalenbegroting!$J$18:$J$34) )*G177</f>
        <v>0</v>
      </c>
      <c r="H195" s="487" cm="1">
        <f t="array" ref="H195">SUMPRODUCT( (Mijlpalenbegroting!$B$18:$B$34=$B195) * (Mijlpalenbegroting!$J$18:$J$34) )*H177</f>
        <v>0</v>
      </c>
      <c r="I195" s="487" cm="1">
        <f t="array" ref="I195">SUMPRODUCT( (Mijlpalenbegroting!$B$18:$B$34=$B195) * (Mijlpalenbegroting!$J$18:$J$34) )*I177</f>
        <v>0</v>
      </c>
      <c r="J195" s="487" cm="1">
        <f t="array" ref="J195">SUMPRODUCT( (Mijlpalenbegroting!$B$18:$B$34=$B195) * (Mijlpalenbegroting!$J$18:$J$34) )*J177</f>
        <v>0</v>
      </c>
      <c r="K195" s="488">
        <f t="shared" si="23"/>
        <v>0</v>
      </c>
      <c r="L195" s="469">
        <f>$B$177</f>
        <v>9</v>
      </c>
      <c r="M195" s="487" cm="1">
        <f t="array" ref="M195">SUMPRODUCT( (Mijlpalenbegroting!$B$18:$B$34=$B195) * (Mijlpalenbegroting!$I$18:$I$34) )*C177</f>
        <v>0</v>
      </c>
      <c r="N195" s="487" cm="1">
        <f t="array" ref="N195">SUMPRODUCT( (Mijlpalenbegroting!$B$18:$B$34=$B195) * (Mijlpalenbegroting!$I$18:$I$34) )*D177</f>
        <v>0</v>
      </c>
      <c r="O195" s="487" cm="1">
        <f t="array" ref="O195">SUMPRODUCT( (Mijlpalenbegroting!$B$18:$B$34=$B195) * (Mijlpalenbegroting!$I$18:$I$34) )*E177</f>
        <v>0</v>
      </c>
      <c r="P195" s="487" cm="1">
        <f t="array" ref="P195">SUMPRODUCT( (Mijlpalenbegroting!$B$18:$B$34=$B195) * (Mijlpalenbegroting!$I$18:$I$34) )*F177</f>
        <v>0</v>
      </c>
      <c r="Q195" s="487" cm="1">
        <f t="array" ref="Q195">SUMPRODUCT( (Mijlpalenbegroting!$B$18:$B$34=$B195) * (Mijlpalenbegroting!$I$18:$I$34) )*G177</f>
        <v>0</v>
      </c>
      <c r="R195" s="487" cm="1">
        <f t="array" ref="R195">SUMPRODUCT( (Mijlpalenbegroting!$B$18:$B$34=$B195) * (Mijlpalenbegroting!$I$18:$I$34) )*H177</f>
        <v>0</v>
      </c>
      <c r="S195" s="487" cm="1">
        <f t="array" ref="S195">SUMPRODUCT( (Mijlpalenbegroting!$B$18:$B$34=$B195) * (Mijlpalenbegroting!$I$18:$I$34) )*I177</f>
        <v>0</v>
      </c>
      <c r="T195" s="487" cm="1">
        <f t="array" ref="T195">SUMPRODUCT( (Mijlpalenbegroting!$B$18:$B$34=$B195) * (Mijlpalenbegroting!$I$18:$I$34) )*J177</f>
        <v>0</v>
      </c>
      <c r="U195" s="488">
        <f t="shared" si="24"/>
        <v>0</v>
      </c>
      <c r="AT195"/>
    </row>
    <row r="196" spans="1:46" ht="12.5" hidden="1" outlineLevel="1" x14ac:dyDescent="0.25">
      <c r="A196" s="22"/>
      <c r="B196" s="469">
        <f>$B$178</f>
        <v>10</v>
      </c>
      <c r="C196" s="487" cm="1">
        <f t="array" ref="C196">SUMPRODUCT( (Mijlpalenbegroting!$B$18:$B$34=$B196) * (Mijlpalenbegroting!$J$18:$J$34) )*C178</f>
        <v>0</v>
      </c>
      <c r="D196" s="487" cm="1">
        <f t="array" ref="D196">SUMPRODUCT( (Mijlpalenbegroting!$B$18:$B$34=$B196) * (Mijlpalenbegroting!$J$18:$J$34) )*D178</f>
        <v>0</v>
      </c>
      <c r="E196" s="487" cm="1">
        <f t="array" ref="E196">SUMPRODUCT( (Mijlpalenbegroting!$B$18:$B$34=$B196) * (Mijlpalenbegroting!$J$18:$J$34) )*E178</f>
        <v>0</v>
      </c>
      <c r="F196" s="487" cm="1">
        <f t="array" ref="F196">SUMPRODUCT( (Mijlpalenbegroting!$B$18:$B$34=$B196) * (Mijlpalenbegroting!$J$18:$J$34) )*F178</f>
        <v>0</v>
      </c>
      <c r="G196" s="487" cm="1">
        <f t="array" ref="G196">SUMPRODUCT( (Mijlpalenbegroting!$B$18:$B$34=$B196) * (Mijlpalenbegroting!$J$18:$J$34) )*G178</f>
        <v>0</v>
      </c>
      <c r="H196" s="487" cm="1">
        <f t="array" ref="H196">SUMPRODUCT( (Mijlpalenbegroting!$B$18:$B$34=$B196) * (Mijlpalenbegroting!$J$18:$J$34) )*H178</f>
        <v>0</v>
      </c>
      <c r="I196" s="487" cm="1">
        <f t="array" ref="I196">SUMPRODUCT( (Mijlpalenbegroting!$B$18:$B$34=$B196) * (Mijlpalenbegroting!$J$18:$J$34) )*I178</f>
        <v>0</v>
      </c>
      <c r="J196" s="487" cm="1">
        <f t="array" ref="J196">SUMPRODUCT( (Mijlpalenbegroting!$B$18:$B$34=$B196) * (Mijlpalenbegroting!$J$18:$J$34) )*J178</f>
        <v>0</v>
      </c>
      <c r="K196" s="488">
        <f t="shared" si="23"/>
        <v>0</v>
      </c>
      <c r="L196" s="469">
        <f>$B$178</f>
        <v>10</v>
      </c>
      <c r="M196" s="487" cm="1">
        <f t="array" ref="M196">SUMPRODUCT( (Mijlpalenbegroting!$B$18:$B$34=$B196) * (Mijlpalenbegroting!$I$18:$I$34) )*C178</f>
        <v>0</v>
      </c>
      <c r="N196" s="487" cm="1">
        <f t="array" ref="N196">SUMPRODUCT( (Mijlpalenbegroting!$B$18:$B$34=$B196) * (Mijlpalenbegroting!$I$18:$I$34) )*D178</f>
        <v>0</v>
      </c>
      <c r="O196" s="487" cm="1">
        <f t="array" ref="O196">SUMPRODUCT( (Mijlpalenbegroting!$B$18:$B$34=$B196) * (Mijlpalenbegroting!$I$18:$I$34) )*E178</f>
        <v>0</v>
      </c>
      <c r="P196" s="487" cm="1">
        <f t="array" ref="P196">SUMPRODUCT( (Mijlpalenbegroting!$B$18:$B$34=$B196) * (Mijlpalenbegroting!$I$18:$I$34) )*F178</f>
        <v>0</v>
      </c>
      <c r="Q196" s="487" cm="1">
        <f t="array" ref="Q196">SUMPRODUCT( (Mijlpalenbegroting!$B$18:$B$34=$B196) * (Mijlpalenbegroting!$I$18:$I$34) )*G178</f>
        <v>0</v>
      </c>
      <c r="R196" s="487" cm="1">
        <f t="array" ref="R196">SUMPRODUCT( (Mijlpalenbegroting!$B$18:$B$34=$B196) * (Mijlpalenbegroting!$I$18:$I$34) )*H178</f>
        <v>0</v>
      </c>
      <c r="S196" s="487" cm="1">
        <f t="array" ref="S196">SUMPRODUCT( (Mijlpalenbegroting!$B$18:$B$34=$B196) * (Mijlpalenbegroting!$I$18:$I$34) )*I178</f>
        <v>0</v>
      </c>
      <c r="T196" s="487" cm="1">
        <f t="array" ref="T196">SUMPRODUCT( (Mijlpalenbegroting!$B$18:$B$34=$B196) * (Mijlpalenbegroting!$I$18:$I$34) )*J178</f>
        <v>0</v>
      </c>
      <c r="U196" s="488">
        <f t="shared" si="24"/>
        <v>0</v>
      </c>
      <c r="AT196"/>
    </row>
    <row r="197" spans="1:46" ht="12.5" hidden="1" outlineLevel="1" x14ac:dyDescent="0.25">
      <c r="A197" s="22"/>
      <c r="B197" s="469">
        <f>$B$179</f>
        <v>11</v>
      </c>
      <c r="C197" s="487" cm="1">
        <f t="array" ref="C197">SUMPRODUCT( (Mijlpalenbegroting!$B$18:$B$34=$B197) * (Mijlpalenbegroting!$J$18:$J$34) )*C179</f>
        <v>0</v>
      </c>
      <c r="D197" s="487" cm="1">
        <f t="array" ref="D197">SUMPRODUCT( (Mijlpalenbegroting!$B$18:$B$34=$B197) * (Mijlpalenbegroting!$J$18:$J$34) )*D179</f>
        <v>0</v>
      </c>
      <c r="E197" s="487" cm="1">
        <f t="array" ref="E197">SUMPRODUCT( (Mijlpalenbegroting!$B$18:$B$34=$B197) * (Mijlpalenbegroting!$J$18:$J$34) )*E179</f>
        <v>0</v>
      </c>
      <c r="F197" s="487" cm="1">
        <f t="array" ref="F197">SUMPRODUCT( (Mijlpalenbegroting!$B$18:$B$34=$B197) * (Mijlpalenbegroting!$J$18:$J$34) )*F179</f>
        <v>0</v>
      </c>
      <c r="G197" s="487" cm="1">
        <f t="array" ref="G197">SUMPRODUCT( (Mijlpalenbegroting!$B$18:$B$34=$B197) * (Mijlpalenbegroting!$J$18:$J$34) )*G179</f>
        <v>0</v>
      </c>
      <c r="H197" s="487" cm="1">
        <f t="array" ref="H197">SUMPRODUCT( (Mijlpalenbegroting!$B$18:$B$34=$B197) * (Mijlpalenbegroting!$J$18:$J$34) )*H179</f>
        <v>0</v>
      </c>
      <c r="I197" s="487" cm="1">
        <f t="array" ref="I197">SUMPRODUCT( (Mijlpalenbegroting!$B$18:$B$34=$B197) * (Mijlpalenbegroting!$J$18:$J$34) )*I179</f>
        <v>0</v>
      </c>
      <c r="J197" s="487" cm="1">
        <f t="array" ref="J197">SUMPRODUCT( (Mijlpalenbegroting!$B$18:$B$34=$B197) * (Mijlpalenbegroting!$J$18:$J$34) )*J179</f>
        <v>0</v>
      </c>
      <c r="K197" s="488">
        <f t="shared" si="23"/>
        <v>0</v>
      </c>
      <c r="L197" s="469">
        <f>$B$179</f>
        <v>11</v>
      </c>
      <c r="M197" s="487" cm="1">
        <f t="array" ref="M197">SUMPRODUCT( (Mijlpalenbegroting!$B$18:$B$34=$B197) * (Mijlpalenbegroting!$I$18:$I$34) )*C179</f>
        <v>0</v>
      </c>
      <c r="N197" s="487" cm="1">
        <f t="array" ref="N197">SUMPRODUCT( (Mijlpalenbegroting!$B$18:$B$34=$B197) * (Mijlpalenbegroting!$I$18:$I$34) )*D179</f>
        <v>0</v>
      </c>
      <c r="O197" s="487" cm="1">
        <f t="array" ref="O197">SUMPRODUCT( (Mijlpalenbegroting!$B$18:$B$34=$B197) * (Mijlpalenbegroting!$I$18:$I$34) )*E179</f>
        <v>0</v>
      </c>
      <c r="P197" s="487" cm="1">
        <f t="array" ref="P197">SUMPRODUCT( (Mijlpalenbegroting!$B$18:$B$34=$B197) * (Mijlpalenbegroting!$I$18:$I$34) )*F179</f>
        <v>0</v>
      </c>
      <c r="Q197" s="487" cm="1">
        <f t="array" ref="Q197">SUMPRODUCT( (Mijlpalenbegroting!$B$18:$B$34=$B197) * (Mijlpalenbegroting!$I$18:$I$34) )*G179</f>
        <v>0</v>
      </c>
      <c r="R197" s="487" cm="1">
        <f t="array" ref="R197">SUMPRODUCT( (Mijlpalenbegroting!$B$18:$B$34=$B197) * (Mijlpalenbegroting!$I$18:$I$34) )*H179</f>
        <v>0</v>
      </c>
      <c r="S197" s="487" cm="1">
        <f t="array" ref="S197">SUMPRODUCT( (Mijlpalenbegroting!$B$18:$B$34=$B197) * (Mijlpalenbegroting!$I$18:$I$34) )*I179</f>
        <v>0</v>
      </c>
      <c r="T197" s="487" cm="1">
        <f t="array" ref="T197">SUMPRODUCT( (Mijlpalenbegroting!$B$18:$B$34=$B197) * (Mijlpalenbegroting!$I$18:$I$34) )*J179</f>
        <v>0</v>
      </c>
      <c r="U197" s="488">
        <f t="shared" si="24"/>
        <v>0</v>
      </c>
      <c r="AT197"/>
    </row>
    <row r="198" spans="1:46" ht="12.5" hidden="1" outlineLevel="1" x14ac:dyDescent="0.25">
      <c r="A198" s="22"/>
      <c r="B198" s="469">
        <f>$B$180</f>
        <v>12</v>
      </c>
      <c r="C198" s="487" cm="1">
        <f t="array" ref="C198">SUMPRODUCT( (Mijlpalenbegroting!$B$18:$B$34=$B198) * (Mijlpalenbegroting!$J$18:$J$34) )*C180</f>
        <v>0</v>
      </c>
      <c r="D198" s="487" cm="1">
        <f t="array" ref="D198">SUMPRODUCT( (Mijlpalenbegroting!$B$18:$B$34=$B198) * (Mijlpalenbegroting!$J$18:$J$34) )*D180</f>
        <v>0</v>
      </c>
      <c r="E198" s="487" cm="1">
        <f t="array" ref="E198">SUMPRODUCT( (Mijlpalenbegroting!$B$18:$B$34=$B198) * (Mijlpalenbegroting!$J$18:$J$34) )*E180</f>
        <v>0</v>
      </c>
      <c r="F198" s="487" cm="1">
        <f t="array" ref="F198">SUMPRODUCT( (Mijlpalenbegroting!$B$18:$B$34=$B198) * (Mijlpalenbegroting!$J$18:$J$34) )*F180</f>
        <v>0</v>
      </c>
      <c r="G198" s="487" cm="1">
        <f t="array" ref="G198">SUMPRODUCT( (Mijlpalenbegroting!$B$18:$B$34=$B198) * (Mijlpalenbegroting!$J$18:$J$34) )*G180</f>
        <v>0</v>
      </c>
      <c r="H198" s="487" cm="1">
        <f t="array" ref="H198">SUMPRODUCT( (Mijlpalenbegroting!$B$18:$B$34=$B198) * (Mijlpalenbegroting!$J$18:$J$34) )*H180</f>
        <v>0</v>
      </c>
      <c r="I198" s="487" cm="1">
        <f t="array" ref="I198">SUMPRODUCT( (Mijlpalenbegroting!$B$18:$B$34=$B198) * (Mijlpalenbegroting!$J$18:$J$34) )*I180</f>
        <v>0</v>
      </c>
      <c r="J198" s="487" cm="1">
        <f t="array" ref="J198">SUMPRODUCT( (Mijlpalenbegroting!$B$18:$B$34=$B198) * (Mijlpalenbegroting!$J$18:$J$34) )*J180</f>
        <v>0</v>
      </c>
      <c r="K198" s="488">
        <f t="shared" si="23"/>
        <v>0</v>
      </c>
      <c r="L198" s="469">
        <f>$B$180</f>
        <v>12</v>
      </c>
      <c r="M198" s="487" cm="1">
        <f t="array" ref="M198">SUMPRODUCT( (Mijlpalenbegroting!$B$18:$B$34=$B198) * (Mijlpalenbegroting!$I$18:$I$34) )*C180</f>
        <v>0</v>
      </c>
      <c r="N198" s="487" cm="1">
        <f t="array" ref="N198">SUMPRODUCT( (Mijlpalenbegroting!$B$18:$B$34=$B198) * (Mijlpalenbegroting!$I$18:$I$34) )*D180</f>
        <v>0</v>
      </c>
      <c r="O198" s="487" cm="1">
        <f t="array" ref="O198">SUMPRODUCT( (Mijlpalenbegroting!$B$18:$B$34=$B198) * (Mijlpalenbegroting!$I$18:$I$34) )*E180</f>
        <v>0</v>
      </c>
      <c r="P198" s="487" cm="1">
        <f t="array" ref="P198">SUMPRODUCT( (Mijlpalenbegroting!$B$18:$B$34=$B198) * (Mijlpalenbegroting!$I$18:$I$34) )*F180</f>
        <v>0</v>
      </c>
      <c r="Q198" s="487" cm="1">
        <f t="array" ref="Q198">SUMPRODUCT( (Mijlpalenbegroting!$B$18:$B$34=$B198) * (Mijlpalenbegroting!$I$18:$I$34) )*G180</f>
        <v>0</v>
      </c>
      <c r="R198" s="487" cm="1">
        <f t="array" ref="R198">SUMPRODUCT( (Mijlpalenbegroting!$B$18:$B$34=$B198) * (Mijlpalenbegroting!$I$18:$I$34) )*H180</f>
        <v>0</v>
      </c>
      <c r="S198" s="487" cm="1">
        <f t="array" ref="S198">SUMPRODUCT( (Mijlpalenbegroting!$B$18:$B$34=$B198) * (Mijlpalenbegroting!$I$18:$I$34) )*I180</f>
        <v>0</v>
      </c>
      <c r="T198" s="487" cm="1">
        <f t="array" ref="T198">SUMPRODUCT( (Mijlpalenbegroting!$B$18:$B$34=$B198) * (Mijlpalenbegroting!$I$18:$I$34) )*J180</f>
        <v>0</v>
      </c>
      <c r="U198" s="488">
        <f t="shared" si="24"/>
        <v>0</v>
      </c>
      <c r="AT198"/>
    </row>
    <row r="199" spans="1:46" ht="12.5" hidden="1" outlineLevel="1" x14ac:dyDescent="0.25">
      <c r="A199" s="22"/>
      <c r="B199" s="469">
        <f>$B$181</f>
        <v>13</v>
      </c>
      <c r="C199" s="487" cm="1">
        <f t="array" ref="C199">SUMPRODUCT( (Mijlpalenbegroting!$B$18:$B$34=$B199) * (Mijlpalenbegroting!$J$18:$J$34) )*C181</f>
        <v>0</v>
      </c>
      <c r="D199" s="487" cm="1">
        <f t="array" ref="D199">SUMPRODUCT( (Mijlpalenbegroting!$B$18:$B$34=$B199) * (Mijlpalenbegroting!$J$18:$J$34) )*D181</f>
        <v>0</v>
      </c>
      <c r="E199" s="487" cm="1">
        <f t="array" ref="E199">SUMPRODUCT( (Mijlpalenbegroting!$B$18:$B$34=$B199) * (Mijlpalenbegroting!$J$18:$J$34) )*E181</f>
        <v>0</v>
      </c>
      <c r="F199" s="487" cm="1">
        <f t="array" ref="F199">SUMPRODUCT( (Mijlpalenbegroting!$B$18:$B$34=$B199) * (Mijlpalenbegroting!$J$18:$J$34) )*F181</f>
        <v>0</v>
      </c>
      <c r="G199" s="487" cm="1">
        <f t="array" ref="G199">SUMPRODUCT( (Mijlpalenbegroting!$B$18:$B$34=$B199) * (Mijlpalenbegroting!$J$18:$J$34) )*G181</f>
        <v>0</v>
      </c>
      <c r="H199" s="487" cm="1">
        <f t="array" ref="H199">SUMPRODUCT( (Mijlpalenbegroting!$B$18:$B$34=$B199) * (Mijlpalenbegroting!$J$18:$J$34) )*H181</f>
        <v>0</v>
      </c>
      <c r="I199" s="487" cm="1">
        <f t="array" ref="I199">SUMPRODUCT( (Mijlpalenbegroting!$B$18:$B$34=$B199) * (Mijlpalenbegroting!$J$18:$J$34) )*I181</f>
        <v>0</v>
      </c>
      <c r="J199" s="487" cm="1">
        <f t="array" ref="J199">SUMPRODUCT( (Mijlpalenbegroting!$B$18:$B$34=$B199) * (Mijlpalenbegroting!$J$18:$J$34) )*J181</f>
        <v>0</v>
      </c>
      <c r="K199" s="488">
        <f t="shared" si="23"/>
        <v>0</v>
      </c>
      <c r="L199" s="469">
        <f>$B$181</f>
        <v>13</v>
      </c>
      <c r="M199" s="487" cm="1">
        <f t="array" ref="M199">SUMPRODUCT( (Mijlpalenbegroting!$B$18:$B$34=$B199) * (Mijlpalenbegroting!$I$18:$I$34) )*C181</f>
        <v>0</v>
      </c>
      <c r="N199" s="487" cm="1">
        <f t="array" ref="N199">SUMPRODUCT( (Mijlpalenbegroting!$B$18:$B$34=$B199) * (Mijlpalenbegroting!$I$18:$I$34) )*D181</f>
        <v>0</v>
      </c>
      <c r="O199" s="487" cm="1">
        <f t="array" ref="O199">SUMPRODUCT( (Mijlpalenbegroting!$B$18:$B$34=$B199) * (Mijlpalenbegroting!$I$18:$I$34) )*E181</f>
        <v>0</v>
      </c>
      <c r="P199" s="487" cm="1">
        <f t="array" ref="P199">SUMPRODUCT( (Mijlpalenbegroting!$B$18:$B$34=$B199) * (Mijlpalenbegroting!$I$18:$I$34) )*F181</f>
        <v>0</v>
      </c>
      <c r="Q199" s="487" cm="1">
        <f t="array" ref="Q199">SUMPRODUCT( (Mijlpalenbegroting!$B$18:$B$34=$B199) * (Mijlpalenbegroting!$I$18:$I$34) )*G181</f>
        <v>0</v>
      </c>
      <c r="R199" s="487" cm="1">
        <f t="array" ref="R199">SUMPRODUCT( (Mijlpalenbegroting!$B$18:$B$34=$B199) * (Mijlpalenbegroting!$I$18:$I$34) )*H181</f>
        <v>0</v>
      </c>
      <c r="S199" s="487" cm="1">
        <f t="array" ref="S199">SUMPRODUCT( (Mijlpalenbegroting!$B$18:$B$34=$B199) * (Mijlpalenbegroting!$I$18:$I$34) )*I181</f>
        <v>0</v>
      </c>
      <c r="T199" s="487" cm="1">
        <f t="array" ref="T199">SUMPRODUCT( (Mijlpalenbegroting!$B$18:$B$34=$B199) * (Mijlpalenbegroting!$I$18:$I$34) )*J181</f>
        <v>0</v>
      </c>
      <c r="U199" s="488">
        <f t="shared" si="24"/>
        <v>0</v>
      </c>
      <c r="AT199"/>
    </row>
    <row r="200" spans="1:46" ht="12.5" hidden="1" outlineLevel="1" x14ac:dyDescent="0.25">
      <c r="A200" s="22"/>
      <c r="B200" s="469">
        <f>$B$182</f>
        <v>14</v>
      </c>
      <c r="C200" s="487" cm="1">
        <f t="array" ref="C200">SUMPRODUCT( (Mijlpalenbegroting!$B$18:$B$34=$B200) * (Mijlpalenbegroting!$J$18:$J$34) )*C182</f>
        <v>0</v>
      </c>
      <c r="D200" s="487" cm="1">
        <f t="array" ref="D200">SUMPRODUCT( (Mijlpalenbegroting!$B$18:$B$34=$B200) * (Mijlpalenbegroting!$J$18:$J$34) )*D182</f>
        <v>0</v>
      </c>
      <c r="E200" s="487" cm="1">
        <f t="array" ref="E200">SUMPRODUCT( (Mijlpalenbegroting!$B$18:$B$34=$B200) * (Mijlpalenbegroting!$J$18:$J$34) )*E182</f>
        <v>0</v>
      </c>
      <c r="F200" s="487" cm="1">
        <f t="array" ref="F200">SUMPRODUCT( (Mijlpalenbegroting!$B$18:$B$34=$B200) * (Mijlpalenbegroting!$J$18:$J$34) )*F182</f>
        <v>0</v>
      </c>
      <c r="G200" s="487" cm="1">
        <f t="array" ref="G200">SUMPRODUCT( (Mijlpalenbegroting!$B$18:$B$34=$B200) * (Mijlpalenbegroting!$J$18:$J$34) )*G182</f>
        <v>0</v>
      </c>
      <c r="H200" s="487" cm="1">
        <f t="array" ref="H200">SUMPRODUCT( (Mijlpalenbegroting!$B$18:$B$34=$B200) * (Mijlpalenbegroting!$J$18:$J$34) )*H182</f>
        <v>0</v>
      </c>
      <c r="I200" s="487" cm="1">
        <f t="array" ref="I200">SUMPRODUCT( (Mijlpalenbegroting!$B$18:$B$34=$B200) * (Mijlpalenbegroting!$J$18:$J$34) )*I182</f>
        <v>0</v>
      </c>
      <c r="J200" s="487" cm="1">
        <f t="array" ref="J200">SUMPRODUCT( (Mijlpalenbegroting!$B$18:$B$34=$B200) * (Mijlpalenbegroting!$J$18:$J$34) )*J182</f>
        <v>0</v>
      </c>
      <c r="K200" s="488">
        <f t="shared" si="23"/>
        <v>0</v>
      </c>
      <c r="L200" s="469">
        <f>$B$182</f>
        <v>14</v>
      </c>
      <c r="M200" s="487" cm="1">
        <f t="array" ref="M200">SUMPRODUCT( (Mijlpalenbegroting!$B$18:$B$34=$B200) * (Mijlpalenbegroting!$I$18:$I$34) )*C182</f>
        <v>0</v>
      </c>
      <c r="N200" s="487" cm="1">
        <f t="array" ref="N200">SUMPRODUCT( (Mijlpalenbegroting!$B$18:$B$34=$B200) * (Mijlpalenbegroting!$I$18:$I$34) )*D182</f>
        <v>0</v>
      </c>
      <c r="O200" s="487" cm="1">
        <f t="array" ref="O200">SUMPRODUCT( (Mijlpalenbegroting!$B$18:$B$34=$B200) * (Mijlpalenbegroting!$I$18:$I$34) )*E182</f>
        <v>0</v>
      </c>
      <c r="P200" s="487" cm="1">
        <f t="array" ref="P200">SUMPRODUCT( (Mijlpalenbegroting!$B$18:$B$34=$B200) * (Mijlpalenbegroting!$I$18:$I$34) )*F182</f>
        <v>0</v>
      </c>
      <c r="Q200" s="487" cm="1">
        <f t="array" ref="Q200">SUMPRODUCT( (Mijlpalenbegroting!$B$18:$B$34=$B200) * (Mijlpalenbegroting!$I$18:$I$34) )*G182</f>
        <v>0</v>
      </c>
      <c r="R200" s="487" cm="1">
        <f t="array" ref="R200">SUMPRODUCT( (Mijlpalenbegroting!$B$18:$B$34=$B200) * (Mijlpalenbegroting!$I$18:$I$34) )*H182</f>
        <v>0</v>
      </c>
      <c r="S200" s="487" cm="1">
        <f t="array" ref="S200">SUMPRODUCT( (Mijlpalenbegroting!$B$18:$B$34=$B200) * (Mijlpalenbegroting!$I$18:$I$34) )*I182</f>
        <v>0</v>
      </c>
      <c r="T200" s="487" cm="1">
        <f t="array" ref="T200">SUMPRODUCT( (Mijlpalenbegroting!$B$18:$B$34=$B200) * (Mijlpalenbegroting!$I$18:$I$34) )*J182</f>
        <v>0</v>
      </c>
      <c r="U200" s="488">
        <f t="shared" si="24"/>
        <v>0</v>
      </c>
      <c r="AT200"/>
    </row>
    <row r="201" spans="1:46" ht="12.5" hidden="1" outlineLevel="1" x14ac:dyDescent="0.25">
      <c r="A201" s="22"/>
      <c r="B201" s="469">
        <f>$B$183</f>
        <v>15</v>
      </c>
      <c r="C201" s="487" cm="1">
        <f t="array" ref="C201">SUMPRODUCT( (Mijlpalenbegroting!$B$18:$B$34=$B201) * (Mijlpalenbegroting!$J$18:$J$34) )*C183</f>
        <v>0</v>
      </c>
      <c r="D201" s="487" cm="1">
        <f t="array" ref="D201">SUMPRODUCT( (Mijlpalenbegroting!$B$18:$B$34=$B201) * (Mijlpalenbegroting!$J$18:$J$34) )*D183</f>
        <v>0</v>
      </c>
      <c r="E201" s="487" cm="1">
        <f t="array" ref="E201">SUMPRODUCT( (Mijlpalenbegroting!$B$18:$B$34=$B201) * (Mijlpalenbegroting!$J$18:$J$34) )*E183</f>
        <v>0</v>
      </c>
      <c r="F201" s="487" cm="1">
        <f t="array" ref="F201">SUMPRODUCT( (Mijlpalenbegroting!$B$18:$B$34=$B201) * (Mijlpalenbegroting!$J$18:$J$34) )*F183</f>
        <v>0</v>
      </c>
      <c r="G201" s="487" cm="1">
        <f t="array" ref="G201">SUMPRODUCT( (Mijlpalenbegroting!$B$18:$B$34=$B201) * (Mijlpalenbegroting!$J$18:$J$34) )*G183</f>
        <v>0</v>
      </c>
      <c r="H201" s="487" cm="1">
        <f t="array" ref="H201">SUMPRODUCT( (Mijlpalenbegroting!$B$18:$B$34=$B201) * (Mijlpalenbegroting!$J$18:$J$34) )*H183</f>
        <v>0</v>
      </c>
      <c r="I201" s="487" cm="1">
        <f t="array" ref="I201">SUMPRODUCT( (Mijlpalenbegroting!$B$18:$B$34=$B201) * (Mijlpalenbegroting!$J$18:$J$34) )*I183</f>
        <v>0</v>
      </c>
      <c r="J201" s="487" cm="1">
        <f t="array" ref="J201">SUMPRODUCT( (Mijlpalenbegroting!$B$18:$B$34=$B201) * (Mijlpalenbegroting!$J$18:$J$34) )*J183</f>
        <v>0</v>
      </c>
      <c r="K201" s="488">
        <f t="shared" si="23"/>
        <v>0</v>
      </c>
      <c r="L201" s="469">
        <f>$B$183</f>
        <v>15</v>
      </c>
      <c r="M201" s="487" cm="1">
        <f t="array" ref="M201">SUMPRODUCT( (Mijlpalenbegroting!$B$18:$B$34=$B201) * (Mijlpalenbegroting!$I$18:$I$34) )*C183</f>
        <v>0</v>
      </c>
      <c r="N201" s="487" cm="1">
        <f t="array" ref="N201">SUMPRODUCT( (Mijlpalenbegroting!$B$18:$B$34=$B201) * (Mijlpalenbegroting!$I$18:$I$34) )*D183</f>
        <v>0</v>
      </c>
      <c r="O201" s="487" cm="1">
        <f t="array" ref="O201">SUMPRODUCT( (Mijlpalenbegroting!$B$18:$B$34=$B201) * (Mijlpalenbegroting!$I$18:$I$34) )*E183</f>
        <v>0</v>
      </c>
      <c r="P201" s="487" cm="1">
        <f t="array" ref="P201">SUMPRODUCT( (Mijlpalenbegroting!$B$18:$B$34=$B201) * (Mijlpalenbegroting!$I$18:$I$34) )*F183</f>
        <v>0</v>
      </c>
      <c r="Q201" s="487" cm="1">
        <f t="array" ref="Q201">SUMPRODUCT( (Mijlpalenbegroting!$B$18:$B$34=$B201) * (Mijlpalenbegroting!$I$18:$I$34) )*G183</f>
        <v>0</v>
      </c>
      <c r="R201" s="487" cm="1">
        <f t="array" ref="R201">SUMPRODUCT( (Mijlpalenbegroting!$B$18:$B$34=$B201) * (Mijlpalenbegroting!$I$18:$I$34) )*H183</f>
        <v>0</v>
      </c>
      <c r="S201" s="487" cm="1">
        <f t="array" ref="S201">SUMPRODUCT( (Mijlpalenbegroting!$B$18:$B$34=$B201) * (Mijlpalenbegroting!$I$18:$I$34) )*I183</f>
        <v>0</v>
      </c>
      <c r="T201" s="487" cm="1">
        <f t="array" ref="T201">SUMPRODUCT( (Mijlpalenbegroting!$B$18:$B$34=$B201) * (Mijlpalenbegroting!$I$18:$I$34) )*J183</f>
        <v>0</v>
      </c>
      <c r="U201" s="488">
        <f t="shared" si="24"/>
        <v>0</v>
      </c>
      <c r="AT201"/>
    </row>
    <row r="202" spans="1:46" ht="12.5" hidden="1" outlineLevel="1" x14ac:dyDescent="0.25">
      <c r="A202" s="22"/>
      <c r="B202" s="469" t="s">
        <v>335</v>
      </c>
      <c r="C202" s="489">
        <f>SUM(C187:C201)</f>
        <v>0</v>
      </c>
      <c r="D202" s="489">
        <f t="shared" ref="D202:J202" si="25">SUM(D187:D201)</f>
        <v>0</v>
      </c>
      <c r="E202" s="489">
        <f t="shared" si="25"/>
        <v>0</v>
      </c>
      <c r="F202" s="489">
        <f t="shared" si="25"/>
        <v>0</v>
      </c>
      <c r="G202" s="489">
        <f t="shared" si="25"/>
        <v>0</v>
      </c>
      <c r="H202" s="489">
        <f t="shared" si="25"/>
        <v>0</v>
      </c>
      <c r="I202" s="489">
        <f t="shared" si="25"/>
        <v>0</v>
      </c>
      <c r="J202" s="489">
        <f t="shared" si="25"/>
        <v>0</v>
      </c>
      <c r="K202" s="488">
        <f t="shared" si="23"/>
        <v>0</v>
      </c>
      <c r="L202" s="469" t="s">
        <v>335</v>
      </c>
      <c r="M202" s="489">
        <f>SUM(M187:M201)</f>
        <v>0</v>
      </c>
      <c r="N202" s="489">
        <f t="shared" ref="N202" si="26">SUM(N187:N201)</f>
        <v>0</v>
      </c>
      <c r="O202" s="489">
        <f t="shared" ref="O202" si="27">SUM(O187:O201)</f>
        <v>0</v>
      </c>
      <c r="P202" s="489">
        <f t="shared" ref="P202" si="28">SUM(P187:P201)</f>
        <v>0</v>
      </c>
      <c r="Q202" s="489">
        <f t="shared" ref="Q202" si="29">SUM(Q187:Q201)</f>
        <v>0</v>
      </c>
      <c r="R202" s="489">
        <f t="shared" ref="R202" si="30">SUM(R187:R201)</f>
        <v>0</v>
      </c>
      <c r="S202" s="489">
        <f t="shared" ref="S202" si="31">SUM(S187:S201)</f>
        <v>0</v>
      </c>
      <c r="T202" s="489">
        <f t="shared" ref="T202" si="32">SUM(T187:T201)</f>
        <v>0</v>
      </c>
      <c r="U202" s="488">
        <f t="shared" si="24"/>
        <v>0</v>
      </c>
      <c r="AT202"/>
    </row>
    <row r="203" spans="1:46" ht="12.5" hidden="1" outlineLevel="1" x14ac:dyDescent="0.25">
      <c r="A203" s="22"/>
      <c r="B203" s="124"/>
      <c r="C203" s="115"/>
      <c r="D203" s="115"/>
      <c r="E203" s="115"/>
      <c r="F203" s="115"/>
      <c r="G203" s="115"/>
      <c r="H203" s="478"/>
      <c r="I203" s="115"/>
      <c r="J203" s="124"/>
      <c r="L203" s="115"/>
      <c r="M203" s="115"/>
      <c r="N203" s="115"/>
      <c r="O203" s="115"/>
      <c r="P203" s="115"/>
      <c r="Q203" s="115"/>
      <c r="R203" s="115"/>
      <c r="S203" s="23"/>
      <c r="AT203"/>
    </row>
    <row r="204" spans="1:46" ht="12.5" hidden="1" outlineLevel="1" x14ac:dyDescent="0.25">
      <c r="A204" s="22"/>
      <c r="B204" s="469"/>
      <c r="C204" s="481" t="s">
        <v>263</v>
      </c>
      <c r="D204" s="480"/>
      <c r="E204" s="480"/>
      <c r="F204" s="480"/>
      <c r="G204" s="480"/>
      <c r="H204" s="480"/>
      <c r="I204" s="480"/>
      <c r="J204" s="480"/>
      <c r="L204" s="115"/>
      <c r="M204" s="478" t="s">
        <v>262</v>
      </c>
      <c r="N204" s="115"/>
      <c r="O204" s="115"/>
      <c r="P204" s="115"/>
      <c r="Q204" s="115"/>
      <c r="R204" s="115"/>
      <c r="S204" s="23"/>
      <c r="AT204"/>
    </row>
    <row r="205" spans="1:46" ht="12.5" hidden="1" outlineLevel="1" x14ac:dyDescent="0.25">
      <c r="A205" s="22"/>
      <c r="B205" s="483" t="str">
        <f>Mijlpalenbegroting!B39</f>
        <v>Investering in thermische opslag</v>
      </c>
      <c r="C205" s="484">
        <f>$C$168</f>
        <v>1900</v>
      </c>
      <c r="D205" s="485">
        <f>$D$168</f>
        <v>1901</v>
      </c>
      <c r="E205" s="485">
        <f>$E$168</f>
        <v>1902</v>
      </c>
      <c r="F205" s="485">
        <f>$F$168</f>
        <v>1903</v>
      </c>
      <c r="G205" s="485">
        <f>$G$168</f>
        <v>1904</v>
      </c>
      <c r="H205" s="485">
        <f>$H$168</f>
        <v>1905</v>
      </c>
      <c r="I205" s="485">
        <f>$I$168</f>
        <v>1906</v>
      </c>
      <c r="J205" s="485">
        <f>$J$168</f>
        <v>1907</v>
      </c>
      <c r="K205" s="486" t="s">
        <v>335</v>
      </c>
      <c r="L205" s="479">
        <f>B188</f>
        <v>2</v>
      </c>
      <c r="M205" s="484">
        <f>$C$168</f>
        <v>1900</v>
      </c>
      <c r="N205" s="485">
        <f>$D$168</f>
        <v>1901</v>
      </c>
      <c r="O205" s="485">
        <f>$E$168</f>
        <v>1902</v>
      </c>
      <c r="P205" s="485">
        <f>$F$168</f>
        <v>1903</v>
      </c>
      <c r="Q205" s="485">
        <f>$G$168</f>
        <v>1904</v>
      </c>
      <c r="R205" s="485">
        <f>$H$168</f>
        <v>1905</v>
      </c>
      <c r="S205" s="485">
        <f>$I$168</f>
        <v>1906</v>
      </c>
      <c r="T205" s="485">
        <f>$J$168</f>
        <v>1907</v>
      </c>
      <c r="U205" s="486" t="s">
        <v>335</v>
      </c>
      <c r="AT205"/>
    </row>
    <row r="206" spans="1:46" ht="12.5" hidden="1" outlineLevel="1" x14ac:dyDescent="0.25">
      <c r="A206" s="22"/>
      <c r="B206" s="469">
        <f>$B$169</f>
        <v>1</v>
      </c>
      <c r="C206" s="490" cm="1">
        <f t="array" ref="C206">SUMPRODUCT( (Mijlpalenbegroting!$B$42:$B$51=$B206) * (Mijlpalenbegroting!$J$42:$J$51) )*C169</f>
        <v>0</v>
      </c>
      <c r="D206" s="487" cm="1">
        <f t="array" ref="D206">SUMPRODUCT( (Mijlpalenbegroting!$B$42:$B$51=$B206) * (Mijlpalenbegroting!$J$42:$J$51) )*D169</f>
        <v>0</v>
      </c>
      <c r="E206" s="487" cm="1">
        <f t="array" ref="E206">SUMPRODUCT( (Mijlpalenbegroting!$B$42:$B$51=$B206) * (Mijlpalenbegroting!$J$42:$J$51) )*E169</f>
        <v>0</v>
      </c>
      <c r="F206" s="487" cm="1">
        <f t="array" ref="F206">SUMPRODUCT( (Mijlpalenbegroting!$B$42:$B$51=$B206) * (Mijlpalenbegroting!$J$42:$J$51) )*F169</f>
        <v>0</v>
      </c>
      <c r="G206" s="487" cm="1">
        <f t="array" ref="G206">SUMPRODUCT( (Mijlpalenbegroting!$B$42:$B$51=$B206) * (Mijlpalenbegroting!$J$42:$J$51) )*G169</f>
        <v>0</v>
      </c>
      <c r="H206" s="487" cm="1">
        <f t="array" ref="H206">SUMPRODUCT( (Mijlpalenbegroting!$B$42:$B$51=$B206) * (Mijlpalenbegroting!$J$42:$J$51) )*H169</f>
        <v>0</v>
      </c>
      <c r="I206" s="487" cm="1">
        <f t="array" ref="I206">SUMPRODUCT( (Mijlpalenbegroting!$B$42:$B$51=$B206) * (Mijlpalenbegroting!$J$42:$J$51) )*I169</f>
        <v>0</v>
      </c>
      <c r="J206" s="487" cm="1">
        <f t="array" ref="J206">SUMPRODUCT( (Mijlpalenbegroting!$B$42:$B$51=$B206) * (Mijlpalenbegroting!$J$42:$J$51) )*J169</f>
        <v>0</v>
      </c>
      <c r="K206" s="488">
        <f>SUM(C206:J206)</f>
        <v>0</v>
      </c>
      <c r="L206" s="469">
        <f>$B$169</f>
        <v>1</v>
      </c>
      <c r="M206" s="487" cm="1">
        <f t="array" ref="M206">SUMPRODUCT( (Mijlpalenbegroting!$B$42:$B$51=$B206) * (Mijlpalenbegroting!$I$42:$I$51) )*C169</f>
        <v>0</v>
      </c>
      <c r="N206" s="487" cm="1">
        <f t="array" ref="N206">SUMPRODUCT( (Mijlpalenbegroting!$B$42:$B$51=$B206) * (Mijlpalenbegroting!$I$42:$I$51) )*D169</f>
        <v>0</v>
      </c>
      <c r="O206" s="487" cm="1">
        <f t="array" ref="O206">SUMPRODUCT( (Mijlpalenbegroting!$B$42:$B$51=$B206) * (Mijlpalenbegroting!$I$42:$I$51) )*E169</f>
        <v>0</v>
      </c>
      <c r="P206" s="487" cm="1">
        <f t="array" ref="P206">SUMPRODUCT( (Mijlpalenbegroting!$B$42:$B$51=$B206) * (Mijlpalenbegroting!$I$42:$I$51) )*F169</f>
        <v>0</v>
      </c>
      <c r="Q206" s="487" cm="1">
        <f t="array" ref="Q206">SUMPRODUCT( (Mijlpalenbegroting!$B$42:$B$51=$B206) * (Mijlpalenbegroting!$I$42:$I$51) )*G169</f>
        <v>0</v>
      </c>
      <c r="R206" s="487" cm="1">
        <f t="array" ref="R206">SUMPRODUCT( (Mijlpalenbegroting!$B$42:$B$51=$B206) * (Mijlpalenbegroting!$I$42:$I$51) )*H169</f>
        <v>0</v>
      </c>
      <c r="S206" s="487" cm="1">
        <f t="array" ref="S206">SUMPRODUCT( (Mijlpalenbegroting!$B$42:$B$51=$B206) * (Mijlpalenbegroting!$I$42:$I$51) )*I169</f>
        <v>0</v>
      </c>
      <c r="T206" s="487" cm="1">
        <f t="array" ref="T206">SUMPRODUCT( (Mijlpalenbegroting!$B$42:$B$51=$B206) * (Mijlpalenbegroting!$I$42:$I$51) )*J169</f>
        <v>0</v>
      </c>
      <c r="U206" s="488">
        <f>SUM(M206:T206)</f>
        <v>0</v>
      </c>
      <c r="AT206"/>
    </row>
    <row r="207" spans="1:46" ht="12.5" hidden="1" outlineLevel="1" x14ac:dyDescent="0.25">
      <c r="A207" s="22"/>
      <c r="B207" s="469">
        <f>$B$170</f>
        <v>2</v>
      </c>
      <c r="C207" s="487" cm="1">
        <f t="array" ref="C207">SUMPRODUCT( (Mijlpalenbegroting!$B$42:$B$51=$B207) * (Mijlpalenbegroting!$J$42:$J$51) )*C170</f>
        <v>0</v>
      </c>
      <c r="D207" s="487" cm="1">
        <f t="array" ref="D207">SUMPRODUCT( (Mijlpalenbegroting!$B$42:$B$51=$B207) * (Mijlpalenbegroting!$J$42:$J$51) )*D170</f>
        <v>0</v>
      </c>
      <c r="E207" s="487" cm="1">
        <f t="array" ref="E207">SUMPRODUCT( (Mijlpalenbegroting!$B$42:$B$51=$B207) * (Mijlpalenbegroting!$J$42:$J$51) )*E170</f>
        <v>0</v>
      </c>
      <c r="F207" s="487" cm="1">
        <f t="array" ref="F207">SUMPRODUCT( (Mijlpalenbegroting!$B$42:$B$51=$B207) * (Mijlpalenbegroting!$J$42:$J$51) )*F170</f>
        <v>0</v>
      </c>
      <c r="G207" s="487" cm="1">
        <f t="array" ref="G207">SUMPRODUCT( (Mijlpalenbegroting!$B$42:$B$51=$B207) * (Mijlpalenbegroting!$J$42:$J$51) )*G170</f>
        <v>0</v>
      </c>
      <c r="H207" s="487" cm="1">
        <f t="array" ref="H207">SUMPRODUCT( (Mijlpalenbegroting!$B$42:$B$51=$B207) * (Mijlpalenbegroting!$J$42:$J$51) )*H170</f>
        <v>0</v>
      </c>
      <c r="I207" s="487" cm="1">
        <f t="array" ref="I207">SUMPRODUCT( (Mijlpalenbegroting!$B$42:$B$51=$B207) * (Mijlpalenbegroting!$J$42:$J$51) )*I170</f>
        <v>0</v>
      </c>
      <c r="J207" s="487" cm="1">
        <f t="array" ref="J207">SUMPRODUCT( (Mijlpalenbegroting!$B$42:$B$51=$B207) * (Mijlpalenbegroting!$J$42:$J$51) )*J170</f>
        <v>0</v>
      </c>
      <c r="K207" s="488">
        <f t="shared" ref="K207:K221" si="33">SUM(C207:J207)</f>
        <v>0</v>
      </c>
      <c r="L207" s="469">
        <f>$B$170</f>
        <v>2</v>
      </c>
      <c r="M207" s="487" cm="1">
        <f t="array" ref="M207">SUMPRODUCT( (Mijlpalenbegroting!$B$42:$B$51=$B207) * (Mijlpalenbegroting!$I$42:$I$51) )*C170</f>
        <v>0</v>
      </c>
      <c r="N207" s="487" cm="1">
        <f t="array" ref="N207">SUMPRODUCT( (Mijlpalenbegroting!$B$42:$B$51=$B207) * (Mijlpalenbegroting!$I$42:$I$51) )*D170</f>
        <v>0</v>
      </c>
      <c r="O207" s="487" cm="1">
        <f t="array" ref="O207">SUMPRODUCT( (Mijlpalenbegroting!$B$42:$B$51=$B207) * (Mijlpalenbegroting!$I$42:$I$51) )*E170</f>
        <v>0</v>
      </c>
      <c r="P207" s="487" cm="1">
        <f t="array" ref="P207">SUMPRODUCT( (Mijlpalenbegroting!$B$42:$B$51=$B207) * (Mijlpalenbegroting!$I$42:$I$51) )*F170</f>
        <v>0</v>
      </c>
      <c r="Q207" s="487" cm="1">
        <f t="array" ref="Q207">SUMPRODUCT( (Mijlpalenbegroting!$B$42:$B$51=$B207) * (Mijlpalenbegroting!$I$42:$I$51) )*G170</f>
        <v>0</v>
      </c>
      <c r="R207" s="487" cm="1">
        <f t="array" ref="R207">SUMPRODUCT( (Mijlpalenbegroting!$B$42:$B$51=$B207) * (Mijlpalenbegroting!$I$42:$I$51) )*H170</f>
        <v>0</v>
      </c>
      <c r="S207" s="487" cm="1">
        <f t="array" ref="S207">SUMPRODUCT( (Mijlpalenbegroting!$B$42:$B$51=$B207) * (Mijlpalenbegroting!$I$42:$I$51) )*I170</f>
        <v>0</v>
      </c>
      <c r="T207" s="487" cm="1">
        <f t="array" ref="T207">SUMPRODUCT( (Mijlpalenbegroting!$B$42:$B$51=$B207) * (Mijlpalenbegroting!$I$42:$I$51) )*J170</f>
        <v>0</v>
      </c>
      <c r="U207" s="488">
        <f t="shared" ref="U207:U221" si="34">SUM(M207:T207)</f>
        <v>0</v>
      </c>
      <c r="AT207"/>
    </row>
    <row r="208" spans="1:46" ht="12.5" hidden="1" outlineLevel="1" x14ac:dyDescent="0.25">
      <c r="A208" s="22"/>
      <c r="B208" s="469">
        <f>$B$171</f>
        <v>3</v>
      </c>
      <c r="C208" s="487" cm="1">
        <f t="array" ref="C208">SUMPRODUCT( (Mijlpalenbegroting!$B$42:$B$51=$B208) * (Mijlpalenbegroting!$J$42:$J$51) )*C171</f>
        <v>0</v>
      </c>
      <c r="D208" s="487" cm="1">
        <f t="array" ref="D208">SUMPRODUCT( (Mijlpalenbegroting!$B$42:$B$51=$B208) * (Mijlpalenbegroting!$J$42:$J$51) )*D171</f>
        <v>0</v>
      </c>
      <c r="E208" s="487" cm="1">
        <f t="array" ref="E208">SUMPRODUCT( (Mijlpalenbegroting!$B$42:$B$51=$B208) * (Mijlpalenbegroting!$J$42:$J$51) )*E171</f>
        <v>0</v>
      </c>
      <c r="F208" s="487" cm="1">
        <f t="array" ref="F208">SUMPRODUCT( (Mijlpalenbegroting!$B$42:$B$51=$B208) * (Mijlpalenbegroting!$J$42:$J$51) )*F171</f>
        <v>0</v>
      </c>
      <c r="G208" s="487" cm="1">
        <f t="array" ref="G208">SUMPRODUCT( (Mijlpalenbegroting!$B$42:$B$51=$B208) * (Mijlpalenbegroting!$J$42:$J$51) )*G171</f>
        <v>0</v>
      </c>
      <c r="H208" s="487" cm="1">
        <f t="array" ref="H208">SUMPRODUCT( (Mijlpalenbegroting!$B$42:$B$51=$B208) * (Mijlpalenbegroting!$J$42:$J$51) )*H171</f>
        <v>0</v>
      </c>
      <c r="I208" s="487" cm="1">
        <f t="array" ref="I208">SUMPRODUCT( (Mijlpalenbegroting!$B$42:$B$51=$B208) * (Mijlpalenbegroting!$J$42:$J$51) )*I171</f>
        <v>0</v>
      </c>
      <c r="J208" s="487" cm="1">
        <f t="array" ref="J208">SUMPRODUCT( (Mijlpalenbegroting!$B$42:$B$51=$B208) * (Mijlpalenbegroting!$J$42:$J$51) )*J171</f>
        <v>0</v>
      </c>
      <c r="K208" s="488">
        <f t="shared" si="33"/>
        <v>0</v>
      </c>
      <c r="L208" s="469">
        <f>$B$171</f>
        <v>3</v>
      </c>
      <c r="M208" s="487" cm="1">
        <f t="array" ref="M208">SUMPRODUCT( (Mijlpalenbegroting!$B$42:$B$51=$B208) * (Mijlpalenbegroting!$I$42:$I$51) )*C171</f>
        <v>0</v>
      </c>
      <c r="N208" s="487" cm="1">
        <f t="array" ref="N208">SUMPRODUCT( (Mijlpalenbegroting!$B$42:$B$51=$B208) * (Mijlpalenbegroting!$I$42:$I$51) )*D171</f>
        <v>0</v>
      </c>
      <c r="O208" s="487" cm="1">
        <f t="array" ref="O208">SUMPRODUCT( (Mijlpalenbegroting!$B$42:$B$51=$B208) * (Mijlpalenbegroting!$I$42:$I$51) )*E171</f>
        <v>0</v>
      </c>
      <c r="P208" s="487" cm="1">
        <f t="array" ref="P208">SUMPRODUCT( (Mijlpalenbegroting!$B$42:$B$51=$B208) * (Mijlpalenbegroting!$I$42:$I$51) )*F171</f>
        <v>0</v>
      </c>
      <c r="Q208" s="487" cm="1">
        <f t="array" ref="Q208">SUMPRODUCT( (Mijlpalenbegroting!$B$42:$B$51=$B208) * (Mijlpalenbegroting!$I$42:$I$51) )*G171</f>
        <v>0</v>
      </c>
      <c r="R208" s="487" cm="1">
        <f t="array" ref="R208">SUMPRODUCT( (Mijlpalenbegroting!$B$42:$B$51=$B208) * (Mijlpalenbegroting!$I$42:$I$51) )*H171</f>
        <v>0</v>
      </c>
      <c r="S208" s="487" cm="1">
        <f t="array" ref="S208">SUMPRODUCT( (Mijlpalenbegroting!$B$42:$B$51=$B208) * (Mijlpalenbegroting!$I$42:$I$51) )*I171</f>
        <v>0</v>
      </c>
      <c r="T208" s="487" cm="1">
        <f t="array" ref="T208">SUMPRODUCT( (Mijlpalenbegroting!$B$42:$B$51=$B208) * (Mijlpalenbegroting!$I$42:$I$51) )*J171</f>
        <v>0</v>
      </c>
      <c r="U208" s="488">
        <f t="shared" si="34"/>
        <v>0</v>
      </c>
      <c r="AT208"/>
    </row>
    <row r="209" spans="1:46" ht="12.5" hidden="1" outlineLevel="1" x14ac:dyDescent="0.25">
      <c r="A209" s="22"/>
      <c r="B209" s="469">
        <f>$B$172</f>
        <v>4</v>
      </c>
      <c r="C209" s="487" cm="1">
        <f t="array" ref="C209">SUMPRODUCT( (Mijlpalenbegroting!$B$42:$B$51=$B209) * (Mijlpalenbegroting!$J$42:$J$51) )*C172</f>
        <v>0</v>
      </c>
      <c r="D209" s="487" cm="1">
        <f t="array" ref="D209">SUMPRODUCT( (Mijlpalenbegroting!$B$42:$B$51=$B209) * (Mijlpalenbegroting!$J$42:$J$51) )*D172</f>
        <v>0</v>
      </c>
      <c r="E209" s="487" cm="1">
        <f t="array" ref="E209">SUMPRODUCT( (Mijlpalenbegroting!$B$42:$B$51=$B209) * (Mijlpalenbegroting!$J$42:$J$51) )*E172</f>
        <v>0</v>
      </c>
      <c r="F209" s="487" cm="1">
        <f t="array" ref="F209">SUMPRODUCT( (Mijlpalenbegroting!$B$42:$B$51=$B209) * (Mijlpalenbegroting!$J$42:$J$51) )*F172</f>
        <v>0</v>
      </c>
      <c r="G209" s="487" cm="1">
        <f t="array" ref="G209">SUMPRODUCT( (Mijlpalenbegroting!$B$42:$B$51=$B209) * (Mijlpalenbegroting!$J$42:$J$51) )*G172</f>
        <v>0</v>
      </c>
      <c r="H209" s="487" cm="1">
        <f t="array" ref="H209">SUMPRODUCT( (Mijlpalenbegroting!$B$42:$B$51=$B209) * (Mijlpalenbegroting!$J$42:$J$51) )*H172</f>
        <v>0</v>
      </c>
      <c r="I209" s="487" cm="1">
        <f t="array" ref="I209">SUMPRODUCT( (Mijlpalenbegroting!$B$42:$B$51=$B209) * (Mijlpalenbegroting!$J$42:$J$51) )*I172</f>
        <v>0</v>
      </c>
      <c r="J209" s="487" cm="1">
        <f t="array" ref="J209">SUMPRODUCT( (Mijlpalenbegroting!$B$42:$B$51=$B209) * (Mijlpalenbegroting!$J$42:$J$51) )*J172</f>
        <v>0</v>
      </c>
      <c r="K209" s="488">
        <f t="shared" si="33"/>
        <v>0</v>
      </c>
      <c r="L209" s="469">
        <f>$B$172</f>
        <v>4</v>
      </c>
      <c r="M209" s="487" cm="1">
        <f t="array" ref="M209">SUMPRODUCT( (Mijlpalenbegroting!$B$42:$B$51=$B209) * (Mijlpalenbegroting!$I$42:$I$51) )*C172</f>
        <v>0</v>
      </c>
      <c r="N209" s="487" cm="1">
        <f t="array" ref="N209">SUMPRODUCT( (Mijlpalenbegroting!$B$42:$B$51=$B209) * (Mijlpalenbegroting!$I$42:$I$51) )*D172</f>
        <v>0</v>
      </c>
      <c r="O209" s="487" cm="1">
        <f t="array" ref="O209">SUMPRODUCT( (Mijlpalenbegroting!$B$42:$B$51=$B209) * (Mijlpalenbegroting!$I$42:$I$51) )*E172</f>
        <v>0</v>
      </c>
      <c r="P209" s="487" cm="1">
        <f t="array" ref="P209">SUMPRODUCT( (Mijlpalenbegroting!$B$42:$B$51=$B209) * (Mijlpalenbegroting!$I$42:$I$51) )*F172</f>
        <v>0</v>
      </c>
      <c r="Q209" s="487" cm="1">
        <f t="array" ref="Q209">SUMPRODUCT( (Mijlpalenbegroting!$B$42:$B$51=$B209) * (Mijlpalenbegroting!$I$42:$I$51) )*G172</f>
        <v>0</v>
      </c>
      <c r="R209" s="487" cm="1">
        <f t="array" ref="R209">SUMPRODUCT( (Mijlpalenbegroting!$B$42:$B$51=$B209) * (Mijlpalenbegroting!$I$42:$I$51) )*H172</f>
        <v>0</v>
      </c>
      <c r="S209" s="487" cm="1">
        <f t="array" ref="S209">SUMPRODUCT( (Mijlpalenbegroting!$B$42:$B$51=$B209) * (Mijlpalenbegroting!$I$42:$I$51) )*I172</f>
        <v>0</v>
      </c>
      <c r="T209" s="487" cm="1">
        <f t="array" ref="T209">SUMPRODUCT( (Mijlpalenbegroting!$B$42:$B$51=$B209) * (Mijlpalenbegroting!$I$42:$I$51) )*J172</f>
        <v>0</v>
      </c>
      <c r="U209" s="488">
        <f t="shared" si="34"/>
        <v>0</v>
      </c>
      <c r="AT209"/>
    </row>
    <row r="210" spans="1:46" ht="12.5" hidden="1" outlineLevel="1" x14ac:dyDescent="0.25">
      <c r="A210" s="22"/>
      <c r="B210" s="469">
        <f>$B$173</f>
        <v>5</v>
      </c>
      <c r="C210" s="487" cm="1">
        <f t="array" ref="C210">SUMPRODUCT( (Mijlpalenbegroting!$B$42:$B$51=$B210) * (Mijlpalenbegroting!$J$42:$J$51) )*C173</f>
        <v>0</v>
      </c>
      <c r="D210" s="487" cm="1">
        <f t="array" ref="D210">SUMPRODUCT( (Mijlpalenbegroting!$B$42:$B$51=$B210) * (Mijlpalenbegroting!$J$42:$J$51) )*D173</f>
        <v>0</v>
      </c>
      <c r="E210" s="487" cm="1">
        <f t="array" ref="E210">SUMPRODUCT( (Mijlpalenbegroting!$B$42:$B$51=$B210) * (Mijlpalenbegroting!$J$42:$J$51) )*E173</f>
        <v>0</v>
      </c>
      <c r="F210" s="487" cm="1">
        <f t="array" ref="F210">SUMPRODUCT( (Mijlpalenbegroting!$B$42:$B$51=$B210) * (Mijlpalenbegroting!$J$42:$J$51) )*F173</f>
        <v>0</v>
      </c>
      <c r="G210" s="487" cm="1">
        <f t="array" ref="G210">SUMPRODUCT( (Mijlpalenbegroting!$B$42:$B$51=$B210) * (Mijlpalenbegroting!$J$42:$J$51) )*G173</f>
        <v>0</v>
      </c>
      <c r="H210" s="487" cm="1">
        <f t="array" ref="H210">SUMPRODUCT( (Mijlpalenbegroting!$B$42:$B$51=$B210) * (Mijlpalenbegroting!$J$42:$J$51) )*H173</f>
        <v>0</v>
      </c>
      <c r="I210" s="487" cm="1">
        <f t="array" ref="I210">SUMPRODUCT( (Mijlpalenbegroting!$B$42:$B$51=$B210) * (Mijlpalenbegroting!$J$42:$J$51) )*I173</f>
        <v>0</v>
      </c>
      <c r="J210" s="487" cm="1">
        <f t="array" ref="J210">SUMPRODUCT( (Mijlpalenbegroting!$B$42:$B$51=$B210) * (Mijlpalenbegroting!$J$42:$J$51) )*J173</f>
        <v>0</v>
      </c>
      <c r="K210" s="488">
        <f t="shared" si="33"/>
        <v>0</v>
      </c>
      <c r="L210" s="469">
        <f>$B$173</f>
        <v>5</v>
      </c>
      <c r="M210" s="487" cm="1">
        <f t="array" ref="M210">SUMPRODUCT( (Mijlpalenbegroting!$B$42:$B$51=$B210) * (Mijlpalenbegroting!$I$42:$I$51) )*C173</f>
        <v>0</v>
      </c>
      <c r="N210" s="487" cm="1">
        <f t="array" ref="N210">SUMPRODUCT( (Mijlpalenbegroting!$B$42:$B$51=$B210) * (Mijlpalenbegroting!$I$42:$I$51) )*D173</f>
        <v>0</v>
      </c>
      <c r="O210" s="487" cm="1">
        <f t="array" ref="O210">SUMPRODUCT( (Mijlpalenbegroting!$B$42:$B$51=$B210) * (Mijlpalenbegroting!$I$42:$I$51) )*E173</f>
        <v>0</v>
      </c>
      <c r="P210" s="487" cm="1">
        <f t="array" ref="P210">SUMPRODUCT( (Mijlpalenbegroting!$B$42:$B$51=$B210) * (Mijlpalenbegroting!$I$42:$I$51) )*F173</f>
        <v>0</v>
      </c>
      <c r="Q210" s="487" cm="1">
        <f t="array" ref="Q210">SUMPRODUCT( (Mijlpalenbegroting!$B$42:$B$51=$B210) * (Mijlpalenbegroting!$I$42:$I$51) )*G173</f>
        <v>0</v>
      </c>
      <c r="R210" s="487" cm="1">
        <f t="array" ref="R210">SUMPRODUCT( (Mijlpalenbegroting!$B$42:$B$51=$B210) * (Mijlpalenbegroting!$I$42:$I$51) )*H173</f>
        <v>0</v>
      </c>
      <c r="S210" s="487" cm="1">
        <f t="array" ref="S210">SUMPRODUCT( (Mijlpalenbegroting!$B$42:$B$51=$B210) * (Mijlpalenbegroting!$I$42:$I$51) )*I173</f>
        <v>0</v>
      </c>
      <c r="T210" s="487" cm="1">
        <f t="array" ref="T210">SUMPRODUCT( (Mijlpalenbegroting!$B$42:$B$51=$B210) * (Mijlpalenbegroting!$I$42:$I$51) )*J173</f>
        <v>0</v>
      </c>
      <c r="U210" s="488">
        <f t="shared" si="34"/>
        <v>0</v>
      </c>
      <c r="AT210"/>
    </row>
    <row r="211" spans="1:46" ht="12.5" hidden="1" outlineLevel="1" x14ac:dyDescent="0.25">
      <c r="A211" s="22"/>
      <c r="B211" s="469">
        <f>$B$174</f>
        <v>6</v>
      </c>
      <c r="C211" s="487" cm="1">
        <f t="array" ref="C211">SUMPRODUCT( (Mijlpalenbegroting!$B$42:$B$51=$B211) * (Mijlpalenbegroting!$J$42:$J$51) )*C174</f>
        <v>0</v>
      </c>
      <c r="D211" s="487" cm="1">
        <f t="array" ref="D211">SUMPRODUCT( (Mijlpalenbegroting!$B$42:$B$51=$B211) * (Mijlpalenbegroting!$J$42:$J$51) )*D174</f>
        <v>0</v>
      </c>
      <c r="E211" s="487" cm="1">
        <f t="array" ref="E211">SUMPRODUCT( (Mijlpalenbegroting!$B$42:$B$51=$B211) * (Mijlpalenbegroting!$J$42:$J$51) )*E174</f>
        <v>0</v>
      </c>
      <c r="F211" s="487" cm="1">
        <f t="array" ref="F211">SUMPRODUCT( (Mijlpalenbegroting!$B$42:$B$51=$B211) * (Mijlpalenbegroting!$J$42:$J$51) )*F174</f>
        <v>0</v>
      </c>
      <c r="G211" s="487" cm="1">
        <f t="array" ref="G211">SUMPRODUCT( (Mijlpalenbegroting!$B$42:$B$51=$B211) * (Mijlpalenbegroting!$J$42:$J$51) )*G174</f>
        <v>0</v>
      </c>
      <c r="H211" s="487" cm="1">
        <f t="array" ref="H211">SUMPRODUCT( (Mijlpalenbegroting!$B$42:$B$51=$B211) * (Mijlpalenbegroting!$J$42:$J$51) )*H174</f>
        <v>0</v>
      </c>
      <c r="I211" s="487" cm="1">
        <f t="array" ref="I211">SUMPRODUCT( (Mijlpalenbegroting!$B$42:$B$51=$B211) * (Mijlpalenbegroting!$J$42:$J$51) )*I174</f>
        <v>0</v>
      </c>
      <c r="J211" s="487" cm="1">
        <f t="array" ref="J211">SUMPRODUCT( (Mijlpalenbegroting!$B$42:$B$51=$B211) * (Mijlpalenbegroting!$J$42:$J$51) )*J174</f>
        <v>0</v>
      </c>
      <c r="K211" s="488">
        <f t="shared" si="33"/>
        <v>0</v>
      </c>
      <c r="L211" s="469">
        <f>$B$174</f>
        <v>6</v>
      </c>
      <c r="M211" s="487" cm="1">
        <f t="array" ref="M211">SUMPRODUCT( (Mijlpalenbegroting!$B$42:$B$51=$B211) * (Mijlpalenbegroting!$I$42:$I$51) )*C174</f>
        <v>0</v>
      </c>
      <c r="N211" s="487" cm="1">
        <f t="array" ref="N211">SUMPRODUCT( (Mijlpalenbegroting!$B$42:$B$51=$B211) * (Mijlpalenbegroting!$I$42:$I$51) )*D174</f>
        <v>0</v>
      </c>
      <c r="O211" s="487" cm="1">
        <f t="array" ref="O211">SUMPRODUCT( (Mijlpalenbegroting!$B$42:$B$51=$B211) * (Mijlpalenbegroting!$I$42:$I$51) )*E174</f>
        <v>0</v>
      </c>
      <c r="P211" s="487" cm="1">
        <f t="array" ref="P211">SUMPRODUCT( (Mijlpalenbegroting!$B$42:$B$51=$B211) * (Mijlpalenbegroting!$I$42:$I$51) )*F174</f>
        <v>0</v>
      </c>
      <c r="Q211" s="487" cm="1">
        <f t="array" ref="Q211">SUMPRODUCT( (Mijlpalenbegroting!$B$42:$B$51=$B211) * (Mijlpalenbegroting!$I$42:$I$51) )*G174</f>
        <v>0</v>
      </c>
      <c r="R211" s="487" cm="1">
        <f t="array" ref="R211">SUMPRODUCT( (Mijlpalenbegroting!$B$42:$B$51=$B211) * (Mijlpalenbegroting!$I$42:$I$51) )*H174</f>
        <v>0</v>
      </c>
      <c r="S211" s="487" cm="1">
        <f t="array" ref="S211">SUMPRODUCT( (Mijlpalenbegroting!$B$42:$B$51=$B211) * (Mijlpalenbegroting!$I$42:$I$51) )*I174</f>
        <v>0</v>
      </c>
      <c r="T211" s="487" cm="1">
        <f t="array" ref="T211">SUMPRODUCT( (Mijlpalenbegroting!$B$42:$B$51=$B211) * (Mijlpalenbegroting!$I$42:$I$51) )*J174</f>
        <v>0</v>
      </c>
      <c r="U211" s="488">
        <f t="shared" si="34"/>
        <v>0</v>
      </c>
      <c r="AT211"/>
    </row>
    <row r="212" spans="1:46" ht="12.5" hidden="1" outlineLevel="1" x14ac:dyDescent="0.25">
      <c r="A212" s="22"/>
      <c r="B212" s="469">
        <f>$B$175</f>
        <v>7</v>
      </c>
      <c r="C212" s="487" cm="1">
        <f t="array" ref="C212">SUMPRODUCT( (Mijlpalenbegroting!$B$42:$B$51=$B212) * (Mijlpalenbegroting!$J$42:$J$51) )*C175</f>
        <v>0</v>
      </c>
      <c r="D212" s="487" cm="1">
        <f t="array" ref="D212">SUMPRODUCT( (Mijlpalenbegroting!$B$42:$B$51=$B212) * (Mijlpalenbegroting!$J$42:$J$51) )*D175</f>
        <v>0</v>
      </c>
      <c r="E212" s="487" cm="1">
        <f t="array" ref="E212">SUMPRODUCT( (Mijlpalenbegroting!$B$42:$B$51=$B212) * (Mijlpalenbegroting!$J$42:$J$51) )*E175</f>
        <v>0</v>
      </c>
      <c r="F212" s="487" cm="1">
        <f t="array" ref="F212">SUMPRODUCT( (Mijlpalenbegroting!$B$42:$B$51=$B212) * (Mijlpalenbegroting!$J$42:$J$51) )*F175</f>
        <v>0</v>
      </c>
      <c r="G212" s="487" cm="1">
        <f t="array" ref="G212">SUMPRODUCT( (Mijlpalenbegroting!$B$42:$B$51=$B212) * (Mijlpalenbegroting!$J$42:$J$51) )*G175</f>
        <v>0</v>
      </c>
      <c r="H212" s="487" cm="1">
        <f t="array" ref="H212">SUMPRODUCT( (Mijlpalenbegroting!$B$42:$B$51=$B212) * (Mijlpalenbegroting!$J$42:$J$51) )*H175</f>
        <v>0</v>
      </c>
      <c r="I212" s="487" cm="1">
        <f t="array" ref="I212">SUMPRODUCT( (Mijlpalenbegroting!$B$42:$B$51=$B212) * (Mijlpalenbegroting!$J$42:$J$51) )*I175</f>
        <v>0</v>
      </c>
      <c r="J212" s="487" cm="1">
        <f t="array" ref="J212">SUMPRODUCT( (Mijlpalenbegroting!$B$42:$B$51=$B212) * (Mijlpalenbegroting!$J$42:$J$51) )*J175</f>
        <v>0</v>
      </c>
      <c r="K212" s="488">
        <f t="shared" si="33"/>
        <v>0</v>
      </c>
      <c r="L212" s="469">
        <f>$B$175</f>
        <v>7</v>
      </c>
      <c r="M212" s="487" cm="1">
        <f t="array" ref="M212">SUMPRODUCT( (Mijlpalenbegroting!$B$42:$B$51=$B212) * (Mijlpalenbegroting!$I$42:$I$51) )*C175</f>
        <v>0</v>
      </c>
      <c r="N212" s="487" cm="1">
        <f t="array" ref="N212">SUMPRODUCT( (Mijlpalenbegroting!$B$42:$B$51=$B212) * (Mijlpalenbegroting!$I$42:$I$51) )*D175</f>
        <v>0</v>
      </c>
      <c r="O212" s="487" cm="1">
        <f t="array" ref="O212">SUMPRODUCT( (Mijlpalenbegroting!$B$42:$B$51=$B212) * (Mijlpalenbegroting!$I$42:$I$51) )*E175</f>
        <v>0</v>
      </c>
      <c r="P212" s="487" cm="1">
        <f t="array" ref="P212">SUMPRODUCT( (Mijlpalenbegroting!$B$42:$B$51=$B212) * (Mijlpalenbegroting!$I$42:$I$51) )*F175</f>
        <v>0</v>
      </c>
      <c r="Q212" s="487" cm="1">
        <f t="array" ref="Q212">SUMPRODUCT( (Mijlpalenbegroting!$B$42:$B$51=$B212) * (Mijlpalenbegroting!$I$42:$I$51) )*G175</f>
        <v>0</v>
      </c>
      <c r="R212" s="487" cm="1">
        <f t="array" ref="R212">SUMPRODUCT( (Mijlpalenbegroting!$B$42:$B$51=$B212) * (Mijlpalenbegroting!$I$42:$I$51) )*H175</f>
        <v>0</v>
      </c>
      <c r="S212" s="487" cm="1">
        <f t="array" ref="S212">SUMPRODUCT( (Mijlpalenbegroting!$B$42:$B$51=$B212) * (Mijlpalenbegroting!$I$42:$I$51) )*I175</f>
        <v>0</v>
      </c>
      <c r="T212" s="487" cm="1">
        <f t="array" ref="T212">SUMPRODUCT( (Mijlpalenbegroting!$B$42:$B$51=$B212) * (Mijlpalenbegroting!$I$42:$I$51) )*J175</f>
        <v>0</v>
      </c>
      <c r="U212" s="488">
        <f t="shared" si="34"/>
        <v>0</v>
      </c>
      <c r="AT212"/>
    </row>
    <row r="213" spans="1:46" ht="12.5" hidden="1" outlineLevel="1" x14ac:dyDescent="0.25">
      <c r="A213" s="22"/>
      <c r="B213" s="469">
        <f>$B$176</f>
        <v>8</v>
      </c>
      <c r="C213" s="487" cm="1">
        <f t="array" ref="C213">SUMPRODUCT( (Mijlpalenbegroting!$B$42:$B$51=$B213) * (Mijlpalenbegroting!$J$42:$J$51) )*C176</f>
        <v>0</v>
      </c>
      <c r="D213" s="487" cm="1">
        <f t="array" ref="D213">SUMPRODUCT( (Mijlpalenbegroting!$B$42:$B$51=$B213) * (Mijlpalenbegroting!$J$42:$J$51) )*D176</f>
        <v>0</v>
      </c>
      <c r="E213" s="487" cm="1">
        <f t="array" ref="E213">SUMPRODUCT( (Mijlpalenbegroting!$B$42:$B$51=$B213) * (Mijlpalenbegroting!$J$42:$J$51) )*E176</f>
        <v>0</v>
      </c>
      <c r="F213" s="487" cm="1">
        <f t="array" ref="F213">SUMPRODUCT( (Mijlpalenbegroting!$B$42:$B$51=$B213) * (Mijlpalenbegroting!$J$42:$J$51) )*F176</f>
        <v>0</v>
      </c>
      <c r="G213" s="487" cm="1">
        <f t="array" ref="G213">SUMPRODUCT( (Mijlpalenbegroting!$B$42:$B$51=$B213) * (Mijlpalenbegroting!$J$42:$J$51) )*G176</f>
        <v>0</v>
      </c>
      <c r="H213" s="487" cm="1">
        <f t="array" ref="H213">SUMPRODUCT( (Mijlpalenbegroting!$B$42:$B$51=$B213) * (Mijlpalenbegroting!$J$42:$J$51) )*H176</f>
        <v>0</v>
      </c>
      <c r="I213" s="487" cm="1">
        <f t="array" ref="I213">SUMPRODUCT( (Mijlpalenbegroting!$B$42:$B$51=$B213) * (Mijlpalenbegroting!$J$42:$J$51) )*I176</f>
        <v>0</v>
      </c>
      <c r="J213" s="487" cm="1">
        <f t="array" ref="J213">SUMPRODUCT( (Mijlpalenbegroting!$B$42:$B$51=$B213) * (Mijlpalenbegroting!$J$42:$J$51) )*J176</f>
        <v>0</v>
      </c>
      <c r="K213" s="488">
        <f t="shared" si="33"/>
        <v>0</v>
      </c>
      <c r="L213" s="469">
        <f>$B$176</f>
        <v>8</v>
      </c>
      <c r="M213" s="487" cm="1">
        <f t="array" ref="M213">SUMPRODUCT( (Mijlpalenbegroting!$B$42:$B$51=$B213) * (Mijlpalenbegroting!$I$42:$I$51) )*C176</f>
        <v>0</v>
      </c>
      <c r="N213" s="487" cm="1">
        <f t="array" ref="N213">SUMPRODUCT( (Mijlpalenbegroting!$B$42:$B$51=$B213) * (Mijlpalenbegroting!$I$42:$I$51) )*D176</f>
        <v>0</v>
      </c>
      <c r="O213" s="487" cm="1">
        <f t="array" ref="O213">SUMPRODUCT( (Mijlpalenbegroting!$B$42:$B$51=$B213) * (Mijlpalenbegroting!$I$42:$I$51) )*E176</f>
        <v>0</v>
      </c>
      <c r="P213" s="487" cm="1">
        <f t="array" ref="P213">SUMPRODUCT( (Mijlpalenbegroting!$B$42:$B$51=$B213) * (Mijlpalenbegroting!$I$42:$I$51) )*F176</f>
        <v>0</v>
      </c>
      <c r="Q213" s="487" cm="1">
        <f t="array" ref="Q213">SUMPRODUCT( (Mijlpalenbegroting!$B$42:$B$51=$B213) * (Mijlpalenbegroting!$I$42:$I$51) )*G176</f>
        <v>0</v>
      </c>
      <c r="R213" s="487" cm="1">
        <f t="array" ref="R213">SUMPRODUCT( (Mijlpalenbegroting!$B$42:$B$51=$B213) * (Mijlpalenbegroting!$I$42:$I$51) )*H176</f>
        <v>0</v>
      </c>
      <c r="S213" s="487" cm="1">
        <f t="array" ref="S213">SUMPRODUCT( (Mijlpalenbegroting!$B$42:$B$51=$B213) * (Mijlpalenbegroting!$I$42:$I$51) )*I176</f>
        <v>0</v>
      </c>
      <c r="T213" s="487" cm="1">
        <f t="array" ref="T213">SUMPRODUCT( (Mijlpalenbegroting!$B$42:$B$51=$B213) * (Mijlpalenbegroting!$I$42:$I$51) )*J176</f>
        <v>0</v>
      </c>
      <c r="U213" s="488">
        <f t="shared" si="34"/>
        <v>0</v>
      </c>
      <c r="AT213"/>
    </row>
    <row r="214" spans="1:46" ht="12.5" hidden="1" outlineLevel="1" x14ac:dyDescent="0.25">
      <c r="A214" s="22"/>
      <c r="B214" s="469">
        <f>$B$177</f>
        <v>9</v>
      </c>
      <c r="C214" s="487" cm="1">
        <f t="array" ref="C214">SUMPRODUCT( (Mijlpalenbegroting!$B$42:$B$51=$B214) * (Mijlpalenbegroting!$J$42:$J$51) )*C177</f>
        <v>0</v>
      </c>
      <c r="D214" s="487" cm="1">
        <f t="array" ref="D214">SUMPRODUCT( (Mijlpalenbegroting!$B$42:$B$51=$B214) * (Mijlpalenbegroting!$J$42:$J$51) )*D177</f>
        <v>0</v>
      </c>
      <c r="E214" s="487" cm="1">
        <f t="array" ref="E214">SUMPRODUCT( (Mijlpalenbegroting!$B$42:$B$51=$B214) * (Mijlpalenbegroting!$J$42:$J$51) )*E177</f>
        <v>0</v>
      </c>
      <c r="F214" s="487" cm="1">
        <f t="array" ref="F214">SUMPRODUCT( (Mijlpalenbegroting!$B$42:$B$51=$B214) * (Mijlpalenbegroting!$J$42:$J$51) )*F177</f>
        <v>0</v>
      </c>
      <c r="G214" s="487" cm="1">
        <f t="array" ref="G214">SUMPRODUCT( (Mijlpalenbegroting!$B$42:$B$51=$B214) * (Mijlpalenbegroting!$J$42:$J$51) )*G177</f>
        <v>0</v>
      </c>
      <c r="H214" s="487" cm="1">
        <f t="array" ref="H214">SUMPRODUCT( (Mijlpalenbegroting!$B$42:$B$51=$B214) * (Mijlpalenbegroting!$J$42:$J$51) )*H177</f>
        <v>0</v>
      </c>
      <c r="I214" s="487" cm="1">
        <f t="array" ref="I214">SUMPRODUCT( (Mijlpalenbegroting!$B$42:$B$51=$B214) * (Mijlpalenbegroting!$J$42:$J$51) )*I177</f>
        <v>0</v>
      </c>
      <c r="J214" s="487" cm="1">
        <f t="array" ref="J214">SUMPRODUCT( (Mijlpalenbegroting!$B$42:$B$51=$B214) * (Mijlpalenbegroting!$J$42:$J$51) )*J177</f>
        <v>0</v>
      </c>
      <c r="K214" s="488">
        <f t="shared" si="33"/>
        <v>0</v>
      </c>
      <c r="L214" s="469">
        <f>$B$177</f>
        <v>9</v>
      </c>
      <c r="M214" s="487" cm="1">
        <f t="array" ref="M214">SUMPRODUCT( (Mijlpalenbegroting!$B$42:$B$51=$B214) * (Mijlpalenbegroting!$I$42:$I$51) )*C177</f>
        <v>0</v>
      </c>
      <c r="N214" s="487" cm="1">
        <f t="array" ref="N214">SUMPRODUCT( (Mijlpalenbegroting!$B$42:$B$51=$B214) * (Mijlpalenbegroting!$I$42:$I$51) )*D177</f>
        <v>0</v>
      </c>
      <c r="O214" s="487" cm="1">
        <f t="array" ref="O214">SUMPRODUCT( (Mijlpalenbegroting!$B$42:$B$51=$B214) * (Mijlpalenbegroting!$I$42:$I$51) )*E177</f>
        <v>0</v>
      </c>
      <c r="P214" s="487" cm="1">
        <f t="array" ref="P214">SUMPRODUCT( (Mijlpalenbegroting!$B$42:$B$51=$B214) * (Mijlpalenbegroting!$I$42:$I$51) )*F177</f>
        <v>0</v>
      </c>
      <c r="Q214" s="487" cm="1">
        <f t="array" ref="Q214">SUMPRODUCT( (Mijlpalenbegroting!$B$42:$B$51=$B214) * (Mijlpalenbegroting!$I$42:$I$51) )*G177</f>
        <v>0</v>
      </c>
      <c r="R214" s="487" cm="1">
        <f t="array" ref="R214">SUMPRODUCT( (Mijlpalenbegroting!$B$42:$B$51=$B214) * (Mijlpalenbegroting!$I$42:$I$51) )*H177</f>
        <v>0</v>
      </c>
      <c r="S214" s="487" cm="1">
        <f t="array" ref="S214">SUMPRODUCT( (Mijlpalenbegroting!$B$42:$B$51=$B214) * (Mijlpalenbegroting!$I$42:$I$51) )*I177</f>
        <v>0</v>
      </c>
      <c r="T214" s="487" cm="1">
        <f t="array" ref="T214">SUMPRODUCT( (Mijlpalenbegroting!$B$42:$B$51=$B214) * (Mijlpalenbegroting!$I$42:$I$51) )*J177</f>
        <v>0</v>
      </c>
      <c r="U214" s="488">
        <f t="shared" si="34"/>
        <v>0</v>
      </c>
      <c r="AT214"/>
    </row>
    <row r="215" spans="1:46" ht="12.5" hidden="1" outlineLevel="1" x14ac:dyDescent="0.25">
      <c r="A215" s="22"/>
      <c r="B215" s="469">
        <f>$B$178</f>
        <v>10</v>
      </c>
      <c r="C215" s="487" cm="1">
        <f t="array" ref="C215">SUMPRODUCT( (Mijlpalenbegroting!$B$42:$B$51=$B215) * (Mijlpalenbegroting!$J$42:$J$51) )*C178</f>
        <v>0</v>
      </c>
      <c r="D215" s="487" cm="1">
        <f t="array" ref="D215">SUMPRODUCT( (Mijlpalenbegroting!$B$42:$B$51=$B215) * (Mijlpalenbegroting!$J$42:$J$51) )*D178</f>
        <v>0</v>
      </c>
      <c r="E215" s="487" cm="1">
        <f t="array" ref="E215">SUMPRODUCT( (Mijlpalenbegroting!$B$42:$B$51=$B215) * (Mijlpalenbegroting!$J$42:$J$51) )*E178</f>
        <v>0</v>
      </c>
      <c r="F215" s="487" cm="1">
        <f t="array" ref="F215">SUMPRODUCT( (Mijlpalenbegroting!$B$42:$B$51=$B215) * (Mijlpalenbegroting!$J$42:$J$51) )*F178</f>
        <v>0</v>
      </c>
      <c r="G215" s="487" cm="1">
        <f t="array" ref="G215">SUMPRODUCT( (Mijlpalenbegroting!$B$42:$B$51=$B215) * (Mijlpalenbegroting!$J$42:$J$51) )*G178</f>
        <v>0</v>
      </c>
      <c r="H215" s="487" cm="1">
        <f t="array" ref="H215">SUMPRODUCT( (Mijlpalenbegroting!$B$42:$B$51=$B215) * (Mijlpalenbegroting!$J$42:$J$51) )*H178</f>
        <v>0</v>
      </c>
      <c r="I215" s="487" cm="1">
        <f t="array" ref="I215">SUMPRODUCT( (Mijlpalenbegroting!$B$42:$B$51=$B215) * (Mijlpalenbegroting!$J$42:$J$51) )*I178</f>
        <v>0</v>
      </c>
      <c r="J215" s="487" cm="1">
        <f t="array" ref="J215">SUMPRODUCT( (Mijlpalenbegroting!$B$42:$B$51=$B215) * (Mijlpalenbegroting!$J$42:$J$51) )*J178</f>
        <v>0</v>
      </c>
      <c r="K215" s="488">
        <f t="shared" si="33"/>
        <v>0</v>
      </c>
      <c r="L215" s="469">
        <f>$B$178</f>
        <v>10</v>
      </c>
      <c r="M215" s="487" cm="1">
        <f t="array" ref="M215">SUMPRODUCT( (Mijlpalenbegroting!$B$42:$B$51=$B215) * (Mijlpalenbegroting!$I$42:$I$51) )*C178</f>
        <v>0</v>
      </c>
      <c r="N215" s="487" cm="1">
        <f t="array" ref="N215">SUMPRODUCT( (Mijlpalenbegroting!$B$42:$B$51=$B215) * (Mijlpalenbegroting!$I$42:$I$51) )*D178</f>
        <v>0</v>
      </c>
      <c r="O215" s="487" cm="1">
        <f t="array" ref="O215">SUMPRODUCT( (Mijlpalenbegroting!$B$42:$B$51=$B215) * (Mijlpalenbegroting!$I$42:$I$51) )*E178</f>
        <v>0</v>
      </c>
      <c r="P215" s="487" cm="1">
        <f t="array" ref="P215">SUMPRODUCT( (Mijlpalenbegroting!$B$42:$B$51=$B215) * (Mijlpalenbegroting!$I$42:$I$51) )*F178</f>
        <v>0</v>
      </c>
      <c r="Q215" s="487" cm="1">
        <f t="array" ref="Q215">SUMPRODUCT( (Mijlpalenbegroting!$B$42:$B$51=$B215) * (Mijlpalenbegroting!$I$42:$I$51) )*G178</f>
        <v>0</v>
      </c>
      <c r="R215" s="487" cm="1">
        <f t="array" ref="R215">SUMPRODUCT( (Mijlpalenbegroting!$B$42:$B$51=$B215) * (Mijlpalenbegroting!$I$42:$I$51) )*H178</f>
        <v>0</v>
      </c>
      <c r="S215" s="487" cm="1">
        <f t="array" ref="S215">SUMPRODUCT( (Mijlpalenbegroting!$B$42:$B$51=$B215) * (Mijlpalenbegroting!$I$42:$I$51) )*I178</f>
        <v>0</v>
      </c>
      <c r="T215" s="487" cm="1">
        <f t="array" ref="T215">SUMPRODUCT( (Mijlpalenbegroting!$B$42:$B$51=$B215) * (Mijlpalenbegroting!$I$42:$I$51) )*J178</f>
        <v>0</v>
      </c>
      <c r="U215" s="488">
        <f t="shared" si="34"/>
        <v>0</v>
      </c>
      <c r="AT215"/>
    </row>
    <row r="216" spans="1:46" ht="12.5" hidden="1" outlineLevel="1" x14ac:dyDescent="0.25">
      <c r="A216" s="22"/>
      <c r="B216" s="469">
        <f>$B$179</f>
        <v>11</v>
      </c>
      <c r="C216" s="487" cm="1">
        <f t="array" ref="C216">SUMPRODUCT( (Mijlpalenbegroting!$B$42:$B$51=$B216) * (Mijlpalenbegroting!$J$42:$J$51) )*C179</f>
        <v>0</v>
      </c>
      <c r="D216" s="487" cm="1">
        <f t="array" ref="D216">SUMPRODUCT( (Mijlpalenbegroting!$B$42:$B$51=$B216) * (Mijlpalenbegroting!$J$42:$J$51) )*D179</f>
        <v>0</v>
      </c>
      <c r="E216" s="487" cm="1">
        <f t="array" ref="E216">SUMPRODUCT( (Mijlpalenbegroting!$B$42:$B$51=$B216) * (Mijlpalenbegroting!$J$42:$J$51) )*E179</f>
        <v>0</v>
      </c>
      <c r="F216" s="487" cm="1">
        <f t="array" ref="F216">SUMPRODUCT( (Mijlpalenbegroting!$B$42:$B$51=$B216) * (Mijlpalenbegroting!$J$42:$J$51) )*F179</f>
        <v>0</v>
      </c>
      <c r="G216" s="487" cm="1">
        <f t="array" ref="G216">SUMPRODUCT( (Mijlpalenbegroting!$B$42:$B$51=$B216) * (Mijlpalenbegroting!$J$42:$J$51) )*G179</f>
        <v>0</v>
      </c>
      <c r="H216" s="487" cm="1">
        <f t="array" ref="H216">SUMPRODUCT( (Mijlpalenbegroting!$B$42:$B$51=$B216) * (Mijlpalenbegroting!$J$42:$J$51) )*H179</f>
        <v>0</v>
      </c>
      <c r="I216" s="487" cm="1">
        <f t="array" ref="I216">SUMPRODUCT( (Mijlpalenbegroting!$B$42:$B$51=$B216) * (Mijlpalenbegroting!$J$42:$J$51) )*I179</f>
        <v>0</v>
      </c>
      <c r="J216" s="487" cm="1">
        <f t="array" ref="J216">SUMPRODUCT( (Mijlpalenbegroting!$B$42:$B$51=$B216) * (Mijlpalenbegroting!$J$42:$J$51) )*J179</f>
        <v>0</v>
      </c>
      <c r="K216" s="488">
        <f t="shared" si="33"/>
        <v>0</v>
      </c>
      <c r="L216" s="469">
        <f>$B$179</f>
        <v>11</v>
      </c>
      <c r="M216" s="487" cm="1">
        <f t="array" ref="M216">SUMPRODUCT( (Mijlpalenbegroting!$B$42:$B$51=$B216) * (Mijlpalenbegroting!$I$42:$I$51) )*C179</f>
        <v>0</v>
      </c>
      <c r="N216" s="487" cm="1">
        <f t="array" ref="N216">SUMPRODUCT( (Mijlpalenbegroting!$B$42:$B$51=$B216) * (Mijlpalenbegroting!$I$42:$I$51) )*D179</f>
        <v>0</v>
      </c>
      <c r="O216" s="487" cm="1">
        <f t="array" ref="O216">SUMPRODUCT( (Mijlpalenbegroting!$B$42:$B$51=$B216) * (Mijlpalenbegroting!$I$42:$I$51) )*E179</f>
        <v>0</v>
      </c>
      <c r="P216" s="487" cm="1">
        <f t="array" ref="P216">SUMPRODUCT( (Mijlpalenbegroting!$B$42:$B$51=$B216) * (Mijlpalenbegroting!$I$42:$I$51) )*F179</f>
        <v>0</v>
      </c>
      <c r="Q216" s="487" cm="1">
        <f t="array" ref="Q216">SUMPRODUCT( (Mijlpalenbegroting!$B$42:$B$51=$B216) * (Mijlpalenbegroting!$I$42:$I$51) )*G179</f>
        <v>0</v>
      </c>
      <c r="R216" s="487" cm="1">
        <f t="array" ref="R216">SUMPRODUCT( (Mijlpalenbegroting!$B$42:$B$51=$B216) * (Mijlpalenbegroting!$I$42:$I$51) )*H179</f>
        <v>0</v>
      </c>
      <c r="S216" s="487" cm="1">
        <f t="array" ref="S216">SUMPRODUCT( (Mijlpalenbegroting!$B$42:$B$51=$B216) * (Mijlpalenbegroting!$I$42:$I$51) )*I179</f>
        <v>0</v>
      </c>
      <c r="T216" s="487" cm="1">
        <f t="array" ref="T216">SUMPRODUCT( (Mijlpalenbegroting!$B$42:$B$51=$B216) * (Mijlpalenbegroting!$I$42:$I$51) )*J179</f>
        <v>0</v>
      </c>
      <c r="U216" s="488">
        <f t="shared" si="34"/>
        <v>0</v>
      </c>
      <c r="AT216"/>
    </row>
    <row r="217" spans="1:46" ht="12.5" hidden="1" outlineLevel="1" x14ac:dyDescent="0.25">
      <c r="A217" s="22"/>
      <c r="B217" s="469">
        <f>$B$180</f>
        <v>12</v>
      </c>
      <c r="C217" s="487" cm="1">
        <f t="array" ref="C217">SUMPRODUCT( (Mijlpalenbegroting!$B$42:$B$51=$B217) * (Mijlpalenbegroting!$J$42:$J$51) )*C180</f>
        <v>0</v>
      </c>
      <c r="D217" s="487" cm="1">
        <f t="array" ref="D217">SUMPRODUCT( (Mijlpalenbegroting!$B$42:$B$51=$B217) * (Mijlpalenbegroting!$J$42:$J$51) )*D180</f>
        <v>0</v>
      </c>
      <c r="E217" s="487" cm="1">
        <f t="array" ref="E217">SUMPRODUCT( (Mijlpalenbegroting!$B$42:$B$51=$B217) * (Mijlpalenbegroting!$J$42:$J$51) )*E180</f>
        <v>0</v>
      </c>
      <c r="F217" s="487" cm="1">
        <f t="array" ref="F217">SUMPRODUCT( (Mijlpalenbegroting!$B$42:$B$51=$B217) * (Mijlpalenbegroting!$J$42:$J$51) )*F180</f>
        <v>0</v>
      </c>
      <c r="G217" s="487" cm="1">
        <f t="array" ref="G217">SUMPRODUCT( (Mijlpalenbegroting!$B$42:$B$51=$B217) * (Mijlpalenbegroting!$J$42:$J$51) )*G180</f>
        <v>0</v>
      </c>
      <c r="H217" s="487" cm="1">
        <f t="array" ref="H217">SUMPRODUCT( (Mijlpalenbegroting!$B$42:$B$51=$B217) * (Mijlpalenbegroting!$J$42:$J$51) )*H180</f>
        <v>0</v>
      </c>
      <c r="I217" s="487" cm="1">
        <f t="array" ref="I217">SUMPRODUCT( (Mijlpalenbegroting!$B$42:$B$51=$B217) * (Mijlpalenbegroting!$J$42:$J$51) )*I180</f>
        <v>0</v>
      </c>
      <c r="J217" s="487" cm="1">
        <f t="array" ref="J217">SUMPRODUCT( (Mijlpalenbegroting!$B$42:$B$51=$B217) * (Mijlpalenbegroting!$J$42:$J$51) )*J180</f>
        <v>0</v>
      </c>
      <c r="K217" s="488">
        <f t="shared" si="33"/>
        <v>0</v>
      </c>
      <c r="L217" s="469">
        <f>$B$180</f>
        <v>12</v>
      </c>
      <c r="M217" s="487" cm="1">
        <f t="array" ref="M217">SUMPRODUCT( (Mijlpalenbegroting!$B$42:$B$51=$B217) * (Mijlpalenbegroting!$I$42:$I$51) )*C180</f>
        <v>0</v>
      </c>
      <c r="N217" s="487" cm="1">
        <f t="array" ref="N217">SUMPRODUCT( (Mijlpalenbegroting!$B$42:$B$51=$B217) * (Mijlpalenbegroting!$I$42:$I$51) )*D180</f>
        <v>0</v>
      </c>
      <c r="O217" s="487" cm="1">
        <f t="array" ref="O217">SUMPRODUCT( (Mijlpalenbegroting!$B$42:$B$51=$B217) * (Mijlpalenbegroting!$I$42:$I$51) )*E180</f>
        <v>0</v>
      </c>
      <c r="P217" s="487" cm="1">
        <f t="array" ref="P217">SUMPRODUCT( (Mijlpalenbegroting!$B$42:$B$51=$B217) * (Mijlpalenbegroting!$I$42:$I$51) )*F180</f>
        <v>0</v>
      </c>
      <c r="Q217" s="487" cm="1">
        <f t="array" ref="Q217">SUMPRODUCT( (Mijlpalenbegroting!$B$42:$B$51=$B217) * (Mijlpalenbegroting!$I$42:$I$51) )*G180</f>
        <v>0</v>
      </c>
      <c r="R217" s="487" cm="1">
        <f t="array" ref="R217">SUMPRODUCT( (Mijlpalenbegroting!$B$42:$B$51=$B217) * (Mijlpalenbegroting!$I$42:$I$51) )*H180</f>
        <v>0</v>
      </c>
      <c r="S217" s="487" cm="1">
        <f t="array" ref="S217">SUMPRODUCT( (Mijlpalenbegroting!$B$42:$B$51=$B217) * (Mijlpalenbegroting!$I$42:$I$51) )*I180</f>
        <v>0</v>
      </c>
      <c r="T217" s="487" cm="1">
        <f t="array" ref="T217">SUMPRODUCT( (Mijlpalenbegroting!$B$42:$B$51=$B217) * (Mijlpalenbegroting!$I$42:$I$51) )*J180</f>
        <v>0</v>
      </c>
      <c r="U217" s="488">
        <f t="shared" si="34"/>
        <v>0</v>
      </c>
      <c r="AT217"/>
    </row>
    <row r="218" spans="1:46" ht="12.5" hidden="1" outlineLevel="1" x14ac:dyDescent="0.25">
      <c r="A218" s="22"/>
      <c r="B218" s="469">
        <f>$B$181</f>
        <v>13</v>
      </c>
      <c r="C218" s="487" cm="1">
        <f t="array" ref="C218">SUMPRODUCT( (Mijlpalenbegroting!$B$42:$B$51=$B218) * (Mijlpalenbegroting!$J$42:$J$51) )*C181</f>
        <v>0</v>
      </c>
      <c r="D218" s="487" cm="1">
        <f t="array" ref="D218">SUMPRODUCT( (Mijlpalenbegroting!$B$42:$B$51=$B218) * (Mijlpalenbegroting!$J$42:$J$51) )*D181</f>
        <v>0</v>
      </c>
      <c r="E218" s="487" cm="1">
        <f t="array" ref="E218">SUMPRODUCT( (Mijlpalenbegroting!$B$42:$B$51=$B218) * (Mijlpalenbegroting!$J$42:$J$51) )*E181</f>
        <v>0</v>
      </c>
      <c r="F218" s="487" cm="1">
        <f t="array" ref="F218">SUMPRODUCT( (Mijlpalenbegroting!$B$42:$B$51=$B218) * (Mijlpalenbegroting!$J$42:$J$51) )*F181</f>
        <v>0</v>
      </c>
      <c r="G218" s="487" cm="1">
        <f t="array" ref="G218">SUMPRODUCT( (Mijlpalenbegroting!$B$42:$B$51=$B218) * (Mijlpalenbegroting!$J$42:$J$51) )*G181</f>
        <v>0</v>
      </c>
      <c r="H218" s="487" cm="1">
        <f t="array" ref="H218">SUMPRODUCT( (Mijlpalenbegroting!$B$42:$B$51=$B218) * (Mijlpalenbegroting!$J$42:$J$51) )*H181</f>
        <v>0</v>
      </c>
      <c r="I218" s="487" cm="1">
        <f t="array" ref="I218">SUMPRODUCT( (Mijlpalenbegroting!$B$42:$B$51=$B218) * (Mijlpalenbegroting!$J$42:$J$51) )*I181</f>
        <v>0</v>
      </c>
      <c r="J218" s="487" cm="1">
        <f t="array" ref="J218">SUMPRODUCT( (Mijlpalenbegroting!$B$42:$B$51=$B218) * (Mijlpalenbegroting!$J$42:$J$51) )*J181</f>
        <v>0</v>
      </c>
      <c r="K218" s="488">
        <f t="shared" si="33"/>
        <v>0</v>
      </c>
      <c r="L218" s="469">
        <f>$B$181</f>
        <v>13</v>
      </c>
      <c r="M218" s="487" cm="1">
        <f t="array" ref="M218">SUMPRODUCT( (Mijlpalenbegroting!$B$42:$B$51=$B218) * (Mijlpalenbegroting!$I$42:$I$51) )*C181</f>
        <v>0</v>
      </c>
      <c r="N218" s="487" cm="1">
        <f t="array" ref="N218">SUMPRODUCT( (Mijlpalenbegroting!$B$42:$B$51=$B218) * (Mijlpalenbegroting!$I$42:$I$51) )*D181</f>
        <v>0</v>
      </c>
      <c r="O218" s="487" cm="1">
        <f t="array" ref="O218">SUMPRODUCT( (Mijlpalenbegroting!$B$42:$B$51=$B218) * (Mijlpalenbegroting!$I$42:$I$51) )*E181</f>
        <v>0</v>
      </c>
      <c r="P218" s="487" cm="1">
        <f t="array" ref="P218">SUMPRODUCT( (Mijlpalenbegroting!$B$42:$B$51=$B218) * (Mijlpalenbegroting!$I$42:$I$51) )*F181</f>
        <v>0</v>
      </c>
      <c r="Q218" s="487" cm="1">
        <f t="array" ref="Q218">SUMPRODUCT( (Mijlpalenbegroting!$B$42:$B$51=$B218) * (Mijlpalenbegroting!$I$42:$I$51) )*G181</f>
        <v>0</v>
      </c>
      <c r="R218" s="487" cm="1">
        <f t="array" ref="R218">SUMPRODUCT( (Mijlpalenbegroting!$B$42:$B$51=$B218) * (Mijlpalenbegroting!$I$42:$I$51) )*H181</f>
        <v>0</v>
      </c>
      <c r="S218" s="487" cm="1">
        <f t="array" ref="S218">SUMPRODUCT( (Mijlpalenbegroting!$B$42:$B$51=$B218) * (Mijlpalenbegroting!$I$42:$I$51) )*I181</f>
        <v>0</v>
      </c>
      <c r="T218" s="487" cm="1">
        <f t="array" ref="T218">SUMPRODUCT( (Mijlpalenbegroting!$B$42:$B$51=$B218) * (Mijlpalenbegroting!$I$42:$I$51) )*J181</f>
        <v>0</v>
      </c>
      <c r="U218" s="488">
        <f t="shared" si="34"/>
        <v>0</v>
      </c>
      <c r="AT218"/>
    </row>
    <row r="219" spans="1:46" ht="12.5" hidden="1" outlineLevel="1" x14ac:dyDescent="0.25">
      <c r="A219" s="22"/>
      <c r="B219" s="469">
        <f>$B$182</f>
        <v>14</v>
      </c>
      <c r="C219" s="487" cm="1">
        <f t="array" ref="C219">SUMPRODUCT( (Mijlpalenbegroting!$B$42:$B$51=$B219) * (Mijlpalenbegroting!$J$42:$J$51) )*C182</f>
        <v>0</v>
      </c>
      <c r="D219" s="487" cm="1">
        <f t="array" ref="D219">SUMPRODUCT( (Mijlpalenbegroting!$B$42:$B$51=$B219) * (Mijlpalenbegroting!$J$42:$J$51) )*D182</f>
        <v>0</v>
      </c>
      <c r="E219" s="487" cm="1">
        <f t="array" ref="E219">SUMPRODUCT( (Mijlpalenbegroting!$B$42:$B$51=$B219) * (Mijlpalenbegroting!$J$42:$J$51) )*E182</f>
        <v>0</v>
      </c>
      <c r="F219" s="487" cm="1">
        <f t="array" ref="F219">SUMPRODUCT( (Mijlpalenbegroting!$B$42:$B$51=$B219) * (Mijlpalenbegroting!$J$42:$J$51) )*F182</f>
        <v>0</v>
      </c>
      <c r="G219" s="487" cm="1">
        <f t="array" ref="G219">SUMPRODUCT( (Mijlpalenbegroting!$B$42:$B$51=$B219) * (Mijlpalenbegroting!$J$42:$J$51) )*G182</f>
        <v>0</v>
      </c>
      <c r="H219" s="487" cm="1">
        <f t="array" ref="H219">SUMPRODUCT( (Mijlpalenbegroting!$B$42:$B$51=$B219) * (Mijlpalenbegroting!$J$42:$J$51) )*H182</f>
        <v>0</v>
      </c>
      <c r="I219" s="487" cm="1">
        <f t="array" ref="I219">SUMPRODUCT( (Mijlpalenbegroting!$B$42:$B$51=$B219) * (Mijlpalenbegroting!$J$42:$J$51) )*I182</f>
        <v>0</v>
      </c>
      <c r="J219" s="487" cm="1">
        <f t="array" ref="J219">SUMPRODUCT( (Mijlpalenbegroting!$B$42:$B$51=$B219) * (Mijlpalenbegroting!$J$42:$J$51) )*J182</f>
        <v>0</v>
      </c>
      <c r="K219" s="488">
        <f t="shared" si="33"/>
        <v>0</v>
      </c>
      <c r="L219" s="469">
        <f>$B$182</f>
        <v>14</v>
      </c>
      <c r="M219" s="487" cm="1">
        <f t="array" ref="M219">SUMPRODUCT( (Mijlpalenbegroting!$B$42:$B$51=$B219) * (Mijlpalenbegroting!$I$42:$I$51) )*C182</f>
        <v>0</v>
      </c>
      <c r="N219" s="487" cm="1">
        <f t="array" ref="N219">SUMPRODUCT( (Mijlpalenbegroting!$B$42:$B$51=$B219) * (Mijlpalenbegroting!$I$42:$I$51) )*D182</f>
        <v>0</v>
      </c>
      <c r="O219" s="487" cm="1">
        <f t="array" ref="O219">SUMPRODUCT( (Mijlpalenbegroting!$B$42:$B$51=$B219) * (Mijlpalenbegroting!$I$42:$I$51) )*E182</f>
        <v>0</v>
      </c>
      <c r="P219" s="487" cm="1">
        <f t="array" ref="P219">SUMPRODUCT( (Mijlpalenbegroting!$B$42:$B$51=$B219) * (Mijlpalenbegroting!$I$42:$I$51) )*F182</f>
        <v>0</v>
      </c>
      <c r="Q219" s="487" cm="1">
        <f t="array" ref="Q219">SUMPRODUCT( (Mijlpalenbegroting!$B$42:$B$51=$B219) * (Mijlpalenbegroting!$I$42:$I$51) )*G182</f>
        <v>0</v>
      </c>
      <c r="R219" s="487" cm="1">
        <f t="array" ref="R219">SUMPRODUCT( (Mijlpalenbegroting!$B$42:$B$51=$B219) * (Mijlpalenbegroting!$I$42:$I$51) )*H182</f>
        <v>0</v>
      </c>
      <c r="S219" s="487" cm="1">
        <f t="array" ref="S219">SUMPRODUCT( (Mijlpalenbegroting!$B$42:$B$51=$B219) * (Mijlpalenbegroting!$I$42:$I$51) )*I182</f>
        <v>0</v>
      </c>
      <c r="T219" s="487" cm="1">
        <f t="array" ref="T219">SUMPRODUCT( (Mijlpalenbegroting!$B$42:$B$51=$B219) * (Mijlpalenbegroting!$I$42:$I$51) )*J182</f>
        <v>0</v>
      </c>
      <c r="U219" s="488">
        <f t="shared" si="34"/>
        <v>0</v>
      </c>
      <c r="AT219"/>
    </row>
    <row r="220" spans="1:46" ht="12.5" hidden="1" outlineLevel="1" x14ac:dyDescent="0.25">
      <c r="A220" s="22"/>
      <c r="B220" s="469">
        <f>$B$183</f>
        <v>15</v>
      </c>
      <c r="C220" s="487" cm="1">
        <f t="array" ref="C220">SUMPRODUCT( (Mijlpalenbegroting!$B$42:$B$51=$B220) * (Mijlpalenbegroting!$J$42:$J$51) )*C183</f>
        <v>0</v>
      </c>
      <c r="D220" s="487" cm="1">
        <f t="array" ref="D220">SUMPRODUCT( (Mijlpalenbegroting!$B$42:$B$51=$B220) * (Mijlpalenbegroting!$J$42:$J$51) )*D183</f>
        <v>0</v>
      </c>
      <c r="E220" s="487" cm="1">
        <f t="array" ref="E220">SUMPRODUCT( (Mijlpalenbegroting!$B$42:$B$51=$B220) * (Mijlpalenbegroting!$J$42:$J$51) )*E183</f>
        <v>0</v>
      </c>
      <c r="F220" s="487" cm="1">
        <f t="array" ref="F220">SUMPRODUCT( (Mijlpalenbegroting!$B$42:$B$51=$B220) * (Mijlpalenbegroting!$J$42:$J$51) )*F183</f>
        <v>0</v>
      </c>
      <c r="G220" s="487" cm="1">
        <f t="array" ref="G220">SUMPRODUCT( (Mijlpalenbegroting!$B$42:$B$51=$B220) * (Mijlpalenbegroting!$J$42:$J$51) )*G183</f>
        <v>0</v>
      </c>
      <c r="H220" s="487" cm="1">
        <f t="array" ref="H220">SUMPRODUCT( (Mijlpalenbegroting!$B$42:$B$51=$B220) * (Mijlpalenbegroting!$J$42:$J$51) )*H183</f>
        <v>0</v>
      </c>
      <c r="I220" s="487" cm="1">
        <f t="array" ref="I220">SUMPRODUCT( (Mijlpalenbegroting!$B$42:$B$51=$B220) * (Mijlpalenbegroting!$J$42:$J$51) )*I183</f>
        <v>0</v>
      </c>
      <c r="J220" s="487" cm="1">
        <f t="array" ref="J220">SUMPRODUCT( (Mijlpalenbegroting!$B$42:$B$51=$B220) * (Mijlpalenbegroting!$J$42:$J$51) )*J183</f>
        <v>0</v>
      </c>
      <c r="K220" s="488">
        <f t="shared" si="33"/>
        <v>0</v>
      </c>
      <c r="L220" s="469">
        <f>$B$183</f>
        <v>15</v>
      </c>
      <c r="M220" s="487" cm="1">
        <f t="array" ref="M220">SUMPRODUCT( (Mijlpalenbegroting!$B$42:$B$51=$B220) * (Mijlpalenbegroting!$I$42:$I$51) )*C183</f>
        <v>0</v>
      </c>
      <c r="N220" s="487" cm="1">
        <f t="array" ref="N220">SUMPRODUCT( (Mijlpalenbegroting!$B$42:$B$51=$B220) * (Mijlpalenbegroting!$I$42:$I$51) )*D183</f>
        <v>0</v>
      </c>
      <c r="O220" s="487" cm="1">
        <f t="array" ref="O220">SUMPRODUCT( (Mijlpalenbegroting!$B$42:$B$51=$B220) * (Mijlpalenbegroting!$I$42:$I$51) )*E183</f>
        <v>0</v>
      </c>
      <c r="P220" s="487" cm="1">
        <f t="array" ref="P220">SUMPRODUCT( (Mijlpalenbegroting!$B$42:$B$51=$B220) * (Mijlpalenbegroting!$I$42:$I$51) )*F183</f>
        <v>0</v>
      </c>
      <c r="Q220" s="487" cm="1">
        <f t="array" ref="Q220">SUMPRODUCT( (Mijlpalenbegroting!$B$42:$B$51=$B220) * (Mijlpalenbegroting!$I$42:$I$51) )*G183</f>
        <v>0</v>
      </c>
      <c r="R220" s="487" cm="1">
        <f t="array" ref="R220">SUMPRODUCT( (Mijlpalenbegroting!$B$42:$B$51=$B220) * (Mijlpalenbegroting!$I$42:$I$51) )*H183</f>
        <v>0</v>
      </c>
      <c r="S220" s="487" cm="1">
        <f t="array" ref="S220">SUMPRODUCT( (Mijlpalenbegroting!$B$42:$B$51=$B220) * (Mijlpalenbegroting!$I$42:$I$51) )*I183</f>
        <v>0</v>
      </c>
      <c r="T220" s="487" cm="1">
        <f t="array" ref="T220">SUMPRODUCT( (Mijlpalenbegroting!$B$42:$B$51=$B220) * (Mijlpalenbegroting!$I$42:$I$51) )*J183</f>
        <v>0</v>
      </c>
      <c r="U220" s="488">
        <f t="shared" si="34"/>
        <v>0</v>
      </c>
      <c r="AT220"/>
    </row>
    <row r="221" spans="1:46" ht="12.5" hidden="1" outlineLevel="1" x14ac:dyDescent="0.25">
      <c r="A221" s="22"/>
      <c r="B221" s="469" t="s">
        <v>335</v>
      </c>
      <c r="C221" s="489">
        <f>SUM(C206:C220)</f>
        <v>0</v>
      </c>
      <c r="D221" s="489">
        <f t="shared" ref="D221" si="35">SUM(D206:D220)</f>
        <v>0</v>
      </c>
      <c r="E221" s="489">
        <f t="shared" ref="E221" si="36">SUM(E206:E220)</f>
        <v>0</v>
      </c>
      <c r="F221" s="489">
        <f t="shared" ref="F221" si="37">SUM(F206:F220)</f>
        <v>0</v>
      </c>
      <c r="G221" s="489">
        <f t="shared" ref="G221" si="38">SUM(G206:G220)</f>
        <v>0</v>
      </c>
      <c r="H221" s="489">
        <f t="shared" ref="H221" si="39">SUM(H206:H220)</f>
        <v>0</v>
      </c>
      <c r="I221" s="489">
        <f t="shared" ref="I221" si="40">SUM(I206:I220)</f>
        <v>0</v>
      </c>
      <c r="J221" s="489">
        <f t="shared" ref="J221" si="41">SUM(J206:J220)</f>
        <v>0</v>
      </c>
      <c r="K221" s="488">
        <f t="shared" si="33"/>
        <v>0</v>
      </c>
      <c r="L221" s="469" t="s">
        <v>335</v>
      </c>
      <c r="M221" s="489">
        <f>SUM(M206:M220)</f>
        <v>0</v>
      </c>
      <c r="N221" s="489">
        <f t="shared" ref="N221" si="42">SUM(N206:N220)</f>
        <v>0</v>
      </c>
      <c r="O221" s="489">
        <f t="shared" ref="O221" si="43">SUM(O206:O220)</f>
        <v>0</v>
      </c>
      <c r="P221" s="489">
        <f t="shared" ref="P221" si="44">SUM(P206:P220)</f>
        <v>0</v>
      </c>
      <c r="Q221" s="489">
        <f t="shared" ref="Q221" si="45">SUM(Q206:Q220)</f>
        <v>0</v>
      </c>
      <c r="R221" s="489">
        <f t="shared" ref="R221" si="46">SUM(R206:R220)</f>
        <v>0</v>
      </c>
      <c r="S221" s="489">
        <f t="shared" ref="S221" si="47">SUM(S206:S220)</f>
        <v>0</v>
      </c>
      <c r="T221" s="489">
        <f t="shared" ref="T221" si="48">SUM(T206:T220)</f>
        <v>0</v>
      </c>
      <c r="U221" s="488">
        <f t="shared" si="34"/>
        <v>0</v>
      </c>
      <c r="AT221"/>
    </row>
    <row r="222" spans="1:46" ht="12.5" hidden="1" outlineLevel="1" x14ac:dyDescent="0.25">
      <c r="A222" s="22"/>
      <c r="B222" s="124"/>
      <c r="C222" s="115"/>
      <c r="D222" s="115"/>
      <c r="E222" s="115"/>
      <c r="F222" s="115"/>
      <c r="G222" s="115"/>
      <c r="H222" s="478"/>
      <c r="I222" s="115"/>
      <c r="J222" s="124"/>
      <c r="L222" s="115"/>
      <c r="M222" s="115"/>
      <c r="N222" s="115"/>
      <c r="O222" s="115"/>
      <c r="P222" s="115"/>
      <c r="Q222" s="115"/>
      <c r="R222" s="115"/>
      <c r="S222" s="23"/>
      <c r="AT222"/>
    </row>
    <row r="223" spans="1:46" ht="12.5" hidden="1" outlineLevel="1" x14ac:dyDescent="0.25">
      <c r="A223" s="22"/>
      <c r="B223" s="483" t="str">
        <f>Mijlpalenbegroting!B54</f>
        <v>Investeringen in warmteoverdrachtstations</v>
      </c>
      <c r="C223" s="481" t="s">
        <v>263</v>
      </c>
      <c r="D223" s="480"/>
      <c r="E223" s="480"/>
      <c r="F223" s="480"/>
      <c r="G223" s="480"/>
      <c r="H223" s="480"/>
      <c r="I223" s="480"/>
      <c r="J223" s="480"/>
      <c r="L223" s="115"/>
      <c r="M223" s="482" t="s">
        <v>262</v>
      </c>
      <c r="N223" s="115"/>
      <c r="O223" s="115"/>
      <c r="P223" s="115"/>
      <c r="Q223" s="115"/>
      <c r="R223" s="115"/>
      <c r="S223" s="23"/>
      <c r="AT223"/>
    </row>
    <row r="224" spans="1:46" ht="12.5" hidden="1" outlineLevel="1" x14ac:dyDescent="0.25">
      <c r="A224" s="22"/>
      <c r="B224" s="469" t="str">
        <f>Mijlpalenbegroting!B56</f>
        <v>Mijlpaal</v>
      </c>
      <c r="C224" s="484">
        <f>$C$168</f>
        <v>1900</v>
      </c>
      <c r="D224" s="485">
        <f>$D$168</f>
        <v>1901</v>
      </c>
      <c r="E224" s="485">
        <f>$E$168</f>
        <v>1902</v>
      </c>
      <c r="F224" s="485">
        <f>$F$168</f>
        <v>1903</v>
      </c>
      <c r="G224" s="485">
        <f>$G$168</f>
        <v>1904</v>
      </c>
      <c r="H224" s="485">
        <f>$H$168</f>
        <v>1905</v>
      </c>
      <c r="I224" s="485">
        <f>$I$168</f>
        <v>1906</v>
      </c>
      <c r="J224" s="485">
        <f>$J$168</f>
        <v>1907</v>
      </c>
      <c r="K224" s="486" t="s">
        <v>335</v>
      </c>
      <c r="L224" s="479">
        <f>B208</f>
        <v>3</v>
      </c>
      <c r="M224" s="484">
        <f>$C$168</f>
        <v>1900</v>
      </c>
      <c r="N224" s="485">
        <f>$D$168</f>
        <v>1901</v>
      </c>
      <c r="O224" s="485">
        <f>$E$168</f>
        <v>1902</v>
      </c>
      <c r="P224" s="485">
        <f>$F$168</f>
        <v>1903</v>
      </c>
      <c r="Q224" s="485">
        <f>$G$168</f>
        <v>1904</v>
      </c>
      <c r="R224" s="485">
        <f>$H$168</f>
        <v>1905</v>
      </c>
      <c r="S224" s="485">
        <f>$I$168</f>
        <v>1906</v>
      </c>
      <c r="T224" s="485">
        <f>$J$168</f>
        <v>1907</v>
      </c>
      <c r="U224" s="486" t="s">
        <v>335</v>
      </c>
      <c r="AT224"/>
    </row>
    <row r="225" spans="1:46" ht="12.5" hidden="1" outlineLevel="1" x14ac:dyDescent="0.25">
      <c r="A225" s="22"/>
      <c r="B225" s="469">
        <f>$B$169</f>
        <v>1</v>
      </c>
      <c r="C225" s="487" cm="1">
        <f t="array" ref="C225">SUMPRODUCT( (Mijlpalenbegroting!$B$57:$B$71=$B225) * (Mijlpalenbegroting!$J$57:$J$71) )*C169</f>
        <v>0</v>
      </c>
      <c r="D225" s="487" cm="1">
        <f t="array" ref="D225">SUMPRODUCT( (Mijlpalenbegroting!$B$57:$B$71=$B225) * (Mijlpalenbegroting!$J$57:$J$71) )*D169</f>
        <v>0</v>
      </c>
      <c r="E225" s="487" cm="1">
        <f t="array" ref="E225">SUMPRODUCT( (Mijlpalenbegroting!$B$57:$B$71=$B225) * (Mijlpalenbegroting!$J$57:$J$71) )*E169</f>
        <v>0</v>
      </c>
      <c r="F225" s="487" cm="1">
        <f t="array" ref="F225">SUMPRODUCT( (Mijlpalenbegroting!$B$57:$B$71=$B225) * (Mijlpalenbegroting!$J$57:$J$71) )*F169</f>
        <v>0</v>
      </c>
      <c r="G225" s="487" cm="1">
        <f t="array" ref="G225">SUMPRODUCT( (Mijlpalenbegroting!$B$57:$B$71=$B225) * (Mijlpalenbegroting!$J$57:$J$71) )*G169</f>
        <v>0</v>
      </c>
      <c r="H225" s="487" cm="1">
        <f t="array" ref="H225">SUMPRODUCT( (Mijlpalenbegroting!$B$57:$B$71=$B225) * (Mijlpalenbegroting!$J$57:$J$71) )*H169</f>
        <v>0</v>
      </c>
      <c r="I225" s="487" cm="1">
        <f t="array" ref="I225">SUMPRODUCT( (Mijlpalenbegroting!$B$57:$B$71=$B225) * (Mijlpalenbegroting!$J$57:$J$71) )*I169</f>
        <v>0</v>
      </c>
      <c r="J225" s="487" cm="1">
        <f t="array" ref="J225">SUMPRODUCT( (Mijlpalenbegroting!$B$57:$B$71=$B225) * (Mijlpalenbegroting!$J$57:$J$71) )*J169</f>
        <v>0</v>
      </c>
      <c r="K225" s="488">
        <f>SUM(C225:J225)</f>
        <v>0</v>
      </c>
      <c r="L225" s="469">
        <f>$B$169</f>
        <v>1</v>
      </c>
      <c r="M225" s="487" cm="1">
        <f t="array" ref="M225">SUMPRODUCT( (Mijlpalenbegroting!$B$57:$B$71=$B225) * (Mijlpalenbegroting!$I$57:$I$71) )*C169</f>
        <v>0</v>
      </c>
      <c r="N225" s="487" cm="1">
        <f t="array" ref="N225">SUMPRODUCT( (Mijlpalenbegroting!$B$57:$B$71=$B225) * (Mijlpalenbegroting!$I$57:$I$71) )*D169</f>
        <v>0</v>
      </c>
      <c r="O225" s="487" cm="1">
        <f t="array" ref="O225">SUMPRODUCT( (Mijlpalenbegroting!$B$57:$B$71=$B225) * (Mijlpalenbegroting!$I$57:$I$71) )*E169</f>
        <v>0</v>
      </c>
      <c r="P225" s="487" cm="1">
        <f t="array" ref="P225">SUMPRODUCT( (Mijlpalenbegroting!$B$57:$B$71=$B225) * (Mijlpalenbegroting!$I$57:$I$71) )*F169</f>
        <v>0</v>
      </c>
      <c r="Q225" s="487" cm="1">
        <f t="array" ref="Q225">SUMPRODUCT( (Mijlpalenbegroting!$B$57:$B$71=$B225) * (Mijlpalenbegroting!$I$57:$I$71) )*G169</f>
        <v>0</v>
      </c>
      <c r="R225" s="487" cm="1">
        <f t="array" ref="R225">SUMPRODUCT( (Mijlpalenbegroting!$B$57:$B$71=$B225) * (Mijlpalenbegroting!$I$57:$I$71) )*H169</f>
        <v>0</v>
      </c>
      <c r="S225" s="487" cm="1">
        <f t="array" ref="S225">SUMPRODUCT( (Mijlpalenbegroting!$B$57:$B$71=$B225) * (Mijlpalenbegroting!$I$57:$I$71) )*I169</f>
        <v>0</v>
      </c>
      <c r="T225" s="487" cm="1">
        <f t="array" ref="T225">SUMPRODUCT( (Mijlpalenbegroting!$B$57:$B$71=$B225) * (Mijlpalenbegroting!$I$57:$I$71) )*J169</f>
        <v>0</v>
      </c>
      <c r="U225" s="488">
        <f>SUM(M225:T225)</f>
        <v>0</v>
      </c>
      <c r="AT225"/>
    </row>
    <row r="226" spans="1:46" ht="12.5" hidden="1" outlineLevel="1" x14ac:dyDescent="0.25">
      <c r="A226" s="22"/>
      <c r="B226" s="469">
        <f>$B$170</f>
        <v>2</v>
      </c>
      <c r="C226" s="487" cm="1">
        <f t="array" ref="C226">SUMPRODUCT( (Mijlpalenbegroting!$B$57:$B$71=$B226) * (Mijlpalenbegroting!$J$57:$J$71) )*C170</f>
        <v>0</v>
      </c>
      <c r="D226" s="487" cm="1">
        <f t="array" ref="D226">SUMPRODUCT( (Mijlpalenbegroting!$B$57:$B$71=$B226) * (Mijlpalenbegroting!$J$57:$J$71) )*D170</f>
        <v>0</v>
      </c>
      <c r="E226" s="487" cm="1">
        <f t="array" ref="E226">SUMPRODUCT( (Mijlpalenbegroting!$B$57:$B$71=$B226) * (Mijlpalenbegroting!$J$57:$J$71) )*E170</f>
        <v>0</v>
      </c>
      <c r="F226" s="487" cm="1">
        <f t="array" ref="F226">SUMPRODUCT( (Mijlpalenbegroting!$B$57:$B$71=$B226) * (Mijlpalenbegroting!$J$57:$J$71) )*F170</f>
        <v>0</v>
      </c>
      <c r="G226" s="487" cm="1">
        <f t="array" ref="G226">SUMPRODUCT( (Mijlpalenbegroting!$B$57:$B$71=$B226) * (Mijlpalenbegroting!$J$57:$J$71) )*G170</f>
        <v>0</v>
      </c>
      <c r="H226" s="487" cm="1">
        <f t="array" ref="H226">SUMPRODUCT( (Mijlpalenbegroting!$B$57:$B$71=$B226) * (Mijlpalenbegroting!$J$57:$J$71) )*H170</f>
        <v>0</v>
      </c>
      <c r="I226" s="487" cm="1">
        <f t="array" ref="I226">SUMPRODUCT( (Mijlpalenbegroting!$B$57:$B$71=$B226) * (Mijlpalenbegroting!$J$57:$J$71) )*I170</f>
        <v>0</v>
      </c>
      <c r="J226" s="487" cm="1">
        <f t="array" ref="J226">SUMPRODUCT( (Mijlpalenbegroting!$B$57:$B$71=$B226) * (Mijlpalenbegroting!$J$57:$J$71) )*J170</f>
        <v>0</v>
      </c>
      <c r="K226" s="488">
        <f t="shared" ref="K226:K240" si="49">SUM(C226:J226)</f>
        <v>0</v>
      </c>
      <c r="L226" s="469">
        <f>$B$170</f>
        <v>2</v>
      </c>
      <c r="M226" s="487" cm="1">
        <f t="array" ref="M226">SUMPRODUCT( (Mijlpalenbegroting!$B$57:$B$71=$B226) * (Mijlpalenbegroting!$I$57:$I$71) )*C170</f>
        <v>0</v>
      </c>
      <c r="N226" s="487" cm="1">
        <f t="array" ref="N226">SUMPRODUCT( (Mijlpalenbegroting!$B$57:$B$71=$B226) * (Mijlpalenbegroting!$I$57:$I$71) )*D170</f>
        <v>0</v>
      </c>
      <c r="O226" s="487" cm="1">
        <f t="array" ref="O226">SUMPRODUCT( (Mijlpalenbegroting!$B$57:$B$71=$B226) * (Mijlpalenbegroting!$I$57:$I$71) )*E170</f>
        <v>0</v>
      </c>
      <c r="P226" s="487" cm="1">
        <f t="array" ref="P226">SUMPRODUCT( (Mijlpalenbegroting!$B$57:$B$71=$B226) * (Mijlpalenbegroting!$I$57:$I$71) )*F170</f>
        <v>0</v>
      </c>
      <c r="Q226" s="487" cm="1">
        <f t="array" ref="Q226">SUMPRODUCT( (Mijlpalenbegroting!$B$57:$B$71=$B226) * (Mijlpalenbegroting!$I$57:$I$71) )*G170</f>
        <v>0</v>
      </c>
      <c r="R226" s="487" cm="1">
        <f t="array" ref="R226">SUMPRODUCT( (Mijlpalenbegroting!$B$57:$B$71=$B226) * (Mijlpalenbegroting!$I$57:$I$71) )*H170</f>
        <v>0</v>
      </c>
      <c r="S226" s="487" cm="1">
        <f t="array" ref="S226">SUMPRODUCT( (Mijlpalenbegroting!$B$57:$B$71=$B226) * (Mijlpalenbegroting!$I$57:$I$71) )*I170</f>
        <v>0</v>
      </c>
      <c r="T226" s="487" cm="1">
        <f t="array" ref="T226">SUMPRODUCT( (Mijlpalenbegroting!$B$57:$B$71=$B226) * (Mijlpalenbegroting!$I$57:$I$71) )*J170</f>
        <v>0</v>
      </c>
      <c r="U226" s="488">
        <f t="shared" ref="U226:U240" si="50">SUM(M226:T226)</f>
        <v>0</v>
      </c>
      <c r="AT226"/>
    </row>
    <row r="227" spans="1:46" ht="12.5" hidden="1" outlineLevel="1" x14ac:dyDescent="0.25">
      <c r="A227" s="22"/>
      <c r="B227" s="469">
        <f>$B$171</f>
        <v>3</v>
      </c>
      <c r="C227" s="487" cm="1">
        <f t="array" ref="C227">SUMPRODUCT( (Mijlpalenbegroting!$B$57:$B$71=$B227) * (Mijlpalenbegroting!$J$57:$J$71) )*C171</f>
        <v>0</v>
      </c>
      <c r="D227" s="487" cm="1">
        <f t="array" ref="D227">SUMPRODUCT( (Mijlpalenbegroting!$B$57:$B$71=$B227) * (Mijlpalenbegroting!$J$57:$J$71) )*D171</f>
        <v>0</v>
      </c>
      <c r="E227" s="487" cm="1">
        <f t="array" ref="E227">SUMPRODUCT( (Mijlpalenbegroting!$B$57:$B$71=$B227) * (Mijlpalenbegroting!$J$57:$J$71) )*E171</f>
        <v>0</v>
      </c>
      <c r="F227" s="487" cm="1">
        <f t="array" ref="F227">SUMPRODUCT( (Mijlpalenbegroting!$B$57:$B$71=$B227) * (Mijlpalenbegroting!$J$57:$J$71) )*F171</f>
        <v>0</v>
      </c>
      <c r="G227" s="487" cm="1">
        <f t="array" ref="G227">SUMPRODUCT( (Mijlpalenbegroting!$B$57:$B$71=$B227) * (Mijlpalenbegroting!$J$57:$J$71) )*G171</f>
        <v>0</v>
      </c>
      <c r="H227" s="487" cm="1">
        <f t="array" ref="H227">SUMPRODUCT( (Mijlpalenbegroting!$B$57:$B$71=$B227) * (Mijlpalenbegroting!$J$57:$J$71) )*H171</f>
        <v>0</v>
      </c>
      <c r="I227" s="487" cm="1">
        <f t="array" ref="I227">SUMPRODUCT( (Mijlpalenbegroting!$B$57:$B$71=$B227) * (Mijlpalenbegroting!$J$57:$J$71) )*I171</f>
        <v>0</v>
      </c>
      <c r="J227" s="487" cm="1">
        <f t="array" ref="J227">SUMPRODUCT( (Mijlpalenbegroting!$B$57:$B$71=$B227) * (Mijlpalenbegroting!$J$57:$J$71) )*J171</f>
        <v>0</v>
      </c>
      <c r="K227" s="488">
        <f t="shared" si="49"/>
        <v>0</v>
      </c>
      <c r="L227" s="469">
        <f>$B$171</f>
        <v>3</v>
      </c>
      <c r="M227" s="487" cm="1">
        <f t="array" ref="M227">SUMPRODUCT( (Mijlpalenbegroting!$B$57:$B$71=$B227) * (Mijlpalenbegroting!$I$57:$I$71) )*C171</f>
        <v>0</v>
      </c>
      <c r="N227" s="487" cm="1">
        <f t="array" ref="N227">SUMPRODUCT( (Mijlpalenbegroting!$B$57:$B$71=$B227) * (Mijlpalenbegroting!$I$57:$I$71) )*D171</f>
        <v>0</v>
      </c>
      <c r="O227" s="487" cm="1">
        <f t="array" ref="O227">SUMPRODUCT( (Mijlpalenbegroting!$B$57:$B$71=$B227) * (Mijlpalenbegroting!$I$57:$I$71) )*E171</f>
        <v>0</v>
      </c>
      <c r="P227" s="487" cm="1">
        <f t="array" ref="P227">SUMPRODUCT( (Mijlpalenbegroting!$B$57:$B$71=$B227) * (Mijlpalenbegroting!$I$57:$I$71) )*F171</f>
        <v>0</v>
      </c>
      <c r="Q227" s="487" cm="1">
        <f t="array" ref="Q227">SUMPRODUCT( (Mijlpalenbegroting!$B$57:$B$71=$B227) * (Mijlpalenbegroting!$I$57:$I$71) )*G171</f>
        <v>0</v>
      </c>
      <c r="R227" s="487" cm="1">
        <f t="array" ref="R227">SUMPRODUCT( (Mijlpalenbegroting!$B$57:$B$71=$B227) * (Mijlpalenbegroting!$I$57:$I$71) )*H171</f>
        <v>0</v>
      </c>
      <c r="S227" s="487" cm="1">
        <f t="array" ref="S227">SUMPRODUCT( (Mijlpalenbegroting!$B$57:$B$71=$B227) * (Mijlpalenbegroting!$I$57:$I$71) )*I171</f>
        <v>0</v>
      </c>
      <c r="T227" s="487" cm="1">
        <f t="array" ref="T227">SUMPRODUCT( (Mijlpalenbegroting!$B$57:$B$71=$B227) * (Mijlpalenbegroting!$I$57:$I$71) )*J171</f>
        <v>0</v>
      </c>
      <c r="U227" s="488">
        <f t="shared" si="50"/>
        <v>0</v>
      </c>
      <c r="AT227"/>
    </row>
    <row r="228" spans="1:46" ht="12.5" hidden="1" outlineLevel="1" x14ac:dyDescent="0.25">
      <c r="A228" s="22"/>
      <c r="B228" s="469">
        <f>$B$172</f>
        <v>4</v>
      </c>
      <c r="C228" s="487" cm="1">
        <f t="array" ref="C228">SUMPRODUCT( (Mijlpalenbegroting!$B$57:$B$71=$B228) * (Mijlpalenbegroting!$J$57:$J$71) )*C172</f>
        <v>0</v>
      </c>
      <c r="D228" s="487" cm="1">
        <f t="array" ref="D228">SUMPRODUCT( (Mijlpalenbegroting!$B$57:$B$71=$B228) * (Mijlpalenbegroting!$J$57:$J$71) )*D172</f>
        <v>0</v>
      </c>
      <c r="E228" s="487" cm="1">
        <f t="array" ref="E228">SUMPRODUCT( (Mijlpalenbegroting!$B$57:$B$71=$B228) * (Mijlpalenbegroting!$J$57:$J$71) )*E172</f>
        <v>0</v>
      </c>
      <c r="F228" s="487" cm="1">
        <f t="array" ref="F228">SUMPRODUCT( (Mijlpalenbegroting!$B$57:$B$71=$B228) * (Mijlpalenbegroting!$J$57:$J$71) )*F172</f>
        <v>0</v>
      </c>
      <c r="G228" s="487" cm="1">
        <f t="array" ref="G228">SUMPRODUCT( (Mijlpalenbegroting!$B$57:$B$71=$B228) * (Mijlpalenbegroting!$J$57:$J$71) )*G172</f>
        <v>0</v>
      </c>
      <c r="H228" s="487" cm="1">
        <f t="array" ref="H228">SUMPRODUCT( (Mijlpalenbegroting!$B$57:$B$71=$B228) * (Mijlpalenbegroting!$J$57:$J$71) )*H172</f>
        <v>0</v>
      </c>
      <c r="I228" s="487" cm="1">
        <f t="array" ref="I228">SUMPRODUCT( (Mijlpalenbegroting!$B$57:$B$71=$B228) * (Mijlpalenbegroting!$J$57:$J$71) )*I172</f>
        <v>0</v>
      </c>
      <c r="J228" s="487" cm="1">
        <f t="array" ref="J228">SUMPRODUCT( (Mijlpalenbegroting!$B$57:$B$71=$B228) * (Mijlpalenbegroting!$J$57:$J$71) )*J172</f>
        <v>0</v>
      </c>
      <c r="K228" s="488">
        <f t="shared" si="49"/>
        <v>0</v>
      </c>
      <c r="L228" s="469">
        <f>$B$172</f>
        <v>4</v>
      </c>
      <c r="M228" s="487" cm="1">
        <f t="array" ref="M228">SUMPRODUCT( (Mijlpalenbegroting!$B$57:$B$71=$B228) * (Mijlpalenbegroting!$I$57:$I$71) )*C172</f>
        <v>0</v>
      </c>
      <c r="N228" s="487" cm="1">
        <f t="array" ref="N228">SUMPRODUCT( (Mijlpalenbegroting!$B$57:$B$71=$B228) * (Mijlpalenbegroting!$I$57:$I$71) )*D172</f>
        <v>0</v>
      </c>
      <c r="O228" s="487" cm="1">
        <f t="array" ref="O228">SUMPRODUCT( (Mijlpalenbegroting!$B$57:$B$71=$B228) * (Mijlpalenbegroting!$I$57:$I$71) )*E172</f>
        <v>0</v>
      </c>
      <c r="P228" s="487" cm="1">
        <f t="array" ref="P228">SUMPRODUCT( (Mijlpalenbegroting!$B$57:$B$71=$B228) * (Mijlpalenbegroting!$I$57:$I$71) )*F172</f>
        <v>0</v>
      </c>
      <c r="Q228" s="487" cm="1">
        <f t="array" ref="Q228">SUMPRODUCT( (Mijlpalenbegroting!$B$57:$B$71=$B228) * (Mijlpalenbegroting!$I$57:$I$71) )*G172</f>
        <v>0</v>
      </c>
      <c r="R228" s="487" cm="1">
        <f t="array" ref="R228">SUMPRODUCT( (Mijlpalenbegroting!$B$57:$B$71=$B228) * (Mijlpalenbegroting!$I$57:$I$71) )*H172</f>
        <v>0</v>
      </c>
      <c r="S228" s="487" cm="1">
        <f t="array" ref="S228">SUMPRODUCT( (Mijlpalenbegroting!$B$57:$B$71=$B228) * (Mijlpalenbegroting!$I$57:$I$71) )*I172</f>
        <v>0</v>
      </c>
      <c r="T228" s="487" cm="1">
        <f t="array" ref="T228">SUMPRODUCT( (Mijlpalenbegroting!$B$57:$B$71=$B228) * (Mijlpalenbegroting!$I$57:$I$71) )*J172</f>
        <v>0</v>
      </c>
      <c r="U228" s="488">
        <f t="shared" si="50"/>
        <v>0</v>
      </c>
      <c r="AT228"/>
    </row>
    <row r="229" spans="1:46" ht="12.5" hidden="1" outlineLevel="1" x14ac:dyDescent="0.25">
      <c r="A229" s="22"/>
      <c r="B229" s="469">
        <f>$B$173</f>
        <v>5</v>
      </c>
      <c r="C229" s="487" cm="1">
        <f t="array" ref="C229">SUMPRODUCT( (Mijlpalenbegroting!$B$57:$B$71=$B229) * (Mijlpalenbegroting!$J$57:$J$71) )*C173</f>
        <v>0</v>
      </c>
      <c r="D229" s="487" cm="1">
        <f t="array" ref="D229">SUMPRODUCT( (Mijlpalenbegroting!$B$57:$B$71=$B229) * (Mijlpalenbegroting!$J$57:$J$71) )*D173</f>
        <v>0</v>
      </c>
      <c r="E229" s="487" cm="1">
        <f t="array" ref="E229">SUMPRODUCT( (Mijlpalenbegroting!$B$57:$B$71=$B229) * (Mijlpalenbegroting!$J$57:$J$71) )*E173</f>
        <v>0</v>
      </c>
      <c r="F229" s="487" cm="1">
        <f t="array" ref="F229">SUMPRODUCT( (Mijlpalenbegroting!$B$57:$B$71=$B229) * (Mijlpalenbegroting!$J$57:$J$71) )*F173</f>
        <v>0</v>
      </c>
      <c r="G229" s="487" cm="1">
        <f t="array" ref="G229">SUMPRODUCT( (Mijlpalenbegroting!$B$57:$B$71=$B229) * (Mijlpalenbegroting!$J$57:$J$71) )*G173</f>
        <v>0</v>
      </c>
      <c r="H229" s="487" cm="1">
        <f t="array" ref="H229">SUMPRODUCT( (Mijlpalenbegroting!$B$57:$B$71=$B229) * (Mijlpalenbegroting!$J$57:$J$71) )*H173</f>
        <v>0</v>
      </c>
      <c r="I229" s="487" cm="1">
        <f t="array" ref="I229">SUMPRODUCT( (Mijlpalenbegroting!$B$57:$B$71=$B229) * (Mijlpalenbegroting!$J$57:$J$71) )*I173</f>
        <v>0</v>
      </c>
      <c r="J229" s="487" cm="1">
        <f t="array" ref="J229">SUMPRODUCT( (Mijlpalenbegroting!$B$57:$B$71=$B229) * (Mijlpalenbegroting!$J$57:$J$71) )*J173</f>
        <v>0</v>
      </c>
      <c r="K229" s="488">
        <f t="shared" si="49"/>
        <v>0</v>
      </c>
      <c r="L229" s="469">
        <f>$B$173</f>
        <v>5</v>
      </c>
      <c r="M229" s="487" cm="1">
        <f t="array" ref="M229">SUMPRODUCT( (Mijlpalenbegroting!$B$57:$B$71=$B229) * (Mijlpalenbegroting!$I$57:$I$71) )*C173</f>
        <v>0</v>
      </c>
      <c r="N229" s="487" cm="1">
        <f t="array" ref="N229">SUMPRODUCT( (Mijlpalenbegroting!$B$57:$B$71=$B229) * (Mijlpalenbegroting!$I$57:$I$71) )*D173</f>
        <v>0</v>
      </c>
      <c r="O229" s="487" cm="1">
        <f t="array" ref="O229">SUMPRODUCT( (Mijlpalenbegroting!$B$57:$B$71=$B229) * (Mijlpalenbegroting!$I$57:$I$71) )*E173</f>
        <v>0</v>
      </c>
      <c r="P229" s="487" cm="1">
        <f t="array" ref="P229">SUMPRODUCT( (Mijlpalenbegroting!$B$57:$B$71=$B229) * (Mijlpalenbegroting!$I$57:$I$71) )*F173</f>
        <v>0</v>
      </c>
      <c r="Q229" s="487" cm="1">
        <f t="array" ref="Q229">SUMPRODUCT( (Mijlpalenbegroting!$B$57:$B$71=$B229) * (Mijlpalenbegroting!$I$57:$I$71) )*G173</f>
        <v>0</v>
      </c>
      <c r="R229" s="487" cm="1">
        <f t="array" ref="R229">SUMPRODUCT( (Mijlpalenbegroting!$B$57:$B$71=$B229) * (Mijlpalenbegroting!$I$57:$I$71) )*H173</f>
        <v>0</v>
      </c>
      <c r="S229" s="487" cm="1">
        <f t="array" ref="S229">SUMPRODUCT( (Mijlpalenbegroting!$B$57:$B$71=$B229) * (Mijlpalenbegroting!$I$57:$I$71) )*I173</f>
        <v>0</v>
      </c>
      <c r="T229" s="487" cm="1">
        <f t="array" ref="T229">SUMPRODUCT( (Mijlpalenbegroting!$B$57:$B$71=$B229) * (Mijlpalenbegroting!$I$57:$I$71) )*J173</f>
        <v>0</v>
      </c>
      <c r="U229" s="488">
        <f t="shared" si="50"/>
        <v>0</v>
      </c>
      <c r="AT229"/>
    </row>
    <row r="230" spans="1:46" ht="12.5" hidden="1" outlineLevel="1" x14ac:dyDescent="0.25">
      <c r="A230" s="22"/>
      <c r="B230" s="469">
        <f>$B$174</f>
        <v>6</v>
      </c>
      <c r="C230" s="487" cm="1">
        <f t="array" ref="C230">SUMPRODUCT( (Mijlpalenbegroting!$B$57:$B$71=$B230) * (Mijlpalenbegroting!$J$57:$J$71) )*C174</f>
        <v>0</v>
      </c>
      <c r="D230" s="487" cm="1">
        <f t="array" ref="D230">SUMPRODUCT( (Mijlpalenbegroting!$B$57:$B$71=$B230) * (Mijlpalenbegroting!$J$57:$J$71) )*D174</f>
        <v>0</v>
      </c>
      <c r="E230" s="487" cm="1">
        <f t="array" ref="E230">SUMPRODUCT( (Mijlpalenbegroting!$B$57:$B$71=$B230) * (Mijlpalenbegroting!$J$57:$J$71) )*E174</f>
        <v>0</v>
      </c>
      <c r="F230" s="487" cm="1">
        <f t="array" ref="F230">SUMPRODUCT( (Mijlpalenbegroting!$B$57:$B$71=$B230) * (Mijlpalenbegroting!$J$57:$J$71) )*F174</f>
        <v>0</v>
      </c>
      <c r="G230" s="487" cm="1">
        <f t="array" ref="G230">SUMPRODUCT( (Mijlpalenbegroting!$B$57:$B$71=$B230) * (Mijlpalenbegroting!$J$57:$J$71) )*G174</f>
        <v>0</v>
      </c>
      <c r="H230" s="487" cm="1">
        <f t="array" ref="H230">SUMPRODUCT( (Mijlpalenbegroting!$B$57:$B$71=$B230) * (Mijlpalenbegroting!$J$57:$J$71) )*H174</f>
        <v>0</v>
      </c>
      <c r="I230" s="487" cm="1">
        <f t="array" ref="I230">SUMPRODUCT( (Mijlpalenbegroting!$B$57:$B$71=$B230) * (Mijlpalenbegroting!$J$57:$J$71) )*I174</f>
        <v>0</v>
      </c>
      <c r="J230" s="487" cm="1">
        <f t="array" ref="J230">SUMPRODUCT( (Mijlpalenbegroting!$B$57:$B$71=$B230) * (Mijlpalenbegroting!$J$57:$J$71) )*J174</f>
        <v>0</v>
      </c>
      <c r="K230" s="488">
        <f t="shared" si="49"/>
        <v>0</v>
      </c>
      <c r="L230" s="469">
        <f>$B$174</f>
        <v>6</v>
      </c>
      <c r="M230" s="487" cm="1">
        <f t="array" ref="M230">SUMPRODUCT( (Mijlpalenbegroting!$B$57:$B$71=$B230) * (Mijlpalenbegroting!$I$57:$I$71) )*C174</f>
        <v>0</v>
      </c>
      <c r="N230" s="487" cm="1">
        <f t="array" ref="N230">SUMPRODUCT( (Mijlpalenbegroting!$B$57:$B$71=$B230) * (Mijlpalenbegroting!$I$57:$I$71) )*D174</f>
        <v>0</v>
      </c>
      <c r="O230" s="487" cm="1">
        <f t="array" ref="O230">SUMPRODUCT( (Mijlpalenbegroting!$B$57:$B$71=$B230) * (Mijlpalenbegroting!$I$57:$I$71) )*E174</f>
        <v>0</v>
      </c>
      <c r="P230" s="487" cm="1">
        <f t="array" ref="P230">SUMPRODUCT( (Mijlpalenbegroting!$B$57:$B$71=$B230) * (Mijlpalenbegroting!$I$57:$I$71) )*F174</f>
        <v>0</v>
      </c>
      <c r="Q230" s="487" cm="1">
        <f t="array" ref="Q230">SUMPRODUCT( (Mijlpalenbegroting!$B$57:$B$71=$B230) * (Mijlpalenbegroting!$I$57:$I$71) )*G174</f>
        <v>0</v>
      </c>
      <c r="R230" s="487" cm="1">
        <f t="array" ref="R230">SUMPRODUCT( (Mijlpalenbegroting!$B$57:$B$71=$B230) * (Mijlpalenbegroting!$I$57:$I$71) )*H174</f>
        <v>0</v>
      </c>
      <c r="S230" s="487" cm="1">
        <f t="array" ref="S230">SUMPRODUCT( (Mijlpalenbegroting!$B$57:$B$71=$B230) * (Mijlpalenbegroting!$I$57:$I$71) )*I174</f>
        <v>0</v>
      </c>
      <c r="T230" s="487" cm="1">
        <f t="array" ref="T230">SUMPRODUCT( (Mijlpalenbegroting!$B$57:$B$71=$B230) * (Mijlpalenbegroting!$I$57:$I$71) )*J174</f>
        <v>0</v>
      </c>
      <c r="U230" s="488">
        <f t="shared" si="50"/>
        <v>0</v>
      </c>
      <c r="AT230"/>
    </row>
    <row r="231" spans="1:46" ht="12.5" hidden="1" outlineLevel="1" x14ac:dyDescent="0.25">
      <c r="A231" s="22"/>
      <c r="B231" s="469">
        <f>$B$175</f>
        <v>7</v>
      </c>
      <c r="C231" s="487" cm="1">
        <f t="array" ref="C231">SUMPRODUCT( (Mijlpalenbegroting!$B$57:$B$71=$B231) * (Mijlpalenbegroting!$J$57:$J$71) )*C175</f>
        <v>0</v>
      </c>
      <c r="D231" s="487" cm="1">
        <f t="array" ref="D231">SUMPRODUCT( (Mijlpalenbegroting!$B$57:$B$71=$B231) * (Mijlpalenbegroting!$J$57:$J$71) )*D175</f>
        <v>0</v>
      </c>
      <c r="E231" s="487" cm="1">
        <f t="array" ref="E231">SUMPRODUCT( (Mijlpalenbegroting!$B$57:$B$71=$B231) * (Mijlpalenbegroting!$J$57:$J$71) )*E175</f>
        <v>0</v>
      </c>
      <c r="F231" s="487" cm="1">
        <f t="array" ref="F231">SUMPRODUCT( (Mijlpalenbegroting!$B$57:$B$71=$B231) * (Mijlpalenbegroting!$J$57:$J$71) )*F175</f>
        <v>0</v>
      </c>
      <c r="G231" s="487" cm="1">
        <f t="array" ref="G231">SUMPRODUCT( (Mijlpalenbegroting!$B$57:$B$71=$B231) * (Mijlpalenbegroting!$J$57:$J$71) )*G175</f>
        <v>0</v>
      </c>
      <c r="H231" s="487" cm="1">
        <f t="array" ref="H231">SUMPRODUCT( (Mijlpalenbegroting!$B$57:$B$71=$B231) * (Mijlpalenbegroting!$J$57:$J$71) )*H175</f>
        <v>0</v>
      </c>
      <c r="I231" s="487" cm="1">
        <f t="array" ref="I231">SUMPRODUCT( (Mijlpalenbegroting!$B$57:$B$71=$B231) * (Mijlpalenbegroting!$J$57:$J$71) )*I175</f>
        <v>0</v>
      </c>
      <c r="J231" s="487" cm="1">
        <f t="array" ref="J231">SUMPRODUCT( (Mijlpalenbegroting!$B$57:$B$71=$B231) * (Mijlpalenbegroting!$J$57:$J$71) )*J175</f>
        <v>0</v>
      </c>
      <c r="K231" s="488">
        <f t="shared" si="49"/>
        <v>0</v>
      </c>
      <c r="L231" s="469">
        <f>$B$175</f>
        <v>7</v>
      </c>
      <c r="M231" s="487" cm="1">
        <f t="array" ref="M231">SUMPRODUCT( (Mijlpalenbegroting!$B$57:$B$71=$B231) * (Mijlpalenbegroting!$I$57:$I$71) )*C175</f>
        <v>0</v>
      </c>
      <c r="N231" s="487" cm="1">
        <f t="array" ref="N231">SUMPRODUCT( (Mijlpalenbegroting!$B$57:$B$71=$B231) * (Mijlpalenbegroting!$I$57:$I$71) )*D175</f>
        <v>0</v>
      </c>
      <c r="O231" s="487" cm="1">
        <f t="array" ref="O231">SUMPRODUCT( (Mijlpalenbegroting!$B$57:$B$71=$B231) * (Mijlpalenbegroting!$I$57:$I$71) )*E175</f>
        <v>0</v>
      </c>
      <c r="P231" s="487" cm="1">
        <f t="array" ref="P231">SUMPRODUCT( (Mijlpalenbegroting!$B$57:$B$71=$B231) * (Mijlpalenbegroting!$I$57:$I$71) )*F175</f>
        <v>0</v>
      </c>
      <c r="Q231" s="487" cm="1">
        <f t="array" ref="Q231">SUMPRODUCT( (Mijlpalenbegroting!$B$57:$B$71=$B231) * (Mijlpalenbegroting!$I$57:$I$71) )*G175</f>
        <v>0</v>
      </c>
      <c r="R231" s="487" cm="1">
        <f t="array" ref="R231">SUMPRODUCT( (Mijlpalenbegroting!$B$57:$B$71=$B231) * (Mijlpalenbegroting!$I$57:$I$71) )*H175</f>
        <v>0</v>
      </c>
      <c r="S231" s="487" cm="1">
        <f t="array" ref="S231">SUMPRODUCT( (Mijlpalenbegroting!$B$57:$B$71=$B231) * (Mijlpalenbegroting!$I$57:$I$71) )*I175</f>
        <v>0</v>
      </c>
      <c r="T231" s="487" cm="1">
        <f t="array" ref="T231">SUMPRODUCT( (Mijlpalenbegroting!$B$57:$B$71=$B231) * (Mijlpalenbegroting!$I$57:$I$71) )*J175</f>
        <v>0</v>
      </c>
      <c r="U231" s="488">
        <f t="shared" si="50"/>
        <v>0</v>
      </c>
      <c r="AT231"/>
    </row>
    <row r="232" spans="1:46" ht="12.5" hidden="1" outlineLevel="1" x14ac:dyDescent="0.25">
      <c r="A232" s="22"/>
      <c r="B232" s="469">
        <f>$B$176</f>
        <v>8</v>
      </c>
      <c r="C232" s="487" cm="1">
        <f t="array" ref="C232">SUMPRODUCT( (Mijlpalenbegroting!$B$57:$B$71=$B232) * (Mijlpalenbegroting!$J$57:$J$71) )*C176</f>
        <v>0</v>
      </c>
      <c r="D232" s="487" cm="1">
        <f t="array" ref="D232">SUMPRODUCT( (Mijlpalenbegroting!$B$57:$B$71=$B232) * (Mijlpalenbegroting!$J$57:$J$71) )*D176</f>
        <v>0</v>
      </c>
      <c r="E232" s="487" cm="1">
        <f t="array" ref="E232">SUMPRODUCT( (Mijlpalenbegroting!$B$57:$B$71=$B232) * (Mijlpalenbegroting!$J$57:$J$71) )*E176</f>
        <v>0</v>
      </c>
      <c r="F232" s="487" cm="1">
        <f t="array" ref="F232">SUMPRODUCT( (Mijlpalenbegroting!$B$57:$B$71=$B232) * (Mijlpalenbegroting!$J$57:$J$71) )*F176</f>
        <v>0</v>
      </c>
      <c r="G232" s="487" cm="1">
        <f t="array" ref="G232">SUMPRODUCT( (Mijlpalenbegroting!$B$57:$B$71=$B232) * (Mijlpalenbegroting!$J$57:$J$71) )*G176</f>
        <v>0</v>
      </c>
      <c r="H232" s="487" cm="1">
        <f t="array" ref="H232">SUMPRODUCT( (Mijlpalenbegroting!$B$57:$B$71=$B232) * (Mijlpalenbegroting!$J$57:$J$71) )*H176</f>
        <v>0</v>
      </c>
      <c r="I232" s="487" cm="1">
        <f t="array" ref="I232">SUMPRODUCT( (Mijlpalenbegroting!$B$57:$B$71=$B232) * (Mijlpalenbegroting!$J$57:$J$71) )*I176</f>
        <v>0</v>
      </c>
      <c r="J232" s="487" cm="1">
        <f t="array" ref="J232">SUMPRODUCT( (Mijlpalenbegroting!$B$57:$B$71=$B232) * (Mijlpalenbegroting!$J$57:$J$71) )*J176</f>
        <v>0</v>
      </c>
      <c r="K232" s="488">
        <f t="shared" si="49"/>
        <v>0</v>
      </c>
      <c r="L232" s="469">
        <f>$B$176</f>
        <v>8</v>
      </c>
      <c r="M232" s="487" cm="1">
        <f t="array" ref="M232">SUMPRODUCT( (Mijlpalenbegroting!$B$57:$B$71=$B232) * (Mijlpalenbegroting!$I$57:$I$71) )*C176</f>
        <v>0</v>
      </c>
      <c r="N232" s="487" cm="1">
        <f t="array" ref="N232">SUMPRODUCT( (Mijlpalenbegroting!$B$57:$B$71=$B232) * (Mijlpalenbegroting!$I$57:$I$71) )*D176</f>
        <v>0</v>
      </c>
      <c r="O232" s="487" cm="1">
        <f t="array" ref="O232">SUMPRODUCT( (Mijlpalenbegroting!$B$57:$B$71=$B232) * (Mijlpalenbegroting!$I$57:$I$71) )*E176</f>
        <v>0</v>
      </c>
      <c r="P232" s="487" cm="1">
        <f t="array" ref="P232">SUMPRODUCT( (Mijlpalenbegroting!$B$57:$B$71=$B232) * (Mijlpalenbegroting!$I$57:$I$71) )*F176</f>
        <v>0</v>
      </c>
      <c r="Q232" s="487" cm="1">
        <f t="array" ref="Q232">SUMPRODUCT( (Mijlpalenbegroting!$B$57:$B$71=$B232) * (Mijlpalenbegroting!$I$57:$I$71) )*G176</f>
        <v>0</v>
      </c>
      <c r="R232" s="487" cm="1">
        <f t="array" ref="R232">SUMPRODUCT( (Mijlpalenbegroting!$B$57:$B$71=$B232) * (Mijlpalenbegroting!$I$57:$I$71) )*H176</f>
        <v>0</v>
      </c>
      <c r="S232" s="487" cm="1">
        <f t="array" ref="S232">SUMPRODUCT( (Mijlpalenbegroting!$B$57:$B$71=$B232) * (Mijlpalenbegroting!$I$57:$I$71) )*I176</f>
        <v>0</v>
      </c>
      <c r="T232" s="487" cm="1">
        <f t="array" ref="T232">SUMPRODUCT( (Mijlpalenbegroting!$B$57:$B$71=$B232) * (Mijlpalenbegroting!$I$57:$I$71) )*J176</f>
        <v>0</v>
      </c>
      <c r="U232" s="488">
        <f t="shared" si="50"/>
        <v>0</v>
      </c>
      <c r="AT232"/>
    </row>
    <row r="233" spans="1:46" ht="12.5" hidden="1" outlineLevel="1" x14ac:dyDescent="0.25">
      <c r="A233" s="22"/>
      <c r="B233" s="469">
        <f>$B$177</f>
        <v>9</v>
      </c>
      <c r="C233" s="487" cm="1">
        <f t="array" ref="C233">SUMPRODUCT( (Mijlpalenbegroting!$B$57:$B$71=$B233) * (Mijlpalenbegroting!$J$57:$J$71) )*C177</f>
        <v>0</v>
      </c>
      <c r="D233" s="487" cm="1">
        <f t="array" ref="D233">SUMPRODUCT( (Mijlpalenbegroting!$B$57:$B$71=$B233) * (Mijlpalenbegroting!$J$57:$J$71) )*D177</f>
        <v>0</v>
      </c>
      <c r="E233" s="487" cm="1">
        <f t="array" ref="E233">SUMPRODUCT( (Mijlpalenbegroting!$B$57:$B$71=$B233) * (Mijlpalenbegroting!$J$57:$J$71) )*E177</f>
        <v>0</v>
      </c>
      <c r="F233" s="487" cm="1">
        <f t="array" ref="F233">SUMPRODUCT( (Mijlpalenbegroting!$B$57:$B$71=$B233) * (Mijlpalenbegroting!$J$57:$J$71) )*F177</f>
        <v>0</v>
      </c>
      <c r="G233" s="487" cm="1">
        <f t="array" ref="G233">SUMPRODUCT( (Mijlpalenbegroting!$B$57:$B$71=$B233) * (Mijlpalenbegroting!$J$57:$J$71) )*G177</f>
        <v>0</v>
      </c>
      <c r="H233" s="487" cm="1">
        <f t="array" ref="H233">SUMPRODUCT( (Mijlpalenbegroting!$B$57:$B$71=$B233) * (Mijlpalenbegroting!$J$57:$J$71) )*H177</f>
        <v>0</v>
      </c>
      <c r="I233" s="487" cm="1">
        <f t="array" ref="I233">SUMPRODUCT( (Mijlpalenbegroting!$B$57:$B$71=$B233) * (Mijlpalenbegroting!$J$57:$J$71) )*I177</f>
        <v>0</v>
      </c>
      <c r="J233" s="487" cm="1">
        <f t="array" ref="J233">SUMPRODUCT( (Mijlpalenbegroting!$B$57:$B$71=$B233) * (Mijlpalenbegroting!$J$57:$J$71) )*J177</f>
        <v>0</v>
      </c>
      <c r="K233" s="488">
        <f t="shared" si="49"/>
        <v>0</v>
      </c>
      <c r="L233" s="469">
        <f>$B$177</f>
        <v>9</v>
      </c>
      <c r="M233" s="487" cm="1">
        <f t="array" ref="M233">SUMPRODUCT( (Mijlpalenbegroting!$B$57:$B$71=$B233) * (Mijlpalenbegroting!$I$57:$I$71) )*C177</f>
        <v>0</v>
      </c>
      <c r="N233" s="487" cm="1">
        <f t="array" ref="N233">SUMPRODUCT( (Mijlpalenbegroting!$B$57:$B$71=$B233) * (Mijlpalenbegroting!$I$57:$I$71) )*D177</f>
        <v>0</v>
      </c>
      <c r="O233" s="487" cm="1">
        <f t="array" ref="O233">SUMPRODUCT( (Mijlpalenbegroting!$B$57:$B$71=$B233) * (Mijlpalenbegroting!$I$57:$I$71) )*E177</f>
        <v>0</v>
      </c>
      <c r="P233" s="487" cm="1">
        <f t="array" ref="P233">SUMPRODUCT( (Mijlpalenbegroting!$B$57:$B$71=$B233) * (Mijlpalenbegroting!$I$57:$I$71) )*F177</f>
        <v>0</v>
      </c>
      <c r="Q233" s="487" cm="1">
        <f t="array" ref="Q233">SUMPRODUCT( (Mijlpalenbegroting!$B$57:$B$71=$B233) * (Mijlpalenbegroting!$I$57:$I$71) )*G177</f>
        <v>0</v>
      </c>
      <c r="R233" s="487" cm="1">
        <f t="array" ref="R233">SUMPRODUCT( (Mijlpalenbegroting!$B$57:$B$71=$B233) * (Mijlpalenbegroting!$I$57:$I$71) )*H177</f>
        <v>0</v>
      </c>
      <c r="S233" s="487" cm="1">
        <f t="array" ref="S233">SUMPRODUCT( (Mijlpalenbegroting!$B$57:$B$71=$B233) * (Mijlpalenbegroting!$I$57:$I$71) )*I177</f>
        <v>0</v>
      </c>
      <c r="T233" s="487" cm="1">
        <f t="array" ref="T233">SUMPRODUCT( (Mijlpalenbegroting!$B$57:$B$71=$B233) * (Mijlpalenbegroting!$I$57:$I$71) )*J177</f>
        <v>0</v>
      </c>
      <c r="U233" s="488">
        <f t="shared" si="50"/>
        <v>0</v>
      </c>
      <c r="AT233"/>
    </row>
    <row r="234" spans="1:46" ht="12.5" hidden="1" outlineLevel="1" x14ac:dyDescent="0.25">
      <c r="A234" s="22"/>
      <c r="B234" s="469">
        <f>$B$178</f>
        <v>10</v>
      </c>
      <c r="C234" s="487" cm="1">
        <f t="array" ref="C234">SUMPRODUCT( (Mijlpalenbegroting!$B$57:$B$71=$B234) * (Mijlpalenbegroting!$J$57:$J$71) )*C178</f>
        <v>0</v>
      </c>
      <c r="D234" s="487" cm="1">
        <f t="array" ref="D234">SUMPRODUCT( (Mijlpalenbegroting!$B$57:$B$71=$B234) * (Mijlpalenbegroting!$J$57:$J$71) )*D178</f>
        <v>0</v>
      </c>
      <c r="E234" s="487" cm="1">
        <f t="array" ref="E234">SUMPRODUCT( (Mijlpalenbegroting!$B$57:$B$71=$B234) * (Mijlpalenbegroting!$J$57:$J$71) )*E178</f>
        <v>0</v>
      </c>
      <c r="F234" s="487" cm="1">
        <f t="array" ref="F234">SUMPRODUCT( (Mijlpalenbegroting!$B$57:$B$71=$B234) * (Mijlpalenbegroting!$J$57:$J$71) )*F178</f>
        <v>0</v>
      </c>
      <c r="G234" s="487" cm="1">
        <f t="array" ref="G234">SUMPRODUCT( (Mijlpalenbegroting!$B$57:$B$71=$B234) * (Mijlpalenbegroting!$J$57:$J$71) )*G178</f>
        <v>0</v>
      </c>
      <c r="H234" s="487" cm="1">
        <f t="array" ref="H234">SUMPRODUCT( (Mijlpalenbegroting!$B$57:$B$71=$B234) * (Mijlpalenbegroting!$J$57:$J$71) )*H178</f>
        <v>0</v>
      </c>
      <c r="I234" s="487" cm="1">
        <f t="array" ref="I234">SUMPRODUCT( (Mijlpalenbegroting!$B$57:$B$71=$B234) * (Mijlpalenbegroting!$J$57:$J$71) )*I178</f>
        <v>0</v>
      </c>
      <c r="J234" s="487" cm="1">
        <f t="array" ref="J234">SUMPRODUCT( (Mijlpalenbegroting!$B$57:$B$71=$B234) * (Mijlpalenbegroting!$J$57:$J$71) )*J178</f>
        <v>0</v>
      </c>
      <c r="K234" s="488">
        <f t="shared" si="49"/>
        <v>0</v>
      </c>
      <c r="L234" s="469">
        <f>$B$178</f>
        <v>10</v>
      </c>
      <c r="M234" s="487" cm="1">
        <f t="array" ref="M234">SUMPRODUCT( (Mijlpalenbegroting!$B$57:$B$71=$B234) * (Mijlpalenbegroting!$I$57:$I$71) )*C178</f>
        <v>0</v>
      </c>
      <c r="N234" s="487" cm="1">
        <f t="array" ref="N234">SUMPRODUCT( (Mijlpalenbegroting!$B$57:$B$71=$B234) * (Mijlpalenbegroting!$I$57:$I$71) )*D178</f>
        <v>0</v>
      </c>
      <c r="O234" s="487" cm="1">
        <f t="array" ref="O234">SUMPRODUCT( (Mijlpalenbegroting!$B$57:$B$71=$B234) * (Mijlpalenbegroting!$I$57:$I$71) )*E178</f>
        <v>0</v>
      </c>
      <c r="P234" s="487" cm="1">
        <f t="array" ref="P234">SUMPRODUCT( (Mijlpalenbegroting!$B$57:$B$71=$B234) * (Mijlpalenbegroting!$I$57:$I$71) )*F178</f>
        <v>0</v>
      </c>
      <c r="Q234" s="487" cm="1">
        <f t="array" ref="Q234">SUMPRODUCT( (Mijlpalenbegroting!$B$57:$B$71=$B234) * (Mijlpalenbegroting!$I$57:$I$71) )*G178</f>
        <v>0</v>
      </c>
      <c r="R234" s="487" cm="1">
        <f t="array" ref="R234">SUMPRODUCT( (Mijlpalenbegroting!$B$57:$B$71=$B234) * (Mijlpalenbegroting!$I$57:$I$71) )*H178</f>
        <v>0</v>
      </c>
      <c r="S234" s="487" cm="1">
        <f t="array" ref="S234">SUMPRODUCT( (Mijlpalenbegroting!$B$57:$B$71=$B234) * (Mijlpalenbegroting!$I$57:$I$71) )*I178</f>
        <v>0</v>
      </c>
      <c r="T234" s="487" cm="1">
        <f t="array" ref="T234">SUMPRODUCT( (Mijlpalenbegroting!$B$57:$B$71=$B234) * (Mijlpalenbegroting!$I$57:$I$71) )*J178</f>
        <v>0</v>
      </c>
      <c r="U234" s="488">
        <f t="shared" si="50"/>
        <v>0</v>
      </c>
      <c r="AT234"/>
    </row>
    <row r="235" spans="1:46" ht="12.5" hidden="1" outlineLevel="1" x14ac:dyDescent="0.25">
      <c r="A235" s="22"/>
      <c r="B235" s="469">
        <f>$B$179</f>
        <v>11</v>
      </c>
      <c r="C235" s="487" cm="1">
        <f t="array" ref="C235">SUMPRODUCT( (Mijlpalenbegroting!$B$57:$B$71=$B235) * (Mijlpalenbegroting!$J$57:$J$71) )*C179</f>
        <v>0</v>
      </c>
      <c r="D235" s="487" cm="1">
        <f t="array" ref="D235">SUMPRODUCT( (Mijlpalenbegroting!$B$57:$B$71=$B235) * (Mijlpalenbegroting!$J$57:$J$71) )*D179</f>
        <v>0</v>
      </c>
      <c r="E235" s="487" cm="1">
        <f t="array" ref="E235">SUMPRODUCT( (Mijlpalenbegroting!$B$57:$B$71=$B235) * (Mijlpalenbegroting!$J$57:$J$71) )*E179</f>
        <v>0</v>
      </c>
      <c r="F235" s="487" cm="1">
        <f t="array" ref="F235">SUMPRODUCT( (Mijlpalenbegroting!$B$57:$B$71=$B235) * (Mijlpalenbegroting!$J$57:$J$71) )*F179</f>
        <v>0</v>
      </c>
      <c r="G235" s="487" cm="1">
        <f t="array" ref="G235">SUMPRODUCT( (Mijlpalenbegroting!$B$57:$B$71=$B235) * (Mijlpalenbegroting!$J$57:$J$71) )*G179</f>
        <v>0</v>
      </c>
      <c r="H235" s="487" cm="1">
        <f t="array" ref="H235">SUMPRODUCT( (Mijlpalenbegroting!$B$57:$B$71=$B235) * (Mijlpalenbegroting!$J$57:$J$71) )*H179</f>
        <v>0</v>
      </c>
      <c r="I235" s="487" cm="1">
        <f t="array" ref="I235">SUMPRODUCT( (Mijlpalenbegroting!$B$57:$B$71=$B235) * (Mijlpalenbegroting!$J$57:$J$71) )*I179</f>
        <v>0</v>
      </c>
      <c r="J235" s="487" cm="1">
        <f t="array" ref="J235">SUMPRODUCT( (Mijlpalenbegroting!$B$57:$B$71=$B235) * (Mijlpalenbegroting!$J$57:$J$71) )*J179</f>
        <v>0</v>
      </c>
      <c r="K235" s="488">
        <f t="shared" si="49"/>
        <v>0</v>
      </c>
      <c r="L235" s="469">
        <f>$B$179</f>
        <v>11</v>
      </c>
      <c r="M235" s="487" cm="1">
        <f t="array" ref="M235">SUMPRODUCT( (Mijlpalenbegroting!$B$57:$B$71=$B235) * (Mijlpalenbegroting!$I$57:$I$71) )*C179</f>
        <v>0</v>
      </c>
      <c r="N235" s="487" cm="1">
        <f t="array" ref="N235">SUMPRODUCT( (Mijlpalenbegroting!$B$57:$B$71=$B235) * (Mijlpalenbegroting!$I$57:$I$71) )*D179</f>
        <v>0</v>
      </c>
      <c r="O235" s="487" cm="1">
        <f t="array" ref="O235">SUMPRODUCT( (Mijlpalenbegroting!$B$57:$B$71=$B235) * (Mijlpalenbegroting!$I$57:$I$71) )*E179</f>
        <v>0</v>
      </c>
      <c r="P235" s="487" cm="1">
        <f t="array" ref="P235">SUMPRODUCT( (Mijlpalenbegroting!$B$57:$B$71=$B235) * (Mijlpalenbegroting!$I$57:$I$71) )*F179</f>
        <v>0</v>
      </c>
      <c r="Q235" s="487" cm="1">
        <f t="array" ref="Q235">SUMPRODUCT( (Mijlpalenbegroting!$B$57:$B$71=$B235) * (Mijlpalenbegroting!$I$57:$I$71) )*G179</f>
        <v>0</v>
      </c>
      <c r="R235" s="487" cm="1">
        <f t="array" ref="R235">SUMPRODUCT( (Mijlpalenbegroting!$B$57:$B$71=$B235) * (Mijlpalenbegroting!$I$57:$I$71) )*H179</f>
        <v>0</v>
      </c>
      <c r="S235" s="487" cm="1">
        <f t="array" ref="S235">SUMPRODUCT( (Mijlpalenbegroting!$B$57:$B$71=$B235) * (Mijlpalenbegroting!$I$57:$I$71) )*I179</f>
        <v>0</v>
      </c>
      <c r="T235" s="487" cm="1">
        <f t="array" ref="T235">SUMPRODUCT( (Mijlpalenbegroting!$B$57:$B$71=$B235) * (Mijlpalenbegroting!$I$57:$I$71) )*J179</f>
        <v>0</v>
      </c>
      <c r="U235" s="488">
        <f t="shared" si="50"/>
        <v>0</v>
      </c>
      <c r="AT235"/>
    </row>
    <row r="236" spans="1:46" ht="12.5" hidden="1" outlineLevel="1" x14ac:dyDescent="0.25">
      <c r="A236" s="22"/>
      <c r="B236" s="469">
        <f>$B$180</f>
        <v>12</v>
      </c>
      <c r="C236" s="487" cm="1">
        <f t="array" ref="C236">SUMPRODUCT( (Mijlpalenbegroting!$B$57:$B$71=$B236) * (Mijlpalenbegroting!$J$57:$J$71) )*C180</f>
        <v>0</v>
      </c>
      <c r="D236" s="487" cm="1">
        <f t="array" ref="D236">SUMPRODUCT( (Mijlpalenbegroting!$B$57:$B$71=$B236) * (Mijlpalenbegroting!$J$57:$J$71) )*D180</f>
        <v>0</v>
      </c>
      <c r="E236" s="487" cm="1">
        <f t="array" ref="E236">SUMPRODUCT( (Mijlpalenbegroting!$B$57:$B$71=$B236) * (Mijlpalenbegroting!$J$57:$J$71) )*E180</f>
        <v>0</v>
      </c>
      <c r="F236" s="487" cm="1">
        <f t="array" ref="F236">SUMPRODUCT( (Mijlpalenbegroting!$B$57:$B$71=$B236) * (Mijlpalenbegroting!$J$57:$J$71) )*F180</f>
        <v>0</v>
      </c>
      <c r="G236" s="487" cm="1">
        <f t="array" ref="G236">SUMPRODUCT( (Mijlpalenbegroting!$B$57:$B$71=$B236) * (Mijlpalenbegroting!$J$57:$J$71) )*G180</f>
        <v>0</v>
      </c>
      <c r="H236" s="487" cm="1">
        <f t="array" ref="H236">SUMPRODUCT( (Mijlpalenbegroting!$B$57:$B$71=$B236) * (Mijlpalenbegroting!$J$57:$J$71) )*H180</f>
        <v>0</v>
      </c>
      <c r="I236" s="487" cm="1">
        <f t="array" ref="I236">SUMPRODUCT( (Mijlpalenbegroting!$B$57:$B$71=$B236) * (Mijlpalenbegroting!$J$57:$J$71) )*I180</f>
        <v>0</v>
      </c>
      <c r="J236" s="487" cm="1">
        <f t="array" ref="J236">SUMPRODUCT( (Mijlpalenbegroting!$B$57:$B$71=$B236) * (Mijlpalenbegroting!$J$57:$J$71) )*J180</f>
        <v>0</v>
      </c>
      <c r="K236" s="488">
        <f t="shared" si="49"/>
        <v>0</v>
      </c>
      <c r="L236" s="469">
        <f>$B$180</f>
        <v>12</v>
      </c>
      <c r="M236" s="487" cm="1">
        <f t="array" ref="M236">SUMPRODUCT( (Mijlpalenbegroting!$B$57:$B$71=$B236) * (Mijlpalenbegroting!$I$57:$I$71) )*C180</f>
        <v>0</v>
      </c>
      <c r="N236" s="487" cm="1">
        <f t="array" ref="N236">SUMPRODUCT( (Mijlpalenbegroting!$B$57:$B$71=$B236) * (Mijlpalenbegroting!$I$57:$I$71) )*D180</f>
        <v>0</v>
      </c>
      <c r="O236" s="487" cm="1">
        <f t="array" ref="O236">SUMPRODUCT( (Mijlpalenbegroting!$B$57:$B$71=$B236) * (Mijlpalenbegroting!$I$57:$I$71) )*E180</f>
        <v>0</v>
      </c>
      <c r="P236" s="487" cm="1">
        <f t="array" ref="P236">SUMPRODUCT( (Mijlpalenbegroting!$B$57:$B$71=$B236) * (Mijlpalenbegroting!$I$57:$I$71) )*F180</f>
        <v>0</v>
      </c>
      <c r="Q236" s="487" cm="1">
        <f t="array" ref="Q236">SUMPRODUCT( (Mijlpalenbegroting!$B$57:$B$71=$B236) * (Mijlpalenbegroting!$I$57:$I$71) )*G180</f>
        <v>0</v>
      </c>
      <c r="R236" s="487" cm="1">
        <f t="array" ref="R236">SUMPRODUCT( (Mijlpalenbegroting!$B$57:$B$71=$B236) * (Mijlpalenbegroting!$I$57:$I$71) )*H180</f>
        <v>0</v>
      </c>
      <c r="S236" s="487" cm="1">
        <f t="array" ref="S236">SUMPRODUCT( (Mijlpalenbegroting!$B$57:$B$71=$B236) * (Mijlpalenbegroting!$I$57:$I$71) )*I180</f>
        <v>0</v>
      </c>
      <c r="T236" s="487" cm="1">
        <f t="array" ref="T236">SUMPRODUCT( (Mijlpalenbegroting!$B$57:$B$71=$B236) * (Mijlpalenbegroting!$I$57:$I$71) )*J180</f>
        <v>0</v>
      </c>
      <c r="U236" s="488">
        <f t="shared" si="50"/>
        <v>0</v>
      </c>
      <c r="AT236"/>
    </row>
    <row r="237" spans="1:46" ht="12.5" hidden="1" outlineLevel="1" x14ac:dyDescent="0.25">
      <c r="A237" s="22"/>
      <c r="B237" s="469">
        <f>$B$181</f>
        <v>13</v>
      </c>
      <c r="C237" s="487" cm="1">
        <f t="array" ref="C237">SUMPRODUCT( (Mijlpalenbegroting!$B$57:$B$71=$B237) * (Mijlpalenbegroting!$J$57:$J$71) )*C181</f>
        <v>0</v>
      </c>
      <c r="D237" s="487" cm="1">
        <f t="array" ref="D237">SUMPRODUCT( (Mijlpalenbegroting!$B$57:$B$71=$B237) * (Mijlpalenbegroting!$J$57:$J$71) )*D181</f>
        <v>0</v>
      </c>
      <c r="E237" s="487" cm="1">
        <f t="array" ref="E237">SUMPRODUCT( (Mijlpalenbegroting!$B$57:$B$71=$B237) * (Mijlpalenbegroting!$J$57:$J$71) )*E181</f>
        <v>0</v>
      </c>
      <c r="F237" s="487" cm="1">
        <f t="array" ref="F237">SUMPRODUCT( (Mijlpalenbegroting!$B$57:$B$71=$B237) * (Mijlpalenbegroting!$J$57:$J$71) )*F181</f>
        <v>0</v>
      </c>
      <c r="G237" s="487" cm="1">
        <f t="array" ref="G237">SUMPRODUCT( (Mijlpalenbegroting!$B$57:$B$71=$B237) * (Mijlpalenbegroting!$J$57:$J$71) )*G181</f>
        <v>0</v>
      </c>
      <c r="H237" s="487" cm="1">
        <f t="array" ref="H237">SUMPRODUCT( (Mijlpalenbegroting!$B$57:$B$71=$B237) * (Mijlpalenbegroting!$J$57:$J$71) )*H181</f>
        <v>0</v>
      </c>
      <c r="I237" s="487" cm="1">
        <f t="array" ref="I237">SUMPRODUCT( (Mijlpalenbegroting!$B$57:$B$71=$B237) * (Mijlpalenbegroting!$J$57:$J$71) )*I181</f>
        <v>0</v>
      </c>
      <c r="J237" s="487" cm="1">
        <f t="array" ref="J237">SUMPRODUCT( (Mijlpalenbegroting!$B$57:$B$71=$B237) * (Mijlpalenbegroting!$J$57:$J$71) )*J181</f>
        <v>0</v>
      </c>
      <c r="K237" s="488">
        <f t="shared" si="49"/>
        <v>0</v>
      </c>
      <c r="L237" s="469">
        <f>$B$181</f>
        <v>13</v>
      </c>
      <c r="M237" s="487" cm="1">
        <f t="array" ref="M237">SUMPRODUCT( (Mijlpalenbegroting!$B$57:$B$71=$B237) * (Mijlpalenbegroting!$I$57:$I$71) )*C181</f>
        <v>0</v>
      </c>
      <c r="N237" s="487" cm="1">
        <f t="array" ref="N237">SUMPRODUCT( (Mijlpalenbegroting!$B$57:$B$71=$B237) * (Mijlpalenbegroting!$I$57:$I$71) )*D181</f>
        <v>0</v>
      </c>
      <c r="O237" s="487" cm="1">
        <f t="array" ref="O237">SUMPRODUCT( (Mijlpalenbegroting!$B$57:$B$71=$B237) * (Mijlpalenbegroting!$I$57:$I$71) )*E181</f>
        <v>0</v>
      </c>
      <c r="P237" s="487" cm="1">
        <f t="array" ref="P237">SUMPRODUCT( (Mijlpalenbegroting!$B$57:$B$71=$B237) * (Mijlpalenbegroting!$I$57:$I$71) )*F181</f>
        <v>0</v>
      </c>
      <c r="Q237" s="487" cm="1">
        <f t="array" ref="Q237">SUMPRODUCT( (Mijlpalenbegroting!$B$57:$B$71=$B237) * (Mijlpalenbegroting!$I$57:$I$71) )*G181</f>
        <v>0</v>
      </c>
      <c r="R237" s="487" cm="1">
        <f t="array" ref="R237">SUMPRODUCT( (Mijlpalenbegroting!$B$57:$B$71=$B237) * (Mijlpalenbegroting!$I$57:$I$71) )*H181</f>
        <v>0</v>
      </c>
      <c r="S237" s="487" cm="1">
        <f t="array" ref="S237">SUMPRODUCT( (Mijlpalenbegroting!$B$57:$B$71=$B237) * (Mijlpalenbegroting!$I$57:$I$71) )*I181</f>
        <v>0</v>
      </c>
      <c r="T237" s="487" cm="1">
        <f t="array" ref="T237">SUMPRODUCT( (Mijlpalenbegroting!$B$57:$B$71=$B237) * (Mijlpalenbegroting!$I$57:$I$71) )*J181</f>
        <v>0</v>
      </c>
      <c r="U237" s="488">
        <f t="shared" si="50"/>
        <v>0</v>
      </c>
      <c r="AT237"/>
    </row>
    <row r="238" spans="1:46" ht="12.5" hidden="1" outlineLevel="1" x14ac:dyDescent="0.25">
      <c r="A238" s="22"/>
      <c r="B238" s="469">
        <f>$B$182</f>
        <v>14</v>
      </c>
      <c r="C238" s="487" cm="1">
        <f t="array" ref="C238">SUMPRODUCT( (Mijlpalenbegroting!$B$57:$B$71=$B238) * (Mijlpalenbegroting!$J$57:$J$71) )*C182</f>
        <v>0</v>
      </c>
      <c r="D238" s="487" cm="1">
        <f t="array" ref="D238">SUMPRODUCT( (Mijlpalenbegroting!$B$57:$B$71=$B238) * (Mijlpalenbegroting!$J$57:$J$71) )*D182</f>
        <v>0</v>
      </c>
      <c r="E238" s="487" cm="1">
        <f t="array" ref="E238">SUMPRODUCT( (Mijlpalenbegroting!$B$57:$B$71=$B238) * (Mijlpalenbegroting!$J$57:$J$71) )*E182</f>
        <v>0</v>
      </c>
      <c r="F238" s="487" cm="1">
        <f t="array" ref="F238">SUMPRODUCT( (Mijlpalenbegroting!$B$57:$B$71=$B238) * (Mijlpalenbegroting!$J$57:$J$71) )*F182</f>
        <v>0</v>
      </c>
      <c r="G238" s="487" cm="1">
        <f t="array" ref="G238">SUMPRODUCT( (Mijlpalenbegroting!$B$57:$B$71=$B238) * (Mijlpalenbegroting!$J$57:$J$71) )*G182</f>
        <v>0</v>
      </c>
      <c r="H238" s="487" cm="1">
        <f t="array" ref="H238">SUMPRODUCT( (Mijlpalenbegroting!$B$57:$B$71=$B238) * (Mijlpalenbegroting!$J$57:$J$71) )*H182</f>
        <v>0</v>
      </c>
      <c r="I238" s="487" cm="1">
        <f t="array" ref="I238">SUMPRODUCT( (Mijlpalenbegroting!$B$57:$B$71=$B238) * (Mijlpalenbegroting!$J$57:$J$71) )*I182</f>
        <v>0</v>
      </c>
      <c r="J238" s="487" cm="1">
        <f t="array" ref="J238">SUMPRODUCT( (Mijlpalenbegroting!$B$57:$B$71=$B238) * (Mijlpalenbegroting!$J$57:$J$71) )*J182</f>
        <v>0</v>
      </c>
      <c r="K238" s="488">
        <f t="shared" si="49"/>
        <v>0</v>
      </c>
      <c r="L238" s="469">
        <f>$B$182</f>
        <v>14</v>
      </c>
      <c r="M238" s="487" cm="1">
        <f t="array" ref="M238">SUMPRODUCT( (Mijlpalenbegroting!$B$57:$B$71=$B238) * (Mijlpalenbegroting!$I$57:$I$71) )*C182</f>
        <v>0</v>
      </c>
      <c r="N238" s="487" cm="1">
        <f t="array" ref="N238">SUMPRODUCT( (Mijlpalenbegroting!$B$57:$B$71=$B238) * (Mijlpalenbegroting!$I$57:$I$71) )*D182</f>
        <v>0</v>
      </c>
      <c r="O238" s="487" cm="1">
        <f t="array" ref="O238">SUMPRODUCT( (Mijlpalenbegroting!$B$57:$B$71=$B238) * (Mijlpalenbegroting!$I$57:$I$71) )*E182</f>
        <v>0</v>
      </c>
      <c r="P238" s="487" cm="1">
        <f t="array" ref="P238">SUMPRODUCT( (Mijlpalenbegroting!$B$57:$B$71=$B238) * (Mijlpalenbegroting!$I$57:$I$71) )*F182</f>
        <v>0</v>
      </c>
      <c r="Q238" s="487" cm="1">
        <f t="array" ref="Q238">SUMPRODUCT( (Mijlpalenbegroting!$B$57:$B$71=$B238) * (Mijlpalenbegroting!$I$57:$I$71) )*G182</f>
        <v>0</v>
      </c>
      <c r="R238" s="487" cm="1">
        <f t="array" ref="R238">SUMPRODUCT( (Mijlpalenbegroting!$B$57:$B$71=$B238) * (Mijlpalenbegroting!$I$57:$I$71) )*H182</f>
        <v>0</v>
      </c>
      <c r="S238" s="487" cm="1">
        <f t="array" ref="S238">SUMPRODUCT( (Mijlpalenbegroting!$B$57:$B$71=$B238) * (Mijlpalenbegroting!$I$57:$I$71) )*I182</f>
        <v>0</v>
      </c>
      <c r="T238" s="487" cm="1">
        <f t="array" ref="T238">SUMPRODUCT( (Mijlpalenbegroting!$B$57:$B$71=$B238) * (Mijlpalenbegroting!$I$57:$I$71) )*J182</f>
        <v>0</v>
      </c>
      <c r="U238" s="488">
        <f t="shared" si="50"/>
        <v>0</v>
      </c>
      <c r="AT238"/>
    </row>
    <row r="239" spans="1:46" ht="12.5" hidden="1" outlineLevel="1" x14ac:dyDescent="0.25">
      <c r="A239" s="22"/>
      <c r="B239" s="469">
        <f>$B$183</f>
        <v>15</v>
      </c>
      <c r="C239" s="487" cm="1">
        <f t="array" ref="C239">SUMPRODUCT( (Mijlpalenbegroting!$B$57:$B$71=$B239) * (Mijlpalenbegroting!$J$57:$J$71) )*C183</f>
        <v>0</v>
      </c>
      <c r="D239" s="487" cm="1">
        <f t="array" ref="D239">SUMPRODUCT( (Mijlpalenbegroting!$B$57:$B$71=$B239) * (Mijlpalenbegroting!$J$57:$J$71) )*D183</f>
        <v>0</v>
      </c>
      <c r="E239" s="487" cm="1">
        <f t="array" ref="E239">SUMPRODUCT( (Mijlpalenbegroting!$B$57:$B$71=$B239) * (Mijlpalenbegroting!$J$57:$J$71) )*E183</f>
        <v>0</v>
      </c>
      <c r="F239" s="487" cm="1">
        <f t="array" ref="F239">SUMPRODUCT( (Mijlpalenbegroting!$B$57:$B$71=$B239) * (Mijlpalenbegroting!$J$57:$J$71) )*F183</f>
        <v>0</v>
      </c>
      <c r="G239" s="487" cm="1">
        <f t="array" ref="G239">SUMPRODUCT( (Mijlpalenbegroting!$B$57:$B$71=$B239) * (Mijlpalenbegroting!$J$57:$J$71) )*G183</f>
        <v>0</v>
      </c>
      <c r="H239" s="487" cm="1">
        <f t="array" ref="H239">SUMPRODUCT( (Mijlpalenbegroting!$B$57:$B$71=$B239) * (Mijlpalenbegroting!$J$57:$J$71) )*H183</f>
        <v>0</v>
      </c>
      <c r="I239" s="487" cm="1">
        <f t="array" ref="I239">SUMPRODUCT( (Mijlpalenbegroting!$B$57:$B$71=$B239) * (Mijlpalenbegroting!$J$57:$J$71) )*I183</f>
        <v>0</v>
      </c>
      <c r="J239" s="487" cm="1">
        <f t="array" ref="J239">SUMPRODUCT( (Mijlpalenbegroting!$B$57:$B$71=$B239) * (Mijlpalenbegroting!$J$57:$J$71) )*J183</f>
        <v>0</v>
      </c>
      <c r="K239" s="488">
        <f t="shared" si="49"/>
        <v>0</v>
      </c>
      <c r="L239" s="469">
        <f>$B$183</f>
        <v>15</v>
      </c>
      <c r="M239" s="487" cm="1">
        <f t="array" ref="M239">SUMPRODUCT( (Mijlpalenbegroting!$B$57:$B$71=$B239) * (Mijlpalenbegroting!$I$57:$I$71) )*C183</f>
        <v>0</v>
      </c>
      <c r="N239" s="487" cm="1">
        <f t="array" ref="N239">SUMPRODUCT( (Mijlpalenbegroting!$B$57:$B$71=$B239) * (Mijlpalenbegroting!$I$57:$I$71) )*D183</f>
        <v>0</v>
      </c>
      <c r="O239" s="487" cm="1">
        <f t="array" ref="O239">SUMPRODUCT( (Mijlpalenbegroting!$B$57:$B$71=$B239) * (Mijlpalenbegroting!$I$57:$I$71) )*E183</f>
        <v>0</v>
      </c>
      <c r="P239" s="487" cm="1">
        <f t="array" ref="P239">SUMPRODUCT( (Mijlpalenbegroting!$B$57:$B$71=$B239) * (Mijlpalenbegroting!$I$57:$I$71) )*F183</f>
        <v>0</v>
      </c>
      <c r="Q239" s="487" cm="1">
        <f t="array" ref="Q239">SUMPRODUCT( (Mijlpalenbegroting!$B$57:$B$71=$B239) * (Mijlpalenbegroting!$I$57:$I$71) )*G183</f>
        <v>0</v>
      </c>
      <c r="R239" s="487" cm="1">
        <f t="array" ref="R239">SUMPRODUCT( (Mijlpalenbegroting!$B$57:$B$71=$B239) * (Mijlpalenbegroting!$I$57:$I$71) )*H183</f>
        <v>0</v>
      </c>
      <c r="S239" s="487" cm="1">
        <f t="array" ref="S239">SUMPRODUCT( (Mijlpalenbegroting!$B$57:$B$71=$B239) * (Mijlpalenbegroting!$I$57:$I$71) )*I183</f>
        <v>0</v>
      </c>
      <c r="T239" s="487" cm="1">
        <f t="array" ref="T239">SUMPRODUCT( (Mijlpalenbegroting!$B$57:$B$71=$B239) * (Mijlpalenbegroting!$I$57:$I$71) )*J183</f>
        <v>0</v>
      </c>
      <c r="U239" s="488">
        <f t="shared" si="50"/>
        <v>0</v>
      </c>
      <c r="AT239"/>
    </row>
    <row r="240" spans="1:46" ht="12.5" hidden="1" outlineLevel="1" x14ac:dyDescent="0.25">
      <c r="A240" s="22"/>
      <c r="B240" s="469" t="s">
        <v>335</v>
      </c>
      <c r="C240" s="489">
        <f>SUM(C225:C239)</f>
        <v>0</v>
      </c>
      <c r="D240" s="489">
        <f t="shared" ref="D240" si="51">SUM(D225:D239)</f>
        <v>0</v>
      </c>
      <c r="E240" s="489">
        <f t="shared" ref="E240" si="52">SUM(E225:E239)</f>
        <v>0</v>
      </c>
      <c r="F240" s="489">
        <f t="shared" ref="F240" si="53">SUM(F225:F239)</f>
        <v>0</v>
      </c>
      <c r="G240" s="489">
        <f t="shared" ref="G240" si="54">SUM(G225:G239)</f>
        <v>0</v>
      </c>
      <c r="H240" s="489">
        <f t="shared" ref="H240" si="55">SUM(H225:H239)</f>
        <v>0</v>
      </c>
      <c r="I240" s="489">
        <f t="shared" ref="I240" si="56">SUM(I225:I239)</f>
        <v>0</v>
      </c>
      <c r="J240" s="489">
        <f t="shared" ref="J240" si="57">SUM(J225:J239)</f>
        <v>0</v>
      </c>
      <c r="K240" s="488">
        <f t="shared" si="49"/>
        <v>0</v>
      </c>
      <c r="L240" s="469" t="s">
        <v>335</v>
      </c>
      <c r="M240" s="489">
        <f>SUM(M225:M239)</f>
        <v>0</v>
      </c>
      <c r="N240" s="489">
        <f t="shared" ref="N240" si="58">SUM(N225:N239)</f>
        <v>0</v>
      </c>
      <c r="O240" s="489">
        <f t="shared" ref="O240" si="59">SUM(O225:O239)</f>
        <v>0</v>
      </c>
      <c r="P240" s="489">
        <f t="shared" ref="P240" si="60">SUM(P225:P239)</f>
        <v>0</v>
      </c>
      <c r="Q240" s="489">
        <f t="shared" ref="Q240" si="61">SUM(Q225:Q239)</f>
        <v>0</v>
      </c>
      <c r="R240" s="489">
        <f t="shared" ref="R240" si="62">SUM(R225:R239)</f>
        <v>0</v>
      </c>
      <c r="S240" s="489">
        <f t="shared" ref="S240" si="63">SUM(S225:S239)</f>
        <v>0</v>
      </c>
      <c r="T240" s="489">
        <f t="shared" ref="T240" si="64">SUM(T225:T239)</f>
        <v>0</v>
      </c>
      <c r="U240" s="488">
        <f t="shared" si="50"/>
        <v>0</v>
      </c>
      <c r="AT240"/>
    </row>
    <row r="241" spans="1:46" ht="12.5" hidden="1" outlineLevel="1" x14ac:dyDescent="0.25">
      <c r="A241" s="22"/>
      <c r="B241" s="124"/>
      <c r="C241" s="115"/>
      <c r="D241" s="115"/>
      <c r="E241" s="115"/>
      <c r="F241" s="115"/>
      <c r="G241" s="115"/>
      <c r="H241" s="478"/>
      <c r="I241" s="115"/>
      <c r="J241" s="124"/>
      <c r="L241" s="115"/>
      <c r="M241" s="115"/>
      <c r="N241" s="115"/>
      <c r="O241" s="115"/>
      <c r="P241" s="115"/>
      <c r="Q241" s="115"/>
      <c r="R241" s="115"/>
      <c r="S241" s="23"/>
      <c r="AT241"/>
    </row>
    <row r="242" spans="1:46" ht="12.5" hidden="1" outlineLevel="1" x14ac:dyDescent="0.25">
      <c r="A242" s="22"/>
      <c r="B242" s="469"/>
      <c r="C242" s="481" t="s">
        <v>263</v>
      </c>
      <c r="D242" s="480"/>
      <c r="E242" s="480"/>
      <c r="F242" s="480"/>
      <c r="G242" s="480"/>
      <c r="H242" s="480"/>
      <c r="I242" s="480"/>
      <c r="J242" s="480"/>
      <c r="L242" s="115"/>
      <c r="M242" s="482" t="s">
        <v>262</v>
      </c>
      <c r="N242" s="115"/>
      <c r="O242" s="115"/>
      <c r="P242" s="115"/>
      <c r="Q242" s="115"/>
      <c r="R242" s="115"/>
      <c r="S242" s="23"/>
      <c r="AT242"/>
    </row>
    <row r="243" spans="1:46" ht="12.5" hidden="1" outlineLevel="1" x14ac:dyDescent="0.25">
      <c r="A243" s="22"/>
      <c r="B243" s="483" t="str">
        <f>Mijlpalenbegroting!B76</f>
        <v>Investeringen in secundaire netten</v>
      </c>
      <c r="C243" s="484">
        <f>$C$168</f>
        <v>1900</v>
      </c>
      <c r="D243" s="485">
        <f>$D$168</f>
        <v>1901</v>
      </c>
      <c r="E243" s="485">
        <f>$E$168</f>
        <v>1902</v>
      </c>
      <c r="F243" s="485">
        <f>$F$168</f>
        <v>1903</v>
      </c>
      <c r="G243" s="485">
        <f>$G$168</f>
        <v>1904</v>
      </c>
      <c r="H243" s="485">
        <f>$H$168</f>
        <v>1905</v>
      </c>
      <c r="I243" s="485">
        <f>$I$168</f>
        <v>1906</v>
      </c>
      <c r="J243" s="485">
        <f>$J$168</f>
        <v>1907</v>
      </c>
      <c r="K243" s="486" t="s">
        <v>335</v>
      </c>
      <c r="L243" s="479">
        <f>B226</f>
        <v>2</v>
      </c>
      <c r="M243" s="484">
        <f>$C$168</f>
        <v>1900</v>
      </c>
      <c r="N243" s="485">
        <f>$D$168</f>
        <v>1901</v>
      </c>
      <c r="O243" s="485">
        <f>$E$168</f>
        <v>1902</v>
      </c>
      <c r="P243" s="485">
        <f>$F$168</f>
        <v>1903</v>
      </c>
      <c r="Q243" s="485">
        <f>$G$168</f>
        <v>1904</v>
      </c>
      <c r="R243" s="485">
        <f>$H$168</f>
        <v>1905</v>
      </c>
      <c r="S243" s="485">
        <f>$I$168</f>
        <v>1906</v>
      </c>
      <c r="T243" s="485">
        <f>$J$168</f>
        <v>1907</v>
      </c>
      <c r="U243" s="486" t="s">
        <v>335</v>
      </c>
      <c r="AT243"/>
    </row>
    <row r="244" spans="1:46" ht="12.5" hidden="1" outlineLevel="1" x14ac:dyDescent="0.25">
      <c r="A244" s="22"/>
      <c r="B244" s="469">
        <f>$B$169</f>
        <v>1</v>
      </c>
      <c r="C244" s="487" cm="1">
        <f t="array" ref="C244">SUMPRODUCT( (Mijlpalenbegroting!$B$79:$B$95=$B244) * (Mijlpalenbegroting!$J$79:$J$95) )*C169</f>
        <v>0</v>
      </c>
      <c r="D244" s="487" cm="1">
        <f t="array" ref="D244">SUMPRODUCT( (Mijlpalenbegroting!$B$79:$B$95=$B244) * (Mijlpalenbegroting!$J$79:$J$95) )*D169</f>
        <v>0</v>
      </c>
      <c r="E244" s="487" cm="1">
        <f t="array" ref="E244">SUMPRODUCT( (Mijlpalenbegroting!$B$79:$B$95=$B244) * (Mijlpalenbegroting!$J$79:$J$95) )*E169</f>
        <v>0</v>
      </c>
      <c r="F244" s="487" cm="1">
        <f t="array" ref="F244">SUMPRODUCT( (Mijlpalenbegroting!$B$79:$B$95=$B244) * (Mijlpalenbegroting!$J$79:$J$95) )*F169</f>
        <v>0</v>
      </c>
      <c r="G244" s="487" cm="1">
        <f t="array" ref="G244">SUMPRODUCT( (Mijlpalenbegroting!$B$79:$B$95=$B244) * (Mijlpalenbegroting!$J$79:$J$95) )*G169</f>
        <v>0</v>
      </c>
      <c r="H244" s="487" cm="1">
        <f t="array" ref="H244">SUMPRODUCT( (Mijlpalenbegroting!$B$79:$B$95=$B244) * (Mijlpalenbegroting!$J$79:$J$95) )*H169</f>
        <v>0</v>
      </c>
      <c r="I244" s="487" cm="1">
        <f t="array" ref="I244">SUMPRODUCT( (Mijlpalenbegroting!$B$79:$B$95=$B244) * (Mijlpalenbegroting!$J$79:$J$95) )*I169</f>
        <v>0</v>
      </c>
      <c r="J244" s="487" cm="1">
        <f t="array" ref="J244">SUMPRODUCT( (Mijlpalenbegroting!$B$79:$B$95=$B244) * (Mijlpalenbegroting!$J$79:$J$95) )*J169</f>
        <v>0</v>
      </c>
      <c r="K244" s="488">
        <f>SUM(C244:J244)</f>
        <v>0</v>
      </c>
      <c r="L244" s="469">
        <f>$B$169</f>
        <v>1</v>
      </c>
      <c r="M244" s="487" cm="1">
        <f t="array" ref="M244">SUMPRODUCT( (Mijlpalenbegroting!$B$79:$B$95=$B244) * (Mijlpalenbegroting!$I$79:$I$95) )*C169</f>
        <v>0</v>
      </c>
      <c r="N244" s="487" cm="1">
        <f t="array" ref="N244">SUMPRODUCT( (Mijlpalenbegroting!$B$79:$B$95=$B244) * (Mijlpalenbegroting!$I$79:$I$95) )*D169</f>
        <v>0</v>
      </c>
      <c r="O244" s="487" cm="1">
        <f t="array" ref="O244">SUMPRODUCT( (Mijlpalenbegroting!$B$79:$B$95=$B244) * (Mijlpalenbegroting!$I$79:$I$95) )*E169</f>
        <v>0</v>
      </c>
      <c r="P244" s="487" cm="1">
        <f t="array" ref="P244">SUMPRODUCT( (Mijlpalenbegroting!$B$79:$B$95=$B244) * (Mijlpalenbegroting!$I$79:$I$95) )*F169</f>
        <v>0</v>
      </c>
      <c r="Q244" s="487" cm="1">
        <f t="array" ref="Q244">SUMPRODUCT( (Mijlpalenbegroting!$B$79:$B$95=$B244) * (Mijlpalenbegroting!$I$79:$I$95) )*G169</f>
        <v>0</v>
      </c>
      <c r="R244" s="487" cm="1">
        <f t="array" ref="R244">SUMPRODUCT( (Mijlpalenbegroting!$B$79:$B$95=$B244) * (Mijlpalenbegroting!$I$79:$I$95) )*H169</f>
        <v>0</v>
      </c>
      <c r="S244" s="487" cm="1">
        <f t="array" ref="S244">SUMPRODUCT( (Mijlpalenbegroting!$B$79:$B$95=$B244) * (Mijlpalenbegroting!$I$79:$I$95) )*I169</f>
        <v>0</v>
      </c>
      <c r="T244" s="487" cm="1">
        <f t="array" ref="T244">SUMPRODUCT( (Mijlpalenbegroting!$B$79:$B$95=$B244) * (Mijlpalenbegroting!$I$79:$I$95) )*J169</f>
        <v>0</v>
      </c>
      <c r="U244" s="488">
        <f>SUM(M244:T244)</f>
        <v>0</v>
      </c>
      <c r="AT244"/>
    </row>
    <row r="245" spans="1:46" ht="12.5" hidden="1" outlineLevel="1" x14ac:dyDescent="0.25">
      <c r="A245" s="22"/>
      <c r="B245" s="469">
        <f>$B$170</f>
        <v>2</v>
      </c>
      <c r="C245" s="487" cm="1">
        <f t="array" ref="C245">SUMPRODUCT( (Mijlpalenbegroting!$B$79:$B$95=$B245) * (Mijlpalenbegroting!$J$79:$J$95) )*C170</f>
        <v>0</v>
      </c>
      <c r="D245" s="487" cm="1">
        <f t="array" ref="D245">SUMPRODUCT( (Mijlpalenbegroting!$B$79:$B$95=$B245) * (Mijlpalenbegroting!$J$79:$J$95) )*D170</f>
        <v>0</v>
      </c>
      <c r="E245" s="487" cm="1">
        <f t="array" ref="E245">SUMPRODUCT( (Mijlpalenbegroting!$B$79:$B$95=$B245) * (Mijlpalenbegroting!$J$79:$J$95) )*E170</f>
        <v>0</v>
      </c>
      <c r="F245" s="487" cm="1">
        <f t="array" ref="F245">SUMPRODUCT( (Mijlpalenbegroting!$B$79:$B$95=$B245) * (Mijlpalenbegroting!$J$79:$J$95) )*F170</f>
        <v>0</v>
      </c>
      <c r="G245" s="487" cm="1">
        <f t="array" ref="G245">SUMPRODUCT( (Mijlpalenbegroting!$B$79:$B$95=$B245) * (Mijlpalenbegroting!$J$79:$J$95) )*G170</f>
        <v>0</v>
      </c>
      <c r="H245" s="487" cm="1">
        <f t="array" ref="H245">SUMPRODUCT( (Mijlpalenbegroting!$B$79:$B$95=$B245) * (Mijlpalenbegroting!$J$79:$J$95) )*H170</f>
        <v>0</v>
      </c>
      <c r="I245" s="487" cm="1">
        <f t="array" ref="I245">SUMPRODUCT( (Mijlpalenbegroting!$B$79:$B$95=$B245) * (Mijlpalenbegroting!$J$79:$J$95) )*I170</f>
        <v>0</v>
      </c>
      <c r="J245" s="487" cm="1">
        <f t="array" ref="J245">SUMPRODUCT( (Mijlpalenbegroting!$B$79:$B$95=$B245) * (Mijlpalenbegroting!$J$79:$J$95) )*J170</f>
        <v>0</v>
      </c>
      <c r="K245" s="488">
        <f t="shared" ref="K245:K259" si="65">SUM(C245:J245)</f>
        <v>0</v>
      </c>
      <c r="L245" s="469">
        <f>$B$170</f>
        <v>2</v>
      </c>
      <c r="M245" s="487" cm="1">
        <f t="array" ref="M245">SUMPRODUCT( (Mijlpalenbegroting!$B$79:$B$95=$B245) * (Mijlpalenbegroting!$I$79:$I$95) )*C170</f>
        <v>0</v>
      </c>
      <c r="N245" s="487" cm="1">
        <f t="array" ref="N245">SUMPRODUCT( (Mijlpalenbegroting!$B$79:$B$95=$B245) * (Mijlpalenbegroting!$I$79:$I$95) )*D170</f>
        <v>0</v>
      </c>
      <c r="O245" s="487" cm="1">
        <f t="array" ref="O245">SUMPRODUCT( (Mijlpalenbegroting!$B$79:$B$95=$B245) * (Mijlpalenbegroting!$I$79:$I$95) )*E170</f>
        <v>0</v>
      </c>
      <c r="P245" s="487" cm="1">
        <f t="array" ref="P245">SUMPRODUCT( (Mijlpalenbegroting!$B$79:$B$95=$B245) * (Mijlpalenbegroting!$I$79:$I$95) )*F170</f>
        <v>0</v>
      </c>
      <c r="Q245" s="487" cm="1">
        <f t="array" ref="Q245">SUMPRODUCT( (Mijlpalenbegroting!$B$79:$B$95=$B245) * (Mijlpalenbegroting!$I$79:$I$95) )*G170</f>
        <v>0</v>
      </c>
      <c r="R245" s="487" cm="1">
        <f t="array" ref="R245">SUMPRODUCT( (Mijlpalenbegroting!$B$79:$B$95=$B245) * (Mijlpalenbegroting!$I$79:$I$95) )*H170</f>
        <v>0</v>
      </c>
      <c r="S245" s="487" cm="1">
        <f t="array" ref="S245">SUMPRODUCT( (Mijlpalenbegroting!$B$79:$B$95=$B245) * (Mijlpalenbegroting!$I$79:$I$95) )*I170</f>
        <v>0</v>
      </c>
      <c r="T245" s="487" cm="1">
        <f t="array" ref="T245">SUMPRODUCT( (Mijlpalenbegroting!$B$79:$B$95=$B245) * (Mijlpalenbegroting!$I$79:$I$95) )*J170</f>
        <v>0</v>
      </c>
      <c r="U245" s="488">
        <f t="shared" ref="U245:U259" si="66">SUM(M245:T245)</f>
        <v>0</v>
      </c>
      <c r="AT245"/>
    </row>
    <row r="246" spans="1:46" ht="12.5" hidden="1" outlineLevel="1" x14ac:dyDescent="0.25">
      <c r="A246" s="22"/>
      <c r="B246" s="469">
        <f>$B$171</f>
        <v>3</v>
      </c>
      <c r="C246" s="487" cm="1">
        <f t="array" ref="C246">SUMPRODUCT( (Mijlpalenbegroting!$B$79:$B$95=$B246) * (Mijlpalenbegroting!$J$79:$J$95) )*C171</f>
        <v>0</v>
      </c>
      <c r="D246" s="487" cm="1">
        <f t="array" ref="D246">SUMPRODUCT( (Mijlpalenbegroting!$B$79:$B$95=$B246) * (Mijlpalenbegroting!$J$79:$J$95) )*D171</f>
        <v>0</v>
      </c>
      <c r="E246" s="487" cm="1">
        <f t="array" ref="E246">SUMPRODUCT( (Mijlpalenbegroting!$B$79:$B$95=$B246) * (Mijlpalenbegroting!$J$79:$J$95) )*E171</f>
        <v>0</v>
      </c>
      <c r="F246" s="487" cm="1">
        <f t="array" ref="F246">SUMPRODUCT( (Mijlpalenbegroting!$B$79:$B$95=$B246) * (Mijlpalenbegroting!$J$79:$J$95) )*F171</f>
        <v>0</v>
      </c>
      <c r="G246" s="487" cm="1">
        <f t="array" ref="G246">SUMPRODUCT( (Mijlpalenbegroting!$B$79:$B$95=$B246) * (Mijlpalenbegroting!$J$79:$J$95) )*G171</f>
        <v>0</v>
      </c>
      <c r="H246" s="487" cm="1">
        <f t="array" ref="H246">SUMPRODUCT( (Mijlpalenbegroting!$B$79:$B$95=$B246) * (Mijlpalenbegroting!$J$79:$J$95) )*H171</f>
        <v>0</v>
      </c>
      <c r="I246" s="487" cm="1">
        <f t="array" ref="I246">SUMPRODUCT( (Mijlpalenbegroting!$B$79:$B$95=$B246) * (Mijlpalenbegroting!$J$79:$J$95) )*I171</f>
        <v>0</v>
      </c>
      <c r="J246" s="487" cm="1">
        <f t="array" ref="J246">SUMPRODUCT( (Mijlpalenbegroting!$B$79:$B$95=$B246) * (Mijlpalenbegroting!$J$79:$J$95) )*J171</f>
        <v>0</v>
      </c>
      <c r="K246" s="488">
        <f t="shared" si="65"/>
        <v>0</v>
      </c>
      <c r="L246" s="469">
        <f>$B$171</f>
        <v>3</v>
      </c>
      <c r="M246" s="487" cm="1">
        <f t="array" ref="M246">SUMPRODUCT( (Mijlpalenbegroting!$B$79:$B$95=$B246) * (Mijlpalenbegroting!$I$79:$I$95) )*C171</f>
        <v>0</v>
      </c>
      <c r="N246" s="487" cm="1">
        <f t="array" ref="N246">SUMPRODUCT( (Mijlpalenbegroting!$B$79:$B$95=$B246) * (Mijlpalenbegroting!$I$79:$I$95) )*D171</f>
        <v>0</v>
      </c>
      <c r="O246" s="487" cm="1">
        <f t="array" ref="O246">SUMPRODUCT( (Mijlpalenbegroting!$B$79:$B$95=$B246) * (Mijlpalenbegroting!$I$79:$I$95) )*E171</f>
        <v>0</v>
      </c>
      <c r="P246" s="487" cm="1">
        <f t="array" ref="P246">SUMPRODUCT( (Mijlpalenbegroting!$B$79:$B$95=$B246) * (Mijlpalenbegroting!$I$79:$I$95) )*F171</f>
        <v>0</v>
      </c>
      <c r="Q246" s="487" cm="1">
        <f t="array" ref="Q246">SUMPRODUCT( (Mijlpalenbegroting!$B$79:$B$95=$B246) * (Mijlpalenbegroting!$I$79:$I$95) )*G171</f>
        <v>0</v>
      </c>
      <c r="R246" s="487" cm="1">
        <f t="array" ref="R246">SUMPRODUCT( (Mijlpalenbegroting!$B$79:$B$95=$B246) * (Mijlpalenbegroting!$I$79:$I$95) )*H171</f>
        <v>0</v>
      </c>
      <c r="S246" s="487" cm="1">
        <f t="array" ref="S246">SUMPRODUCT( (Mijlpalenbegroting!$B$79:$B$95=$B246) * (Mijlpalenbegroting!$I$79:$I$95) )*I171</f>
        <v>0</v>
      </c>
      <c r="T246" s="487" cm="1">
        <f t="array" ref="T246">SUMPRODUCT( (Mijlpalenbegroting!$B$79:$B$95=$B246) * (Mijlpalenbegroting!$I$79:$I$95) )*J171</f>
        <v>0</v>
      </c>
      <c r="U246" s="488">
        <f t="shared" si="66"/>
        <v>0</v>
      </c>
      <c r="AT246"/>
    </row>
    <row r="247" spans="1:46" ht="12.5" hidden="1" outlineLevel="1" x14ac:dyDescent="0.25">
      <c r="A247" s="22"/>
      <c r="B247" s="469">
        <f>$B$172</f>
        <v>4</v>
      </c>
      <c r="C247" s="487" cm="1">
        <f t="array" ref="C247">SUMPRODUCT( (Mijlpalenbegroting!$B$79:$B$95=$B247) * (Mijlpalenbegroting!$J$79:$J$95) )*C172</f>
        <v>0</v>
      </c>
      <c r="D247" s="487" cm="1">
        <f t="array" ref="D247">SUMPRODUCT( (Mijlpalenbegroting!$B$79:$B$95=$B247) * (Mijlpalenbegroting!$J$79:$J$95) )*D172</f>
        <v>0</v>
      </c>
      <c r="E247" s="487" cm="1">
        <f t="array" ref="E247">SUMPRODUCT( (Mijlpalenbegroting!$B$79:$B$95=$B247) * (Mijlpalenbegroting!$J$79:$J$95) )*E172</f>
        <v>0</v>
      </c>
      <c r="F247" s="487" cm="1">
        <f t="array" ref="F247">SUMPRODUCT( (Mijlpalenbegroting!$B$79:$B$95=$B247) * (Mijlpalenbegroting!$J$79:$J$95) )*F172</f>
        <v>0</v>
      </c>
      <c r="G247" s="487" cm="1">
        <f t="array" ref="G247">SUMPRODUCT( (Mijlpalenbegroting!$B$79:$B$95=$B247) * (Mijlpalenbegroting!$J$79:$J$95) )*G172</f>
        <v>0</v>
      </c>
      <c r="H247" s="487" cm="1">
        <f t="array" ref="H247">SUMPRODUCT( (Mijlpalenbegroting!$B$79:$B$95=$B247) * (Mijlpalenbegroting!$J$79:$J$95) )*H172</f>
        <v>0</v>
      </c>
      <c r="I247" s="487" cm="1">
        <f t="array" ref="I247">SUMPRODUCT( (Mijlpalenbegroting!$B$79:$B$95=$B247) * (Mijlpalenbegroting!$J$79:$J$95) )*I172</f>
        <v>0</v>
      </c>
      <c r="J247" s="487" cm="1">
        <f t="array" ref="J247">SUMPRODUCT( (Mijlpalenbegroting!$B$79:$B$95=$B247) * (Mijlpalenbegroting!$J$79:$J$95) )*J172</f>
        <v>0</v>
      </c>
      <c r="K247" s="488">
        <f t="shared" si="65"/>
        <v>0</v>
      </c>
      <c r="L247" s="469">
        <f>$B$172</f>
        <v>4</v>
      </c>
      <c r="M247" s="487" cm="1">
        <f t="array" ref="M247">SUMPRODUCT( (Mijlpalenbegroting!$B$79:$B$95=$B247) * (Mijlpalenbegroting!$I$79:$I$95) )*C172</f>
        <v>0</v>
      </c>
      <c r="N247" s="487" cm="1">
        <f t="array" ref="N247">SUMPRODUCT( (Mijlpalenbegroting!$B$79:$B$95=$B247) * (Mijlpalenbegroting!$I$79:$I$95) )*D172</f>
        <v>0</v>
      </c>
      <c r="O247" s="487" cm="1">
        <f t="array" ref="O247">SUMPRODUCT( (Mijlpalenbegroting!$B$79:$B$95=$B247) * (Mijlpalenbegroting!$I$79:$I$95) )*E172</f>
        <v>0</v>
      </c>
      <c r="P247" s="487" cm="1">
        <f t="array" ref="P247">SUMPRODUCT( (Mijlpalenbegroting!$B$79:$B$95=$B247) * (Mijlpalenbegroting!$I$79:$I$95) )*F172</f>
        <v>0</v>
      </c>
      <c r="Q247" s="487" cm="1">
        <f t="array" ref="Q247">SUMPRODUCT( (Mijlpalenbegroting!$B$79:$B$95=$B247) * (Mijlpalenbegroting!$I$79:$I$95) )*G172</f>
        <v>0</v>
      </c>
      <c r="R247" s="487" cm="1">
        <f t="array" ref="R247">SUMPRODUCT( (Mijlpalenbegroting!$B$79:$B$95=$B247) * (Mijlpalenbegroting!$I$79:$I$95) )*H172</f>
        <v>0</v>
      </c>
      <c r="S247" s="487" cm="1">
        <f t="array" ref="S247">SUMPRODUCT( (Mijlpalenbegroting!$B$79:$B$95=$B247) * (Mijlpalenbegroting!$I$79:$I$95) )*I172</f>
        <v>0</v>
      </c>
      <c r="T247" s="487" cm="1">
        <f t="array" ref="T247">SUMPRODUCT( (Mijlpalenbegroting!$B$79:$B$95=$B247) * (Mijlpalenbegroting!$I$79:$I$95) )*J172</f>
        <v>0</v>
      </c>
      <c r="U247" s="488">
        <f t="shared" si="66"/>
        <v>0</v>
      </c>
      <c r="AT247"/>
    </row>
    <row r="248" spans="1:46" ht="12.5" hidden="1" outlineLevel="1" x14ac:dyDescent="0.25">
      <c r="A248" s="22"/>
      <c r="B248" s="469">
        <f>$B$173</f>
        <v>5</v>
      </c>
      <c r="C248" s="487" cm="1">
        <f t="array" ref="C248">SUMPRODUCT( (Mijlpalenbegroting!$B$79:$B$95=$B248) * (Mijlpalenbegroting!$J$79:$J$95) )*C173</f>
        <v>0</v>
      </c>
      <c r="D248" s="487" cm="1">
        <f t="array" ref="D248">SUMPRODUCT( (Mijlpalenbegroting!$B$79:$B$95=$B248) * (Mijlpalenbegroting!$J$79:$J$95) )*D173</f>
        <v>0</v>
      </c>
      <c r="E248" s="487" cm="1">
        <f t="array" ref="E248">SUMPRODUCT( (Mijlpalenbegroting!$B$79:$B$95=$B248) * (Mijlpalenbegroting!$J$79:$J$95) )*E173</f>
        <v>0</v>
      </c>
      <c r="F248" s="487" cm="1">
        <f t="array" ref="F248">SUMPRODUCT( (Mijlpalenbegroting!$B$79:$B$95=$B248) * (Mijlpalenbegroting!$J$79:$J$95) )*F173</f>
        <v>0</v>
      </c>
      <c r="G248" s="487" cm="1">
        <f t="array" ref="G248">SUMPRODUCT( (Mijlpalenbegroting!$B$79:$B$95=$B248) * (Mijlpalenbegroting!$J$79:$J$95) )*G173</f>
        <v>0</v>
      </c>
      <c r="H248" s="487" cm="1">
        <f t="array" ref="H248">SUMPRODUCT( (Mijlpalenbegroting!$B$79:$B$95=$B248) * (Mijlpalenbegroting!$J$79:$J$95) )*H173</f>
        <v>0</v>
      </c>
      <c r="I248" s="487" cm="1">
        <f t="array" ref="I248">SUMPRODUCT( (Mijlpalenbegroting!$B$79:$B$95=$B248) * (Mijlpalenbegroting!$J$79:$J$95) )*I173</f>
        <v>0</v>
      </c>
      <c r="J248" s="487" cm="1">
        <f t="array" ref="J248">SUMPRODUCT( (Mijlpalenbegroting!$B$79:$B$95=$B248) * (Mijlpalenbegroting!$J$79:$J$95) )*J173</f>
        <v>0</v>
      </c>
      <c r="K248" s="488">
        <f t="shared" si="65"/>
        <v>0</v>
      </c>
      <c r="L248" s="469">
        <f>$B$173</f>
        <v>5</v>
      </c>
      <c r="M248" s="487" cm="1">
        <f t="array" ref="M248">SUMPRODUCT( (Mijlpalenbegroting!$B$79:$B$95=$B248) * (Mijlpalenbegroting!$I$79:$I$95) )*C173</f>
        <v>0</v>
      </c>
      <c r="N248" s="487" cm="1">
        <f t="array" ref="N248">SUMPRODUCT( (Mijlpalenbegroting!$B$79:$B$95=$B248) * (Mijlpalenbegroting!$I$79:$I$95) )*D173</f>
        <v>0</v>
      </c>
      <c r="O248" s="487" cm="1">
        <f t="array" ref="O248">SUMPRODUCT( (Mijlpalenbegroting!$B$79:$B$95=$B248) * (Mijlpalenbegroting!$I$79:$I$95) )*E173</f>
        <v>0</v>
      </c>
      <c r="P248" s="487" cm="1">
        <f t="array" ref="P248">SUMPRODUCT( (Mijlpalenbegroting!$B$79:$B$95=$B248) * (Mijlpalenbegroting!$I$79:$I$95) )*F173</f>
        <v>0</v>
      </c>
      <c r="Q248" s="487" cm="1">
        <f t="array" ref="Q248">SUMPRODUCT( (Mijlpalenbegroting!$B$79:$B$95=$B248) * (Mijlpalenbegroting!$I$79:$I$95) )*G173</f>
        <v>0</v>
      </c>
      <c r="R248" s="487" cm="1">
        <f t="array" ref="R248">SUMPRODUCT( (Mijlpalenbegroting!$B$79:$B$95=$B248) * (Mijlpalenbegroting!$I$79:$I$95) )*H173</f>
        <v>0</v>
      </c>
      <c r="S248" s="487" cm="1">
        <f t="array" ref="S248">SUMPRODUCT( (Mijlpalenbegroting!$B$79:$B$95=$B248) * (Mijlpalenbegroting!$I$79:$I$95) )*I173</f>
        <v>0</v>
      </c>
      <c r="T248" s="487" cm="1">
        <f t="array" ref="T248">SUMPRODUCT( (Mijlpalenbegroting!$B$79:$B$95=$B248) * (Mijlpalenbegroting!$I$79:$I$95) )*J173</f>
        <v>0</v>
      </c>
      <c r="U248" s="488">
        <f t="shared" si="66"/>
        <v>0</v>
      </c>
      <c r="AT248"/>
    </row>
    <row r="249" spans="1:46" ht="12.5" hidden="1" outlineLevel="1" x14ac:dyDescent="0.25">
      <c r="A249" s="22"/>
      <c r="B249" s="469">
        <f>$B$174</f>
        <v>6</v>
      </c>
      <c r="C249" s="487" cm="1">
        <f t="array" ref="C249">SUMPRODUCT( (Mijlpalenbegroting!$B$79:$B$95=$B249) * (Mijlpalenbegroting!$J$79:$J$95) )*C174</f>
        <v>0</v>
      </c>
      <c r="D249" s="487" cm="1">
        <f t="array" ref="D249">SUMPRODUCT( (Mijlpalenbegroting!$B$79:$B$95=$B249) * (Mijlpalenbegroting!$J$79:$J$95) )*D174</f>
        <v>0</v>
      </c>
      <c r="E249" s="487" cm="1">
        <f t="array" ref="E249">SUMPRODUCT( (Mijlpalenbegroting!$B$79:$B$95=$B249) * (Mijlpalenbegroting!$J$79:$J$95) )*E174</f>
        <v>0</v>
      </c>
      <c r="F249" s="487" cm="1">
        <f t="array" ref="F249">SUMPRODUCT( (Mijlpalenbegroting!$B$79:$B$95=$B249) * (Mijlpalenbegroting!$J$79:$J$95) )*F174</f>
        <v>0</v>
      </c>
      <c r="G249" s="487" cm="1">
        <f t="array" ref="G249">SUMPRODUCT( (Mijlpalenbegroting!$B$79:$B$95=$B249) * (Mijlpalenbegroting!$J$79:$J$95) )*G174</f>
        <v>0</v>
      </c>
      <c r="H249" s="487" cm="1">
        <f t="array" ref="H249">SUMPRODUCT( (Mijlpalenbegroting!$B$79:$B$95=$B249) * (Mijlpalenbegroting!$J$79:$J$95) )*H174</f>
        <v>0</v>
      </c>
      <c r="I249" s="487" cm="1">
        <f t="array" ref="I249">SUMPRODUCT( (Mijlpalenbegroting!$B$79:$B$95=$B249) * (Mijlpalenbegroting!$J$79:$J$95) )*I174</f>
        <v>0</v>
      </c>
      <c r="J249" s="487" cm="1">
        <f t="array" ref="J249">SUMPRODUCT( (Mijlpalenbegroting!$B$79:$B$95=$B249) * (Mijlpalenbegroting!$J$79:$J$95) )*J174</f>
        <v>0</v>
      </c>
      <c r="K249" s="488">
        <f t="shared" si="65"/>
        <v>0</v>
      </c>
      <c r="L249" s="469">
        <f>$B$174</f>
        <v>6</v>
      </c>
      <c r="M249" s="487" cm="1">
        <f t="array" ref="M249">SUMPRODUCT( (Mijlpalenbegroting!$B$79:$B$95=$B249) * (Mijlpalenbegroting!$I$79:$I$95) )*C174</f>
        <v>0</v>
      </c>
      <c r="N249" s="487" cm="1">
        <f t="array" ref="N249">SUMPRODUCT( (Mijlpalenbegroting!$B$79:$B$95=$B249) * (Mijlpalenbegroting!$I$79:$I$95) )*D174</f>
        <v>0</v>
      </c>
      <c r="O249" s="487" cm="1">
        <f t="array" ref="O249">SUMPRODUCT( (Mijlpalenbegroting!$B$79:$B$95=$B249) * (Mijlpalenbegroting!$I$79:$I$95) )*E174</f>
        <v>0</v>
      </c>
      <c r="P249" s="487" cm="1">
        <f t="array" ref="P249">SUMPRODUCT( (Mijlpalenbegroting!$B$79:$B$95=$B249) * (Mijlpalenbegroting!$I$79:$I$95) )*F174</f>
        <v>0</v>
      </c>
      <c r="Q249" s="487" cm="1">
        <f t="array" ref="Q249">SUMPRODUCT( (Mijlpalenbegroting!$B$79:$B$95=$B249) * (Mijlpalenbegroting!$I$79:$I$95) )*G174</f>
        <v>0</v>
      </c>
      <c r="R249" s="487" cm="1">
        <f t="array" ref="R249">SUMPRODUCT( (Mijlpalenbegroting!$B$79:$B$95=$B249) * (Mijlpalenbegroting!$I$79:$I$95) )*H174</f>
        <v>0</v>
      </c>
      <c r="S249" s="487" cm="1">
        <f t="array" ref="S249">SUMPRODUCT( (Mijlpalenbegroting!$B$79:$B$95=$B249) * (Mijlpalenbegroting!$I$79:$I$95) )*I174</f>
        <v>0</v>
      </c>
      <c r="T249" s="487" cm="1">
        <f t="array" ref="T249">SUMPRODUCT( (Mijlpalenbegroting!$B$79:$B$95=$B249) * (Mijlpalenbegroting!$I$79:$I$95) )*J174</f>
        <v>0</v>
      </c>
      <c r="U249" s="488">
        <f t="shared" si="66"/>
        <v>0</v>
      </c>
      <c r="AT249"/>
    </row>
    <row r="250" spans="1:46" ht="12.5" hidden="1" outlineLevel="1" x14ac:dyDescent="0.25">
      <c r="A250" s="22"/>
      <c r="B250" s="469">
        <f>$B$175</f>
        <v>7</v>
      </c>
      <c r="C250" s="487" cm="1">
        <f t="array" ref="C250">SUMPRODUCT( (Mijlpalenbegroting!$B$79:$B$95=$B250) * (Mijlpalenbegroting!$J$79:$J$95) )*C175</f>
        <v>0</v>
      </c>
      <c r="D250" s="487" cm="1">
        <f t="array" ref="D250">SUMPRODUCT( (Mijlpalenbegroting!$B$79:$B$95=$B250) * (Mijlpalenbegroting!$J$79:$J$95) )*D175</f>
        <v>0</v>
      </c>
      <c r="E250" s="487" cm="1">
        <f t="array" ref="E250">SUMPRODUCT( (Mijlpalenbegroting!$B$79:$B$95=$B250) * (Mijlpalenbegroting!$J$79:$J$95) )*E175</f>
        <v>0</v>
      </c>
      <c r="F250" s="487" cm="1">
        <f t="array" ref="F250">SUMPRODUCT( (Mijlpalenbegroting!$B$79:$B$95=$B250) * (Mijlpalenbegroting!$J$79:$J$95) )*F175</f>
        <v>0</v>
      </c>
      <c r="G250" s="487" cm="1">
        <f t="array" ref="G250">SUMPRODUCT( (Mijlpalenbegroting!$B$79:$B$95=$B250) * (Mijlpalenbegroting!$J$79:$J$95) )*G175</f>
        <v>0</v>
      </c>
      <c r="H250" s="487" cm="1">
        <f t="array" ref="H250">SUMPRODUCT( (Mijlpalenbegroting!$B$79:$B$95=$B250) * (Mijlpalenbegroting!$J$79:$J$95) )*H175</f>
        <v>0</v>
      </c>
      <c r="I250" s="487" cm="1">
        <f t="array" ref="I250">SUMPRODUCT( (Mijlpalenbegroting!$B$79:$B$95=$B250) * (Mijlpalenbegroting!$J$79:$J$95) )*I175</f>
        <v>0</v>
      </c>
      <c r="J250" s="487" cm="1">
        <f t="array" ref="J250">SUMPRODUCT( (Mijlpalenbegroting!$B$79:$B$95=$B250) * (Mijlpalenbegroting!$J$79:$J$95) )*J175</f>
        <v>0</v>
      </c>
      <c r="K250" s="488">
        <f t="shared" si="65"/>
        <v>0</v>
      </c>
      <c r="L250" s="469">
        <f>$B$175</f>
        <v>7</v>
      </c>
      <c r="M250" s="487" cm="1">
        <f t="array" ref="M250">SUMPRODUCT( (Mijlpalenbegroting!$B$79:$B$95=$B250) * (Mijlpalenbegroting!$I$79:$I$95) )*C175</f>
        <v>0</v>
      </c>
      <c r="N250" s="487" cm="1">
        <f t="array" ref="N250">SUMPRODUCT( (Mijlpalenbegroting!$B$79:$B$95=$B250) * (Mijlpalenbegroting!$I$79:$I$95) )*D175</f>
        <v>0</v>
      </c>
      <c r="O250" s="487" cm="1">
        <f t="array" ref="O250">SUMPRODUCT( (Mijlpalenbegroting!$B$79:$B$95=$B250) * (Mijlpalenbegroting!$I$79:$I$95) )*E175</f>
        <v>0</v>
      </c>
      <c r="P250" s="487" cm="1">
        <f t="array" ref="P250">SUMPRODUCT( (Mijlpalenbegroting!$B$79:$B$95=$B250) * (Mijlpalenbegroting!$I$79:$I$95) )*F175</f>
        <v>0</v>
      </c>
      <c r="Q250" s="487" cm="1">
        <f t="array" ref="Q250">SUMPRODUCT( (Mijlpalenbegroting!$B$79:$B$95=$B250) * (Mijlpalenbegroting!$I$79:$I$95) )*G175</f>
        <v>0</v>
      </c>
      <c r="R250" s="487" cm="1">
        <f t="array" ref="R250">SUMPRODUCT( (Mijlpalenbegroting!$B$79:$B$95=$B250) * (Mijlpalenbegroting!$I$79:$I$95) )*H175</f>
        <v>0</v>
      </c>
      <c r="S250" s="487" cm="1">
        <f t="array" ref="S250">SUMPRODUCT( (Mijlpalenbegroting!$B$79:$B$95=$B250) * (Mijlpalenbegroting!$I$79:$I$95) )*I175</f>
        <v>0</v>
      </c>
      <c r="T250" s="487" cm="1">
        <f t="array" ref="T250">SUMPRODUCT( (Mijlpalenbegroting!$B$79:$B$95=$B250) * (Mijlpalenbegroting!$I$79:$I$95) )*J175</f>
        <v>0</v>
      </c>
      <c r="U250" s="488">
        <f t="shared" si="66"/>
        <v>0</v>
      </c>
      <c r="AT250"/>
    </row>
    <row r="251" spans="1:46" ht="12.5" hidden="1" outlineLevel="1" x14ac:dyDescent="0.25">
      <c r="A251" s="22"/>
      <c r="B251" s="469">
        <f>$B$176</f>
        <v>8</v>
      </c>
      <c r="C251" s="487" cm="1">
        <f t="array" ref="C251">SUMPRODUCT( (Mijlpalenbegroting!$B$79:$B$95=$B251) * (Mijlpalenbegroting!$J$79:$J$95) )*C176</f>
        <v>0</v>
      </c>
      <c r="D251" s="487" cm="1">
        <f t="array" ref="D251">SUMPRODUCT( (Mijlpalenbegroting!$B$79:$B$95=$B251) * (Mijlpalenbegroting!$J$79:$J$95) )*D176</f>
        <v>0</v>
      </c>
      <c r="E251" s="487" cm="1">
        <f t="array" ref="E251">SUMPRODUCT( (Mijlpalenbegroting!$B$79:$B$95=$B251) * (Mijlpalenbegroting!$J$79:$J$95) )*E176</f>
        <v>0</v>
      </c>
      <c r="F251" s="487" cm="1">
        <f t="array" ref="F251">SUMPRODUCT( (Mijlpalenbegroting!$B$79:$B$95=$B251) * (Mijlpalenbegroting!$J$79:$J$95) )*F176</f>
        <v>0</v>
      </c>
      <c r="G251" s="487" cm="1">
        <f t="array" ref="G251">SUMPRODUCT( (Mijlpalenbegroting!$B$79:$B$95=$B251) * (Mijlpalenbegroting!$J$79:$J$95) )*G176</f>
        <v>0</v>
      </c>
      <c r="H251" s="487" cm="1">
        <f t="array" ref="H251">SUMPRODUCT( (Mijlpalenbegroting!$B$79:$B$95=$B251) * (Mijlpalenbegroting!$J$79:$J$95) )*H176</f>
        <v>0</v>
      </c>
      <c r="I251" s="487" cm="1">
        <f t="array" ref="I251">SUMPRODUCT( (Mijlpalenbegroting!$B$79:$B$95=$B251) * (Mijlpalenbegroting!$J$79:$J$95) )*I176</f>
        <v>0</v>
      </c>
      <c r="J251" s="487" cm="1">
        <f t="array" ref="J251">SUMPRODUCT( (Mijlpalenbegroting!$B$79:$B$95=$B251) * (Mijlpalenbegroting!$J$79:$J$95) )*J176</f>
        <v>0</v>
      </c>
      <c r="K251" s="488">
        <f t="shared" si="65"/>
        <v>0</v>
      </c>
      <c r="L251" s="469">
        <f>$B$176</f>
        <v>8</v>
      </c>
      <c r="M251" s="487" cm="1">
        <f t="array" ref="M251">SUMPRODUCT( (Mijlpalenbegroting!$B$79:$B$95=$B251) * (Mijlpalenbegroting!$I$79:$I$95) )*C176</f>
        <v>0</v>
      </c>
      <c r="N251" s="487" cm="1">
        <f t="array" ref="N251">SUMPRODUCT( (Mijlpalenbegroting!$B$79:$B$95=$B251) * (Mijlpalenbegroting!$I$79:$I$95) )*D176</f>
        <v>0</v>
      </c>
      <c r="O251" s="487" cm="1">
        <f t="array" ref="O251">SUMPRODUCT( (Mijlpalenbegroting!$B$79:$B$95=$B251) * (Mijlpalenbegroting!$I$79:$I$95) )*E176</f>
        <v>0</v>
      </c>
      <c r="P251" s="487" cm="1">
        <f t="array" ref="P251">SUMPRODUCT( (Mijlpalenbegroting!$B$79:$B$95=$B251) * (Mijlpalenbegroting!$I$79:$I$95) )*F176</f>
        <v>0</v>
      </c>
      <c r="Q251" s="487" cm="1">
        <f t="array" ref="Q251">SUMPRODUCT( (Mijlpalenbegroting!$B$79:$B$95=$B251) * (Mijlpalenbegroting!$I$79:$I$95) )*G176</f>
        <v>0</v>
      </c>
      <c r="R251" s="487" cm="1">
        <f t="array" ref="R251">SUMPRODUCT( (Mijlpalenbegroting!$B$79:$B$95=$B251) * (Mijlpalenbegroting!$I$79:$I$95) )*H176</f>
        <v>0</v>
      </c>
      <c r="S251" s="487" cm="1">
        <f t="array" ref="S251">SUMPRODUCT( (Mijlpalenbegroting!$B$79:$B$95=$B251) * (Mijlpalenbegroting!$I$79:$I$95) )*I176</f>
        <v>0</v>
      </c>
      <c r="T251" s="487" cm="1">
        <f t="array" ref="T251">SUMPRODUCT( (Mijlpalenbegroting!$B$79:$B$95=$B251) * (Mijlpalenbegroting!$I$79:$I$95) )*J176</f>
        <v>0</v>
      </c>
      <c r="U251" s="488">
        <f t="shared" si="66"/>
        <v>0</v>
      </c>
      <c r="AT251"/>
    </row>
    <row r="252" spans="1:46" ht="12.5" hidden="1" outlineLevel="1" x14ac:dyDescent="0.25">
      <c r="A252" s="22"/>
      <c r="B252" s="469">
        <f>$B$177</f>
        <v>9</v>
      </c>
      <c r="C252" s="487" cm="1">
        <f t="array" ref="C252">SUMPRODUCT( (Mijlpalenbegroting!$B$79:$B$95=$B252) * (Mijlpalenbegroting!$J$79:$J$95) )*C177</f>
        <v>0</v>
      </c>
      <c r="D252" s="487" cm="1">
        <f t="array" ref="D252">SUMPRODUCT( (Mijlpalenbegroting!$B$79:$B$95=$B252) * (Mijlpalenbegroting!$J$79:$J$95) )*D177</f>
        <v>0</v>
      </c>
      <c r="E252" s="487" cm="1">
        <f t="array" ref="E252">SUMPRODUCT( (Mijlpalenbegroting!$B$79:$B$95=$B252) * (Mijlpalenbegroting!$J$79:$J$95) )*E177</f>
        <v>0</v>
      </c>
      <c r="F252" s="487" cm="1">
        <f t="array" ref="F252">SUMPRODUCT( (Mijlpalenbegroting!$B$79:$B$95=$B252) * (Mijlpalenbegroting!$J$79:$J$95) )*F177</f>
        <v>0</v>
      </c>
      <c r="G252" s="487" cm="1">
        <f t="array" ref="G252">SUMPRODUCT( (Mijlpalenbegroting!$B$79:$B$95=$B252) * (Mijlpalenbegroting!$J$79:$J$95) )*G177</f>
        <v>0</v>
      </c>
      <c r="H252" s="487" cm="1">
        <f t="array" ref="H252">SUMPRODUCT( (Mijlpalenbegroting!$B$79:$B$95=$B252) * (Mijlpalenbegroting!$J$79:$J$95) )*H177</f>
        <v>0</v>
      </c>
      <c r="I252" s="487" cm="1">
        <f t="array" ref="I252">SUMPRODUCT( (Mijlpalenbegroting!$B$79:$B$95=$B252) * (Mijlpalenbegroting!$J$79:$J$95) )*I177</f>
        <v>0</v>
      </c>
      <c r="J252" s="487" cm="1">
        <f t="array" ref="J252">SUMPRODUCT( (Mijlpalenbegroting!$B$79:$B$95=$B252) * (Mijlpalenbegroting!$J$79:$J$95) )*J177</f>
        <v>0</v>
      </c>
      <c r="K252" s="488">
        <f t="shared" si="65"/>
        <v>0</v>
      </c>
      <c r="L252" s="469">
        <f>$B$177</f>
        <v>9</v>
      </c>
      <c r="M252" s="487" cm="1">
        <f t="array" ref="M252">SUMPRODUCT( (Mijlpalenbegroting!$B$79:$B$95=$B252) * (Mijlpalenbegroting!$I$79:$I$95) )*C177</f>
        <v>0</v>
      </c>
      <c r="N252" s="487" cm="1">
        <f t="array" ref="N252">SUMPRODUCT( (Mijlpalenbegroting!$B$79:$B$95=$B252) * (Mijlpalenbegroting!$I$79:$I$95) )*D177</f>
        <v>0</v>
      </c>
      <c r="O252" s="487" cm="1">
        <f t="array" ref="O252">SUMPRODUCT( (Mijlpalenbegroting!$B$79:$B$95=$B252) * (Mijlpalenbegroting!$I$79:$I$95) )*E177</f>
        <v>0</v>
      </c>
      <c r="P252" s="487" cm="1">
        <f t="array" ref="P252">SUMPRODUCT( (Mijlpalenbegroting!$B$79:$B$95=$B252) * (Mijlpalenbegroting!$I$79:$I$95) )*F177</f>
        <v>0</v>
      </c>
      <c r="Q252" s="487" cm="1">
        <f t="array" ref="Q252">SUMPRODUCT( (Mijlpalenbegroting!$B$79:$B$95=$B252) * (Mijlpalenbegroting!$I$79:$I$95) )*G177</f>
        <v>0</v>
      </c>
      <c r="R252" s="487" cm="1">
        <f t="array" ref="R252">SUMPRODUCT( (Mijlpalenbegroting!$B$79:$B$95=$B252) * (Mijlpalenbegroting!$I$79:$I$95) )*H177</f>
        <v>0</v>
      </c>
      <c r="S252" s="487" cm="1">
        <f t="array" ref="S252">SUMPRODUCT( (Mijlpalenbegroting!$B$79:$B$95=$B252) * (Mijlpalenbegroting!$I$79:$I$95) )*I177</f>
        <v>0</v>
      </c>
      <c r="T252" s="487" cm="1">
        <f t="array" ref="T252">SUMPRODUCT( (Mijlpalenbegroting!$B$79:$B$95=$B252) * (Mijlpalenbegroting!$I$79:$I$95) )*J177</f>
        <v>0</v>
      </c>
      <c r="U252" s="488">
        <f t="shared" si="66"/>
        <v>0</v>
      </c>
      <c r="AT252"/>
    </row>
    <row r="253" spans="1:46" ht="12.5" hidden="1" outlineLevel="1" x14ac:dyDescent="0.25">
      <c r="A253" s="22"/>
      <c r="B253" s="469">
        <f>$B$178</f>
        <v>10</v>
      </c>
      <c r="C253" s="487" cm="1">
        <f t="array" ref="C253">SUMPRODUCT( (Mijlpalenbegroting!$B$79:$B$95=$B253) * (Mijlpalenbegroting!$J$79:$J$95) )*C178</f>
        <v>0</v>
      </c>
      <c r="D253" s="487" cm="1">
        <f t="array" ref="D253">SUMPRODUCT( (Mijlpalenbegroting!$B$79:$B$95=$B253) * (Mijlpalenbegroting!$J$79:$J$95) )*D178</f>
        <v>0</v>
      </c>
      <c r="E253" s="487" cm="1">
        <f t="array" ref="E253">SUMPRODUCT( (Mijlpalenbegroting!$B$79:$B$95=$B253) * (Mijlpalenbegroting!$J$79:$J$95) )*E178</f>
        <v>0</v>
      </c>
      <c r="F253" s="487" cm="1">
        <f t="array" ref="F253">SUMPRODUCT( (Mijlpalenbegroting!$B$79:$B$95=$B253) * (Mijlpalenbegroting!$J$79:$J$95) )*F178</f>
        <v>0</v>
      </c>
      <c r="G253" s="487" cm="1">
        <f t="array" ref="G253">SUMPRODUCT( (Mijlpalenbegroting!$B$79:$B$95=$B253) * (Mijlpalenbegroting!$J$79:$J$95) )*G178</f>
        <v>0</v>
      </c>
      <c r="H253" s="487" cm="1">
        <f t="array" ref="H253">SUMPRODUCT( (Mijlpalenbegroting!$B$79:$B$95=$B253) * (Mijlpalenbegroting!$J$79:$J$95) )*H178</f>
        <v>0</v>
      </c>
      <c r="I253" s="487" cm="1">
        <f t="array" ref="I253">SUMPRODUCT( (Mijlpalenbegroting!$B$79:$B$95=$B253) * (Mijlpalenbegroting!$J$79:$J$95) )*I178</f>
        <v>0</v>
      </c>
      <c r="J253" s="487" cm="1">
        <f t="array" ref="J253">SUMPRODUCT( (Mijlpalenbegroting!$B$79:$B$95=$B253) * (Mijlpalenbegroting!$J$79:$J$95) )*J178</f>
        <v>0</v>
      </c>
      <c r="K253" s="488">
        <f t="shared" si="65"/>
        <v>0</v>
      </c>
      <c r="L253" s="469">
        <f>$B$178</f>
        <v>10</v>
      </c>
      <c r="M253" s="487" cm="1">
        <f t="array" ref="M253">SUMPRODUCT( (Mijlpalenbegroting!$B$79:$B$95=$B253) * (Mijlpalenbegroting!$I$79:$I$95) )*C178</f>
        <v>0</v>
      </c>
      <c r="N253" s="487" cm="1">
        <f t="array" ref="N253">SUMPRODUCT( (Mijlpalenbegroting!$B$79:$B$95=$B253) * (Mijlpalenbegroting!$I$79:$I$95) )*D178</f>
        <v>0</v>
      </c>
      <c r="O253" s="487" cm="1">
        <f t="array" ref="O253">SUMPRODUCT( (Mijlpalenbegroting!$B$79:$B$95=$B253) * (Mijlpalenbegroting!$I$79:$I$95) )*E178</f>
        <v>0</v>
      </c>
      <c r="P253" s="487" cm="1">
        <f t="array" ref="P253">SUMPRODUCT( (Mijlpalenbegroting!$B$79:$B$95=$B253) * (Mijlpalenbegroting!$I$79:$I$95) )*F178</f>
        <v>0</v>
      </c>
      <c r="Q253" s="487" cm="1">
        <f t="array" ref="Q253">SUMPRODUCT( (Mijlpalenbegroting!$B$79:$B$95=$B253) * (Mijlpalenbegroting!$I$79:$I$95) )*G178</f>
        <v>0</v>
      </c>
      <c r="R253" s="487" cm="1">
        <f t="array" ref="R253">SUMPRODUCT( (Mijlpalenbegroting!$B$79:$B$95=$B253) * (Mijlpalenbegroting!$I$79:$I$95) )*H178</f>
        <v>0</v>
      </c>
      <c r="S253" s="487" cm="1">
        <f t="array" ref="S253">SUMPRODUCT( (Mijlpalenbegroting!$B$79:$B$95=$B253) * (Mijlpalenbegroting!$I$79:$I$95) )*I178</f>
        <v>0</v>
      </c>
      <c r="T253" s="487" cm="1">
        <f t="array" ref="T253">SUMPRODUCT( (Mijlpalenbegroting!$B$79:$B$95=$B253) * (Mijlpalenbegroting!$I$79:$I$95) )*J178</f>
        <v>0</v>
      </c>
      <c r="U253" s="488">
        <f t="shared" si="66"/>
        <v>0</v>
      </c>
      <c r="AT253"/>
    </row>
    <row r="254" spans="1:46" ht="12.5" hidden="1" outlineLevel="1" x14ac:dyDescent="0.25">
      <c r="A254" s="22"/>
      <c r="B254" s="469">
        <f>$B$179</f>
        <v>11</v>
      </c>
      <c r="C254" s="487" cm="1">
        <f t="array" ref="C254">SUMPRODUCT( (Mijlpalenbegroting!$B$79:$B$95=$B254) * (Mijlpalenbegroting!$J$79:$J$95) )*C179</f>
        <v>0</v>
      </c>
      <c r="D254" s="487" cm="1">
        <f t="array" ref="D254">SUMPRODUCT( (Mijlpalenbegroting!$B$79:$B$95=$B254) * (Mijlpalenbegroting!$J$79:$J$95) )*D179</f>
        <v>0</v>
      </c>
      <c r="E254" s="487" cm="1">
        <f t="array" ref="E254">SUMPRODUCT( (Mijlpalenbegroting!$B$79:$B$95=$B254) * (Mijlpalenbegroting!$J$79:$J$95) )*E179</f>
        <v>0</v>
      </c>
      <c r="F254" s="487" cm="1">
        <f t="array" ref="F254">SUMPRODUCT( (Mijlpalenbegroting!$B$79:$B$95=$B254) * (Mijlpalenbegroting!$J$79:$J$95) )*F179</f>
        <v>0</v>
      </c>
      <c r="G254" s="487" cm="1">
        <f t="array" ref="G254">SUMPRODUCT( (Mijlpalenbegroting!$B$79:$B$95=$B254) * (Mijlpalenbegroting!$J$79:$J$95) )*G179</f>
        <v>0</v>
      </c>
      <c r="H254" s="487" cm="1">
        <f t="array" ref="H254">SUMPRODUCT( (Mijlpalenbegroting!$B$79:$B$95=$B254) * (Mijlpalenbegroting!$J$79:$J$95) )*H179</f>
        <v>0</v>
      </c>
      <c r="I254" s="487" cm="1">
        <f t="array" ref="I254">SUMPRODUCT( (Mijlpalenbegroting!$B$79:$B$95=$B254) * (Mijlpalenbegroting!$J$79:$J$95) )*I179</f>
        <v>0</v>
      </c>
      <c r="J254" s="487" cm="1">
        <f t="array" ref="J254">SUMPRODUCT( (Mijlpalenbegroting!$B$79:$B$95=$B254) * (Mijlpalenbegroting!$J$79:$J$95) )*J179</f>
        <v>0</v>
      </c>
      <c r="K254" s="488">
        <f t="shared" si="65"/>
        <v>0</v>
      </c>
      <c r="L254" s="469">
        <f>$B$179</f>
        <v>11</v>
      </c>
      <c r="M254" s="487" cm="1">
        <f t="array" ref="M254">SUMPRODUCT( (Mijlpalenbegroting!$B$79:$B$95=$B254) * (Mijlpalenbegroting!$I$79:$I$95) )*C179</f>
        <v>0</v>
      </c>
      <c r="N254" s="487" cm="1">
        <f t="array" ref="N254">SUMPRODUCT( (Mijlpalenbegroting!$B$79:$B$95=$B254) * (Mijlpalenbegroting!$I$79:$I$95) )*D179</f>
        <v>0</v>
      </c>
      <c r="O254" s="487" cm="1">
        <f t="array" ref="O254">SUMPRODUCT( (Mijlpalenbegroting!$B$79:$B$95=$B254) * (Mijlpalenbegroting!$I$79:$I$95) )*E179</f>
        <v>0</v>
      </c>
      <c r="P254" s="487" cm="1">
        <f t="array" ref="P254">SUMPRODUCT( (Mijlpalenbegroting!$B$79:$B$95=$B254) * (Mijlpalenbegroting!$I$79:$I$95) )*F179</f>
        <v>0</v>
      </c>
      <c r="Q254" s="487" cm="1">
        <f t="array" ref="Q254">SUMPRODUCT( (Mijlpalenbegroting!$B$79:$B$95=$B254) * (Mijlpalenbegroting!$I$79:$I$95) )*G179</f>
        <v>0</v>
      </c>
      <c r="R254" s="487" cm="1">
        <f t="array" ref="R254">SUMPRODUCT( (Mijlpalenbegroting!$B$79:$B$95=$B254) * (Mijlpalenbegroting!$I$79:$I$95) )*H179</f>
        <v>0</v>
      </c>
      <c r="S254" s="487" cm="1">
        <f t="array" ref="S254">SUMPRODUCT( (Mijlpalenbegroting!$B$79:$B$95=$B254) * (Mijlpalenbegroting!$I$79:$I$95) )*I179</f>
        <v>0</v>
      </c>
      <c r="T254" s="487" cm="1">
        <f t="array" ref="T254">SUMPRODUCT( (Mijlpalenbegroting!$B$79:$B$95=$B254) * (Mijlpalenbegroting!$I$79:$I$95) )*J179</f>
        <v>0</v>
      </c>
      <c r="U254" s="488">
        <f t="shared" si="66"/>
        <v>0</v>
      </c>
      <c r="AT254"/>
    </row>
    <row r="255" spans="1:46" ht="12.5" hidden="1" outlineLevel="1" x14ac:dyDescent="0.25">
      <c r="A255" s="22"/>
      <c r="B255" s="469">
        <f>$B$180</f>
        <v>12</v>
      </c>
      <c r="C255" s="487" cm="1">
        <f t="array" ref="C255">SUMPRODUCT( (Mijlpalenbegroting!$B$79:$B$95=$B255) * (Mijlpalenbegroting!$J$79:$J$95) )*C180</f>
        <v>0</v>
      </c>
      <c r="D255" s="487" cm="1">
        <f t="array" ref="D255">SUMPRODUCT( (Mijlpalenbegroting!$B$79:$B$95=$B255) * (Mijlpalenbegroting!$J$79:$J$95) )*D180</f>
        <v>0</v>
      </c>
      <c r="E255" s="487" cm="1">
        <f t="array" ref="E255">SUMPRODUCT( (Mijlpalenbegroting!$B$79:$B$95=$B255) * (Mijlpalenbegroting!$J$79:$J$95) )*E180</f>
        <v>0</v>
      </c>
      <c r="F255" s="487" cm="1">
        <f t="array" ref="F255">SUMPRODUCT( (Mijlpalenbegroting!$B$79:$B$95=$B255) * (Mijlpalenbegroting!$J$79:$J$95) )*F180</f>
        <v>0</v>
      </c>
      <c r="G255" s="487" cm="1">
        <f t="array" ref="G255">SUMPRODUCT( (Mijlpalenbegroting!$B$79:$B$95=$B255) * (Mijlpalenbegroting!$J$79:$J$95) )*G180</f>
        <v>0</v>
      </c>
      <c r="H255" s="487" cm="1">
        <f t="array" ref="H255">SUMPRODUCT( (Mijlpalenbegroting!$B$79:$B$95=$B255) * (Mijlpalenbegroting!$J$79:$J$95) )*H180</f>
        <v>0</v>
      </c>
      <c r="I255" s="487" cm="1">
        <f t="array" ref="I255">SUMPRODUCT( (Mijlpalenbegroting!$B$79:$B$95=$B255) * (Mijlpalenbegroting!$J$79:$J$95) )*I180</f>
        <v>0</v>
      </c>
      <c r="J255" s="487" cm="1">
        <f t="array" ref="J255">SUMPRODUCT( (Mijlpalenbegroting!$B$79:$B$95=$B255) * (Mijlpalenbegroting!$J$79:$J$95) )*J180</f>
        <v>0</v>
      </c>
      <c r="K255" s="488">
        <f t="shared" si="65"/>
        <v>0</v>
      </c>
      <c r="L255" s="469">
        <f>$B$180</f>
        <v>12</v>
      </c>
      <c r="M255" s="487" cm="1">
        <f t="array" ref="M255">SUMPRODUCT( (Mijlpalenbegroting!$B$79:$B$95=$B255) * (Mijlpalenbegroting!$I$79:$I$95) )*C180</f>
        <v>0</v>
      </c>
      <c r="N255" s="487" cm="1">
        <f t="array" ref="N255">SUMPRODUCT( (Mijlpalenbegroting!$B$79:$B$95=$B255) * (Mijlpalenbegroting!$I$79:$I$95) )*D180</f>
        <v>0</v>
      </c>
      <c r="O255" s="487" cm="1">
        <f t="array" ref="O255">SUMPRODUCT( (Mijlpalenbegroting!$B$79:$B$95=$B255) * (Mijlpalenbegroting!$I$79:$I$95) )*E180</f>
        <v>0</v>
      </c>
      <c r="P255" s="487" cm="1">
        <f t="array" ref="P255">SUMPRODUCT( (Mijlpalenbegroting!$B$79:$B$95=$B255) * (Mijlpalenbegroting!$I$79:$I$95) )*F180</f>
        <v>0</v>
      </c>
      <c r="Q255" s="487" cm="1">
        <f t="array" ref="Q255">SUMPRODUCT( (Mijlpalenbegroting!$B$79:$B$95=$B255) * (Mijlpalenbegroting!$I$79:$I$95) )*G180</f>
        <v>0</v>
      </c>
      <c r="R255" s="487" cm="1">
        <f t="array" ref="R255">SUMPRODUCT( (Mijlpalenbegroting!$B$79:$B$95=$B255) * (Mijlpalenbegroting!$I$79:$I$95) )*H180</f>
        <v>0</v>
      </c>
      <c r="S255" s="487" cm="1">
        <f t="array" ref="S255">SUMPRODUCT( (Mijlpalenbegroting!$B$79:$B$95=$B255) * (Mijlpalenbegroting!$I$79:$I$95) )*I180</f>
        <v>0</v>
      </c>
      <c r="T255" s="487" cm="1">
        <f t="array" ref="T255">SUMPRODUCT( (Mijlpalenbegroting!$B$79:$B$95=$B255) * (Mijlpalenbegroting!$I$79:$I$95) )*J180</f>
        <v>0</v>
      </c>
      <c r="U255" s="488">
        <f t="shared" si="66"/>
        <v>0</v>
      </c>
      <c r="AT255"/>
    </row>
    <row r="256" spans="1:46" ht="12.5" hidden="1" outlineLevel="1" x14ac:dyDescent="0.25">
      <c r="A256" s="22"/>
      <c r="B256" s="469">
        <f>$B$181</f>
        <v>13</v>
      </c>
      <c r="C256" s="487" cm="1">
        <f t="array" ref="C256">SUMPRODUCT( (Mijlpalenbegroting!$B$79:$B$95=$B256) * (Mijlpalenbegroting!$J$79:$J$95) )*C181</f>
        <v>0</v>
      </c>
      <c r="D256" s="487" cm="1">
        <f t="array" ref="D256">SUMPRODUCT( (Mijlpalenbegroting!$B$79:$B$95=$B256) * (Mijlpalenbegroting!$J$79:$J$95) )*D181</f>
        <v>0</v>
      </c>
      <c r="E256" s="487" cm="1">
        <f t="array" ref="E256">SUMPRODUCT( (Mijlpalenbegroting!$B$79:$B$95=$B256) * (Mijlpalenbegroting!$J$79:$J$95) )*E181</f>
        <v>0</v>
      </c>
      <c r="F256" s="487" cm="1">
        <f t="array" ref="F256">SUMPRODUCT( (Mijlpalenbegroting!$B$79:$B$95=$B256) * (Mijlpalenbegroting!$J$79:$J$95) )*F181</f>
        <v>0</v>
      </c>
      <c r="G256" s="487" cm="1">
        <f t="array" ref="G256">SUMPRODUCT( (Mijlpalenbegroting!$B$79:$B$95=$B256) * (Mijlpalenbegroting!$J$79:$J$95) )*G181</f>
        <v>0</v>
      </c>
      <c r="H256" s="487" cm="1">
        <f t="array" ref="H256">SUMPRODUCT( (Mijlpalenbegroting!$B$79:$B$95=$B256) * (Mijlpalenbegroting!$J$79:$J$95) )*H181</f>
        <v>0</v>
      </c>
      <c r="I256" s="487" cm="1">
        <f t="array" ref="I256">SUMPRODUCT( (Mijlpalenbegroting!$B$79:$B$95=$B256) * (Mijlpalenbegroting!$J$79:$J$95) )*I181</f>
        <v>0</v>
      </c>
      <c r="J256" s="487" cm="1">
        <f t="array" ref="J256">SUMPRODUCT( (Mijlpalenbegroting!$B$79:$B$95=$B256) * (Mijlpalenbegroting!$J$79:$J$95) )*J181</f>
        <v>0</v>
      </c>
      <c r="K256" s="488">
        <f t="shared" si="65"/>
        <v>0</v>
      </c>
      <c r="L256" s="469">
        <f>$B$181</f>
        <v>13</v>
      </c>
      <c r="M256" s="487" cm="1">
        <f t="array" ref="M256">SUMPRODUCT( (Mijlpalenbegroting!$B$79:$B$95=$B256) * (Mijlpalenbegroting!$I$79:$I$95) )*C181</f>
        <v>0</v>
      </c>
      <c r="N256" s="487" cm="1">
        <f t="array" ref="N256">SUMPRODUCT( (Mijlpalenbegroting!$B$79:$B$95=$B256) * (Mijlpalenbegroting!$I$79:$I$95) )*D181</f>
        <v>0</v>
      </c>
      <c r="O256" s="487" cm="1">
        <f t="array" ref="O256">SUMPRODUCT( (Mijlpalenbegroting!$B$79:$B$95=$B256) * (Mijlpalenbegroting!$I$79:$I$95) )*E181</f>
        <v>0</v>
      </c>
      <c r="P256" s="487" cm="1">
        <f t="array" ref="P256">SUMPRODUCT( (Mijlpalenbegroting!$B$79:$B$95=$B256) * (Mijlpalenbegroting!$I$79:$I$95) )*F181</f>
        <v>0</v>
      </c>
      <c r="Q256" s="487" cm="1">
        <f t="array" ref="Q256">SUMPRODUCT( (Mijlpalenbegroting!$B$79:$B$95=$B256) * (Mijlpalenbegroting!$I$79:$I$95) )*G181</f>
        <v>0</v>
      </c>
      <c r="R256" s="487" cm="1">
        <f t="array" ref="R256">SUMPRODUCT( (Mijlpalenbegroting!$B$79:$B$95=$B256) * (Mijlpalenbegroting!$I$79:$I$95) )*H181</f>
        <v>0</v>
      </c>
      <c r="S256" s="487" cm="1">
        <f t="array" ref="S256">SUMPRODUCT( (Mijlpalenbegroting!$B$79:$B$95=$B256) * (Mijlpalenbegroting!$I$79:$I$95) )*I181</f>
        <v>0</v>
      </c>
      <c r="T256" s="487" cm="1">
        <f t="array" ref="T256">SUMPRODUCT( (Mijlpalenbegroting!$B$79:$B$95=$B256) * (Mijlpalenbegroting!$I$79:$I$95) )*J181</f>
        <v>0</v>
      </c>
      <c r="U256" s="488">
        <f t="shared" si="66"/>
        <v>0</v>
      </c>
      <c r="AT256"/>
    </row>
    <row r="257" spans="1:46" ht="12.5" hidden="1" outlineLevel="1" x14ac:dyDescent="0.25">
      <c r="A257" s="22"/>
      <c r="B257" s="469">
        <f>$B$182</f>
        <v>14</v>
      </c>
      <c r="C257" s="487" cm="1">
        <f t="array" ref="C257">SUMPRODUCT( (Mijlpalenbegroting!$B$79:$B$95=$B257) * (Mijlpalenbegroting!$J$79:$J$95) )*C182</f>
        <v>0</v>
      </c>
      <c r="D257" s="487" cm="1">
        <f t="array" ref="D257">SUMPRODUCT( (Mijlpalenbegroting!$B$79:$B$95=$B257) * (Mijlpalenbegroting!$J$79:$J$95) )*D182</f>
        <v>0</v>
      </c>
      <c r="E257" s="487" cm="1">
        <f t="array" ref="E257">SUMPRODUCT( (Mijlpalenbegroting!$B$79:$B$95=$B257) * (Mijlpalenbegroting!$J$79:$J$95) )*E182</f>
        <v>0</v>
      </c>
      <c r="F257" s="487" cm="1">
        <f t="array" ref="F257">SUMPRODUCT( (Mijlpalenbegroting!$B$79:$B$95=$B257) * (Mijlpalenbegroting!$J$79:$J$95) )*F182</f>
        <v>0</v>
      </c>
      <c r="G257" s="487" cm="1">
        <f t="array" ref="G257">SUMPRODUCT( (Mijlpalenbegroting!$B$79:$B$95=$B257) * (Mijlpalenbegroting!$J$79:$J$95) )*G182</f>
        <v>0</v>
      </c>
      <c r="H257" s="487" cm="1">
        <f t="array" ref="H257">SUMPRODUCT( (Mijlpalenbegroting!$B$79:$B$95=$B257) * (Mijlpalenbegroting!$J$79:$J$95) )*H182</f>
        <v>0</v>
      </c>
      <c r="I257" s="487" cm="1">
        <f t="array" ref="I257">SUMPRODUCT( (Mijlpalenbegroting!$B$79:$B$95=$B257) * (Mijlpalenbegroting!$J$79:$J$95) )*I182</f>
        <v>0</v>
      </c>
      <c r="J257" s="487" cm="1">
        <f t="array" ref="J257">SUMPRODUCT( (Mijlpalenbegroting!$B$79:$B$95=$B257) * (Mijlpalenbegroting!$J$79:$J$95) )*J182</f>
        <v>0</v>
      </c>
      <c r="K257" s="488">
        <f t="shared" si="65"/>
        <v>0</v>
      </c>
      <c r="L257" s="469">
        <f>$B$182</f>
        <v>14</v>
      </c>
      <c r="M257" s="487" cm="1">
        <f t="array" ref="M257">SUMPRODUCT( (Mijlpalenbegroting!$B$79:$B$95=$B257) * (Mijlpalenbegroting!$I$79:$I$95) )*C182</f>
        <v>0</v>
      </c>
      <c r="N257" s="487" cm="1">
        <f t="array" ref="N257">SUMPRODUCT( (Mijlpalenbegroting!$B$79:$B$95=$B257) * (Mijlpalenbegroting!$I$79:$I$95) )*D182</f>
        <v>0</v>
      </c>
      <c r="O257" s="487" cm="1">
        <f t="array" ref="O257">SUMPRODUCT( (Mijlpalenbegroting!$B$79:$B$95=$B257) * (Mijlpalenbegroting!$I$79:$I$95) )*E182</f>
        <v>0</v>
      </c>
      <c r="P257" s="487" cm="1">
        <f t="array" ref="P257">SUMPRODUCT( (Mijlpalenbegroting!$B$79:$B$95=$B257) * (Mijlpalenbegroting!$I$79:$I$95) )*F182</f>
        <v>0</v>
      </c>
      <c r="Q257" s="487" cm="1">
        <f t="array" ref="Q257">SUMPRODUCT( (Mijlpalenbegroting!$B$79:$B$95=$B257) * (Mijlpalenbegroting!$I$79:$I$95) )*G182</f>
        <v>0</v>
      </c>
      <c r="R257" s="487" cm="1">
        <f t="array" ref="R257">SUMPRODUCT( (Mijlpalenbegroting!$B$79:$B$95=$B257) * (Mijlpalenbegroting!$I$79:$I$95) )*H182</f>
        <v>0</v>
      </c>
      <c r="S257" s="487" cm="1">
        <f t="array" ref="S257">SUMPRODUCT( (Mijlpalenbegroting!$B$79:$B$95=$B257) * (Mijlpalenbegroting!$I$79:$I$95) )*I182</f>
        <v>0</v>
      </c>
      <c r="T257" s="487" cm="1">
        <f t="array" ref="T257">SUMPRODUCT( (Mijlpalenbegroting!$B$79:$B$95=$B257) * (Mijlpalenbegroting!$I$79:$I$95) )*J182</f>
        <v>0</v>
      </c>
      <c r="U257" s="488">
        <f t="shared" si="66"/>
        <v>0</v>
      </c>
      <c r="AT257"/>
    </row>
    <row r="258" spans="1:46" ht="12.5" hidden="1" outlineLevel="1" x14ac:dyDescent="0.25">
      <c r="A258" s="22"/>
      <c r="B258" s="469">
        <f>$B$183</f>
        <v>15</v>
      </c>
      <c r="C258" s="487" cm="1">
        <f t="array" ref="C258">SUMPRODUCT( (Mijlpalenbegroting!$B$79:$B$95=$B258) * (Mijlpalenbegroting!$J$79:$J$95) )*C183</f>
        <v>0</v>
      </c>
      <c r="D258" s="487" cm="1">
        <f t="array" ref="D258">SUMPRODUCT( (Mijlpalenbegroting!$B$79:$B$95=$B258) * (Mijlpalenbegroting!$J$79:$J$95) )*D183</f>
        <v>0</v>
      </c>
      <c r="E258" s="487" cm="1">
        <f t="array" ref="E258">SUMPRODUCT( (Mijlpalenbegroting!$B$79:$B$95=$B258) * (Mijlpalenbegroting!$J$79:$J$95) )*E183</f>
        <v>0</v>
      </c>
      <c r="F258" s="487" cm="1">
        <f t="array" ref="F258">SUMPRODUCT( (Mijlpalenbegroting!$B$79:$B$95=$B258) * (Mijlpalenbegroting!$J$79:$J$95) )*F183</f>
        <v>0</v>
      </c>
      <c r="G258" s="487" cm="1">
        <f t="array" ref="G258">SUMPRODUCT( (Mijlpalenbegroting!$B$79:$B$95=$B258) * (Mijlpalenbegroting!$J$79:$J$95) )*G183</f>
        <v>0</v>
      </c>
      <c r="H258" s="487" cm="1">
        <f t="array" ref="H258">SUMPRODUCT( (Mijlpalenbegroting!$B$79:$B$95=$B258) * (Mijlpalenbegroting!$J$79:$J$95) )*H183</f>
        <v>0</v>
      </c>
      <c r="I258" s="487" cm="1">
        <f t="array" ref="I258">SUMPRODUCT( (Mijlpalenbegroting!$B$79:$B$95=$B258) * (Mijlpalenbegroting!$J$79:$J$95) )*I183</f>
        <v>0</v>
      </c>
      <c r="J258" s="487" cm="1">
        <f t="array" ref="J258">SUMPRODUCT( (Mijlpalenbegroting!$B$79:$B$95=$B258) * (Mijlpalenbegroting!$J$79:$J$95) )*J183</f>
        <v>0</v>
      </c>
      <c r="K258" s="488">
        <f t="shared" si="65"/>
        <v>0</v>
      </c>
      <c r="L258" s="469">
        <f>$B$183</f>
        <v>15</v>
      </c>
      <c r="M258" s="487" cm="1">
        <f t="array" ref="M258">SUMPRODUCT( (Mijlpalenbegroting!$B$79:$B$95=$B258) * (Mijlpalenbegroting!$I$79:$I$95) )*C183</f>
        <v>0</v>
      </c>
      <c r="N258" s="487" cm="1">
        <f t="array" ref="N258">SUMPRODUCT( (Mijlpalenbegroting!$B$79:$B$95=$B258) * (Mijlpalenbegroting!$I$79:$I$95) )*D183</f>
        <v>0</v>
      </c>
      <c r="O258" s="487" cm="1">
        <f t="array" ref="O258">SUMPRODUCT( (Mijlpalenbegroting!$B$79:$B$95=$B258) * (Mijlpalenbegroting!$I$79:$I$95) )*E183</f>
        <v>0</v>
      </c>
      <c r="P258" s="487" cm="1">
        <f t="array" ref="P258">SUMPRODUCT( (Mijlpalenbegroting!$B$79:$B$95=$B258) * (Mijlpalenbegroting!$I$79:$I$95) )*F183</f>
        <v>0</v>
      </c>
      <c r="Q258" s="487" cm="1">
        <f t="array" ref="Q258">SUMPRODUCT( (Mijlpalenbegroting!$B$79:$B$95=$B258) * (Mijlpalenbegroting!$I$79:$I$95) )*G183</f>
        <v>0</v>
      </c>
      <c r="R258" s="487" cm="1">
        <f t="array" ref="R258">SUMPRODUCT( (Mijlpalenbegroting!$B$79:$B$95=$B258) * (Mijlpalenbegroting!$I$79:$I$95) )*H183</f>
        <v>0</v>
      </c>
      <c r="S258" s="487" cm="1">
        <f t="array" ref="S258">SUMPRODUCT( (Mijlpalenbegroting!$B$79:$B$95=$B258) * (Mijlpalenbegroting!$I$79:$I$95) )*I183</f>
        <v>0</v>
      </c>
      <c r="T258" s="487" cm="1">
        <f t="array" ref="T258">SUMPRODUCT( (Mijlpalenbegroting!$B$79:$B$95=$B258) * (Mijlpalenbegroting!$I$79:$I$95) )*J183</f>
        <v>0</v>
      </c>
      <c r="U258" s="488">
        <f t="shared" si="66"/>
        <v>0</v>
      </c>
      <c r="AT258"/>
    </row>
    <row r="259" spans="1:46" ht="12.5" hidden="1" outlineLevel="1" x14ac:dyDescent="0.25">
      <c r="A259" s="22"/>
      <c r="B259" s="469" t="s">
        <v>335</v>
      </c>
      <c r="C259" s="489">
        <f>SUM(C244:C258)</f>
        <v>0</v>
      </c>
      <c r="D259" s="489">
        <f t="shared" ref="D259" si="67">SUM(D244:D258)</f>
        <v>0</v>
      </c>
      <c r="E259" s="489">
        <f t="shared" ref="E259" si="68">SUM(E244:E258)</f>
        <v>0</v>
      </c>
      <c r="F259" s="489">
        <f t="shared" ref="F259" si="69">SUM(F244:F258)</f>
        <v>0</v>
      </c>
      <c r="G259" s="489">
        <f t="shared" ref="G259" si="70">SUM(G244:G258)</f>
        <v>0</v>
      </c>
      <c r="H259" s="489">
        <f t="shared" ref="H259" si="71">SUM(H244:H258)</f>
        <v>0</v>
      </c>
      <c r="I259" s="489">
        <f t="shared" ref="I259" si="72">SUM(I244:I258)</f>
        <v>0</v>
      </c>
      <c r="J259" s="489">
        <f t="shared" ref="J259" si="73">SUM(J244:J258)</f>
        <v>0</v>
      </c>
      <c r="K259" s="488">
        <f t="shared" si="65"/>
        <v>0</v>
      </c>
      <c r="L259" s="469" t="s">
        <v>335</v>
      </c>
      <c r="M259" s="489">
        <f>SUM(M244:M258)</f>
        <v>0</v>
      </c>
      <c r="N259" s="489">
        <f t="shared" ref="N259" si="74">SUM(N244:N258)</f>
        <v>0</v>
      </c>
      <c r="O259" s="489">
        <f t="shared" ref="O259" si="75">SUM(O244:O258)</f>
        <v>0</v>
      </c>
      <c r="P259" s="489">
        <f t="shared" ref="P259" si="76">SUM(P244:P258)</f>
        <v>0</v>
      </c>
      <c r="Q259" s="489">
        <f t="shared" ref="Q259" si="77">SUM(Q244:Q258)</f>
        <v>0</v>
      </c>
      <c r="R259" s="489">
        <f t="shared" ref="R259" si="78">SUM(R244:R258)</f>
        <v>0</v>
      </c>
      <c r="S259" s="489">
        <f t="shared" ref="S259" si="79">SUM(S244:S258)</f>
        <v>0</v>
      </c>
      <c r="T259" s="489">
        <f t="shared" ref="T259" si="80">SUM(T244:T258)</f>
        <v>0</v>
      </c>
      <c r="U259" s="488">
        <f t="shared" si="66"/>
        <v>0</v>
      </c>
      <c r="AT259"/>
    </row>
    <row r="260" spans="1:46" ht="12.5" hidden="1" outlineLevel="1" x14ac:dyDescent="0.25">
      <c r="A260" s="22"/>
      <c r="B260" s="124"/>
      <c r="C260" s="115"/>
      <c r="D260" s="115"/>
      <c r="E260" s="115"/>
      <c r="F260" s="115"/>
      <c r="G260" s="115"/>
      <c r="H260" s="478"/>
      <c r="I260" s="115"/>
      <c r="J260" s="124"/>
      <c r="L260" s="115"/>
      <c r="M260" s="115"/>
      <c r="N260" s="115"/>
      <c r="O260" s="115"/>
      <c r="P260" s="115"/>
      <c r="Q260" s="115"/>
      <c r="R260" s="115"/>
      <c r="S260" s="23"/>
      <c r="AT260"/>
    </row>
    <row r="261" spans="1:46" ht="12.5" hidden="1" outlineLevel="1" x14ac:dyDescent="0.25">
      <c r="A261" s="22"/>
      <c r="B261" s="469"/>
      <c r="C261" s="481" t="s">
        <v>263</v>
      </c>
      <c r="D261" s="480"/>
      <c r="E261" s="480"/>
      <c r="F261" s="480"/>
      <c r="G261" s="480"/>
      <c r="H261" s="480"/>
      <c r="I261" s="480"/>
      <c r="J261" s="480"/>
      <c r="L261" s="115"/>
      <c r="M261" s="482" t="s">
        <v>262</v>
      </c>
      <c r="N261" s="115"/>
      <c r="O261" s="115"/>
      <c r="P261" s="115"/>
      <c r="Q261" s="115"/>
      <c r="R261" s="115"/>
      <c r="S261" s="23"/>
      <c r="AT261"/>
    </row>
    <row r="262" spans="1:46" ht="12.5" hidden="1" outlineLevel="1" x14ac:dyDescent="0.25">
      <c r="A262" s="22"/>
      <c r="B262" s="483" t="str">
        <f>Mijlpalenbegroting!B100</f>
        <v>Investeringen in aansluitingen</v>
      </c>
      <c r="C262" s="484">
        <f>$C$168</f>
        <v>1900</v>
      </c>
      <c r="D262" s="485">
        <f>$D$168</f>
        <v>1901</v>
      </c>
      <c r="E262" s="485">
        <f>$E$168</f>
        <v>1902</v>
      </c>
      <c r="F262" s="485">
        <f>$F$168</f>
        <v>1903</v>
      </c>
      <c r="G262" s="485">
        <f>$G$168</f>
        <v>1904</v>
      </c>
      <c r="H262" s="485">
        <f>$H$168</f>
        <v>1905</v>
      </c>
      <c r="I262" s="485">
        <f>$I$168</f>
        <v>1906</v>
      </c>
      <c r="J262" s="485">
        <f>$J$168</f>
        <v>1907</v>
      </c>
      <c r="K262" s="486" t="s">
        <v>335</v>
      </c>
      <c r="L262" s="479">
        <f>B245</f>
        <v>2</v>
      </c>
      <c r="M262" s="484">
        <f>$C$168</f>
        <v>1900</v>
      </c>
      <c r="N262" s="485">
        <f>$D$168</f>
        <v>1901</v>
      </c>
      <c r="O262" s="485">
        <f>$E$168</f>
        <v>1902</v>
      </c>
      <c r="P262" s="485">
        <f>$F$168</f>
        <v>1903</v>
      </c>
      <c r="Q262" s="485">
        <f>$G$168</f>
        <v>1904</v>
      </c>
      <c r="R262" s="485">
        <f>$H$168</f>
        <v>1905</v>
      </c>
      <c r="S262" s="485">
        <f>$I$168</f>
        <v>1906</v>
      </c>
      <c r="T262" s="485">
        <f>$J$168</f>
        <v>1907</v>
      </c>
      <c r="U262" s="486" t="s">
        <v>335</v>
      </c>
      <c r="AT262"/>
    </row>
    <row r="263" spans="1:46" ht="12.5" hidden="1" outlineLevel="1" x14ac:dyDescent="0.25">
      <c r="A263" s="22"/>
      <c r="B263" s="469">
        <f>$B$169</f>
        <v>1</v>
      </c>
      <c r="C263" s="487" cm="1">
        <f t="array" ref="C263">SUMPRODUCT( (Mijlpalenbegroting!$B$103:$B$132=$B263) * (Mijlpalenbegroting!$J$103:$J$132) )*C169</f>
        <v>0</v>
      </c>
      <c r="D263" s="487" cm="1">
        <f t="array" ref="D263">SUMPRODUCT( (Mijlpalenbegroting!$B$103:$B$132=$B263) * (Mijlpalenbegroting!$J$103:$J$132) )*D169</f>
        <v>0</v>
      </c>
      <c r="E263" s="487" cm="1">
        <f t="array" ref="E263">SUMPRODUCT( (Mijlpalenbegroting!$B$103:$B$132=$B263) * (Mijlpalenbegroting!$J$103:$J$132) )*E169</f>
        <v>0</v>
      </c>
      <c r="F263" s="487" cm="1">
        <f t="array" ref="F263">SUMPRODUCT( (Mijlpalenbegroting!$B$103:$B$132=$B263) * (Mijlpalenbegroting!$J$103:$J$132) )*F169</f>
        <v>0</v>
      </c>
      <c r="G263" s="487" cm="1">
        <f t="array" ref="G263">SUMPRODUCT( (Mijlpalenbegroting!$B$103:$B$132=$B263) * (Mijlpalenbegroting!$J$103:$J$132) )*G169</f>
        <v>0</v>
      </c>
      <c r="H263" s="487" cm="1">
        <f t="array" ref="H263">SUMPRODUCT( (Mijlpalenbegroting!$B$103:$B$132=$B263) * (Mijlpalenbegroting!$J$103:$J$132) )*H169</f>
        <v>0</v>
      </c>
      <c r="I263" s="487" cm="1">
        <f t="array" ref="I263">SUMPRODUCT( (Mijlpalenbegroting!$B$103:$B$132=$B263) * (Mijlpalenbegroting!$J$103:$J$132) )*I169</f>
        <v>0</v>
      </c>
      <c r="J263" s="487" cm="1">
        <f t="array" ref="J263">SUMPRODUCT( (Mijlpalenbegroting!$B$103:$B$132=$B263) * (Mijlpalenbegroting!$J$103:$J$132) )*J169</f>
        <v>0</v>
      </c>
      <c r="K263" s="488">
        <f>SUM(C263:J263)</f>
        <v>0</v>
      </c>
      <c r="L263" s="469">
        <f>$B$169</f>
        <v>1</v>
      </c>
      <c r="M263" s="487" cm="1">
        <f t="array" ref="M263">SUMPRODUCT( (Mijlpalenbegroting!$B$103:$B$132=$B263) * (Mijlpalenbegroting!$I$103:$I$132) )*C169</f>
        <v>0</v>
      </c>
      <c r="N263" s="487" cm="1">
        <f t="array" ref="N263">SUMPRODUCT( (Mijlpalenbegroting!$B$103:$B$132=$B263) * (Mijlpalenbegroting!$I$103:$I$132) )*D169</f>
        <v>0</v>
      </c>
      <c r="O263" s="487" cm="1">
        <f t="array" ref="O263">SUMPRODUCT( (Mijlpalenbegroting!$B$103:$B$132=$B263) * (Mijlpalenbegroting!$I$103:$I$132) )*E169</f>
        <v>0</v>
      </c>
      <c r="P263" s="487" cm="1">
        <f t="array" ref="P263">SUMPRODUCT( (Mijlpalenbegroting!$B$103:$B$132=$B263) * (Mijlpalenbegroting!$I$103:$I$132) )*F169</f>
        <v>0</v>
      </c>
      <c r="Q263" s="487" cm="1">
        <f t="array" ref="Q263">SUMPRODUCT( (Mijlpalenbegroting!$B$103:$B$132=$B263) * (Mijlpalenbegroting!$I$103:$I$132) )*G169</f>
        <v>0</v>
      </c>
      <c r="R263" s="487" cm="1">
        <f t="array" ref="R263">SUMPRODUCT( (Mijlpalenbegroting!$B$103:$B$132=$B263) * (Mijlpalenbegroting!$I$103:$I$132) )*H169</f>
        <v>0</v>
      </c>
      <c r="S263" s="487" cm="1">
        <f t="array" ref="S263">SUMPRODUCT( (Mijlpalenbegroting!$B$103:$B$132=$B263) * (Mijlpalenbegroting!$I$103:$I$132) )*I169</f>
        <v>0</v>
      </c>
      <c r="T263" s="487" cm="1">
        <f t="array" ref="T263">SUMPRODUCT( (Mijlpalenbegroting!$B$103:$B$132=$B263) * (Mijlpalenbegroting!$I$103:$I$132) )*J169</f>
        <v>0</v>
      </c>
      <c r="U263" s="488">
        <f>SUM(M263:T263)</f>
        <v>0</v>
      </c>
      <c r="AT263"/>
    </row>
    <row r="264" spans="1:46" ht="12.5" hidden="1" outlineLevel="1" x14ac:dyDescent="0.25">
      <c r="A264" s="22"/>
      <c r="B264" s="469">
        <f>$B$170</f>
        <v>2</v>
      </c>
      <c r="C264" s="487" cm="1">
        <f t="array" ref="C264">SUMPRODUCT( (Mijlpalenbegroting!$B$103:$B$132=$B264) * (Mijlpalenbegroting!$J$103:$J$132) )*C170</f>
        <v>0</v>
      </c>
      <c r="D264" s="487" cm="1">
        <f t="array" ref="D264">SUMPRODUCT( (Mijlpalenbegroting!$B$103:$B$132=$B264) * (Mijlpalenbegroting!$J$103:$J$132) )*D170</f>
        <v>0</v>
      </c>
      <c r="E264" s="487" cm="1">
        <f t="array" ref="E264">SUMPRODUCT( (Mijlpalenbegroting!$B$103:$B$132=$B264) * (Mijlpalenbegroting!$J$103:$J$132) )*E170</f>
        <v>0</v>
      </c>
      <c r="F264" s="487" cm="1">
        <f t="array" ref="F264">SUMPRODUCT( (Mijlpalenbegroting!$B$103:$B$132=$B264) * (Mijlpalenbegroting!$J$103:$J$132) )*F170</f>
        <v>0</v>
      </c>
      <c r="G264" s="487" cm="1">
        <f t="array" ref="G264">SUMPRODUCT( (Mijlpalenbegroting!$B$103:$B$132=$B264) * (Mijlpalenbegroting!$J$103:$J$132) )*G170</f>
        <v>0</v>
      </c>
      <c r="H264" s="487" cm="1">
        <f t="array" ref="H264">SUMPRODUCT( (Mijlpalenbegroting!$B$103:$B$132=$B264) * (Mijlpalenbegroting!$J$103:$J$132) )*H170</f>
        <v>0</v>
      </c>
      <c r="I264" s="487" cm="1">
        <f t="array" ref="I264">SUMPRODUCT( (Mijlpalenbegroting!$B$103:$B$132=$B264) * (Mijlpalenbegroting!$J$103:$J$132) )*I170</f>
        <v>0</v>
      </c>
      <c r="J264" s="487" cm="1">
        <f t="array" ref="J264">SUMPRODUCT( (Mijlpalenbegroting!$B$103:$B$132=$B264) * (Mijlpalenbegroting!$J$103:$J$132) )*J170</f>
        <v>0</v>
      </c>
      <c r="K264" s="488">
        <f t="shared" ref="K264:K278" si="81">SUM(C264:J264)</f>
        <v>0</v>
      </c>
      <c r="L264" s="469">
        <f>$B$170</f>
        <v>2</v>
      </c>
      <c r="M264" s="487" cm="1">
        <f t="array" ref="M264">SUMPRODUCT( (Mijlpalenbegroting!$B$103:$B$132=$B264) * (Mijlpalenbegroting!$I$103:$I$132) )*C170</f>
        <v>0</v>
      </c>
      <c r="N264" s="487" cm="1">
        <f t="array" ref="N264">SUMPRODUCT( (Mijlpalenbegroting!$B$103:$B$132=$B264) * (Mijlpalenbegroting!$I$103:$I$132) )*D170</f>
        <v>0</v>
      </c>
      <c r="O264" s="487" cm="1">
        <f t="array" ref="O264">SUMPRODUCT( (Mijlpalenbegroting!$B$103:$B$132=$B264) * (Mijlpalenbegroting!$I$103:$I$132) )*E170</f>
        <v>0</v>
      </c>
      <c r="P264" s="487" cm="1">
        <f t="array" ref="P264">SUMPRODUCT( (Mijlpalenbegroting!$B$103:$B$132=$B264) * (Mijlpalenbegroting!$I$103:$I$132) )*F170</f>
        <v>0</v>
      </c>
      <c r="Q264" s="487" cm="1">
        <f t="array" ref="Q264">SUMPRODUCT( (Mijlpalenbegroting!$B$103:$B$132=$B264) * (Mijlpalenbegroting!$I$103:$I$132) )*G170</f>
        <v>0</v>
      </c>
      <c r="R264" s="487" cm="1">
        <f t="array" ref="R264">SUMPRODUCT( (Mijlpalenbegroting!$B$103:$B$132=$B264) * (Mijlpalenbegroting!$I$103:$I$132) )*H170</f>
        <v>0</v>
      </c>
      <c r="S264" s="487" cm="1">
        <f t="array" ref="S264">SUMPRODUCT( (Mijlpalenbegroting!$B$103:$B$132=$B264) * (Mijlpalenbegroting!$I$103:$I$132) )*I170</f>
        <v>0</v>
      </c>
      <c r="T264" s="487" cm="1">
        <f t="array" ref="T264">SUMPRODUCT( (Mijlpalenbegroting!$B$103:$B$132=$B264) * (Mijlpalenbegroting!$I$103:$I$132) )*J170</f>
        <v>0</v>
      </c>
      <c r="U264" s="488">
        <f t="shared" ref="U264:U278" si="82">SUM(M264:T264)</f>
        <v>0</v>
      </c>
      <c r="AT264"/>
    </row>
    <row r="265" spans="1:46" ht="12.5" hidden="1" outlineLevel="1" x14ac:dyDescent="0.25">
      <c r="A265" s="22"/>
      <c r="B265" s="469">
        <f>$B$171</f>
        <v>3</v>
      </c>
      <c r="C265" s="487" cm="1">
        <f t="array" ref="C265">SUMPRODUCT( (Mijlpalenbegroting!$B$103:$B$132=$B265) * (Mijlpalenbegroting!$J$103:$J$132) )*C171</f>
        <v>0</v>
      </c>
      <c r="D265" s="487" cm="1">
        <f t="array" ref="D265">SUMPRODUCT( (Mijlpalenbegroting!$B$103:$B$132=$B265) * (Mijlpalenbegroting!$J$103:$J$132) )*D171</f>
        <v>0</v>
      </c>
      <c r="E265" s="487" cm="1">
        <f t="array" ref="E265">SUMPRODUCT( (Mijlpalenbegroting!$B$103:$B$132=$B265) * (Mijlpalenbegroting!$J$103:$J$132) )*E171</f>
        <v>0</v>
      </c>
      <c r="F265" s="487" cm="1">
        <f t="array" ref="F265">SUMPRODUCT( (Mijlpalenbegroting!$B$103:$B$132=$B265) * (Mijlpalenbegroting!$J$103:$J$132) )*F171</f>
        <v>0</v>
      </c>
      <c r="G265" s="487" cm="1">
        <f t="array" ref="G265">SUMPRODUCT( (Mijlpalenbegroting!$B$103:$B$132=$B265) * (Mijlpalenbegroting!$J$103:$J$132) )*G171</f>
        <v>0</v>
      </c>
      <c r="H265" s="487" cm="1">
        <f t="array" ref="H265">SUMPRODUCT( (Mijlpalenbegroting!$B$103:$B$132=$B265) * (Mijlpalenbegroting!$J$103:$J$132) )*H171</f>
        <v>0</v>
      </c>
      <c r="I265" s="487" cm="1">
        <f t="array" ref="I265">SUMPRODUCT( (Mijlpalenbegroting!$B$103:$B$132=$B265) * (Mijlpalenbegroting!$J$103:$J$132) )*I171</f>
        <v>0</v>
      </c>
      <c r="J265" s="487" cm="1">
        <f t="array" ref="J265">SUMPRODUCT( (Mijlpalenbegroting!$B$103:$B$132=$B265) * (Mijlpalenbegroting!$J$103:$J$132) )*J171</f>
        <v>0</v>
      </c>
      <c r="K265" s="488">
        <f t="shared" si="81"/>
        <v>0</v>
      </c>
      <c r="L265" s="469">
        <f>$B$171</f>
        <v>3</v>
      </c>
      <c r="M265" s="487" cm="1">
        <f t="array" ref="M265">SUMPRODUCT( (Mijlpalenbegroting!$B$103:$B$132=$B265) * (Mijlpalenbegroting!$I$103:$I$132) )*C171</f>
        <v>0</v>
      </c>
      <c r="N265" s="487" cm="1">
        <f t="array" ref="N265">SUMPRODUCT( (Mijlpalenbegroting!$B$103:$B$132=$B265) * (Mijlpalenbegroting!$I$103:$I$132) )*D171</f>
        <v>0</v>
      </c>
      <c r="O265" s="487" cm="1">
        <f t="array" ref="O265">SUMPRODUCT( (Mijlpalenbegroting!$B$103:$B$132=$B265) * (Mijlpalenbegroting!$I$103:$I$132) )*E171</f>
        <v>0</v>
      </c>
      <c r="P265" s="487" cm="1">
        <f t="array" ref="P265">SUMPRODUCT( (Mijlpalenbegroting!$B$103:$B$132=$B265) * (Mijlpalenbegroting!$I$103:$I$132) )*F171</f>
        <v>0</v>
      </c>
      <c r="Q265" s="487" cm="1">
        <f t="array" ref="Q265">SUMPRODUCT( (Mijlpalenbegroting!$B$103:$B$132=$B265) * (Mijlpalenbegroting!$I$103:$I$132) )*G171</f>
        <v>0</v>
      </c>
      <c r="R265" s="487" cm="1">
        <f t="array" ref="R265">SUMPRODUCT( (Mijlpalenbegroting!$B$103:$B$132=$B265) * (Mijlpalenbegroting!$I$103:$I$132) )*H171</f>
        <v>0</v>
      </c>
      <c r="S265" s="487" cm="1">
        <f t="array" ref="S265">SUMPRODUCT( (Mijlpalenbegroting!$B$103:$B$132=$B265) * (Mijlpalenbegroting!$I$103:$I$132) )*I171</f>
        <v>0</v>
      </c>
      <c r="T265" s="487" cm="1">
        <f t="array" ref="T265">SUMPRODUCT( (Mijlpalenbegroting!$B$103:$B$132=$B265) * (Mijlpalenbegroting!$I$103:$I$132) )*J171</f>
        <v>0</v>
      </c>
      <c r="U265" s="488">
        <f t="shared" si="82"/>
        <v>0</v>
      </c>
      <c r="AT265"/>
    </row>
    <row r="266" spans="1:46" ht="12.5" hidden="1" outlineLevel="1" x14ac:dyDescent="0.25">
      <c r="A266" s="22"/>
      <c r="B266" s="469">
        <f>$B$172</f>
        <v>4</v>
      </c>
      <c r="C266" s="487" cm="1">
        <f t="array" ref="C266">SUMPRODUCT( (Mijlpalenbegroting!$B$103:$B$132=$B266) * (Mijlpalenbegroting!$J$103:$J$132) )*C172</f>
        <v>0</v>
      </c>
      <c r="D266" s="487" cm="1">
        <f t="array" ref="D266">SUMPRODUCT( (Mijlpalenbegroting!$B$103:$B$132=$B266) * (Mijlpalenbegroting!$J$103:$J$132) )*D172</f>
        <v>0</v>
      </c>
      <c r="E266" s="487" cm="1">
        <f t="array" ref="E266">SUMPRODUCT( (Mijlpalenbegroting!$B$103:$B$132=$B266) * (Mijlpalenbegroting!$J$103:$J$132) )*E172</f>
        <v>0</v>
      </c>
      <c r="F266" s="487" cm="1">
        <f t="array" ref="F266">SUMPRODUCT( (Mijlpalenbegroting!$B$103:$B$132=$B266) * (Mijlpalenbegroting!$J$103:$J$132) )*F172</f>
        <v>0</v>
      </c>
      <c r="G266" s="487" cm="1">
        <f t="array" ref="G266">SUMPRODUCT( (Mijlpalenbegroting!$B$103:$B$132=$B266) * (Mijlpalenbegroting!$J$103:$J$132) )*G172</f>
        <v>0</v>
      </c>
      <c r="H266" s="487" cm="1">
        <f t="array" ref="H266">SUMPRODUCT( (Mijlpalenbegroting!$B$103:$B$132=$B266) * (Mijlpalenbegroting!$J$103:$J$132) )*H172</f>
        <v>0</v>
      </c>
      <c r="I266" s="487" cm="1">
        <f t="array" ref="I266">SUMPRODUCT( (Mijlpalenbegroting!$B$103:$B$132=$B266) * (Mijlpalenbegroting!$J$103:$J$132) )*I172</f>
        <v>0</v>
      </c>
      <c r="J266" s="487" cm="1">
        <f t="array" ref="J266">SUMPRODUCT( (Mijlpalenbegroting!$B$103:$B$132=$B266) * (Mijlpalenbegroting!$J$103:$J$132) )*J172</f>
        <v>0</v>
      </c>
      <c r="K266" s="488">
        <f t="shared" si="81"/>
        <v>0</v>
      </c>
      <c r="L266" s="469">
        <f>$B$172</f>
        <v>4</v>
      </c>
      <c r="M266" s="487" cm="1">
        <f t="array" ref="M266">SUMPRODUCT( (Mijlpalenbegroting!$B$103:$B$132=$B266) * (Mijlpalenbegroting!$I$103:$I$132) )*C172</f>
        <v>0</v>
      </c>
      <c r="N266" s="487" cm="1">
        <f t="array" ref="N266">SUMPRODUCT( (Mijlpalenbegroting!$B$103:$B$132=$B266) * (Mijlpalenbegroting!$I$103:$I$132) )*D172</f>
        <v>0</v>
      </c>
      <c r="O266" s="487" cm="1">
        <f t="array" ref="O266">SUMPRODUCT( (Mijlpalenbegroting!$B$103:$B$132=$B266) * (Mijlpalenbegroting!$I$103:$I$132) )*E172</f>
        <v>0</v>
      </c>
      <c r="P266" s="487" cm="1">
        <f t="array" ref="P266">SUMPRODUCT( (Mijlpalenbegroting!$B$103:$B$132=$B266) * (Mijlpalenbegroting!$I$103:$I$132) )*F172</f>
        <v>0</v>
      </c>
      <c r="Q266" s="487" cm="1">
        <f t="array" ref="Q266">SUMPRODUCT( (Mijlpalenbegroting!$B$103:$B$132=$B266) * (Mijlpalenbegroting!$I$103:$I$132) )*G172</f>
        <v>0</v>
      </c>
      <c r="R266" s="487" cm="1">
        <f t="array" ref="R266">SUMPRODUCT( (Mijlpalenbegroting!$B$103:$B$132=$B266) * (Mijlpalenbegroting!$I$103:$I$132) )*H172</f>
        <v>0</v>
      </c>
      <c r="S266" s="487" cm="1">
        <f t="array" ref="S266">SUMPRODUCT( (Mijlpalenbegroting!$B$103:$B$132=$B266) * (Mijlpalenbegroting!$I$103:$I$132) )*I172</f>
        <v>0</v>
      </c>
      <c r="T266" s="487" cm="1">
        <f t="array" ref="T266">SUMPRODUCT( (Mijlpalenbegroting!$B$103:$B$132=$B266) * (Mijlpalenbegroting!$I$103:$I$132) )*J172</f>
        <v>0</v>
      </c>
      <c r="U266" s="488">
        <f t="shared" si="82"/>
        <v>0</v>
      </c>
      <c r="AT266"/>
    </row>
    <row r="267" spans="1:46" ht="12.5" hidden="1" outlineLevel="1" x14ac:dyDescent="0.25">
      <c r="A267" s="22"/>
      <c r="B267" s="469">
        <f>$B$173</f>
        <v>5</v>
      </c>
      <c r="C267" s="487" cm="1">
        <f t="array" ref="C267">SUMPRODUCT( (Mijlpalenbegroting!$B$103:$B$132=$B267) * (Mijlpalenbegroting!$J$103:$J$132) )*C173</f>
        <v>0</v>
      </c>
      <c r="D267" s="487" cm="1">
        <f t="array" ref="D267">SUMPRODUCT( (Mijlpalenbegroting!$B$103:$B$132=$B267) * (Mijlpalenbegroting!$J$103:$J$132) )*D173</f>
        <v>0</v>
      </c>
      <c r="E267" s="487" cm="1">
        <f t="array" ref="E267">SUMPRODUCT( (Mijlpalenbegroting!$B$103:$B$132=$B267) * (Mijlpalenbegroting!$J$103:$J$132) )*E173</f>
        <v>0</v>
      </c>
      <c r="F267" s="487" cm="1">
        <f t="array" ref="F267">SUMPRODUCT( (Mijlpalenbegroting!$B$103:$B$132=$B267) * (Mijlpalenbegroting!$J$103:$J$132) )*F173</f>
        <v>0</v>
      </c>
      <c r="G267" s="487" cm="1">
        <f t="array" ref="G267">SUMPRODUCT( (Mijlpalenbegroting!$B$103:$B$132=$B267) * (Mijlpalenbegroting!$J$103:$J$132) )*G173</f>
        <v>0</v>
      </c>
      <c r="H267" s="487" cm="1">
        <f t="array" ref="H267">SUMPRODUCT( (Mijlpalenbegroting!$B$103:$B$132=$B267) * (Mijlpalenbegroting!$J$103:$J$132) )*H173</f>
        <v>0</v>
      </c>
      <c r="I267" s="487" cm="1">
        <f t="array" ref="I267">SUMPRODUCT( (Mijlpalenbegroting!$B$103:$B$132=$B267) * (Mijlpalenbegroting!$J$103:$J$132) )*I173</f>
        <v>0</v>
      </c>
      <c r="J267" s="487" cm="1">
        <f t="array" ref="J267">SUMPRODUCT( (Mijlpalenbegroting!$B$103:$B$132=$B267) * (Mijlpalenbegroting!$J$103:$J$132) )*J173</f>
        <v>0</v>
      </c>
      <c r="K267" s="488">
        <f t="shared" si="81"/>
        <v>0</v>
      </c>
      <c r="L267" s="469">
        <f>$B$173</f>
        <v>5</v>
      </c>
      <c r="M267" s="487" cm="1">
        <f t="array" ref="M267">SUMPRODUCT( (Mijlpalenbegroting!$B$103:$B$132=$B267) * (Mijlpalenbegroting!$I$103:$I$132) )*C173</f>
        <v>0</v>
      </c>
      <c r="N267" s="487" cm="1">
        <f t="array" ref="N267">SUMPRODUCT( (Mijlpalenbegroting!$B$103:$B$132=$B267) * (Mijlpalenbegroting!$I$103:$I$132) )*D173</f>
        <v>0</v>
      </c>
      <c r="O267" s="487" cm="1">
        <f t="array" ref="O267">SUMPRODUCT( (Mijlpalenbegroting!$B$103:$B$132=$B267) * (Mijlpalenbegroting!$I$103:$I$132) )*E173</f>
        <v>0</v>
      </c>
      <c r="P267" s="487" cm="1">
        <f t="array" ref="P267">SUMPRODUCT( (Mijlpalenbegroting!$B$103:$B$132=$B267) * (Mijlpalenbegroting!$I$103:$I$132) )*F173</f>
        <v>0</v>
      </c>
      <c r="Q267" s="487" cm="1">
        <f t="array" ref="Q267">SUMPRODUCT( (Mijlpalenbegroting!$B$103:$B$132=$B267) * (Mijlpalenbegroting!$I$103:$I$132) )*G173</f>
        <v>0</v>
      </c>
      <c r="R267" s="487" cm="1">
        <f t="array" ref="R267">SUMPRODUCT( (Mijlpalenbegroting!$B$103:$B$132=$B267) * (Mijlpalenbegroting!$I$103:$I$132) )*H173</f>
        <v>0</v>
      </c>
      <c r="S267" s="487" cm="1">
        <f t="array" ref="S267">SUMPRODUCT( (Mijlpalenbegroting!$B$103:$B$132=$B267) * (Mijlpalenbegroting!$I$103:$I$132) )*I173</f>
        <v>0</v>
      </c>
      <c r="T267" s="487" cm="1">
        <f t="array" ref="T267">SUMPRODUCT( (Mijlpalenbegroting!$B$103:$B$132=$B267) * (Mijlpalenbegroting!$I$103:$I$132) )*J173</f>
        <v>0</v>
      </c>
      <c r="U267" s="488">
        <f t="shared" si="82"/>
        <v>0</v>
      </c>
      <c r="AT267"/>
    </row>
    <row r="268" spans="1:46" ht="12.5" hidden="1" outlineLevel="1" x14ac:dyDescent="0.25">
      <c r="A268" s="22"/>
      <c r="B268" s="469">
        <f>$B$174</f>
        <v>6</v>
      </c>
      <c r="C268" s="487" cm="1">
        <f t="array" ref="C268">SUMPRODUCT( (Mijlpalenbegroting!$B$103:$B$132=$B268) * (Mijlpalenbegroting!$J$103:$J$132) )*C174</f>
        <v>0</v>
      </c>
      <c r="D268" s="487" cm="1">
        <f t="array" ref="D268">SUMPRODUCT( (Mijlpalenbegroting!$B$103:$B$132=$B268) * (Mijlpalenbegroting!$J$103:$J$132) )*D174</f>
        <v>0</v>
      </c>
      <c r="E268" s="487" cm="1">
        <f t="array" ref="E268">SUMPRODUCT( (Mijlpalenbegroting!$B$103:$B$132=$B268) * (Mijlpalenbegroting!$J$103:$J$132) )*E174</f>
        <v>0</v>
      </c>
      <c r="F268" s="487" cm="1">
        <f t="array" ref="F268">SUMPRODUCT( (Mijlpalenbegroting!$B$103:$B$132=$B268) * (Mijlpalenbegroting!$J$103:$J$132) )*F174</f>
        <v>0</v>
      </c>
      <c r="G268" s="487" cm="1">
        <f t="array" ref="G268">SUMPRODUCT( (Mijlpalenbegroting!$B$103:$B$132=$B268) * (Mijlpalenbegroting!$J$103:$J$132) )*G174</f>
        <v>0</v>
      </c>
      <c r="H268" s="487" cm="1">
        <f t="array" ref="H268">SUMPRODUCT( (Mijlpalenbegroting!$B$103:$B$132=$B268) * (Mijlpalenbegroting!$J$103:$J$132) )*H174</f>
        <v>0</v>
      </c>
      <c r="I268" s="487" cm="1">
        <f t="array" ref="I268">SUMPRODUCT( (Mijlpalenbegroting!$B$103:$B$132=$B268) * (Mijlpalenbegroting!$J$103:$J$132) )*I174</f>
        <v>0</v>
      </c>
      <c r="J268" s="487" cm="1">
        <f t="array" ref="J268">SUMPRODUCT( (Mijlpalenbegroting!$B$103:$B$132=$B268) * (Mijlpalenbegroting!$J$103:$J$132) )*J174</f>
        <v>0</v>
      </c>
      <c r="K268" s="488">
        <f t="shared" si="81"/>
        <v>0</v>
      </c>
      <c r="L268" s="469">
        <f>$B$174</f>
        <v>6</v>
      </c>
      <c r="M268" s="487" cm="1">
        <f t="array" ref="M268">SUMPRODUCT( (Mijlpalenbegroting!$B$103:$B$132=$B268) * (Mijlpalenbegroting!$I$103:$I$132) )*C174</f>
        <v>0</v>
      </c>
      <c r="N268" s="487" cm="1">
        <f t="array" ref="N268">SUMPRODUCT( (Mijlpalenbegroting!$B$103:$B$132=$B268) * (Mijlpalenbegroting!$I$103:$I$132) )*D174</f>
        <v>0</v>
      </c>
      <c r="O268" s="487" cm="1">
        <f t="array" ref="O268">SUMPRODUCT( (Mijlpalenbegroting!$B$103:$B$132=$B268) * (Mijlpalenbegroting!$I$103:$I$132) )*E174</f>
        <v>0</v>
      </c>
      <c r="P268" s="487" cm="1">
        <f t="array" ref="P268">SUMPRODUCT( (Mijlpalenbegroting!$B$103:$B$132=$B268) * (Mijlpalenbegroting!$I$103:$I$132) )*F174</f>
        <v>0</v>
      </c>
      <c r="Q268" s="487" cm="1">
        <f t="array" ref="Q268">SUMPRODUCT( (Mijlpalenbegroting!$B$103:$B$132=$B268) * (Mijlpalenbegroting!$I$103:$I$132) )*G174</f>
        <v>0</v>
      </c>
      <c r="R268" s="487" cm="1">
        <f t="array" ref="R268">SUMPRODUCT( (Mijlpalenbegroting!$B$103:$B$132=$B268) * (Mijlpalenbegroting!$I$103:$I$132) )*H174</f>
        <v>0</v>
      </c>
      <c r="S268" s="487" cm="1">
        <f t="array" ref="S268">SUMPRODUCT( (Mijlpalenbegroting!$B$103:$B$132=$B268) * (Mijlpalenbegroting!$I$103:$I$132) )*I174</f>
        <v>0</v>
      </c>
      <c r="T268" s="487" cm="1">
        <f t="array" ref="T268">SUMPRODUCT( (Mijlpalenbegroting!$B$103:$B$132=$B268) * (Mijlpalenbegroting!$I$103:$I$132) )*J174</f>
        <v>0</v>
      </c>
      <c r="U268" s="488">
        <f t="shared" si="82"/>
        <v>0</v>
      </c>
      <c r="AT268"/>
    </row>
    <row r="269" spans="1:46" ht="12.5" hidden="1" outlineLevel="1" x14ac:dyDescent="0.25">
      <c r="A269" s="22"/>
      <c r="B269" s="469">
        <f>$B$175</f>
        <v>7</v>
      </c>
      <c r="C269" s="487" cm="1">
        <f t="array" ref="C269">SUMPRODUCT( (Mijlpalenbegroting!$B$103:$B$132=$B269) * (Mijlpalenbegroting!$J$103:$J$132) )*C175</f>
        <v>0</v>
      </c>
      <c r="D269" s="487" cm="1">
        <f t="array" ref="D269">SUMPRODUCT( (Mijlpalenbegroting!$B$103:$B$132=$B269) * (Mijlpalenbegroting!$J$103:$J$132) )*D175</f>
        <v>0</v>
      </c>
      <c r="E269" s="487" cm="1">
        <f t="array" ref="E269">SUMPRODUCT( (Mijlpalenbegroting!$B$103:$B$132=$B269) * (Mijlpalenbegroting!$J$103:$J$132) )*E175</f>
        <v>0</v>
      </c>
      <c r="F269" s="487" cm="1">
        <f t="array" ref="F269">SUMPRODUCT( (Mijlpalenbegroting!$B$103:$B$132=$B269) * (Mijlpalenbegroting!$J$103:$J$132) )*F175</f>
        <v>0</v>
      </c>
      <c r="G269" s="487" cm="1">
        <f t="array" ref="G269">SUMPRODUCT( (Mijlpalenbegroting!$B$103:$B$132=$B269) * (Mijlpalenbegroting!$J$103:$J$132) )*G175</f>
        <v>0</v>
      </c>
      <c r="H269" s="487" cm="1">
        <f t="array" ref="H269">SUMPRODUCT( (Mijlpalenbegroting!$B$103:$B$132=$B269) * (Mijlpalenbegroting!$J$103:$J$132) )*H175</f>
        <v>0</v>
      </c>
      <c r="I269" s="487" cm="1">
        <f t="array" ref="I269">SUMPRODUCT( (Mijlpalenbegroting!$B$103:$B$132=$B269) * (Mijlpalenbegroting!$J$103:$J$132) )*I175</f>
        <v>0</v>
      </c>
      <c r="J269" s="487" cm="1">
        <f t="array" ref="J269">SUMPRODUCT( (Mijlpalenbegroting!$B$103:$B$132=$B269) * (Mijlpalenbegroting!$J$103:$J$132) )*J175</f>
        <v>0</v>
      </c>
      <c r="K269" s="488">
        <f t="shared" si="81"/>
        <v>0</v>
      </c>
      <c r="L269" s="469">
        <f>$B$175</f>
        <v>7</v>
      </c>
      <c r="M269" s="487" cm="1">
        <f t="array" ref="M269">SUMPRODUCT( (Mijlpalenbegroting!$B$103:$B$132=$B269) * (Mijlpalenbegroting!$I$103:$I$132) )*C175</f>
        <v>0</v>
      </c>
      <c r="N269" s="487" cm="1">
        <f t="array" ref="N269">SUMPRODUCT( (Mijlpalenbegroting!$B$103:$B$132=$B269) * (Mijlpalenbegroting!$I$103:$I$132) )*D175</f>
        <v>0</v>
      </c>
      <c r="O269" s="487" cm="1">
        <f t="array" ref="O269">SUMPRODUCT( (Mijlpalenbegroting!$B$103:$B$132=$B269) * (Mijlpalenbegroting!$I$103:$I$132) )*E175</f>
        <v>0</v>
      </c>
      <c r="P269" s="487" cm="1">
        <f t="array" ref="P269">SUMPRODUCT( (Mijlpalenbegroting!$B$103:$B$132=$B269) * (Mijlpalenbegroting!$I$103:$I$132) )*F175</f>
        <v>0</v>
      </c>
      <c r="Q269" s="487" cm="1">
        <f t="array" ref="Q269">SUMPRODUCT( (Mijlpalenbegroting!$B$103:$B$132=$B269) * (Mijlpalenbegroting!$I$103:$I$132) )*G175</f>
        <v>0</v>
      </c>
      <c r="R269" s="487" cm="1">
        <f t="array" ref="R269">SUMPRODUCT( (Mijlpalenbegroting!$B$103:$B$132=$B269) * (Mijlpalenbegroting!$I$103:$I$132) )*H175</f>
        <v>0</v>
      </c>
      <c r="S269" s="487" cm="1">
        <f t="array" ref="S269">SUMPRODUCT( (Mijlpalenbegroting!$B$103:$B$132=$B269) * (Mijlpalenbegroting!$I$103:$I$132) )*I175</f>
        <v>0</v>
      </c>
      <c r="T269" s="487" cm="1">
        <f t="array" ref="T269">SUMPRODUCT( (Mijlpalenbegroting!$B$103:$B$132=$B269) * (Mijlpalenbegroting!$I$103:$I$132) )*J175</f>
        <v>0</v>
      </c>
      <c r="U269" s="488">
        <f t="shared" si="82"/>
        <v>0</v>
      </c>
      <c r="AT269"/>
    </row>
    <row r="270" spans="1:46" ht="12.5" hidden="1" outlineLevel="1" x14ac:dyDescent="0.25">
      <c r="A270" s="22"/>
      <c r="B270" s="469">
        <f>$B$176</f>
        <v>8</v>
      </c>
      <c r="C270" s="487" cm="1">
        <f t="array" ref="C270">SUMPRODUCT( (Mijlpalenbegroting!$B$103:$B$132=$B270) * (Mijlpalenbegroting!$J$103:$J$132) )*C176</f>
        <v>0</v>
      </c>
      <c r="D270" s="487" cm="1">
        <f t="array" ref="D270">SUMPRODUCT( (Mijlpalenbegroting!$B$103:$B$132=$B270) * (Mijlpalenbegroting!$J$103:$J$132) )*D176</f>
        <v>0</v>
      </c>
      <c r="E270" s="487" cm="1">
        <f t="array" ref="E270">SUMPRODUCT( (Mijlpalenbegroting!$B$103:$B$132=$B270) * (Mijlpalenbegroting!$J$103:$J$132) )*E176</f>
        <v>0</v>
      </c>
      <c r="F270" s="487" cm="1">
        <f t="array" ref="F270">SUMPRODUCT( (Mijlpalenbegroting!$B$103:$B$132=$B270) * (Mijlpalenbegroting!$J$103:$J$132) )*F176</f>
        <v>0</v>
      </c>
      <c r="G270" s="487" cm="1">
        <f t="array" ref="G270">SUMPRODUCT( (Mijlpalenbegroting!$B$103:$B$132=$B270) * (Mijlpalenbegroting!$J$103:$J$132) )*G176</f>
        <v>0</v>
      </c>
      <c r="H270" s="487" cm="1">
        <f t="array" ref="H270">SUMPRODUCT( (Mijlpalenbegroting!$B$103:$B$132=$B270) * (Mijlpalenbegroting!$J$103:$J$132) )*H176</f>
        <v>0</v>
      </c>
      <c r="I270" s="487" cm="1">
        <f t="array" ref="I270">SUMPRODUCT( (Mijlpalenbegroting!$B$103:$B$132=$B270) * (Mijlpalenbegroting!$J$103:$J$132) )*I176</f>
        <v>0</v>
      </c>
      <c r="J270" s="487" cm="1">
        <f t="array" ref="J270">SUMPRODUCT( (Mijlpalenbegroting!$B$103:$B$132=$B270) * (Mijlpalenbegroting!$J$103:$J$132) )*J176</f>
        <v>0</v>
      </c>
      <c r="K270" s="488">
        <f t="shared" si="81"/>
        <v>0</v>
      </c>
      <c r="L270" s="469">
        <f>$B$176</f>
        <v>8</v>
      </c>
      <c r="M270" s="487" cm="1">
        <f t="array" ref="M270">SUMPRODUCT( (Mijlpalenbegroting!$B$103:$B$132=$B270) * (Mijlpalenbegroting!$I$103:$I$132) )*C176</f>
        <v>0</v>
      </c>
      <c r="N270" s="487" cm="1">
        <f t="array" ref="N270">SUMPRODUCT( (Mijlpalenbegroting!$B$103:$B$132=$B270) * (Mijlpalenbegroting!$I$103:$I$132) )*D176</f>
        <v>0</v>
      </c>
      <c r="O270" s="487" cm="1">
        <f t="array" ref="O270">SUMPRODUCT( (Mijlpalenbegroting!$B$103:$B$132=$B270) * (Mijlpalenbegroting!$I$103:$I$132) )*E176</f>
        <v>0</v>
      </c>
      <c r="P270" s="487" cm="1">
        <f t="array" ref="P270">SUMPRODUCT( (Mijlpalenbegroting!$B$103:$B$132=$B270) * (Mijlpalenbegroting!$I$103:$I$132) )*F176</f>
        <v>0</v>
      </c>
      <c r="Q270" s="487" cm="1">
        <f t="array" ref="Q270">SUMPRODUCT( (Mijlpalenbegroting!$B$103:$B$132=$B270) * (Mijlpalenbegroting!$I$103:$I$132) )*G176</f>
        <v>0</v>
      </c>
      <c r="R270" s="487" cm="1">
        <f t="array" ref="R270">SUMPRODUCT( (Mijlpalenbegroting!$B$103:$B$132=$B270) * (Mijlpalenbegroting!$I$103:$I$132) )*H176</f>
        <v>0</v>
      </c>
      <c r="S270" s="487" cm="1">
        <f t="array" ref="S270">SUMPRODUCT( (Mijlpalenbegroting!$B$103:$B$132=$B270) * (Mijlpalenbegroting!$I$103:$I$132) )*I176</f>
        <v>0</v>
      </c>
      <c r="T270" s="487" cm="1">
        <f t="array" ref="T270">SUMPRODUCT( (Mijlpalenbegroting!$B$103:$B$132=$B270) * (Mijlpalenbegroting!$I$103:$I$132) )*J176</f>
        <v>0</v>
      </c>
      <c r="U270" s="488">
        <f t="shared" si="82"/>
        <v>0</v>
      </c>
      <c r="AT270"/>
    </row>
    <row r="271" spans="1:46" ht="12.5" hidden="1" outlineLevel="1" x14ac:dyDescent="0.25">
      <c r="A271" s="22"/>
      <c r="B271" s="469">
        <f>$B$177</f>
        <v>9</v>
      </c>
      <c r="C271" s="487" cm="1">
        <f t="array" ref="C271">SUMPRODUCT( (Mijlpalenbegroting!$B$103:$B$132=$B271) * (Mijlpalenbegroting!$J$103:$J$132) )*C177</f>
        <v>0</v>
      </c>
      <c r="D271" s="487" cm="1">
        <f t="array" ref="D271">SUMPRODUCT( (Mijlpalenbegroting!$B$103:$B$132=$B271) * (Mijlpalenbegroting!$J$103:$J$132) )*D177</f>
        <v>0</v>
      </c>
      <c r="E271" s="487" cm="1">
        <f t="array" ref="E271">SUMPRODUCT( (Mijlpalenbegroting!$B$103:$B$132=$B271) * (Mijlpalenbegroting!$J$103:$J$132) )*E177</f>
        <v>0</v>
      </c>
      <c r="F271" s="487" cm="1">
        <f t="array" ref="F271">SUMPRODUCT( (Mijlpalenbegroting!$B$103:$B$132=$B271) * (Mijlpalenbegroting!$J$103:$J$132) )*F177</f>
        <v>0</v>
      </c>
      <c r="G271" s="487" cm="1">
        <f t="array" ref="G271">SUMPRODUCT( (Mijlpalenbegroting!$B$103:$B$132=$B271) * (Mijlpalenbegroting!$J$103:$J$132) )*G177</f>
        <v>0</v>
      </c>
      <c r="H271" s="487" cm="1">
        <f t="array" ref="H271">SUMPRODUCT( (Mijlpalenbegroting!$B$103:$B$132=$B271) * (Mijlpalenbegroting!$J$103:$J$132) )*H177</f>
        <v>0</v>
      </c>
      <c r="I271" s="487" cm="1">
        <f t="array" ref="I271">SUMPRODUCT( (Mijlpalenbegroting!$B$103:$B$132=$B271) * (Mijlpalenbegroting!$J$103:$J$132) )*I177</f>
        <v>0</v>
      </c>
      <c r="J271" s="487" cm="1">
        <f t="array" ref="J271">SUMPRODUCT( (Mijlpalenbegroting!$B$103:$B$132=$B271) * (Mijlpalenbegroting!$J$103:$J$132) )*J177</f>
        <v>0</v>
      </c>
      <c r="K271" s="488">
        <f t="shared" si="81"/>
        <v>0</v>
      </c>
      <c r="L271" s="469">
        <f>$B$177</f>
        <v>9</v>
      </c>
      <c r="M271" s="487" cm="1">
        <f t="array" ref="M271">SUMPRODUCT( (Mijlpalenbegroting!$B$103:$B$132=$B271) * (Mijlpalenbegroting!$I$103:$I$132) )*C177</f>
        <v>0</v>
      </c>
      <c r="N271" s="487" cm="1">
        <f t="array" ref="N271">SUMPRODUCT( (Mijlpalenbegroting!$B$103:$B$132=$B271) * (Mijlpalenbegroting!$I$103:$I$132) )*D177</f>
        <v>0</v>
      </c>
      <c r="O271" s="487" cm="1">
        <f t="array" ref="O271">SUMPRODUCT( (Mijlpalenbegroting!$B$103:$B$132=$B271) * (Mijlpalenbegroting!$I$103:$I$132) )*E177</f>
        <v>0</v>
      </c>
      <c r="P271" s="487" cm="1">
        <f t="array" ref="P271">SUMPRODUCT( (Mijlpalenbegroting!$B$103:$B$132=$B271) * (Mijlpalenbegroting!$I$103:$I$132) )*F177</f>
        <v>0</v>
      </c>
      <c r="Q271" s="487" cm="1">
        <f t="array" ref="Q271">SUMPRODUCT( (Mijlpalenbegroting!$B$103:$B$132=$B271) * (Mijlpalenbegroting!$I$103:$I$132) )*G177</f>
        <v>0</v>
      </c>
      <c r="R271" s="487" cm="1">
        <f t="array" ref="R271">SUMPRODUCT( (Mijlpalenbegroting!$B$103:$B$132=$B271) * (Mijlpalenbegroting!$I$103:$I$132) )*H177</f>
        <v>0</v>
      </c>
      <c r="S271" s="487" cm="1">
        <f t="array" ref="S271">SUMPRODUCT( (Mijlpalenbegroting!$B$103:$B$132=$B271) * (Mijlpalenbegroting!$I$103:$I$132) )*I177</f>
        <v>0</v>
      </c>
      <c r="T271" s="487" cm="1">
        <f t="array" ref="T271">SUMPRODUCT( (Mijlpalenbegroting!$B$103:$B$132=$B271) * (Mijlpalenbegroting!$I$103:$I$132) )*J177</f>
        <v>0</v>
      </c>
      <c r="U271" s="488">
        <f t="shared" si="82"/>
        <v>0</v>
      </c>
      <c r="AT271"/>
    </row>
    <row r="272" spans="1:46" ht="12.5" hidden="1" outlineLevel="1" x14ac:dyDescent="0.25">
      <c r="A272" s="22"/>
      <c r="B272" s="469">
        <f>$B$178</f>
        <v>10</v>
      </c>
      <c r="C272" s="487" cm="1">
        <f t="array" ref="C272">SUMPRODUCT( (Mijlpalenbegroting!$B$103:$B$132=$B272) * (Mijlpalenbegroting!$J$103:$J$132) )*C178</f>
        <v>0</v>
      </c>
      <c r="D272" s="487" cm="1">
        <f t="array" ref="D272">SUMPRODUCT( (Mijlpalenbegroting!$B$103:$B$132=$B272) * (Mijlpalenbegroting!$J$103:$J$132) )*D178</f>
        <v>0</v>
      </c>
      <c r="E272" s="487" cm="1">
        <f t="array" ref="E272">SUMPRODUCT( (Mijlpalenbegroting!$B$103:$B$132=$B272) * (Mijlpalenbegroting!$J$103:$J$132) )*E178</f>
        <v>0</v>
      </c>
      <c r="F272" s="487" cm="1">
        <f t="array" ref="F272">SUMPRODUCT( (Mijlpalenbegroting!$B$103:$B$132=$B272) * (Mijlpalenbegroting!$J$103:$J$132) )*F178</f>
        <v>0</v>
      </c>
      <c r="G272" s="487" cm="1">
        <f t="array" ref="G272">SUMPRODUCT( (Mijlpalenbegroting!$B$103:$B$132=$B272) * (Mijlpalenbegroting!$J$103:$J$132) )*G178</f>
        <v>0</v>
      </c>
      <c r="H272" s="487" cm="1">
        <f t="array" ref="H272">SUMPRODUCT( (Mijlpalenbegroting!$B$103:$B$132=$B272) * (Mijlpalenbegroting!$J$103:$J$132) )*H178</f>
        <v>0</v>
      </c>
      <c r="I272" s="487" cm="1">
        <f t="array" ref="I272">SUMPRODUCT( (Mijlpalenbegroting!$B$103:$B$132=$B272) * (Mijlpalenbegroting!$J$103:$J$132) )*I178</f>
        <v>0</v>
      </c>
      <c r="J272" s="487" cm="1">
        <f t="array" ref="J272">SUMPRODUCT( (Mijlpalenbegroting!$B$103:$B$132=$B272) * (Mijlpalenbegroting!$J$103:$J$132) )*J178</f>
        <v>0</v>
      </c>
      <c r="K272" s="488">
        <f t="shared" si="81"/>
        <v>0</v>
      </c>
      <c r="L272" s="469">
        <f>$B$178</f>
        <v>10</v>
      </c>
      <c r="M272" s="487" cm="1">
        <f t="array" ref="M272">SUMPRODUCT( (Mijlpalenbegroting!$B$103:$B$132=$B272) * (Mijlpalenbegroting!$I$103:$I$132) )*C178</f>
        <v>0</v>
      </c>
      <c r="N272" s="487" cm="1">
        <f t="array" ref="N272">SUMPRODUCT( (Mijlpalenbegroting!$B$103:$B$132=$B272) * (Mijlpalenbegroting!$I$103:$I$132) )*D178</f>
        <v>0</v>
      </c>
      <c r="O272" s="487" cm="1">
        <f t="array" ref="O272">SUMPRODUCT( (Mijlpalenbegroting!$B$103:$B$132=$B272) * (Mijlpalenbegroting!$I$103:$I$132) )*E178</f>
        <v>0</v>
      </c>
      <c r="P272" s="487" cm="1">
        <f t="array" ref="P272">SUMPRODUCT( (Mijlpalenbegroting!$B$103:$B$132=$B272) * (Mijlpalenbegroting!$I$103:$I$132) )*F178</f>
        <v>0</v>
      </c>
      <c r="Q272" s="487" cm="1">
        <f t="array" ref="Q272">SUMPRODUCT( (Mijlpalenbegroting!$B$103:$B$132=$B272) * (Mijlpalenbegroting!$I$103:$I$132) )*G178</f>
        <v>0</v>
      </c>
      <c r="R272" s="487" cm="1">
        <f t="array" ref="R272">SUMPRODUCT( (Mijlpalenbegroting!$B$103:$B$132=$B272) * (Mijlpalenbegroting!$I$103:$I$132) )*H178</f>
        <v>0</v>
      </c>
      <c r="S272" s="487" cm="1">
        <f t="array" ref="S272">SUMPRODUCT( (Mijlpalenbegroting!$B$103:$B$132=$B272) * (Mijlpalenbegroting!$I$103:$I$132) )*I178</f>
        <v>0</v>
      </c>
      <c r="T272" s="487" cm="1">
        <f t="array" ref="T272">SUMPRODUCT( (Mijlpalenbegroting!$B$103:$B$132=$B272) * (Mijlpalenbegroting!$I$103:$I$132) )*J178</f>
        <v>0</v>
      </c>
      <c r="U272" s="488">
        <f t="shared" si="82"/>
        <v>0</v>
      </c>
      <c r="AT272"/>
    </row>
    <row r="273" spans="1:46" ht="12.5" hidden="1" outlineLevel="1" x14ac:dyDescent="0.25">
      <c r="A273" s="22"/>
      <c r="B273" s="469">
        <f>$B$179</f>
        <v>11</v>
      </c>
      <c r="C273" s="487" cm="1">
        <f t="array" ref="C273">SUMPRODUCT( (Mijlpalenbegroting!$B$103:$B$132=$B273) * (Mijlpalenbegroting!$J$103:$J$132) )*C179</f>
        <v>0</v>
      </c>
      <c r="D273" s="487" cm="1">
        <f t="array" ref="D273">SUMPRODUCT( (Mijlpalenbegroting!$B$103:$B$132=$B273) * (Mijlpalenbegroting!$J$103:$J$132) )*D179</f>
        <v>0</v>
      </c>
      <c r="E273" s="487" cm="1">
        <f t="array" ref="E273">SUMPRODUCT( (Mijlpalenbegroting!$B$103:$B$132=$B273) * (Mijlpalenbegroting!$J$103:$J$132) )*E179</f>
        <v>0</v>
      </c>
      <c r="F273" s="487" cm="1">
        <f t="array" ref="F273">SUMPRODUCT( (Mijlpalenbegroting!$B$103:$B$132=$B273) * (Mijlpalenbegroting!$J$103:$J$132) )*F179</f>
        <v>0</v>
      </c>
      <c r="G273" s="487" cm="1">
        <f t="array" ref="G273">SUMPRODUCT( (Mijlpalenbegroting!$B$103:$B$132=$B273) * (Mijlpalenbegroting!$J$103:$J$132) )*G179</f>
        <v>0</v>
      </c>
      <c r="H273" s="487" cm="1">
        <f t="array" ref="H273">SUMPRODUCT( (Mijlpalenbegroting!$B$103:$B$132=$B273) * (Mijlpalenbegroting!$J$103:$J$132) )*H179</f>
        <v>0</v>
      </c>
      <c r="I273" s="487" cm="1">
        <f t="array" ref="I273">SUMPRODUCT( (Mijlpalenbegroting!$B$103:$B$132=$B273) * (Mijlpalenbegroting!$J$103:$J$132) )*I179</f>
        <v>0</v>
      </c>
      <c r="J273" s="487" cm="1">
        <f t="array" ref="J273">SUMPRODUCT( (Mijlpalenbegroting!$B$103:$B$132=$B273) * (Mijlpalenbegroting!$J$103:$J$132) )*J179</f>
        <v>0</v>
      </c>
      <c r="K273" s="488">
        <f t="shared" si="81"/>
        <v>0</v>
      </c>
      <c r="L273" s="469">
        <f>$B$179</f>
        <v>11</v>
      </c>
      <c r="M273" s="487" cm="1">
        <f t="array" ref="M273">SUMPRODUCT( (Mijlpalenbegroting!$B$103:$B$132=$B273) * (Mijlpalenbegroting!$I$103:$I$132) )*C179</f>
        <v>0</v>
      </c>
      <c r="N273" s="487" cm="1">
        <f t="array" ref="N273">SUMPRODUCT( (Mijlpalenbegroting!$B$103:$B$132=$B273) * (Mijlpalenbegroting!$I$103:$I$132) )*D179</f>
        <v>0</v>
      </c>
      <c r="O273" s="487" cm="1">
        <f t="array" ref="O273">SUMPRODUCT( (Mijlpalenbegroting!$B$103:$B$132=$B273) * (Mijlpalenbegroting!$I$103:$I$132) )*E179</f>
        <v>0</v>
      </c>
      <c r="P273" s="487" cm="1">
        <f t="array" ref="P273">SUMPRODUCT( (Mijlpalenbegroting!$B$103:$B$132=$B273) * (Mijlpalenbegroting!$I$103:$I$132) )*F179</f>
        <v>0</v>
      </c>
      <c r="Q273" s="487" cm="1">
        <f t="array" ref="Q273">SUMPRODUCT( (Mijlpalenbegroting!$B$103:$B$132=$B273) * (Mijlpalenbegroting!$I$103:$I$132) )*G179</f>
        <v>0</v>
      </c>
      <c r="R273" s="487" cm="1">
        <f t="array" ref="R273">SUMPRODUCT( (Mijlpalenbegroting!$B$103:$B$132=$B273) * (Mijlpalenbegroting!$I$103:$I$132) )*H179</f>
        <v>0</v>
      </c>
      <c r="S273" s="487" cm="1">
        <f t="array" ref="S273">SUMPRODUCT( (Mijlpalenbegroting!$B$103:$B$132=$B273) * (Mijlpalenbegroting!$I$103:$I$132) )*I179</f>
        <v>0</v>
      </c>
      <c r="T273" s="487" cm="1">
        <f t="array" ref="T273">SUMPRODUCT( (Mijlpalenbegroting!$B$103:$B$132=$B273) * (Mijlpalenbegroting!$I$103:$I$132) )*J179</f>
        <v>0</v>
      </c>
      <c r="U273" s="488">
        <f t="shared" si="82"/>
        <v>0</v>
      </c>
      <c r="AT273"/>
    </row>
    <row r="274" spans="1:46" ht="12.5" hidden="1" outlineLevel="1" x14ac:dyDescent="0.25">
      <c r="A274" s="22"/>
      <c r="B274" s="469">
        <f>$B$180</f>
        <v>12</v>
      </c>
      <c r="C274" s="487" cm="1">
        <f t="array" ref="C274">SUMPRODUCT( (Mijlpalenbegroting!$B$103:$B$132=$B274) * (Mijlpalenbegroting!$J$103:$J$132) )*C180</f>
        <v>0</v>
      </c>
      <c r="D274" s="487" cm="1">
        <f t="array" ref="D274">SUMPRODUCT( (Mijlpalenbegroting!$B$103:$B$132=$B274) * (Mijlpalenbegroting!$J$103:$J$132) )*D180</f>
        <v>0</v>
      </c>
      <c r="E274" s="487" cm="1">
        <f t="array" ref="E274">SUMPRODUCT( (Mijlpalenbegroting!$B$103:$B$132=$B274) * (Mijlpalenbegroting!$J$103:$J$132) )*E180</f>
        <v>0</v>
      </c>
      <c r="F274" s="487" cm="1">
        <f t="array" ref="F274">SUMPRODUCT( (Mijlpalenbegroting!$B$103:$B$132=$B274) * (Mijlpalenbegroting!$J$103:$J$132) )*F180</f>
        <v>0</v>
      </c>
      <c r="G274" s="487" cm="1">
        <f t="array" ref="G274">SUMPRODUCT( (Mijlpalenbegroting!$B$103:$B$132=$B274) * (Mijlpalenbegroting!$J$103:$J$132) )*G180</f>
        <v>0</v>
      </c>
      <c r="H274" s="487" cm="1">
        <f t="array" ref="H274">SUMPRODUCT( (Mijlpalenbegroting!$B$103:$B$132=$B274) * (Mijlpalenbegroting!$J$103:$J$132) )*H180</f>
        <v>0</v>
      </c>
      <c r="I274" s="487" cm="1">
        <f t="array" ref="I274">SUMPRODUCT( (Mijlpalenbegroting!$B$103:$B$132=$B274) * (Mijlpalenbegroting!$J$103:$J$132) )*I180</f>
        <v>0</v>
      </c>
      <c r="J274" s="487" cm="1">
        <f t="array" ref="J274">SUMPRODUCT( (Mijlpalenbegroting!$B$103:$B$132=$B274) * (Mijlpalenbegroting!$J$103:$J$132) )*J180</f>
        <v>0</v>
      </c>
      <c r="K274" s="488">
        <f t="shared" si="81"/>
        <v>0</v>
      </c>
      <c r="L274" s="469">
        <f>$B$180</f>
        <v>12</v>
      </c>
      <c r="M274" s="487" cm="1">
        <f t="array" ref="M274">SUMPRODUCT( (Mijlpalenbegroting!$B$103:$B$132=$B274) * (Mijlpalenbegroting!$I$103:$I$132) )*C180</f>
        <v>0</v>
      </c>
      <c r="N274" s="487" cm="1">
        <f t="array" ref="N274">SUMPRODUCT( (Mijlpalenbegroting!$B$103:$B$132=$B274) * (Mijlpalenbegroting!$I$103:$I$132) )*D180</f>
        <v>0</v>
      </c>
      <c r="O274" s="487" cm="1">
        <f t="array" ref="O274">SUMPRODUCT( (Mijlpalenbegroting!$B$103:$B$132=$B274) * (Mijlpalenbegroting!$I$103:$I$132) )*E180</f>
        <v>0</v>
      </c>
      <c r="P274" s="487" cm="1">
        <f t="array" ref="P274">SUMPRODUCT( (Mijlpalenbegroting!$B$103:$B$132=$B274) * (Mijlpalenbegroting!$I$103:$I$132) )*F180</f>
        <v>0</v>
      </c>
      <c r="Q274" s="487" cm="1">
        <f t="array" ref="Q274">SUMPRODUCT( (Mijlpalenbegroting!$B$103:$B$132=$B274) * (Mijlpalenbegroting!$I$103:$I$132) )*G180</f>
        <v>0</v>
      </c>
      <c r="R274" s="487" cm="1">
        <f t="array" ref="R274">SUMPRODUCT( (Mijlpalenbegroting!$B$103:$B$132=$B274) * (Mijlpalenbegroting!$I$103:$I$132) )*H180</f>
        <v>0</v>
      </c>
      <c r="S274" s="487" cm="1">
        <f t="array" ref="S274">SUMPRODUCT( (Mijlpalenbegroting!$B$103:$B$132=$B274) * (Mijlpalenbegroting!$I$103:$I$132) )*I180</f>
        <v>0</v>
      </c>
      <c r="T274" s="487" cm="1">
        <f t="array" ref="T274">SUMPRODUCT( (Mijlpalenbegroting!$B$103:$B$132=$B274) * (Mijlpalenbegroting!$I$103:$I$132) )*J180</f>
        <v>0</v>
      </c>
      <c r="U274" s="488">
        <f t="shared" si="82"/>
        <v>0</v>
      </c>
      <c r="AT274"/>
    </row>
    <row r="275" spans="1:46" ht="12.5" hidden="1" outlineLevel="1" x14ac:dyDescent="0.25">
      <c r="A275" s="22"/>
      <c r="B275" s="469">
        <f>$B$181</f>
        <v>13</v>
      </c>
      <c r="C275" s="487" cm="1">
        <f t="array" ref="C275">SUMPRODUCT( (Mijlpalenbegroting!$B$103:$B$132=$B275) * (Mijlpalenbegroting!$J$103:$J$132) )*C181</f>
        <v>0</v>
      </c>
      <c r="D275" s="487" cm="1">
        <f t="array" ref="D275">SUMPRODUCT( (Mijlpalenbegroting!$B$103:$B$132=$B275) * (Mijlpalenbegroting!$J$103:$J$132) )*D181</f>
        <v>0</v>
      </c>
      <c r="E275" s="487" cm="1">
        <f t="array" ref="E275">SUMPRODUCT( (Mijlpalenbegroting!$B$103:$B$132=$B275) * (Mijlpalenbegroting!$J$103:$J$132) )*E181</f>
        <v>0</v>
      </c>
      <c r="F275" s="487" cm="1">
        <f t="array" ref="F275">SUMPRODUCT( (Mijlpalenbegroting!$B$103:$B$132=$B275) * (Mijlpalenbegroting!$J$103:$J$132) )*F181</f>
        <v>0</v>
      </c>
      <c r="G275" s="487" cm="1">
        <f t="array" ref="G275">SUMPRODUCT( (Mijlpalenbegroting!$B$103:$B$132=$B275) * (Mijlpalenbegroting!$J$103:$J$132) )*G181</f>
        <v>0</v>
      </c>
      <c r="H275" s="487" cm="1">
        <f t="array" ref="H275">SUMPRODUCT( (Mijlpalenbegroting!$B$103:$B$132=$B275) * (Mijlpalenbegroting!$J$103:$J$132) )*H181</f>
        <v>0</v>
      </c>
      <c r="I275" s="487" cm="1">
        <f t="array" ref="I275">SUMPRODUCT( (Mijlpalenbegroting!$B$103:$B$132=$B275) * (Mijlpalenbegroting!$J$103:$J$132) )*I181</f>
        <v>0</v>
      </c>
      <c r="J275" s="487" cm="1">
        <f t="array" ref="J275">SUMPRODUCT( (Mijlpalenbegroting!$B$103:$B$132=$B275) * (Mijlpalenbegroting!$J$103:$J$132) )*J181</f>
        <v>0</v>
      </c>
      <c r="K275" s="488">
        <f t="shared" si="81"/>
        <v>0</v>
      </c>
      <c r="L275" s="469">
        <f>$B$181</f>
        <v>13</v>
      </c>
      <c r="M275" s="487" cm="1">
        <f t="array" ref="M275">SUMPRODUCT( (Mijlpalenbegroting!$B$103:$B$132=$B275) * (Mijlpalenbegroting!$I$103:$I$132) )*C181</f>
        <v>0</v>
      </c>
      <c r="N275" s="487" cm="1">
        <f t="array" ref="N275">SUMPRODUCT( (Mijlpalenbegroting!$B$103:$B$132=$B275) * (Mijlpalenbegroting!$I$103:$I$132) )*D181</f>
        <v>0</v>
      </c>
      <c r="O275" s="487" cm="1">
        <f t="array" ref="O275">SUMPRODUCT( (Mijlpalenbegroting!$B$103:$B$132=$B275) * (Mijlpalenbegroting!$I$103:$I$132) )*E181</f>
        <v>0</v>
      </c>
      <c r="P275" s="487" cm="1">
        <f t="array" ref="P275">SUMPRODUCT( (Mijlpalenbegroting!$B$103:$B$132=$B275) * (Mijlpalenbegroting!$I$103:$I$132) )*F181</f>
        <v>0</v>
      </c>
      <c r="Q275" s="487" cm="1">
        <f t="array" ref="Q275">SUMPRODUCT( (Mijlpalenbegroting!$B$103:$B$132=$B275) * (Mijlpalenbegroting!$I$103:$I$132) )*G181</f>
        <v>0</v>
      </c>
      <c r="R275" s="487" cm="1">
        <f t="array" ref="R275">SUMPRODUCT( (Mijlpalenbegroting!$B$103:$B$132=$B275) * (Mijlpalenbegroting!$I$103:$I$132) )*H181</f>
        <v>0</v>
      </c>
      <c r="S275" s="487" cm="1">
        <f t="array" ref="S275">SUMPRODUCT( (Mijlpalenbegroting!$B$103:$B$132=$B275) * (Mijlpalenbegroting!$I$103:$I$132) )*I181</f>
        <v>0</v>
      </c>
      <c r="T275" s="487" cm="1">
        <f t="array" ref="T275">SUMPRODUCT( (Mijlpalenbegroting!$B$103:$B$132=$B275) * (Mijlpalenbegroting!$I$103:$I$132) )*J181</f>
        <v>0</v>
      </c>
      <c r="U275" s="488">
        <f t="shared" si="82"/>
        <v>0</v>
      </c>
      <c r="AT275"/>
    </row>
    <row r="276" spans="1:46" ht="12.5" hidden="1" outlineLevel="1" x14ac:dyDescent="0.25">
      <c r="A276" s="22"/>
      <c r="B276" s="469">
        <f>$B$182</f>
        <v>14</v>
      </c>
      <c r="C276" s="487" cm="1">
        <f t="array" ref="C276">SUMPRODUCT( (Mijlpalenbegroting!$B$103:$B$132=$B276) * (Mijlpalenbegroting!$J$103:$J$132) )*C182</f>
        <v>0</v>
      </c>
      <c r="D276" s="487" cm="1">
        <f t="array" ref="D276">SUMPRODUCT( (Mijlpalenbegroting!$B$103:$B$132=$B276) * (Mijlpalenbegroting!$J$103:$J$132) )*D182</f>
        <v>0</v>
      </c>
      <c r="E276" s="487" cm="1">
        <f t="array" ref="E276">SUMPRODUCT( (Mijlpalenbegroting!$B$103:$B$132=$B276) * (Mijlpalenbegroting!$J$103:$J$132) )*E182</f>
        <v>0</v>
      </c>
      <c r="F276" s="487" cm="1">
        <f t="array" ref="F276">SUMPRODUCT( (Mijlpalenbegroting!$B$103:$B$132=$B276) * (Mijlpalenbegroting!$J$103:$J$132) )*F182</f>
        <v>0</v>
      </c>
      <c r="G276" s="487" cm="1">
        <f t="array" ref="G276">SUMPRODUCT( (Mijlpalenbegroting!$B$103:$B$132=$B276) * (Mijlpalenbegroting!$J$103:$J$132) )*G182</f>
        <v>0</v>
      </c>
      <c r="H276" s="487" cm="1">
        <f t="array" ref="H276">SUMPRODUCT( (Mijlpalenbegroting!$B$103:$B$132=$B276) * (Mijlpalenbegroting!$J$103:$J$132) )*H182</f>
        <v>0</v>
      </c>
      <c r="I276" s="487" cm="1">
        <f t="array" ref="I276">SUMPRODUCT( (Mijlpalenbegroting!$B$103:$B$132=$B276) * (Mijlpalenbegroting!$J$103:$J$132) )*I182</f>
        <v>0</v>
      </c>
      <c r="J276" s="487" cm="1">
        <f t="array" ref="J276">SUMPRODUCT( (Mijlpalenbegroting!$B$103:$B$132=$B276) * (Mijlpalenbegroting!$J$103:$J$132) )*J182</f>
        <v>0</v>
      </c>
      <c r="K276" s="488">
        <f t="shared" si="81"/>
        <v>0</v>
      </c>
      <c r="L276" s="469">
        <f>$B$182</f>
        <v>14</v>
      </c>
      <c r="M276" s="487" cm="1">
        <f t="array" ref="M276">SUMPRODUCT( (Mijlpalenbegroting!$B$103:$B$132=$B276) * (Mijlpalenbegroting!$I$103:$I$132) )*C182</f>
        <v>0</v>
      </c>
      <c r="N276" s="487" cm="1">
        <f t="array" ref="N276">SUMPRODUCT( (Mijlpalenbegroting!$B$103:$B$132=$B276) * (Mijlpalenbegroting!$I$103:$I$132) )*D182</f>
        <v>0</v>
      </c>
      <c r="O276" s="487" cm="1">
        <f t="array" ref="O276">SUMPRODUCT( (Mijlpalenbegroting!$B$103:$B$132=$B276) * (Mijlpalenbegroting!$I$103:$I$132) )*E182</f>
        <v>0</v>
      </c>
      <c r="P276" s="487" cm="1">
        <f t="array" ref="P276">SUMPRODUCT( (Mijlpalenbegroting!$B$103:$B$132=$B276) * (Mijlpalenbegroting!$I$103:$I$132) )*F182</f>
        <v>0</v>
      </c>
      <c r="Q276" s="487" cm="1">
        <f t="array" ref="Q276">SUMPRODUCT( (Mijlpalenbegroting!$B$103:$B$132=$B276) * (Mijlpalenbegroting!$I$103:$I$132) )*G182</f>
        <v>0</v>
      </c>
      <c r="R276" s="487" cm="1">
        <f t="array" ref="R276">SUMPRODUCT( (Mijlpalenbegroting!$B$103:$B$132=$B276) * (Mijlpalenbegroting!$I$103:$I$132) )*H182</f>
        <v>0</v>
      </c>
      <c r="S276" s="487" cm="1">
        <f t="array" ref="S276">SUMPRODUCT( (Mijlpalenbegroting!$B$103:$B$132=$B276) * (Mijlpalenbegroting!$I$103:$I$132) )*I182</f>
        <v>0</v>
      </c>
      <c r="T276" s="487" cm="1">
        <f t="array" ref="T276">SUMPRODUCT( (Mijlpalenbegroting!$B$103:$B$132=$B276) * (Mijlpalenbegroting!$I$103:$I$132) )*J182</f>
        <v>0</v>
      </c>
      <c r="U276" s="488">
        <f t="shared" si="82"/>
        <v>0</v>
      </c>
      <c r="AT276"/>
    </row>
    <row r="277" spans="1:46" ht="12.5" hidden="1" outlineLevel="1" x14ac:dyDescent="0.25">
      <c r="A277" s="22"/>
      <c r="B277" s="469">
        <f>$B$183</f>
        <v>15</v>
      </c>
      <c r="C277" s="487" cm="1">
        <f t="array" ref="C277">SUMPRODUCT( (Mijlpalenbegroting!$B$103:$B$132=$B277) * (Mijlpalenbegroting!$J$103:$J$132) )*C183</f>
        <v>0</v>
      </c>
      <c r="D277" s="487" cm="1">
        <f t="array" ref="D277">SUMPRODUCT( (Mijlpalenbegroting!$B$103:$B$132=$B277) * (Mijlpalenbegroting!$J$103:$J$132) )*D183</f>
        <v>0</v>
      </c>
      <c r="E277" s="487" cm="1">
        <f t="array" ref="E277">SUMPRODUCT( (Mijlpalenbegroting!$B$103:$B$132=$B277) * (Mijlpalenbegroting!$J$103:$J$132) )*E183</f>
        <v>0</v>
      </c>
      <c r="F277" s="487" cm="1">
        <f t="array" ref="F277">SUMPRODUCT( (Mijlpalenbegroting!$B$103:$B$132=$B277) * (Mijlpalenbegroting!$J$103:$J$132) )*F183</f>
        <v>0</v>
      </c>
      <c r="G277" s="487" cm="1">
        <f t="array" ref="G277">SUMPRODUCT( (Mijlpalenbegroting!$B$103:$B$132=$B277) * (Mijlpalenbegroting!$J$103:$J$132) )*G183</f>
        <v>0</v>
      </c>
      <c r="H277" s="487" cm="1">
        <f t="array" ref="H277">SUMPRODUCT( (Mijlpalenbegroting!$B$103:$B$132=$B277) * (Mijlpalenbegroting!$J$103:$J$132) )*H183</f>
        <v>0</v>
      </c>
      <c r="I277" s="487" cm="1">
        <f t="array" ref="I277">SUMPRODUCT( (Mijlpalenbegroting!$B$103:$B$132=$B277) * (Mijlpalenbegroting!$J$103:$J$132) )*I183</f>
        <v>0</v>
      </c>
      <c r="J277" s="487" cm="1">
        <f t="array" ref="J277">SUMPRODUCT( (Mijlpalenbegroting!$B$103:$B$132=$B277) * (Mijlpalenbegroting!$J$103:$J$132) )*J183</f>
        <v>0</v>
      </c>
      <c r="K277" s="488">
        <f t="shared" si="81"/>
        <v>0</v>
      </c>
      <c r="L277" s="469">
        <f>$B$183</f>
        <v>15</v>
      </c>
      <c r="M277" s="487" cm="1">
        <f t="array" ref="M277">SUMPRODUCT( (Mijlpalenbegroting!$B$103:$B$132=$B277) * (Mijlpalenbegroting!$I$103:$I$132) )*C183</f>
        <v>0</v>
      </c>
      <c r="N277" s="487" cm="1">
        <f t="array" ref="N277">SUMPRODUCT( (Mijlpalenbegroting!$B$103:$B$132=$B277) * (Mijlpalenbegroting!$I$103:$I$132) )*D183</f>
        <v>0</v>
      </c>
      <c r="O277" s="487" cm="1">
        <f t="array" ref="O277">SUMPRODUCT( (Mijlpalenbegroting!$B$103:$B$132=$B277) * (Mijlpalenbegroting!$I$103:$I$132) )*E183</f>
        <v>0</v>
      </c>
      <c r="P277" s="487" cm="1">
        <f t="array" ref="P277">SUMPRODUCT( (Mijlpalenbegroting!$B$103:$B$132=$B277) * (Mijlpalenbegroting!$I$103:$I$132) )*F183</f>
        <v>0</v>
      </c>
      <c r="Q277" s="487" cm="1">
        <f t="array" ref="Q277">SUMPRODUCT( (Mijlpalenbegroting!$B$103:$B$132=$B277) * (Mijlpalenbegroting!$I$103:$I$132) )*G183</f>
        <v>0</v>
      </c>
      <c r="R277" s="487" cm="1">
        <f t="array" ref="R277">SUMPRODUCT( (Mijlpalenbegroting!$B$103:$B$132=$B277) * (Mijlpalenbegroting!$I$103:$I$132) )*H183</f>
        <v>0</v>
      </c>
      <c r="S277" s="487" cm="1">
        <f t="array" ref="S277">SUMPRODUCT( (Mijlpalenbegroting!$B$103:$B$132=$B277) * (Mijlpalenbegroting!$I$103:$I$132) )*I183</f>
        <v>0</v>
      </c>
      <c r="T277" s="487" cm="1">
        <f t="array" ref="T277">SUMPRODUCT( (Mijlpalenbegroting!$B$103:$B$132=$B277) * (Mijlpalenbegroting!$I$103:$I$132) )*J183</f>
        <v>0</v>
      </c>
      <c r="U277" s="488">
        <f t="shared" si="82"/>
        <v>0</v>
      </c>
      <c r="AT277"/>
    </row>
    <row r="278" spans="1:46" ht="12.5" hidden="1" outlineLevel="1" x14ac:dyDescent="0.25">
      <c r="A278" s="22"/>
      <c r="B278" s="469" t="s">
        <v>335</v>
      </c>
      <c r="C278" s="489">
        <f>SUM(C263:C277)</f>
        <v>0</v>
      </c>
      <c r="D278" s="489">
        <f t="shared" ref="D278" si="83">SUM(D263:D277)</f>
        <v>0</v>
      </c>
      <c r="E278" s="489">
        <f t="shared" ref="E278" si="84">SUM(E263:E277)</f>
        <v>0</v>
      </c>
      <c r="F278" s="489">
        <f t="shared" ref="F278" si="85">SUM(F263:F277)</f>
        <v>0</v>
      </c>
      <c r="G278" s="489">
        <f t="shared" ref="G278" si="86">SUM(G263:G277)</f>
        <v>0</v>
      </c>
      <c r="H278" s="489">
        <f t="shared" ref="H278" si="87">SUM(H263:H277)</f>
        <v>0</v>
      </c>
      <c r="I278" s="489">
        <f t="shared" ref="I278" si="88">SUM(I263:I277)</f>
        <v>0</v>
      </c>
      <c r="J278" s="489">
        <f t="shared" ref="J278" si="89">SUM(J263:J277)</f>
        <v>0</v>
      </c>
      <c r="K278" s="488">
        <f t="shared" si="81"/>
        <v>0</v>
      </c>
      <c r="L278" s="469" t="s">
        <v>335</v>
      </c>
      <c r="M278" s="489">
        <f>SUM(M263:M277)</f>
        <v>0</v>
      </c>
      <c r="N278" s="489">
        <f t="shared" ref="N278" si="90">SUM(N263:N277)</f>
        <v>0</v>
      </c>
      <c r="O278" s="489">
        <f t="shared" ref="O278" si="91">SUM(O263:O277)</f>
        <v>0</v>
      </c>
      <c r="P278" s="489">
        <f t="shared" ref="P278" si="92">SUM(P263:P277)</f>
        <v>0</v>
      </c>
      <c r="Q278" s="489">
        <f t="shared" ref="Q278" si="93">SUM(Q263:Q277)</f>
        <v>0</v>
      </c>
      <c r="R278" s="489">
        <f t="shared" ref="R278" si="94">SUM(R263:R277)</f>
        <v>0</v>
      </c>
      <c r="S278" s="489">
        <f t="shared" ref="S278" si="95">SUM(S263:S277)</f>
        <v>0</v>
      </c>
      <c r="T278" s="489">
        <f t="shared" ref="T278" si="96">SUM(T263:T277)</f>
        <v>0</v>
      </c>
      <c r="U278" s="488">
        <f t="shared" si="82"/>
        <v>0</v>
      </c>
      <c r="AT278"/>
    </row>
    <row r="279" spans="1:46" ht="12.5" hidden="1" outlineLevel="1" x14ac:dyDescent="0.25">
      <c r="A279" s="22"/>
      <c r="B279" s="124"/>
      <c r="C279" s="115"/>
      <c r="D279" s="115"/>
      <c r="E279" s="115"/>
      <c r="F279" s="115"/>
      <c r="G279" s="115"/>
      <c r="H279" s="478"/>
      <c r="I279" s="115"/>
      <c r="J279" s="124"/>
      <c r="L279" s="115"/>
      <c r="M279" s="115"/>
      <c r="N279" s="115"/>
      <c r="O279" s="115"/>
      <c r="P279" s="115"/>
      <c r="Q279" s="115"/>
      <c r="R279" s="115"/>
      <c r="S279" s="23"/>
      <c r="AT279"/>
    </row>
    <row r="280" spans="1:46" ht="12.5" hidden="1" outlineLevel="1" x14ac:dyDescent="0.25">
      <c r="A280" s="22"/>
      <c r="B280" s="469"/>
      <c r="C280" s="481" t="s">
        <v>263</v>
      </c>
      <c r="D280" s="480"/>
      <c r="E280" s="480"/>
      <c r="F280" s="480"/>
      <c r="G280" s="480"/>
      <c r="H280" s="480"/>
      <c r="I280" s="480"/>
      <c r="J280" s="480"/>
      <c r="L280" s="115"/>
      <c r="M280" s="478" t="s">
        <v>262</v>
      </c>
      <c r="N280" s="115"/>
      <c r="O280" s="115"/>
      <c r="P280" s="115"/>
      <c r="Q280" s="115"/>
      <c r="R280" s="115"/>
      <c r="S280" s="23"/>
      <c r="AT280"/>
    </row>
    <row r="281" spans="1:46" ht="12.5" hidden="1" outlineLevel="1" x14ac:dyDescent="0.25">
      <c r="A281" s="22"/>
      <c r="B281" s="483" t="str">
        <f>Mijlpalenbegroting!B147</f>
        <v>Loonkosten</v>
      </c>
      <c r="C281" s="484">
        <f>$C$168</f>
        <v>1900</v>
      </c>
      <c r="D281" s="485">
        <f>$D$168</f>
        <v>1901</v>
      </c>
      <c r="E281" s="485">
        <f>$E$168</f>
        <v>1902</v>
      </c>
      <c r="F281" s="485">
        <f>$F$168</f>
        <v>1903</v>
      </c>
      <c r="G281" s="485">
        <f>$G$168</f>
        <v>1904</v>
      </c>
      <c r="H281" s="485">
        <f>$H$168</f>
        <v>1905</v>
      </c>
      <c r="I281" s="485">
        <f>$I$168</f>
        <v>1906</v>
      </c>
      <c r="J281" s="485">
        <f>$J$168</f>
        <v>1907</v>
      </c>
      <c r="K281" s="486" t="s">
        <v>335</v>
      </c>
      <c r="L281" s="479">
        <f>B264</f>
        <v>2</v>
      </c>
      <c r="M281" s="484">
        <f>$C$168</f>
        <v>1900</v>
      </c>
      <c r="N281" s="485">
        <f>$D$168</f>
        <v>1901</v>
      </c>
      <c r="O281" s="485">
        <f>$E$168</f>
        <v>1902</v>
      </c>
      <c r="P281" s="485">
        <f>$F$168</f>
        <v>1903</v>
      </c>
      <c r="Q281" s="485">
        <f>$G$168</f>
        <v>1904</v>
      </c>
      <c r="R281" s="485">
        <f>$H$168</f>
        <v>1905</v>
      </c>
      <c r="S281" s="485">
        <f>$I$168</f>
        <v>1906</v>
      </c>
      <c r="T281" s="485">
        <f>$J$168</f>
        <v>1907</v>
      </c>
      <c r="U281" s="486" t="s">
        <v>335</v>
      </c>
      <c r="AT281"/>
    </row>
    <row r="282" spans="1:46" ht="12.5" hidden="1" outlineLevel="1" x14ac:dyDescent="0.25">
      <c r="A282" s="22"/>
      <c r="B282" s="469">
        <f>$B$169</f>
        <v>1</v>
      </c>
      <c r="C282" s="490" cm="1">
        <f t="array" ref="C282">SUMPRODUCT( (Mijlpalenbegroting!$B$151:$B$165=$B282) * (Mijlpalenbegroting!$J$151:$J$165) )*C169  +  SUMPRODUCT( (Mijlpalenbegroting!$B$170:$B$184=$B282) * (Mijlpalenbegroting!$J$170:$J$184) )*C169</f>
        <v>0</v>
      </c>
      <c r="D282" s="490" cm="1">
        <f t="array" ref="D282">SUMPRODUCT( (Mijlpalenbegroting!$B$151:$B$165=$B282) * (Mijlpalenbegroting!$J$151:$J$165) )*D169  +  SUMPRODUCT( (Mijlpalenbegroting!$B$170:$B$184=$B282) * (Mijlpalenbegroting!$J$170:$J$184) )*D169</f>
        <v>0</v>
      </c>
      <c r="E282" s="490" cm="1">
        <f t="array" ref="E282">SUMPRODUCT( (Mijlpalenbegroting!$B$151:$B$165=$B282) * (Mijlpalenbegroting!$J$151:$J$165) )*E169  +  SUMPRODUCT( (Mijlpalenbegroting!$B$170:$B$184=$B282) * (Mijlpalenbegroting!$J$170:$J$184) )*E169</f>
        <v>0</v>
      </c>
      <c r="F282" s="490" cm="1">
        <f t="array" ref="F282">SUMPRODUCT( (Mijlpalenbegroting!$B$151:$B$165=$B282) * (Mijlpalenbegroting!$J$151:$J$165) )*F169  +  SUMPRODUCT( (Mijlpalenbegroting!$B$170:$B$184=$B282) * (Mijlpalenbegroting!$J$170:$J$184) )*F169</f>
        <v>0</v>
      </c>
      <c r="G282" s="490" cm="1">
        <f t="array" ref="G282">SUMPRODUCT( (Mijlpalenbegroting!$B$151:$B$165=$B282) * (Mijlpalenbegroting!$J$151:$J$165) )*G169  +  SUMPRODUCT( (Mijlpalenbegroting!$B$170:$B$184=$B282) * (Mijlpalenbegroting!$J$170:$J$184) )*G169</f>
        <v>0</v>
      </c>
      <c r="H282" s="490" cm="1">
        <f t="array" ref="H282">SUMPRODUCT( (Mijlpalenbegroting!$B$151:$B$165=$B282) * (Mijlpalenbegroting!$J$151:$J$165) )*H169  +  SUMPRODUCT( (Mijlpalenbegroting!$B$170:$B$184=$B282) * (Mijlpalenbegroting!$J$170:$J$184) )*H169</f>
        <v>0</v>
      </c>
      <c r="I282" s="490" cm="1">
        <f t="array" ref="I282">SUMPRODUCT( (Mijlpalenbegroting!$B$151:$B$165=$B282) * (Mijlpalenbegroting!$J$151:$J$165) )*I169  +  SUMPRODUCT( (Mijlpalenbegroting!$B$170:$B$184=$B282) * (Mijlpalenbegroting!$J$170:$J$184) )*I169</f>
        <v>0</v>
      </c>
      <c r="J282" s="490" cm="1">
        <f t="array" ref="J282">SUMPRODUCT( (Mijlpalenbegroting!$B$151:$B$165=$B282) * (Mijlpalenbegroting!$J$151:$J$165) )*J169  +  SUMPRODUCT( (Mijlpalenbegroting!$B$170:$B$184=$B282) * (Mijlpalenbegroting!$J$170:$J$184) )*J169</f>
        <v>0</v>
      </c>
      <c r="K282" s="488">
        <f>SUM(C282:J282)</f>
        <v>0</v>
      </c>
      <c r="L282" s="469">
        <f>$B$169</f>
        <v>1</v>
      </c>
      <c r="M282" s="487" cm="1">
        <f t="array" ref="M282">SUMPRODUCT( (Mijlpalenbegroting!$B$151:$B$165=$B282) * (Mijlpalenbegroting!$I$151:$I$165) )*C169  +  SUMPRODUCT( (Mijlpalenbegroting!$B$170:$B$184=$B282) * (Mijlpalenbegroting!$I$170:$I$184) )*C169</f>
        <v>0</v>
      </c>
      <c r="N282" s="487" cm="1">
        <f t="array" ref="N282">SUMPRODUCT( (Mijlpalenbegroting!$B$151:$B$165=$B282) * (Mijlpalenbegroting!$I$151:$I$165) )*D169  +  SUMPRODUCT( (Mijlpalenbegroting!$B$170:$B$184=$B282) * (Mijlpalenbegroting!$I$170:$I$184) )*D169</f>
        <v>0</v>
      </c>
      <c r="O282" s="487" cm="1">
        <f t="array" ref="O282">SUMPRODUCT( (Mijlpalenbegroting!$B$151:$B$165=$B282) * (Mijlpalenbegroting!$I$151:$I$165) )*E169  +  SUMPRODUCT( (Mijlpalenbegroting!$B$170:$B$184=$B282) * (Mijlpalenbegroting!$I$170:$I$184) )*E169</f>
        <v>0</v>
      </c>
      <c r="P282" s="487" cm="1">
        <f t="array" ref="P282">SUMPRODUCT( (Mijlpalenbegroting!$B$151:$B$165=$B282) * (Mijlpalenbegroting!$I$151:$I$165) )*F169  +  SUMPRODUCT( (Mijlpalenbegroting!$B$170:$B$184=$B282) * (Mijlpalenbegroting!$I$170:$I$184) )*F169</f>
        <v>0</v>
      </c>
      <c r="Q282" s="487" cm="1">
        <f t="array" ref="Q282">SUMPRODUCT( (Mijlpalenbegroting!$B$151:$B$165=$B282) * (Mijlpalenbegroting!$I$151:$I$165) )*G169  +  SUMPRODUCT( (Mijlpalenbegroting!$B$170:$B$184=$B282) * (Mijlpalenbegroting!$I$170:$I$184) )*G169</f>
        <v>0</v>
      </c>
      <c r="R282" s="487" cm="1">
        <f t="array" ref="R282">SUMPRODUCT( (Mijlpalenbegroting!$B$151:$B$165=$B282) * (Mijlpalenbegroting!$I$151:$I$165) )*H169  +  SUMPRODUCT( (Mijlpalenbegroting!$B$170:$B$184=$B282) * (Mijlpalenbegroting!$I$170:$I$184) )*H169</f>
        <v>0</v>
      </c>
      <c r="S282" s="487" cm="1">
        <f t="array" ref="S282">SUMPRODUCT( (Mijlpalenbegroting!$B$151:$B$165=$B282) * (Mijlpalenbegroting!$I$151:$I$165) )*I169  +  SUMPRODUCT( (Mijlpalenbegroting!$B$170:$B$184=$B282) * (Mijlpalenbegroting!$I$170:$I$184) )*I169</f>
        <v>0</v>
      </c>
      <c r="T282" s="487" cm="1">
        <f t="array" ref="T282">SUMPRODUCT( (Mijlpalenbegroting!$B$151:$B$165=$B282) * (Mijlpalenbegroting!$I$151:$I$165) )*J169  +  SUMPRODUCT( (Mijlpalenbegroting!$B$170:$B$184=$B282) * (Mijlpalenbegroting!$I$170:$I$184) )*J169</f>
        <v>0</v>
      </c>
      <c r="U282" s="488">
        <f>SUM(M282:T282)</f>
        <v>0</v>
      </c>
      <c r="AT282"/>
    </row>
    <row r="283" spans="1:46" ht="12.5" hidden="1" outlineLevel="1" x14ac:dyDescent="0.25">
      <c r="A283" s="22"/>
      <c r="B283" s="469">
        <f>$B$170</f>
        <v>2</v>
      </c>
      <c r="C283" s="490" cm="1">
        <f t="array" ref="C283">SUMPRODUCT( (Mijlpalenbegroting!$B$151:$B$165=$B283) * (Mijlpalenbegroting!$J$151:$J$165) )*C170  +  SUMPRODUCT( (Mijlpalenbegroting!$B$170:$B$184=$B283) * (Mijlpalenbegroting!$J$170:$J$184) )*C170</f>
        <v>0</v>
      </c>
      <c r="D283" s="490" cm="1">
        <f t="array" ref="D283">SUMPRODUCT( (Mijlpalenbegroting!$B$151:$B$165=$B283) * (Mijlpalenbegroting!$J$151:$J$165) )*D170  +  SUMPRODUCT( (Mijlpalenbegroting!$B$170:$B$184=$B283) * (Mijlpalenbegroting!$J$170:$J$184) )*D170</f>
        <v>0</v>
      </c>
      <c r="E283" s="490" cm="1">
        <f t="array" ref="E283">SUMPRODUCT( (Mijlpalenbegroting!$B$151:$B$165=$B283) * (Mijlpalenbegroting!$J$151:$J$165) )*E170  +  SUMPRODUCT( (Mijlpalenbegroting!$B$170:$B$184=$B283) * (Mijlpalenbegroting!$J$170:$J$184) )*E170</f>
        <v>0</v>
      </c>
      <c r="F283" s="490" cm="1">
        <f t="array" ref="F283">SUMPRODUCT( (Mijlpalenbegroting!$B$151:$B$165=$B283) * (Mijlpalenbegroting!$J$151:$J$165) )*F170  +  SUMPRODUCT( (Mijlpalenbegroting!$B$170:$B$184=$B283) * (Mijlpalenbegroting!$J$170:$J$184) )*F170</f>
        <v>0</v>
      </c>
      <c r="G283" s="490" cm="1">
        <f t="array" ref="G283">SUMPRODUCT( (Mijlpalenbegroting!$B$151:$B$165=$B283) * (Mijlpalenbegroting!$J$151:$J$165) )*G170  +  SUMPRODUCT( (Mijlpalenbegroting!$B$170:$B$184=$B283) * (Mijlpalenbegroting!$J$170:$J$184) )*G170</f>
        <v>0</v>
      </c>
      <c r="H283" s="490" cm="1">
        <f t="array" ref="H283">SUMPRODUCT( (Mijlpalenbegroting!$B$151:$B$165=$B283) * (Mijlpalenbegroting!$J$151:$J$165) )*H170  +  SUMPRODUCT( (Mijlpalenbegroting!$B$170:$B$184=$B283) * (Mijlpalenbegroting!$J$170:$J$184) )*H170</f>
        <v>0</v>
      </c>
      <c r="I283" s="490" cm="1">
        <f t="array" ref="I283">SUMPRODUCT( (Mijlpalenbegroting!$B$151:$B$165=$B283) * (Mijlpalenbegroting!$J$151:$J$165) )*I170  +  SUMPRODUCT( (Mijlpalenbegroting!$B$170:$B$184=$B283) * (Mijlpalenbegroting!$J$170:$J$184) )*I170</f>
        <v>0</v>
      </c>
      <c r="J283" s="490" cm="1">
        <f t="array" ref="J283">SUMPRODUCT( (Mijlpalenbegroting!$B$151:$B$165=$B283) * (Mijlpalenbegroting!$J$151:$J$165) )*J170  +  SUMPRODUCT( (Mijlpalenbegroting!$B$170:$B$184=$B283) * (Mijlpalenbegroting!$J$170:$J$184) )*J170</f>
        <v>0</v>
      </c>
      <c r="K283" s="488">
        <f t="shared" ref="K283:K297" si="97">SUM(C283:J283)</f>
        <v>0</v>
      </c>
      <c r="L283" s="469">
        <f>$B$170</f>
        <v>2</v>
      </c>
      <c r="M283" s="487" cm="1">
        <f t="array" ref="M283">SUMPRODUCT( (Mijlpalenbegroting!$B$151:$B$165=$B283) * (Mijlpalenbegroting!$I$151:$I$165) )*C170  +  SUMPRODUCT( (Mijlpalenbegroting!$B$170:$B$184=$B283) * (Mijlpalenbegroting!$I$170:$I$184) )*C170</f>
        <v>0</v>
      </c>
      <c r="N283" s="487" cm="1">
        <f t="array" ref="N283">SUMPRODUCT( (Mijlpalenbegroting!$B$151:$B$165=$B283) * (Mijlpalenbegroting!$I$151:$I$165) )*D170  +  SUMPRODUCT( (Mijlpalenbegroting!$B$170:$B$184=$B283) * (Mijlpalenbegroting!$I$170:$I$184) )*D170</f>
        <v>0</v>
      </c>
      <c r="O283" s="487" cm="1">
        <f t="array" ref="O283">SUMPRODUCT( (Mijlpalenbegroting!$B$151:$B$165=$B283) * (Mijlpalenbegroting!$I$151:$I$165) )*E170  +  SUMPRODUCT( (Mijlpalenbegroting!$B$170:$B$184=$B283) * (Mijlpalenbegroting!$I$170:$I$184) )*E170</f>
        <v>0</v>
      </c>
      <c r="P283" s="487" cm="1">
        <f t="array" ref="P283">SUMPRODUCT( (Mijlpalenbegroting!$B$151:$B$165=$B283) * (Mijlpalenbegroting!$I$151:$I$165) )*F170  +  SUMPRODUCT( (Mijlpalenbegroting!$B$170:$B$184=$B283) * (Mijlpalenbegroting!$I$170:$I$184) )*F170</f>
        <v>0</v>
      </c>
      <c r="Q283" s="487" cm="1">
        <f t="array" ref="Q283">SUMPRODUCT( (Mijlpalenbegroting!$B$151:$B$165=$B283) * (Mijlpalenbegroting!$I$151:$I$165) )*G170  +  SUMPRODUCT( (Mijlpalenbegroting!$B$170:$B$184=$B283) * (Mijlpalenbegroting!$I$170:$I$184) )*G170</f>
        <v>0</v>
      </c>
      <c r="R283" s="487" cm="1">
        <f t="array" ref="R283">SUMPRODUCT( (Mijlpalenbegroting!$B$151:$B$165=$B283) * (Mijlpalenbegroting!$I$151:$I$165) )*H170  +  SUMPRODUCT( (Mijlpalenbegroting!$B$170:$B$184=$B283) * (Mijlpalenbegroting!$I$170:$I$184) )*H170</f>
        <v>0</v>
      </c>
      <c r="S283" s="487" cm="1">
        <f t="array" ref="S283">SUMPRODUCT( (Mijlpalenbegroting!$B$151:$B$165=$B283) * (Mijlpalenbegroting!$I$151:$I$165) )*I170  +  SUMPRODUCT( (Mijlpalenbegroting!$B$170:$B$184=$B283) * (Mijlpalenbegroting!$I$170:$I$184) )*I170</f>
        <v>0</v>
      </c>
      <c r="T283" s="487" cm="1">
        <f t="array" ref="T283">SUMPRODUCT( (Mijlpalenbegroting!$B$151:$B$165=$B283) * (Mijlpalenbegroting!$I$151:$I$165) )*J170  +  SUMPRODUCT( (Mijlpalenbegroting!$B$170:$B$184=$B283) * (Mijlpalenbegroting!$I$170:$I$184) )*J170</f>
        <v>0</v>
      </c>
      <c r="U283" s="488">
        <f t="shared" ref="U283:U297" si="98">SUM(M283:T283)</f>
        <v>0</v>
      </c>
      <c r="AT283"/>
    </row>
    <row r="284" spans="1:46" ht="12.5" hidden="1" outlineLevel="1" x14ac:dyDescent="0.25">
      <c r="A284" s="22"/>
      <c r="B284" s="469">
        <f>$B$171</f>
        <v>3</v>
      </c>
      <c r="C284" s="490" cm="1">
        <f t="array" ref="C284">SUMPRODUCT( (Mijlpalenbegroting!$B$151:$B$165=$B284) * (Mijlpalenbegroting!$J$151:$J$165) )*C171  +  SUMPRODUCT( (Mijlpalenbegroting!$B$170:$B$184=$B284) * (Mijlpalenbegroting!$J$170:$J$184) )*C171</f>
        <v>0</v>
      </c>
      <c r="D284" s="490" cm="1">
        <f t="array" ref="D284">SUMPRODUCT( (Mijlpalenbegroting!$B$151:$B$165=$B284) * (Mijlpalenbegroting!$J$151:$J$165) )*D171  +  SUMPRODUCT( (Mijlpalenbegroting!$B$170:$B$184=$B284) * (Mijlpalenbegroting!$J$170:$J$184) )*D171</f>
        <v>0</v>
      </c>
      <c r="E284" s="490" cm="1">
        <f t="array" ref="E284">SUMPRODUCT( (Mijlpalenbegroting!$B$151:$B$165=$B284) * (Mijlpalenbegroting!$J$151:$J$165) )*E171  +  SUMPRODUCT( (Mijlpalenbegroting!$B$170:$B$184=$B284) * (Mijlpalenbegroting!$J$170:$J$184) )*E171</f>
        <v>0</v>
      </c>
      <c r="F284" s="490" cm="1">
        <f t="array" ref="F284">SUMPRODUCT( (Mijlpalenbegroting!$B$151:$B$165=$B284) * (Mijlpalenbegroting!$J$151:$J$165) )*F171  +  SUMPRODUCT( (Mijlpalenbegroting!$B$170:$B$184=$B284) * (Mijlpalenbegroting!$J$170:$J$184) )*F171</f>
        <v>0</v>
      </c>
      <c r="G284" s="490" cm="1">
        <f t="array" ref="G284">SUMPRODUCT( (Mijlpalenbegroting!$B$151:$B$165=$B284) * (Mijlpalenbegroting!$J$151:$J$165) )*G171  +  SUMPRODUCT( (Mijlpalenbegroting!$B$170:$B$184=$B284) * (Mijlpalenbegroting!$J$170:$J$184) )*G171</f>
        <v>0</v>
      </c>
      <c r="H284" s="490" cm="1">
        <f t="array" ref="H284">SUMPRODUCT( (Mijlpalenbegroting!$B$151:$B$165=$B284) * (Mijlpalenbegroting!$J$151:$J$165) )*H171  +  SUMPRODUCT( (Mijlpalenbegroting!$B$170:$B$184=$B284) * (Mijlpalenbegroting!$J$170:$J$184) )*H171</f>
        <v>0</v>
      </c>
      <c r="I284" s="490" cm="1">
        <f t="array" ref="I284">SUMPRODUCT( (Mijlpalenbegroting!$B$151:$B$165=$B284) * (Mijlpalenbegroting!$J$151:$J$165) )*I171  +  SUMPRODUCT( (Mijlpalenbegroting!$B$170:$B$184=$B284) * (Mijlpalenbegroting!$J$170:$J$184) )*I171</f>
        <v>0</v>
      </c>
      <c r="J284" s="490" cm="1">
        <f t="array" ref="J284">SUMPRODUCT( (Mijlpalenbegroting!$B$151:$B$165=$B284) * (Mijlpalenbegroting!$J$151:$J$165) )*J171  +  SUMPRODUCT( (Mijlpalenbegroting!$B$170:$B$184=$B284) * (Mijlpalenbegroting!$J$170:$J$184) )*J171</f>
        <v>0</v>
      </c>
      <c r="K284" s="488">
        <f t="shared" si="97"/>
        <v>0</v>
      </c>
      <c r="L284" s="469">
        <f>$B$171</f>
        <v>3</v>
      </c>
      <c r="M284" s="487" cm="1">
        <f t="array" ref="M284">SUMPRODUCT( (Mijlpalenbegroting!$B$151:$B$165=$B284) * (Mijlpalenbegroting!$I$151:$I$165) )*C171  +  SUMPRODUCT( (Mijlpalenbegroting!$B$170:$B$184=$B284) * (Mijlpalenbegroting!$I$170:$I$184) )*C171</f>
        <v>0</v>
      </c>
      <c r="N284" s="487" cm="1">
        <f t="array" ref="N284">SUMPRODUCT( (Mijlpalenbegroting!$B$151:$B$165=$B284) * (Mijlpalenbegroting!$I$151:$I$165) )*D171  +  SUMPRODUCT( (Mijlpalenbegroting!$B$170:$B$184=$B284) * (Mijlpalenbegroting!$I$170:$I$184) )*D171</f>
        <v>0</v>
      </c>
      <c r="O284" s="487" cm="1">
        <f t="array" ref="O284">SUMPRODUCT( (Mijlpalenbegroting!$B$151:$B$165=$B284) * (Mijlpalenbegroting!$I$151:$I$165) )*E171  +  SUMPRODUCT( (Mijlpalenbegroting!$B$170:$B$184=$B284) * (Mijlpalenbegroting!$I$170:$I$184) )*E171</f>
        <v>0</v>
      </c>
      <c r="P284" s="487" cm="1">
        <f t="array" ref="P284">SUMPRODUCT( (Mijlpalenbegroting!$B$151:$B$165=$B284) * (Mijlpalenbegroting!$I$151:$I$165) )*F171  +  SUMPRODUCT( (Mijlpalenbegroting!$B$170:$B$184=$B284) * (Mijlpalenbegroting!$I$170:$I$184) )*F171</f>
        <v>0</v>
      </c>
      <c r="Q284" s="487" cm="1">
        <f t="array" ref="Q284">SUMPRODUCT( (Mijlpalenbegroting!$B$151:$B$165=$B284) * (Mijlpalenbegroting!$I$151:$I$165) )*G171  +  SUMPRODUCT( (Mijlpalenbegroting!$B$170:$B$184=$B284) * (Mijlpalenbegroting!$I$170:$I$184) )*G171</f>
        <v>0</v>
      </c>
      <c r="R284" s="487" cm="1">
        <f t="array" ref="R284">SUMPRODUCT( (Mijlpalenbegroting!$B$151:$B$165=$B284) * (Mijlpalenbegroting!$I$151:$I$165) )*H171  +  SUMPRODUCT( (Mijlpalenbegroting!$B$170:$B$184=$B284) * (Mijlpalenbegroting!$I$170:$I$184) )*H171</f>
        <v>0</v>
      </c>
      <c r="S284" s="487" cm="1">
        <f t="array" ref="S284">SUMPRODUCT( (Mijlpalenbegroting!$B$151:$B$165=$B284) * (Mijlpalenbegroting!$I$151:$I$165) )*I171  +  SUMPRODUCT( (Mijlpalenbegroting!$B$170:$B$184=$B284) * (Mijlpalenbegroting!$I$170:$I$184) )*I171</f>
        <v>0</v>
      </c>
      <c r="T284" s="487" cm="1">
        <f t="array" ref="T284">SUMPRODUCT( (Mijlpalenbegroting!$B$151:$B$165=$B284) * (Mijlpalenbegroting!$I$151:$I$165) )*J171  +  SUMPRODUCT( (Mijlpalenbegroting!$B$170:$B$184=$B284) * (Mijlpalenbegroting!$I$170:$I$184) )*J171</f>
        <v>0</v>
      </c>
      <c r="U284" s="488">
        <f t="shared" si="98"/>
        <v>0</v>
      </c>
      <c r="AT284"/>
    </row>
    <row r="285" spans="1:46" ht="12.5" hidden="1" outlineLevel="1" x14ac:dyDescent="0.25">
      <c r="A285" s="22"/>
      <c r="B285" s="469">
        <f>$B$172</f>
        <v>4</v>
      </c>
      <c r="C285" s="490" cm="1">
        <f t="array" ref="C285">SUMPRODUCT( (Mijlpalenbegroting!$B$151:$B$165=$B285) * (Mijlpalenbegroting!$J$151:$J$165) )*C172  +  SUMPRODUCT( (Mijlpalenbegroting!$B$170:$B$184=$B285) * (Mijlpalenbegroting!$J$170:$J$184) )*C172</f>
        <v>0</v>
      </c>
      <c r="D285" s="490" cm="1">
        <f t="array" ref="D285">SUMPRODUCT( (Mijlpalenbegroting!$B$151:$B$165=$B285) * (Mijlpalenbegroting!$J$151:$J$165) )*D172  +  SUMPRODUCT( (Mijlpalenbegroting!$B$170:$B$184=$B285) * (Mijlpalenbegroting!$J$170:$J$184) )*D172</f>
        <v>0</v>
      </c>
      <c r="E285" s="490" cm="1">
        <f t="array" ref="E285">SUMPRODUCT( (Mijlpalenbegroting!$B$151:$B$165=$B285) * (Mijlpalenbegroting!$J$151:$J$165) )*E172  +  SUMPRODUCT( (Mijlpalenbegroting!$B$170:$B$184=$B285) * (Mijlpalenbegroting!$J$170:$J$184) )*E172</f>
        <v>0</v>
      </c>
      <c r="F285" s="490" cm="1">
        <f t="array" ref="F285">SUMPRODUCT( (Mijlpalenbegroting!$B$151:$B$165=$B285) * (Mijlpalenbegroting!$J$151:$J$165) )*F172  +  SUMPRODUCT( (Mijlpalenbegroting!$B$170:$B$184=$B285) * (Mijlpalenbegroting!$J$170:$J$184) )*F172</f>
        <v>0</v>
      </c>
      <c r="G285" s="490" cm="1">
        <f t="array" ref="G285">SUMPRODUCT( (Mijlpalenbegroting!$B$151:$B$165=$B285) * (Mijlpalenbegroting!$J$151:$J$165) )*G172  +  SUMPRODUCT( (Mijlpalenbegroting!$B$170:$B$184=$B285) * (Mijlpalenbegroting!$J$170:$J$184) )*G172</f>
        <v>0</v>
      </c>
      <c r="H285" s="490" cm="1">
        <f t="array" ref="H285">SUMPRODUCT( (Mijlpalenbegroting!$B$151:$B$165=$B285) * (Mijlpalenbegroting!$J$151:$J$165) )*H172  +  SUMPRODUCT( (Mijlpalenbegroting!$B$170:$B$184=$B285) * (Mijlpalenbegroting!$J$170:$J$184) )*H172</f>
        <v>0</v>
      </c>
      <c r="I285" s="490" cm="1">
        <f t="array" ref="I285">SUMPRODUCT( (Mijlpalenbegroting!$B$151:$B$165=$B285) * (Mijlpalenbegroting!$J$151:$J$165) )*I172  +  SUMPRODUCT( (Mijlpalenbegroting!$B$170:$B$184=$B285) * (Mijlpalenbegroting!$J$170:$J$184) )*I172</f>
        <v>0</v>
      </c>
      <c r="J285" s="490" cm="1">
        <f t="array" ref="J285">SUMPRODUCT( (Mijlpalenbegroting!$B$151:$B$165=$B285) * (Mijlpalenbegroting!$J$151:$J$165) )*J172  +  SUMPRODUCT( (Mijlpalenbegroting!$B$170:$B$184=$B285) * (Mijlpalenbegroting!$J$170:$J$184) )*J172</f>
        <v>0</v>
      </c>
      <c r="K285" s="488">
        <f t="shared" si="97"/>
        <v>0</v>
      </c>
      <c r="L285" s="469">
        <f>$B$172</f>
        <v>4</v>
      </c>
      <c r="M285" s="487" cm="1">
        <f t="array" ref="M285">SUMPRODUCT( (Mijlpalenbegroting!$B$151:$B$165=$B285) * (Mijlpalenbegroting!$I$151:$I$165) )*C172  +  SUMPRODUCT( (Mijlpalenbegroting!$B$170:$B$184=$B285) * (Mijlpalenbegroting!$I$170:$I$184) )*C172</f>
        <v>0</v>
      </c>
      <c r="N285" s="487" cm="1">
        <f t="array" ref="N285">SUMPRODUCT( (Mijlpalenbegroting!$B$151:$B$165=$B285) * (Mijlpalenbegroting!$I$151:$I$165) )*D172  +  SUMPRODUCT( (Mijlpalenbegroting!$B$170:$B$184=$B285) * (Mijlpalenbegroting!$I$170:$I$184) )*D172</f>
        <v>0</v>
      </c>
      <c r="O285" s="487" cm="1">
        <f t="array" ref="O285">SUMPRODUCT( (Mijlpalenbegroting!$B$151:$B$165=$B285) * (Mijlpalenbegroting!$I$151:$I$165) )*E172  +  SUMPRODUCT( (Mijlpalenbegroting!$B$170:$B$184=$B285) * (Mijlpalenbegroting!$I$170:$I$184) )*E172</f>
        <v>0</v>
      </c>
      <c r="P285" s="487" cm="1">
        <f t="array" ref="P285">SUMPRODUCT( (Mijlpalenbegroting!$B$151:$B$165=$B285) * (Mijlpalenbegroting!$I$151:$I$165) )*F172  +  SUMPRODUCT( (Mijlpalenbegroting!$B$170:$B$184=$B285) * (Mijlpalenbegroting!$I$170:$I$184) )*F172</f>
        <v>0</v>
      </c>
      <c r="Q285" s="487" cm="1">
        <f t="array" ref="Q285">SUMPRODUCT( (Mijlpalenbegroting!$B$151:$B$165=$B285) * (Mijlpalenbegroting!$I$151:$I$165) )*G172  +  SUMPRODUCT( (Mijlpalenbegroting!$B$170:$B$184=$B285) * (Mijlpalenbegroting!$I$170:$I$184) )*G172</f>
        <v>0</v>
      </c>
      <c r="R285" s="487" cm="1">
        <f t="array" ref="R285">SUMPRODUCT( (Mijlpalenbegroting!$B$151:$B$165=$B285) * (Mijlpalenbegroting!$I$151:$I$165) )*H172  +  SUMPRODUCT( (Mijlpalenbegroting!$B$170:$B$184=$B285) * (Mijlpalenbegroting!$I$170:$I$184) )*H172</f>
        <v>0</v>
      </c>
      <c r="S285" s="487" cm="1">
        <f t="array" ref="S285">SUMPRODUCT( (Mijlpalenbegroting!$B$151:$B$165=$B285) * (Mijlpalenbegroting!$I$151:$I$165) )*I172  +  SUMPRODUCT( (Mijlpalenbegroting!$B$170:$B$184=$B285) * (Mijlpalenbegroting!$I$170:$I$184) )*I172</f>
        <v>0</v>
      </c>
      <c r="T285" s="487" cm="1">
        <f t="array" ref="T285">SUMPRODUCT( (Mijlpalenbegroting!$B$151:$B$165=$B285) * (Mijlpalenbegroting!$I$151:$I$165) )*J172  +  SUMPRODUCT( (Mijlpalenbegroting!$B$170:$B$184=$B285) * (Mijlpalenbegroting!$I$170:$I$184) )*J172</f>
        <v>0</v>
      </c>
      <c r="U285" s="488">
        <f t="shared" si="98"/>
        <v>0</v>
      </c>
      <c r="AT285"/>
    </row>
    <row r="286" spans="1:46" ht="12.5" hidden="1" outlineLevel="1" x14ac:dyDescent="0.25">
      <c r="A286" s="22"/>
      <c r="B286" s="469">
        <f>$B$173</f>
        <v>5</v>
      </c>
      <c r="C286" s="490" cm="1">
        <f t="array" ref="C286">SUMPRODUCT( (Mijlpalenbegroting!$B$151:$B$165=$B286) * (Mijlpalenbegroting!$J$151:$J$165) )*C173  +  SUMPRODUCT( (Mijlpalenbegroting!$B$170:$B$184=$B286) * (Mijlpalenbegroting!$J$170:$J$184) )*C173</f>
        <v>0</v>
      </c>
      <c r="D286" s="490" cm="1">
        <f t="array" ref="D286">SUMPRODUCT( (Mijlpalenbegroting!$B$151:$B$165=$B286) * (Mijlpalenbegroting!$J$151:$J$165) )*D173  +  SUMPRODUCT( (Mijlpalenbegroting!$B$170:$B$184=$B286) * (Mijlpalenbegroting!$J$170:$J$184) )*D173</f>
        <v>0</v>
      </c>
      <c r="E286" s="490" cm="1">
        <f t="array" ref="E286">SUMPRODUCT( (Mijlpalenbegroting!$B$151:$B$165=$B286) * (Mijlpalenbegroting!$J$151:$J$165) )*E173  +  SUMPRODUCT( (Mijlpalenbegroting!$B$170:$B$184=$B286) * (Mijlpalenbegroting!$J$170:$J$184) )*E173</f>
        <v>0</v>
      </c>
      <c r="F286" s="490" cm="1">
        <f t="array" ref="F286">SUMPRODUCT( (Mijlpalenbegroting!$B$151:$B$165=$B286) * (Mijlpalenbegroting!$J$151:$J$165) )*F173  +  SUMPRODUCT( (Mijlpalenbegroting!$B$170:$B$184=$B286) * (Mijlpalenbegroting!$J$170:$J$184) )*F173</f>
        <v>0</v>
      </c>
      <c r="G286" s="490" cm="1">
        <f t="array" ref="G286">SUMPRODUCT( (Mijlpalenbegroting!$B$151:$B$165=$B286) * (Mijlpalenbegroting!$J$151:$J$165) )*G173  +  SUMPRODUCT( (Mijlpalenbegroting!$B$170:$B$184=$B286) * (Mijlpalenbegroting!$J$170:$J$184) )*G173</f>
        <v>0</v>
      </c>
      <c r="H286" s="490" cm="1">
        <f t="array" ref="H286">SUMPRODUCT( (Mijlpalenbegroting!$B$151:$B$165=$B286) * (Mijlpalenbegroting!$J$151:$J$165) )*H173  +  SUMPRODUCT( (Mijlpalenbegroting!$B$170:$B$184=$B286) * (Mijlpalenbegroting!$J$170:$J$184) )*H173</f>
        <v>0</v>
      </c>
      <c r="I286" s="490" cm="1">
        <f t="array" ref="I286">SUMPRODUCT( (Mijlpalenbegroting!$B$151:$B$165=$B286) * (Mijlpalenbegroting!$J$151:$J$165) )*I173  +  SUMPRODUCT( (Mijlpalenbegroting!$B$170:$B$184=$B286) * (Mijlpalenbegroting!$J$170:$J$184) )*I173</f>
        <v>0</v>
      </c>
      <c r="J286" s="490" cm="1">
        <f t="array" ref="J286">SUMPRODUCT( (Mijlpalenbegroting!$B$151:$B$165=$B286) * (Mijlpalenbegroting!$J$151:$J$165) )*J173  +  SUMPRODUCT( (Mijlpalenbegroting!$B$170:$B$184=$B286) * (Mijlpalenbegroting!$J$170:$J$184) )*J173</f>
        <v>0</v>
      </c>
      <c r="K286" s="488">
        <f t="shared" si="97"/>
        <v>0</v>
      </c>
      <c r="L286" s="469">
        <f>$B$173</f>
        <v>5</v>
      </c>
      <c r="M286" s="487" cm="1">
        <f t="array" ref="M286">SUMPRODUCT( (Mijlpalenbegroting!$B$151:$B$165=$B286) * (Mijlpalenbegroting!$I$151:$I$165) )*C173  +  SUMPRODUCT( (Mijlpalenbegroting!$B$170:$B$184=$B286) * (Mijlpalenbegroting!$I$170:$I$184) )*C173</f>
        <v>0</v>
      </c>
      <c r="N286" s="487" cm="1">
        <f t="array" ref="N286">SUMPRODUCT( (Mijlpalenbegroting!$B$151:$B$165=$B286) * (Mijlpalenbegroting!$I$151:$I$165) )*D173  +  SUMPRODUCT( (Mijlpalenbegroting!$B$170:$B$184=$B286) * (Mijlpalenbegroting!$I$170:$I$184) )*D173</f>
        <v>0</v>
      </c>
      <c r="O286" s="487" cm="1">
        <f t="array" ref="O286">SUMPRODUCT( (Mijlpalenbegroting!$B$151:$B$165=$B286) * (Mijlpalenbegroting!$I$151:$I$165) )*E173  +  SUMPRODUCT( (Mijlpalenbegroting!$B$170:$B$184=$B286) * (Mijlpalenbegroting!$I$170:$I$184) )*E173</f>
        <v>0</v>
      </c>
      <c r="P286" s="487" cm="1">
        <f t="array" ref="P286">SUMPRODUCT( (Mijlpalenbegroting!$B$151:$B$165=$B286) * (Mijlpalenbegroting!$I$151:$I$165) )*F173  +  SUMPRODUCT( (Mijlpalenbegroting!$B$170:$B$184=$B286) * (Mijlpalenbegroting!$I$170:$I$184) )*F173</f>
        <v>0</v>
      </c>
      <c r="Q286" s="487" cm="1">
        <f t="array" ref="Q286">SUMPRODUCT( (Mijlpalenbegroting!$B$151:$B$165=$B286) * (Mijlpalenbegroting!$I$151:$I$165) )*G173  +  SUMPRODUCT( (Mijlpalenbegroting!$B$170:$B$184=$B286) * (Mijlpalenbegroting!$I$170:$I$184) )*G173</f>
        <v>0</v>
      </c>
      <c r="R286" s="487" cm="1">
        <f t="array" ref="R286">SUMPRODUCT( (Mijlpalenbegroting!$B$151:$B$165=$B286) * (Mijlpalenbegroting!$I$151:$I$165) )*H173  +  SUMPRODUCT( (Mijlpalenbegroting!$B$170:$B$184=$B286) * (Mijlpalenbegroting!$I$170:$I$184) )*H173</f>
        <v>0</v>
      </c>
      <c r="S286" s="487" cm="1">
        <f t="array" ref="S286">SUMPRODUCT( (Mijlpalenbegroting!$B$151:$B$165=$B286) * (Mijlpalenbegroting!$I$151:$I$165) )*I173  +  SUMPRODUCT( (Mijlpalenbegroting!$B$170:$B$184=$B286) * (Mijlpalenbegroting!$I$170:$I$184) )*I173</f>
        <v>0</v>
      </c>
      <c r="T286" s="487" cm="1">
        <f t="array" ref="T286">SUMPRODUCT( (Mijlpalenbegroting!$B$151:$B$165=$B286) * (Mijlpalenbegroting!$I$151:$I$165) )*J173  +  SUMPRODUCT( (Mijlpalenbegroting!$B$170:$B$184=$B286) * (Mijlpalenbegroting!$I$170:$I$184) )*J173</f>
        <v>0</v>
      </c>
      <c r="U286" s="488">
        <f t="shared" si="98"/>
        <v>0</v>
      </c>
      <c r="AT286"/>
    </row>
    <row r="287" spans="1:46" ht="12.5" hidden="1" outlineLevel="1" x14ac:dyDescent="0.25">
      <c r="A287" s="22"/>
      <c r="B287" s="469">
        <f>$B$174</f>
        <v>6</v>
      </c>
      <c r="C287" s="490" cm="1">
        <f t="array" ref="C287">SUMPRODUCT( (Mijlpalenbegroting!$B$151:$B$165=$B287) * (Mijlpalenbegroting!$J$151:$J$165) )*C174  +  SUMPRODUCT( (Mijlpalenbegroting!$B$170:$B$184=$B287) * (Mijlpalenbegroting!$J$170:$J$184) )*C174</f>
        <v>0</v>
      </c>
      <c r="D287" s="490" cm="1">
        <f t="array" ref="D287">SUMPRODUCT( (Mijlpalenbegroting!$B$151:$B$165=$B287) * (Mijlpalenbegroting!$J$151:$J$165) )*D174  +  SUMPRODUCT( (Mijlpalenbegroting!$B$170:$B$184=$B287) * (Mijlpalenbegroting!$J$170:$J$184) )*D174</f>
        <v>0</v>
      </c>
      <c r="E287" s="490" cm="1">
        <f t="array" ref="E287">SUMPRODUCT( (Mijlpalenbegroting!$B$151:$B$165=$B287) * (Mijlpalenbegroting!$J$151:$J$165) )*E174  +  SUMPRODUCT( (Mijlpalenbegroting!$B$170:$B$184=$B287) * (Mijlpalenbegroting!$J$170:$J$184) )*E174</f>
        <v>0</v>
      </c>
      <c r="F287" s="490" cm="1">
        <f t="array" ref="F287">SUMPRODUCT( (Mijlpalenbegroting!$B$151:$B$165=$B287) * (Mijlpalenbegroting!$J$151:$J$165) )*F174  +  SUMPRODUCT( (Mijlpalenbegroting!$B$170:$B$184=$B287) * (Mijlpalenbegroting!$J$170:$J$184) )*F174</f>
        <v>0</v>
      </c>
      <c r="G287" s="490" cm="1">
        <f t="array" ref="G287">SUMPRODUCT( (Mijlpalenbegroting!$B$151:$B$165=$B287) * (Mijlpalenbegroting!$J$151:$J$165) )*G174  +  SUMPRODUCT( (Mijlpalenbegroting!$B$170:$B$184=$B287) * (Mijlpalenbegroting!$J$170:$J$184) )*G174</f>
        <v>0</v>
      </c>
      <c r="H287" s="490" cm="1">
        <f t="array" ref="H287">SUMPRODUCT( (Mijlpalenbegroting!$B$151:$B$165=$B287) * (Mijlpalenbegroting!$J$151:$J$165) )*H174  +  SUMPRODUCT( (Mijlpalenbegroting!$B$170:$B$184=$B287) * (Mijlpalenbegroting!$J$170:$J$184) )*H174</f>
        <v>0</v>
      </c>
      <c r="I287" s="490" cm="1">
        <f t="array" ref="I287">SUMPRODUCT( (Mijlpalenbegroting!$B$151:$B$165=$B287) * (Mijlpalenbegroting!$J$151:$J$165) )*I174  +  SUMPRODUCT( (Mijlpalenbegroting!$B$170:$B$184=$B287) * (Mijlpalenbegroting!$J$170:$J$184) )*I174</f>
        <v>0</v>
      </c>
      <c r="J287" s="490" cm="1">
        <f t="array" ref="J287">SUMPRODUCT( (Mijlpalenbegroting!$B$151:$B$165=$B287) * (Mijlpalenbegroting!$J$151:$J$165) )*J174  +  SUMPRODUCT( (Mijlpalenbegroting!$B$170:$B$184=$B287) * (Mijlpalenbegroting!$J$170:$J$184) )*J174</f>
        <v>0</v>
      </c>
      <c r="K287" s="488">
        <f t="shared" si="97"/>
        <v>0</v>
      </c>
      <c r="L287" s="469">
        <f>$B$174</f>
        <v>6</v>
      </c>
      <c r="M287" s="487" cm="1">
        <f t="array" ref="M287">SUMPRODUCT( (Mijlpalenbegroting!$B$151:$B$165=$B287) * (Mijlpalenbegroting!$I$151:$I$165) )*C174  +  SUMPRODUCT( (Mijlpalenbegroting!$B$170:$B$184=$B287) * (Mijlpalenbegroting!$I$170:$I$184) )*C174</f>
        <v>0</v>
      </c>
      <c r="N287" s="487" cm="1">
        <f t="array" ref="N287">SUMPRODUCT( (Mijlpalenbegroting!$B$151:$B$165=$B287) * (Mijlpalenbegroting!$I$151:$I$165) )*D174  +  SUMPRODUCT( (Mijlpalenbegroting!$B$170:$B$184=$B287) * (Mijlpalenbegroting!$I$170:$I$184) )*D174</f>
        <v>0</v>
      </c>
      <c r="O287" s="487" cm="1">
        <f t="array" ref="O287">SUMPRODUCT( (Mijlpalenbegroting!$B$151:$B$165=$B287) * (Mijlpalenbegroting!$I$151:$I$165) )*E174  +  SUMPRODUCT( (Mijlpalenbegroting!$B$170:$B$184=$B287) * (Mijlpalenbegroting!$I$170:$I$184) )*E174</f>
        <v>0</v>
      </c>
      <c r="P287" s="487" cm="1">
        <f t="array" ref="P287">SUMPRODUCT( (Mijlpalenbegroting!$B$151:$B$165=$B287) * (Mijlpalenbegroting!$I$151:$I$165) )*F174  +  SUMPRODUCT( (Mijlpalenbegroting!$B$170:$B$184=$B287) * (Mijlpalenbegroting!$I$170:$I$184) )*F174</f>
        <v>0</v>
      </c>
      <c r="Q287" s="487" cm="1">
        <f t="array" ref="Q287">SUMPRODUCT( (Mijlpalenbegroting!$B$151:$B$165=$B287) * (Mijlpalenbegroting!$I$151:$I$165) )*G174  +  SUMPRODUCT( (Mijlpalenbegroting!$B$170:$B$184=$B287) * (Mijlpalenbegroting!$I$170:$I$184) )*G174</f>
        <v>0</v>
      </c>
      <c r="R287" s="487" cm="1">
        <f t="array" ref="R287">SUMPRODUCT( (Mijlpalenbegroting!$B$151:$B$165=$B287) * (Mijlpalenbegroting!$I$151:$I$165) )*H174  +  SUMPRODUCT( (Mijlpalenbegroting!$B$170:$B$184=$B287) * (Mijlpalenbegroting!$I$170:$I$184) )*H174</f>
        <v>0</v>
      </c>
      <c r="S287" s="487" cm="1">
        <f t="array" ref="S287">SUMPRODUCT( (Mijlpalenbegroting!$B$151:$B$165=$B287) * (Mijlpalenbegroting!$I$151:$I$165) )*I174  +  SUMPRODUCT( (Mijlpalenbegroting!$B$170:$B$184=$B287) * (Mijlpalenbegroting!$I$170:$I$184) )*I174</f>
        <v>0</v>
      </c>
      <c r="T287" s="487" cm="1">
        <f t="array" ref="T287">SUMPRODUCT( (Mijlpalenbegroting!$B$151:$B$165=$B287) * (Mijlpalenbegroting!$I$151:$I$165) )*J174  +  SUMPRODUCT( (Mijlpalenbegroting!$B$170:$B$184=$B287) * (Mijlpalenbegroting!$I$170:$I$184) )*J174</f>
        <v>0</v>
      </c>
      <c r="U287" s="488">
        <f t="shared" si="98"/>
        <v>0</v>
      </c>
      <c r="AT287"/>
    </row>
    <row r="288" spans="1:46" ht="12.5" hidden="1" outlineLevel="1" x14ac:dyDescent="0.25">
      <c r="A288" s="22"/>
      <c r="B288" s="469">
        <f>$B$175</f>
        <v>7</v>
      </c>
      <c r="C288" s="490" cm="1">
        <f t="array" ref="C288">SUMPRODUCT( (Mijlpalenbegroting!$B$151:$B$165=$B288) * (Mijlpalenbegroting!$J$151:$J$165) )*C175  +  SUMPRODUCT( (Mijlpalenbegroting!$B$170:$B$184=$B288) * (Mijlpalenbegroting!$J$170:$J$184) )*C175</f>
        <v>0</v>
      </c>
      <c r="D288" s="490" cm="1">
        <f t="array" ref="D288">SUMPRODUCT( (Mijlpalenbegroting!$B$151:$B$165=$B288) * (Mijlpalenbegroting!$J$151:$J$165) )*D175  +  SUMPRODUCT( (Mijlpalenbegroting!$B$170:$B$184=$B288) * (Mijlpalenbegroting!$J$170:$J$184) )*D175</f>
        <v>0</v>
      </c>
      <c r="E288" s="490" cm="1">
        <f t="array" ref="E288">SUMPRODUCT( (Mijlpalenbegroting!$B$151:$B$165=$B288) * (Mijlpalenbegroting!$J$151:$J$165) )*E175  +  SUMPRODUCT( (Mijlpalenbegroting!$B$170:$B$184=$B288) * (Mijlpalenbegroting!$J$170:$J$184) )*E175</f>
        <v>0</v>
      </c>
      <c r="F288" s="490" cm="1">
        <f t="array" ref="F288">SUMPRODUCT( (Mijlpalenbegroting!$B$151:$B$165=$B288) * (Mijlpalenbegroting!$J$151:$J$165) )*F175  +  SUMPRODUCT( (Mijlpalenbegroting!$B$170:$B$184=$B288) * (Mijlpalenbegroting!$J$170:$J$184) )*F175</f>
        <v>0</v>
      </c>
      <c r="G288" s="490" cm="1">
        <f t="array" ref="G288">SUMPRODUCT( (Mijlpalenbegroting!$B$151:$B$165=$B288) * (Mijlpalenbegroting!$J$151:$J$165) )*G175  +  SUMPRODUCT( (Mijlpalenbegroting!$B$170:$B$184=$B288) * (Mijlpalenbegroting!$J$170:$J$184) )*G175</f>
        <v>0</v>
      </c>
      <c r="H288" s="490" cm="1">
        <f t="array" ref="H288">SUMPRODUCT( (Mijlpalenbegroting!$B$151:$B$165=$B288) * (Mijlpalenbegroting!$J$151:$J$165) )*H175  +  SUMPRODUCT( (Mijlpalenbegroting!$B$170:$B$184=$B288) * (Mijlpalenbegroting!$J$170:$J$184) )*H175</f>
        <v>0</v>
      </c>
      <c r="I288" s="490" cm="1">
        <f t="array" ref="I288">SUMPRODUCT( (Mijlpalenbegroting!$B$151:$B$165=$B288) * (Mijlpalenbegroting!$J$151:$J$165) )*I175  +  SUMPRODUCT( (Mijlpalenbegroting!$B$170:$B$184=$B288) * (Mijlpalenbegroting!$J$170:$J$184) )*I175</f>
        <v>0</v>
      </c>
      <c r="J288" s="490" cm="1">
        <f t="array" ref="J288">SUMPRODUCT( (Mijlpalenbegroting!$B$151:$B$165=$B288) * (Mijlpalenbegroting!$J$151:$J$165) )*J175  +  SUMPRODUCT( (Mijlpalenbegroting!$B$170:$B$184=$B288) * (Mijlpalenbegroting!$J$170:$J$184) )*J175</f>
        <v>0</v>
      </c>
      <c r="K288" s="488">
        <f t="shared" si="97"/>
        <v>0</v>
      </c>
      <c r="L288" s="469">
        <f>$B$175</f>
        <v>7</v>
      </c>
      <c r="M288" s="487" cm="1">
        <f t="array" ref="M288">SUMPRODUCT( (Mijlpalenbegroting!$B$151:$B$165=$B288) * (Mijlpalenbegroting!$I$151:$I$165) )*C175  +  SUMPRODUCT( (Mijlpalenbegroting!$B$170:$B$184=$B288) * (Mijlpalenbegroting!$I$170:$I$184) )*C175</f>
        <v>0</v>
      </c>
      <c r="N288" s="487" cm="1">
        <f t="array" ref="N288">SUMPRODUCT( (Mijlpalenbegroting!$B$151:$B$165=$B288) * (Mijlpalenbegroting!$I$151:$I$165) )*D175  +  SUMPRODUCT( (Mijlpalenbegroting!$B$170:$B$184=$B288) * (Mijlpalenbegroting!$I$170:$I$184) )*D175</f>
        <v>0</v>
      </c>
      <c r="O288" s="487" cm="1">
        <f t="array" ref="O288">SUMPRODUCT( (Mijlpalenbegroting!$B$151:$B$165=$B288) * (Mijlpalenbegroting!$I$151:$I$165) )*E175  +  SUMPRODUCT( (Mijlpalenbegroting!$B$170:$B$184=$B288) * (Mijlpalenbegroting!$I$170:$I$184) )*E175</f>
        <v>0</v>
      </c>
      <c r="P288" s="487" cm="1">
        <f t="array" ref="P288">SUMPRODUCT( (Mijlpalenbegroting!$B$151:$B$165=$B288) * (Mijlpalenbegroting!$I$151:$I$165) )*F175  +  SUMPRODUCT( (Mijlpalenbegroting!$B$170:$B$184=$B288) * (Mijlpalenbegroting!$I$170:$I$184) )*F175</f>
        <v>0</v>
      </c>
      <c r="Q288" s="487" cm="1">
        <f t="array" ref="Q288">SUMPRODUCT( (Mijlpalenbegroting!$B$151:$B$165=$B288) * (Mijlpalenbegroting!$I$151:$I$165) )*G175  +  SUMPRODUCT( (Mijlpalenbegroting!$B$170:$B$184=$B288) * (Mijlpalenbegroting!$I$170:$I$184) )*G175</f>
        <v>0</v>
      </c>
      <c r="R288" s="487" cm="1">
        <f t="array" ref="R288">SUMPRODUCT( (Mijlpalenbegroting!$B$151:$B$165=$B288) * (Mijlpalenbegroting!$I$151:$I$165) )*H175  +  SUMPRODUCT( (Mijlpalenbegroting!$B$170:$B$184=$B288) * (Mijlpalenbegroting!$I$170:$I$184) )*H175</f>
        <v>0</v>
      </c>
      <c r="S288" s="487" cm="1">
        <f t="array" ref="S288">SUMPRODUCT( (Mijlpalenbegroting!$B$151:$B$165=$B288) * (Mijlpalenbegroting!$I$151:$I$165) )*I175  +  SUMPRODUCT( (Mijlpalenbegroting!$B$170:$B$184=$B288) * (Mijlpalenbegroting!$I$170:$I$184) )*I175</f>
        <v>0</v>
      </c>
      <c r="T288" s="487" cm="1">
        <f t="array" ref="T288">SUMPRODUCT( (Mijlpalenbegroting!$B$151:$B$165=$B288) * (Mijlpalenbegroting!$I$151:$I$165) )*J175  +  SUMPRODUCT( (Mijlpalenbegroting!$B$170:$B$184=$B288) * (Mijlpalenbegroting!$I$170:$I$184) )*J175</f>
        <v>0</v>
      </c>
      <c r="U288" s="488">
        <f t="shared" si="98"/>
        <v>0</v>
      </c>
      <c r="AT288"/>
    </row>
    <row r="289" spans="1:46" ht="12.5" hidden="1" outlineLevel="1" x14ac:dyDescent="0.25">
      <c r="A289" s="22"/>
      <c r="B289" s="469">
        <f>$B$176</f>
        <v>8</v>
      </c>
      <c r="C289" s="490" cm="1">
        <f t="array" ref="C289">SUMPRODUCT( (Mijlpalenbegroting!$B$151:$B$165=$B289) * (Mijlpalenbegroting!$J$151:$J$165) )*C176  +  SUMPRODUCT( (Mijlpalenbegroting!$B$170:$B$184=$B289) * (Mijlpalenbegroting!$J$170:$J$184) )*C176</f>
        <v>0</v>
      </c>
      <c r="D289" s="490" cm="1">
        <f t="array" ref="D289">SUMPRODUCT( (Mijlpalenbegroting!$B$151:$B$165=$B289) * (Mijlpalenbegroting!$J$151:$J$165) )*D176  +  SUMPRODUCT( (Mijlpalenbegroting!$B$170:$B$184=$B289) * (Mijlpalenbegroting!$J$170:$J$184) )*D176</f>
        <v>0</v>
      </c>
      <c r="E289" s="490" cm="1">
        <f t="array" ref="E289">SUMPRODUCT( (Mijlpalenbegroting!$B$151:$B$165=$B289) * (Mijlpalenbegroting!$J$151:$J$165) )*E176  +  SUMPRODUCT( (Mijlpalenbegroting!$B$170:$B$184=$B289) * (Mijlpalenbegroting!$J$170:$J$184) )*E176</f>
        <v>0</v>
      </c>
      <c r="F289" s="490" cm="1">
        <f t="array" ref="F289">SUMPRODUCT( (Mijlpalenbegroting!$B$151:$B$165=$B289) * (Mijlpalenbegroting!$J$151:$J$165) )*F176  +  SUMPRODUCT( (Mijlpalenbegroting!$B$170:$B$184=$B289) * (Mijlpalenbegroting!$J$170:$J$184) )*F176</f>
        <v>0</v>
      </c>
      <c r="G289" s="490" cm="1">
        <f t="array" ref="G289">SUMPRODUCT( (Mijlpalenbegroting!$B$151:$B$165=$B289) * (Mijlpalenbegroting!$J$151:$J$165) )*G176  +  SUMPRODUCT( (Mijlpalenbegroting!$B$170:$B$184=$B289) * (Mijlpalenbegroting!$J$170:$J$184) )*G176</f>
        <v>0</v>
      </c>
      <c r="H289" s="490" cm="1">
        <f t="array" ref="H289">SUMPRODUCT( (Mijlpalenbegroting!$B$151:$B$165=$B289) * (Mijlpalenbegroting!$J$151:$J$165) )*H176  +  SUMPRODUCT( (Mijlpalenbegroting!$B$170:$B$184=$B289) * (Mijlpalenbegroting!$J$170:$J$184) )*H176</f>
        <v>0</v>
      </c>
      <c r="I289" s="490" cm="1">
        <f t="array" ref="I289">SUMPRODUCT( (Mijlpalenbegroting!$B$151:$B$165=$B289) * (Mijlpalenbegroting!$J$151:$J$165) )*I176  +  SUMPRODUCT( (Mijlpalenbegroting!$B$170:$B$184=$B289) * (Mijlpalenbegroting!$J$170:$J$184) )*I176</f>
        <v>0</v>
      </c>
      <c r="J289" s="490" cm="1">
        <f t="array" ref="J289">SUMPRODUCT( (Mijlpalenbegroting!$B$151:$B$165=$B289) * (Mijlpalenbegroting!$J$151:$J$165) )*J176  +  SUMPRODUCT( (Mijlpalenbegroting!$B$170:$B$184=$B289) * (Mijlpalenbegroting!$J$170:$J$184) )*J176</f>
        <v>0</v>
      </c>
      <c r="K289" s="488">
        <f t="shared" si="97"/>
        <v>0</v>
      </c>
      <c r="L289" s="469">
        <f>$B$176</f>
        <v>8</v>
      </c>
      <c r="M289" s="487" cm="1">
        <f t="array" ref="M289">SUMPRODUCT( (Mijlpalenbegroting!$B$151:$B$165=$B289) * (Mijlpalenbegroting!$I$151:$I$165) )*C176  +  SUMPRODUCT( (Mijlpalenbegroting!$B$170:$B$184=$B289) * (Mijlpalenbegroting!$I$170:$I$184) )*C176</f>
        <v>0</v>
      </c>
      <c r="N289" s="487" cm="1">
        <f t="array" ref="N289">SUMPRODUCT( (Mijlpalenbegroting!$B$151:$B$165=$B289) * (Mijlpalenbegroting!$I$151:$I$165) )*D176  +  SUMPRODUCT( (Mijlpalenbegroting!$B$170:$B$184=$B289) * (Mijlpalenbegroting!$I$170:$I$184) )*D176</f>
        <v>0</v>
      </c>
      <c r="O289" s="487" cm="1">
        <f t="array" ref="O289">SUMPRODUCT( (Mijlpalenbegroting!$B$151:$B$165=$B289) * (Mijlpalenbegroting!$I$151:$I$165) )*E176  +  SUMPRODUCT( (Mijlpalenbegroting!$B$170:$B$184=$B289) * (Mijlpalenbegroting!$I$170:$I$184) )*E176</f>
        <v>0</v>
      </c>
      <c r="P289" s="487" cm="1">
        <f t="array" ref="P289">SUMPRODUCT( (Mijlpalenbegroting!$B$151:$B$165=$B289) * (Mijlpalenbegroting!$I$151:$I$165) )*F176  +  SUMPRODUCT( (Mijlpalenbegroting!$B$170:$B$184=$B289) * (Mijlpalenbegroting!$I$170:$I$184) )*F176</f>
        <v>0</v>
      </c>
      <c r="Q289" s="487" cm="1">
        <f t="array" ref="Q289">SUMPRODUCT( (Mijlpalenbegroting!$B$151:$B$165=$B289) * (Mijlpalenbegroting!$I$151:$I$165) )*G176  +  SUMPRODUCT( (Mijlpalenbegroting!$B$170:$B$184=$B289) * (Mijlpalenbegroting!$I$170:$I$184) )*G176</f>
        <v>0</v>
      </c>
      <c r="R289" s="487" cm="1">
        <f t="array" ref="R289">SUMPRODUCT( (Mijlpalenbegroting!$B$151:$B$165=$B289) * (Mijlpalenbegroting!$I$151:$I$165) )*H176  +  SUMPRODUCT( (Mijlpalenbegroting!$B$170:$B$184=$B289) * (Mijlpalenbegroting!$I$170:$I$184) )*H176</f>
        <v>0</v>
      </c>
      <c r="S289" s="487" cm="1">
        <f t="array" ref="S289">SUMPRODUCT( (Mijlpalenbegroting!$B$151:$B$165=$B289) * (Mijlpalenbegroting!$I$151:$I$165) )*I176  +  SUMPRODUCT( (Mijlpalenbegroting!$B$170:$B$184=$B289) * (Mijlpalenbegroting!$I$170:$I$184) )*I176</f>
        <v>0</v>
      </c>
      <c r="T289" s="487" cm="1">
        <f t="array" ref="T289">SUMPRODUCT( (Mijlpalenbegroting!$B$151:$B$165=$B289) * (Mijlpalenbegroting!$I$151:$I$165) )*J176  +  SUMPRODUCT( (Mijlpalenbegroting!$B$170:$B$184=$B289) * (Mijlpalenbegroting!$I$170:$I$184) )*J176</f>
        <v>0</v>
      </c>
      <c r="U289" s="488">
        <f t="shared" si="98"/>
        <v>0</v>
      </c>
      <c r="AT289"/>
    </row>
    <row r="290" spans="1:46" ht="12.5" hidden="1" outlineLevel="1" x14ac:dyDescent="0.25">
      <c r="A290" s="22"/>
      <c r="B290" s="469">
        <f>$B$177</f>
        <v>9</v>
      </c>
      <c r="C290" s="490" cm="1">
        <f t="array" ref="C290">SUMPRODUCT( (Mijlpalenbegroting!$B$151:$B$165=$B290) * (Mijlpalenbegroting!$J$151:$J$165) )*C177  +  SUMPRODUCT( (Mijlpalenbegroting!$B$170:$B$184=$B290) * (Mijlpalenbegroting!$J$170:$J$184) )*C177</f>
        <v>0</v>
      </c>
      <c r="D290" s="490" cm="1">
        <f t="array" ref="D290">SUMPRODUCT( (Mijlpalenbegroting!$B$151:$B$165=$B290) * (Mijlpalenbegroting!$J$151:$J$165) )*D177  +  SUMPRODUCT( (Mijlpalenbegroting!$B$170:$B$184=$B290) * (Mijlpalenbegroting!$J$170:$J$184) )*D177</f>
        <v>0</v>
      </c>
      <c r="E290" s="490" cm="1">
        <f t="array" ref="E290">SUMPRODUCT( (Mijlpalenbegroting!$B$151:$B$165=$B290) * (Mijlpalenbegroting!$J$151:$J$165) )*E177  +  SUMPRODUCT( (Mijlpalenbegroting!$B$170:$B$184=$B290) * (Mijlpalenbegroting!$J$170:$J$184) )*E177</f>
        <v>0</v>
      </c>
      <c r="F290" s="490" cm="1">
        <f t="array" ref="F290">SUMPRODUCT( (Mijlpalenbegroting!$B$151:$B$165=$B290) * (Mijlpalenbegroting!$J$151:$J$165) )*F177  +  SUMPRODUCT( (Mijlpalenbegroting!$B$170:$B$184=$B290) * (Mijlpalenbegroting!$J$170:$J$184) )*F177</f>
        <v>0</v>
      </c>
      <c r="G290" s="490" cm="1">
        <f t="array" ref="G290">SUMPRODUCT( (Mijlpalenbegroting!$B$151:$B$165=$B290) * (Mijlpalenbegroting!$J$151:$J$165) )*G177  +  SUMPRODUCT( (Mijlpalenbegroting!$B$170:$B$184=$B290) * (Mijlpalenbegroting!$J$170:$J$184) )*G177</f>
        <v>0</v>
      </c>
      <c r="H290" s="490" cm="1">
        <f t="array" ref="H290">SUMPRODUCT( (Mijlpalenbegroting!$B$151:$B$165=$B290) * (Mijlpalenbegroting!$J$151:$J$165) )*H177  +  SUMPRODUCT( (Mijlpalenbegroting!$B$170:$B$184=$B290) * (Mijlpalenbegroting!$J$170:$J$184) )*H177</f>
        <v>0</v>
      </c>
      <c r="I290" s="490" cm="1">
        <f t="array" ref="I290">SUMPRODUCT( (Mijlpalenbegroting!$B$151:$B$165=$B290) * (Mijlpalenbegroting!$J$151:$J$165) )*I177  +  SUMPRODUCT( (Mijlpalenbegroting!$B$170:$B$184=$B290) * (Mijlpalenbegroting!$J$170:$J$184) )*I177</f>
        <v>0</v>
      </c>
      <c r="J290" s="490" cm="1">
        <f t="array" ref="J290">SUMPRODUCT( (Mijlpalenbegroting!$B$151:$B$165=$B290) * (Mijlpalenbegroting!$J$151:$J$165) )*J177  +  SUMPRODUCT( (Mijlpalenbegroting!$B$170:$B$184=$B290) * (Mijlpalenbegroting!$J$170:$J$184) )*J177</f>
        <v>0</v>
      </c>
      <c r="K290" s="488">
        <f t="shared" si="97"/>
        <v>0</v>
      </c>
      <c r="L290" s="469">
        <f>$B$177</f>
        <v>9</v>
      </c>
      <c r="M290" s="487" cm="1">
        <f t="array" ref="M290">SUMPRODUCT( (Mijlpalenbegroting!$B$151:$B$165=$B290) * (Mijlpalenbegroting!$I$151:$I$165) )*C177  +  SUMPRODUCT( (Mijlpalenbegroting!$B$170:$B$184=$B290) * (Mijlpalenbegroting!$I$170:$I$184) )*C177</f>
        <v>0</v>
      </c>
      <c r="N290" s="487" cm="1">
        <f t="array" ref="N290">SUMPRODUCT( (Mijlpalenbegroting!$B$151:$B$165=$B290) * (Mijlpalenbegroting!$I$151:$I$165) )*D177  +  SUMPRODUCT( (Mijlpalenbegroting!$B$170:$B$184=$B290) * (Mijlpalenbegroting!$I$170:$I$184) )*D177</f>
        <v>0</v>
      </c>
      <c r="O290" s="487" cm="1">
        <f t="array" ref="O290">SUMPRODUCT( (Mijlpalenbegroting!$B$151:$B$165=$B290) * (Mijlpalenbegroting!$I$151:$I$165) )*E177  +  SUMPRODUCT( (Mijlpalenbegroting!$B$170:$B$184=$B290) * (Mijlpalenbegroting!$I$170:$I$184) )*E177</f>
        <v>0</v>
      </c>
      <c r="P290" s="487" cm="1">
        <f t="array" ref="P290">SUMPRODUCT( (Mijlpalenbegroting!$B$151:$B$165=$B290) * (Mijlpalenbegroting!$I$151:$I$165) )*F177  +  SUMPRODUCT( (Mijlpalenbegroting!$B$170:$B$184=$B290) * (Mijlpalenbegroting!$I$170:$I$184) )*F177</f>
        <v>0</v>
      </c>
      <c r="Q290" s="487" cm="1">
        <f t="array" ref="Q290">SUMPRODUCT( (Mijlpalenbegroting!$B$151:$B$165=$B290) * (Mijlpalenbegroting!$I$151:$I$165) )*G177  +  SUMPRODUCT( (Mijlpalenbegroting!$B$170:$B$184=$B290) * (Mijlpalenbegroting!$I$170:$I$184) )*G177</f>
        <v>0</v>
      </c>
      <c r="R290" s="487" cm="1">
        <f t="array" ref="R290">SUMPRODUCT( (Mijlpalenbegroting!$B$151:$B$165=$B290) * (Mijlpalenbegroting!$I$151:$I$165) )*H177  +  SUMPRODUCT( (Mijlpalenbegroting!$B$170:$B$184=$B290) * (Mijlpalenbegroting!$I$170:$I$184) )*H177</f>
        <v>0</v>
      </c>
      <c r="S290" s="487" cm="1">
        <f t="array" ref="S290">SUMPRODUCT( (Mijlpalenbegroting!$B$151:$B$165=$B290) * (Mijlpalenbegroting!$I$151:$I$165) )*I177  +  SUMPRODUCT( (Mijlpalenbegroting!$B$170:$B$184=$B290) * (Mijlpalenbegroting!$I$170:$I$184) )*I177</f>
        <v>0</v>
      </c>
      <c r="T290" s="487" cm="1">
        <f t="array" ref="T290">SUMPRODUCT( (Mijlpalenbegroting!$B$151:$B$165=$B290) * (Mijlpalenbegroting!$I$151:$I$165) )*J177  +  SUMPRODUCT( (Mijlpalenbegroting!$B$170:$B$184=$B290) * (Mijlpalenbegroting!$I$170:$I$184) )*J177</f>
        <v>0</v>
      </c>
      <c r="U290" s="488">
        <f t="shared" si="98"/>
        <v>0</v>
      </c>
      <c r="AT290"/>
    </row>
    <row r="291" spans="1:46" ht="12.5" hidden="1" outlineLevel="1" x14ac:dyDescent="0.25">
      <c r="A291" s="22"/>
      <c r="B291" s="469">
        <f>$B$178</f>
        <v>10</v>
      </c>
      <c r="C291" s="490" cm="1">
        <f t="array" ref="C291">SUMPRODUCT( (Mijlpalenbegroting!$B$151:$B$165=$B291) * (Mijlpalenbegroting!$J$151:$J$165) )*C178  +  SUMPRODUCT( (Mijlpalenbegroting!$B$170:$B$184=$B291) * (Mijlpalenbegroting!$J$170:$J$184) )*C178</f>
        <v>0</v>
      </c>
      <c r="D291" s="490" cm="1">
        <f t="array" ref="D291">SUMPRODUCT( (Mijlpalenbegroting!$B$151:$B$165=$B291) * (Mijlpalenbegroting!$J$151:$J$165) )*D178  +  SUMPRODUCT( (Mijlpalenbegroting!$B$170:$B$184=$B291) * (Mijlpalenbegroting!$J$170:$J$184) )*D178</f>
        <v>0</v>
      </c>
      <c r="E291" s="490" cm="1">
        <f t="array" ref="E291">SUMPRODUCT( (Mijlpalenbegroting!$B$151:$B$165=$B291) * (Mijlpalenbegroting!$J$151:$J$165) )*E178  +  SUMPRODUCT( (Mijlpalenbegroting!$B$170:$B$184=$B291) * (Mijlpalenbegroting!$J$170:$J$184) )*E178</f>
        <v>0</v>
      </c>
      <c r="F291" s="490" cm="1">
        <f t="array" ref="F291">SUMPRODUCT( (Mijlpalenbegroting!$B$151:$B$165=$B291) * (Mijlpalenbegroting!$J$151:$J$165) )*F178  +  SUMPRODUCT( (Mijlpalenbegroting!$B$170:$B$184=$B291) * (Mijlpalenbegroting!$J$170:$J$184) )*F178</f>
        <v>0</v>
      </c>
      <c r="G291" s="490" cm="1">
        <f t="array" ref="G291">SUMPRODUCT( (Mijlpalenbegroting!$B$151:$B$165=$B291) * (Mijlpalenbegroting!$J$151:$J$165) )*G178  +  SUMPRODUCT( (Mijlpalenbegroting!$B$170:$B$184=$B291) * (Mijlpalenbegroting!$J$170:$J$184) )*G178</f>
        <v>0</v>
      </c>
      <c r="H291" s="490" cm="1">
        <f t="array" ref="H291">SUMPRODUCT( (Mijlpalenbegroting!$B$151:$B$165=$B291) * (Mijlpalenbegroting!$J$151:$J$165) )*H178  +  SUMPRODUCT( (Mijlpalenbegroting!$B$170:$B$184=$B291) * (Mijlpalenbegroting!$J$170:$J$184) )*H178</f>
        <v>0</v>
      </c>
      <c r="I291" s="490" cm="1">
        <f t="array" ref="I291">SUMPRODUCT( (Mijlpalenbegroting!$B$151:$B$165=$B291) * (Mijlpalenbegroting!$J$151:$J$165) )*I178  +  SUMPRODUCT( (Mijlpalenbegroting!$B$170:$B$184=$B291) * (Mijlpalenbegroting!$J$170:$J$184) )*I178</f>
        <v>0</v>
      </c>
      <c r="J291" s="490" cm="1">
        <f t="array" ref="J291">SUMPRODUCT( (Mijlpalenbegroting!$B$151:$B$165=$B291) * (Mijlpalenbegroting!$J$151:$J$165) )*J178  +  SUMPRODUCT( (Mijlpalenbegroting!$B$170:$B$184=$B291) * (Mijlpalenbegroting!$J$170:$J$184) )*J178</f>
        <v>0</v>
      </c>
      <c r="K291" s="488">
        <f t="shared" si="97"/>
        <v>0</v>
      </c>
      <c r="L291" s="469">
        <f>$B$178</f>
        <v>10</v>
      </c>
      <c r="M291" s="487" cm="1">
        <f t="array" ref="M291">SUMPRODUCT( (Mijlpalenbegroting!$B$151:$B$165=$B291) * (Mijlpalenbegroting!$I$151:$I$165) )*C178  +  SUMPRODUCT( (Mijlpalenbegroting!$B$170:$B$184=$B291) * (Mijlpalenbegroting!$I$170:$I$184) )*C178</f>
        <v>0</v>
      </c>
      <c r="N291" s="487" cm="1">
        <f t="array" ref="N291">SUMPRODUCT( (Mijlpalenbegroting!$B$151:$B$165=$B291) * (Mijlpalenbegroting!$I$151:$I$165) )*D178  +  SUMPRODUCT( (Mijlpalenbegroting!$B$170:$B$184=$B291) * (Mijlpalenbegroting!$I$170:$I$184) )*D178</f>
        <v>0</v>
      </c>
      <c r="O291" s="487" cm="1">
        <f t="array" ref="O291">SUMPRODUCT( (Mijlpalenbegroting!$B$151:$B$165=$B291) * (Mijlpalenbegroting!$I$151:$I$165) )*E178  +  SUMPRODUCT( (Mijlpalenbegroting!$B$170:$B$184=$B291) * (Mijlpalenbegroting!$I$170:$I$184) )*E178</f>
        <v>0</v>
      </c>
      <c r="P291" s="487" cm="1">
        <f t="array" ref="P291">SUMPRODUCT( (Mijlpalenbegroting!$B$151:$B$165=$B291) * (Mijlpalenbegroting!$I$151:$I$165) )*F178  +  SUMPRODUCT( (Mijlpalenbegroting!$B$170:$B$184=$B291) * (Mijlpalenbegroting!$I$170:$I$184) )*F178</f>
        <v>0</v>
      </c>
      <c r="Q291" s="487" cm="1">
        <f t="array" ref="Q291">SUMPRODUCT( (Mijlpalenbegroting!$B$151:$B$165=$B291) * (Mijlpalenbegroting!$I$151:$I$165) )*G178  +  SUMPRODUCT( (Mijlpalenbegroting!$B$170:$B$184=$B291) * (Mijlpalenbegroting!$I$170:$I$184) )*G178</f>
        <v>0</v>
      </c>
      <c r="R291" s="487" cm="1">
        <f t="array" ref="R291">SUMPRODUCT( (Mijlpalenbegroting!$B$151:$B$165=$B291) * (Mijlpalenbegroting!$I$151:$I$165) )*H178  +  SUMPRODUCT( (Mijlpalenbegroting!$B$170:$B$184=$B291) * (Mijlpalenbegroting!$I$170:$I$184) )*H178</f>
        <v>0</v>
      </c>
      <c r="S291" s="487" cm="1">
        <f t="array" ref="S291">SUMPRODUCT( (Mijlpalenbegroting!$B$151:$B$165=$B291) * (Mijlpalenbegroting!$I$151:$I$165) )*I178  +  SUMPRODUCT( (Mijlpalenbegroting!$B$170:$B$184=$B291) * (Mijlpalenbegroting!$I$170:$I$184) )*I178</f>
        <v>0</v>
      </c>
      <c r="T291" s="487" cm="1">
        <f t="array" ref="T291">SUMPRODUCT( (Mijlpalenbegroting!$B$151:$B$165=$B291) * (Mijlpalenbegroting!$I$151:$I$165) )*J178  +  SUMPRODUCT( (Mijlpalenbegroting!$B$170:$B$184=$B291) * (Mijlpalenbegroting!$I$170:$I$184) )*J178</f>
        <v>0</v>
      </c>
      <c r="U291" s="488">
        <f t="shared" si="98"/>
        <v>0</v>
      </c>
      <c r="AT291"/>
    </row>
    <row r="292" spans="1:46" ht="12.5" hidden="1" outlineLevel="1" x14ac:dyDescent="0.25">
      <c r="A292" s="22"/>
      <c r="B292" s="469">
        <f>$B$179</f>
        <v>11</v>
      </c>
      <c r="C292" s="490" cm="1">
        <f t="array" ref="C292">SUMPRODUCT( (Mijlpalenbegroting!$B$151:$B$165=$B292) * (Mijlpalenbegroting!$J$151:$J$165) )*C179  +  SUMPRODUCT( (Mijlpalenbegroting!$B$170:$B$184=$B292) * (Mijlpalenbegroting!$J$170:$J$184) )*C179</f>
        <v>0</v>
      </c>
      <c r="D292" s="490" cm="1">
        <f t="array" ref="D292">SUMPRODUCT( (Mijlpalenbegroting!$B$151:$B$165=$B292) * (Mijlpalenbegroting!$J$151:$J$165) )*D179  +  SUMPRODUCT( (Mijlpalenbegroting!$B$170:$B$184=$B292) * (Mijlpalenbegroting!$J$170:$J$184) )*D179</f>
        <v>0</v>
      </c>
      <c r="E292" s="490" cm="1">
        <f t="array" ref="E292">SUMPRODUCT( (Mijlpalenbegroting!$B$151:$B$165=$B292) * (Mijlpalenbegroting!$J$151:$J$165) )*E179  +  SUMPRODUCT( (Mijlpalenbegroting!$B$170:$B$184=$B292) * (Mijlpalenbegroting!$J$170:$J$184) )*E179</f>
        <v>0</v>
      </c>
      <c r="F292" s="490" cm="1">
        <f t="array" ref="F292">SUMPRODUCT( (Mijlpalenbegroting!$B$151:$B$165=$B292) * (Mijlpalenbegroting!$J$151:$J$165) )*F179  +  SUMPRODUCT( (Mijlpalenbegroting!$B$170:$B$184=$B292) * (Mijlpalenbegroting!$J$170:$J$184) )*F179</f>
        <v>0</v>
      </c>
      <c r="G292" s="490" cm="1">
        <f t="array" ref="G292">SUMPRODUCT( (Mijlpalenbegroting!$B$151:$B$165=$B292) * (Mijlpalenbegroting!$J$151:$J$165) )*G179  +  SUMPRODUCT( (Mijlpalenbegroting!$B$170:$B$184=$B292) * (Mijlpalenbegroting!$J$170:$J$184) )*G179</f>
        <v>0</v>
      </c>
      <c r="H292" s="490" cm="1">
        <f t="array" ref="H292">SUMPRODUCT( (Mijlpalenbegroting!$B$151:$B$165=$B292) * (Mijlpalenbegroting!$J$151:$J$165) )*H179  +  SUMPRODUCT( (Mijlpalenbegroting!$B$170:$B$184=$B292) * (Mijlpalenbegroting!$J$170:$J$184) )*H179</f>
        <v>0</v>
      </c>
      <c r="I292" s="490" cm="1">
        <f t="array" ref="I292">SUMPRODUCT( (Mijlpalenbegroting!$B$151:$B$165=$B292) * (Mijlpalenbegroting!$J$151:$J$165) )*I179  +  SUMPRODUCT( (Mijlpalenbegroting!$B$170:$B$184=$B292) * (Mijlpalenbegroting!$J$170:$J$184) )*I179</f>
        <v>0</v>
      </c>
      <c r="J292" s="490" cm="1">
        <f t="array" ref="J292">SUMPRODUCT( (Mijlpalenbegroting!$B$151:$B$165=$B292) * (Mijlpalenbegroting!$J$151:$J$165) )*J179  +  SUMPRODUCT( (Mijlpalenbegroting!$B$170:$B$184=$B292) * (Mijlpalenbegroting!$J$170:$J$184) )*J179</f>
        <v>0</v>
      </c>
      <c r="K292" s="488">
        <f t="shared" si="97"/>
        <v>0</v>
      </c>
      <c r="L292" s="469">
        <f>$B$179</f>
        <v>11</v>
      </c>
      <c r="M292" s="487" cm="1">
        <f t="array" ref="M292">SUMPRODUCT( (Mijlpalenbegroting!$B$151:$B$165=$B292) * (Mijlpalenbegroting!$I$151:$I$165) )*C179  +  SUMPRODUCT( (Mijlpalenbegroting!$B$170:$B$184=$B292) * (Mijlpalenbegroting!$I$170:$I$184) )*C179</f>
        <v>0</v>
      </c>
      <c r="N292" s="487" cm="1">
        <f t="array" ref="N292">SUMPRODUCT( (Mijlpalenbegroting!$B$151:$B$165=$B292) * (Mijlpalenbegroting!$I$151:$I$165) )*D179  +  SUMPRODUCT( (Mijlpalenbegroting!$B$170:$B$184=$B292) * (Mijlpalenbegroting!$I$170:$I$184) )*D179</f>
        <v>0</v>
      </c>
      <c r="O292" s="487" cm="1">
        <f t="array" ref="O292">SUMPRODUCT( (Mijlpalenbegroting!$B$151:$B$165=$B292) * (Mijlpalenbegroting!$I$151:$I$165) )*E179  +  SUMPRODUCT( (Mijlpalenbegroting!$B$170:$B$184=$B292) * (Mijlpalenbegroting!$I$170:$I$184) )*E179</f>
        <v>0</v>
      </c>
      <c r="P292" s="487" cm="1">
        <f t="array" ref="P292">SUMPRODUCT( (Mijlpalenbegroting!$B$151:$B$165=$B292) * (Mijlpalenbegroting!$I$151:$I$165) )*F179  +  SUMPRODUCT( (Mijlpalenbegroting!$B$170:$B$184=$B292) * (Mijlpalenbegroting!$I$170:$I$184) )*F179</f>
        <v>0</v>
      </c>
      <c r="Q292" s="487" cm="1">
        <f t="array" ref="Q292">SUMPRODUCT( (Mijlpalenbegroting!$B$151:$B$165=$B292) * (Mijlpalenbegroting!$I$151:$I$165) )*G179  +  SUMPRODUCT( (Mijlpalenbegroting!$B$170:$B$184=$B292) * (Mijlpalenbegroting!$I$170:$I$184) )*G179</f>
        <v>0</v>
      </c>
      <c r="R292" s="487" cm="1">
        <f t="array" ref="R292">SUMPRODUCT( (Mijlpalenbegroting!$B$151:$B$165=$B292) * (Mijlpalenbegroting!$I$151:$I$165) )*H179  +  SUMPRODUCT( (Mijlpalenbegroting!$B$170:$B$184=$B292) * (Mijlpalenbegroting!$I$170:$I$184) )*H179</f>
        <v>0</v>
      </c>
      <c r="S292" s="487" cm="1">
        <f t="array" ref="S292">SUMPRODUCT( (Mijlpalenbegroting!$B$151:$B$165=$B292) * (Mijlpalenbegroting!$I$151:$I$165) )*I179  +  SUMPRODUCT( (Mijlpalenbegroting!$B$170:$B$184=$B292) * (Mijlpalenbegroting!$I$170:$I$184) )*I179</f>
        <v>0</v>
      </c>
      <c r="T292" s="487" cm="1">
        <f t="array" ref="T292">SUMPRODUCT( (Mijlpalenbegroting!$B$151:$B$165=$B292) * (Mijlpalenbegroting!$I$151:$I$165) )*J179  +  SUMPRODUCT( (Mijlpalenbegroting!$B$170:$B$184=$B292) * (Mijlpalenbegroting!$I$170:$I$184) )*J179</f>
        <v>0</v>
      </c>
      <c r="U292" s="488">
        <f t="shared" si="98"/>
        <v>0</v>
      </c>
      <c r="AT292"/>
    </row>
    <row r="293" spans="1:46" ht="12.5" hidden="1" outlineLevel="1" x14ac:dyDescent="0.25">
      <c r="A293" s="22"/>
      <c r="B293" s="469">
        <f>$B$180</f>
        <v>12</v>
      </c>
      <c r="C293" s="490" cm="1">
        <f t="array" ref="C293">SUMPRODUCT( (Mijlpalenbegroting!$B$151:$B$165=$B293) * (Mijlpalenbegroting!$J$151:$J$165) )*C180  +  SUMPRODUCT( (Mijlpalenbegroting!$B$170:$B$184=$B293) * (Mijlpalenbegroting!$J$170:$J$184) )*C180</f>
        <v>0</v>
      </c>
      <c r="D293" s="490" cm="1">
        <f t="array" ref="D293">SUMPRODUCT( (Mijlpalenbegroting!$B$151:$B$165=$B293) * (Mijlpalenbegroting!$J$151:$J$165) )*D180  +  SUMPRODUCT( (Mijlpalenbegroting!$B$170:$B$184=$B293) * (Mijlpalenbegroting!$J$170:$J$184) )*D180</f>
        <v>0</v>
      </c>
      <c r="E293" s="490" cm="1">
        <f t="array" ref="E293">SUMPRODUCT( (Mijlpalenbegroting!$B$151:$B$165=$B293) * (Mijlpalenbegroting!$J$151:$J$165) )*E180  +  SUMPRODUCT( (Mijlpalenbegroting!$B$170:$B$184=$B293) * (Mijlpalenbegroting!$J$170:$J$184) )*E180</f>
        <v>0</v>
      </c>
      <c r="F293" s="490" cm="1">
        <f t="array" ref="F293">SUMPRODUCT( (Mijlpalenbegroting!$B$151:$B$165=$B293) * (Mijlpalenbegroting!$J$151:$J$165) )*F180  +  SUMPRODUCT( (Mijlpalenbegroting!$B$170:$B$184=$B293) * (Mijlpalenbegroting!$J$170:$J$184) )*F180</f>
        <v>0</v>
      </c>
      <c r="G293" s="490" cm="1">
        <f t="array" ref="G293">SUMPRODUCT( (Mijlpalenbegroting!$B$151:$B$165=$B293) * (Mijlpalenbegroting!$J$151:$J$165) )*G180  +  SUMPRODUCT( (Mijlpalenbegroting!$B$170:$B$184=$B293) * (Mijlpalenbegroting!$J$170:$J$184) )*G180</f>
        <v>0</v>
      </c>
      <c r="H293" s="490" cm="1">
        <f t="array" ref="H293">SUMPRODUCT( (Mijlpalenbegroting!$B$151:$B$165=$B293) * (Mijlpalenbegroting!$J$151:$J$165) )*H180  +  SUMPRODUCT( (Mijlpalenbegroting!$B$170:$B$184=$B293) * (Mijlpalenbegroting!$J$170:$J$184) )*H180</f>
        <v>0</v>
      </c>
      <c r="I293" s="490" cm="1">
        <f t="array" ref="I293">SUMPRODUCT( (Mijlpalenbegroting!$B$151:$B$165=$B293) * (Mijlpalenbegroting!$J$151:$J$165) )*I180  +  SUMPRODUCT( (Mijlpalenbegroting!$B$170:$B$184=$B293) * (Mijlpalenbegroting!$J$170:$J$184) )*I180</f>
        <v>0</v>
      </c>
      <c r="J293" s="490" cm="1">
        <f t="array" ref="J293">SUMPRODUCT( (Mijlpalenbegroting!$B$151:$B$165=$B293) * (Mijlpalenbegroting!$J$151:$J$165) )*J180  +  SUMPRODUCT( (Mijlpalenbegroting!$B$170:$B$184=$B293) * (Mijlpalenbegroting!$J$170:$J$184) )*J180</f>
        <v>0</v>
      </c>
      <c r="K293" s="488">
        <f t="shared" si="97"/>
        <v>0</v>
      </c>
      <c r="L293" s="469">
        <f>$B$180</f>
        <v>12</v>
      </c>
      <c r="M293" s="487" cm="1">
        <f t="array" ref="M293">SUMPRODUCT( (Mijlpalenbegroting!$B$151:$B$165=$B293) * (Mijlpalenbegroting!$I$151:$I$165) )*C180  +  SUMPRODUCT( (Mijlpalenbegroting!$B$170:$B$184=$B293) * (Mijlpalenbegroting!$I$170:$I$184) )*C180</f>
        <v>0</v>
      </c>
      <c r="N293" s="487" cm="1">
        <f t="array" ref="N293">SUMPRODUCT( (Mijlpalenbegroting!$B$151:$B$165=$B293) * (Mijlpalenbegroting!$I$151:$I$165) )*D180  +  SUMPRODUCT( (Mijlpalenbegroting!$B$170:$B$184=$B293) * (Mijlpalenbegroting!$I$170:$I$184) )*D180</f>
        <v>0</v>
      </c>
      <c r="O293" s="487" cm="1">
        <f t="array" ref="O293">SUMPRODUCT( (Mijlpalenbegroting!$B$151:$B$165=$B293) * (Mijlpalenbegroting!$I$151:$I$165) )*E180  +  SUMPRODUCT( (Mijlpalenbegroting!$B$170:$B$184=$B293) * (Mijlpalenbegroting!$I$170:$I$184) )*E180</f>
        <v>0</v>
      </c>
      <c r="P293" s="487" cm="1">
        <f t="array" ref="P293">SUMPRODUCT( (Mijlpalenbegroting!$B$151:$B$165=$B293) * (Mijlpalenbegroting!$I$151:$I$165) )*F180  +  SUMPRODUCT( (Mijlpalenbegroting!$B$170:$B$184=$B293) * (Mijlpalenbegroting!$I$170:$I$184) )*F180</f>
        <v>0</v>
      </c>
      <c r="Q293" s="487" cm="1">
        <f t="array" ref="Q293">SUMPRODUCT( (Mijlpalenbegroting!$B$151:$B$165=$B293) * (Mijlpalenbegroting!$I$151:$I$165) )*G180  +  SUMPRODUCT( (Mijlpalenbegroting!$B$170:$B$184=$B293) * (Mijlpalenbegroting!$I$170:$I$184) )*G180</f>
        <v>0</v>
      </c>
      <c r="R293" s="487" cm="1">
        <f t="array" ref="R293">SUMPRODUCT( (Mijlpalenbegroting!$B$151:$B$165=$B293) * (Mijlpalenbegroting!$I$151:$I$165) )*H180  +  SUMPRODUCT( (Mijlpalenbegroting!$B$170:$B$184=$B293) * (Mijlpalenbegroting!$I$170:$I$184) )*H180</f>
        <v>0</v>
      </c>
      <c r="S293" s="487" cm="1">
        <f t="array" ref="S293">SUMPRODUCT( (Mijlpalenbegroting!$B$151:$B$165=$B293) * (Mijlpalenbegroting!$I$151:$I$165) )*I180  +  SUMPRODUCT( (Mijlpalenbegroting!$B$170:$B$184=$B293) * (Mijlpalenbegroting!$I$170:$I$184) )*I180</f>
        <v>0</v>
      </c>
      <c r="T293" s="487" cm="1">
        <f t="array" ref="T293">SUMPRODUCT( (Mijlpalenbegroting!$B$151:$B$165=$B293) * (Mijlpalenbegroting!$I$151:$I$165) )*J180  +  SUMPRODUCT( (Mijlpalenbegroting!$B$170:$B$184=$B293) * (Mijlpalenbegroting!$I$170:$I$184) )*J180</f>
        <v>0</v>
      </c>
      <c r="U293" s="488">
        <f t="shared" si="98"/>
        <v>0</v>
      </c>
      <c r="AT293"/>
    </row>
    <row r="294" spans="1:46" ht="12.5" hidden="1" outlineLevel="1" x14ac:dyDescent="0.25">
      <c r="A294" s="22"/>
      <c r="B294" s="469">
        <f>$B$181</f>
        <v>13</v>
      </c>
      <c r="C294" s="490" cm="1">
        <f t="array" ref="C294">SUMPRODUCT( (Mijlpalenbegroting!$B$151:$B$165=$B294) * (Mijlpalenbegroting!$J$151:$J$165) )*C181  +  SUMPRODUCT( (Mijlpalenbegroting!$B$170:$B$184=$B294) * (Mijlpalenbegroting!$J$170:$J$184) )*C181</f>
        <v>0</v>
      </c>
      <c r="D294" s="490" cm="1">
        <f t="array" ref="D294">SUMPRODUCT( (Mijlpalenbegroting!$B$151:$B$165=$B294) * (Mijlpalenbegroting!$J$151:$J$165) )*D181  +  SUMPRODUCT( (Mijlpalenbegroting!$B$170:$B$184=$B294) * (Mijlpalenbegroting!$J$170:$J$184) )*D181</f>
        <v>0</v>
      </c>
      <c r="E294" s="490" cm="1">
        <f t="array" ref="E294">SUMPRODUCT( (Mijlpalenbegroting!$B$151:$B$165=$B294) * (Mijlpalenbegroting!$J$151:$J$165) )*E181  +  SUMPRODUCT( (Mijlpalenbegroting!$B$170:$B$184=$B294) * (Mijlpalenbegroting!$J$170:$J$184) )*E181</f>
        <v>0</v>
      </c>
      <c r="F294" s="490" cm="1">
        <f t="array" ref="F294">SUMPRODUCT( (Mijlpalenbegroting!$B$151:$B$165=$B294) * (Mijlpalenbegroting!$J$151:$J$165) )*F181  +  SUMPRODUCT( (Mijlpalenbegroting!$B$170:$B$184=$B294) * (Mijlpalenbegroting!$J$170:$J$184) )*F181</f>
        <v>0</v>
      </c>
      <c r="G294" s="490" cm="1">
        <f t="array" ref="G294">SUMPRODUCT( (Mijlpalenbegroting!$B$151:$B$165=$B294) * (Mijlpalenbegroting!$J$151:$J$165) )*G181  +  SUMPRODUCT( (Mijlpalenbegroting!$B$170:$B$184=$B294) * (Mijlpalenbegroting!$J$170:$J$184) )*G181</f>
        <v>0</v>
      </c>
      <c r="H294" s="490" cm="1">
        <f t="array" ref="H294">SUMPRODUCT( (Mijlpalenbegroting!$B$151:$B$165=$B294) * (Mijlpalenbegroting!$J$151:$J$165) )*H181  +  SUMPRODUCT( (Mijlpalenbegroting!$B$170:$B$184=$B294) * (Mijlpalenbegroting!$J$170:$J$184) )*H181</f>
        <v>0</v>
      </c>
      <c r="I294" s="490" cm="1">
        <f t="array" ref="I294">SUMPRODUCT( (Mijlpalenbegroting!$B$151:$B$165=$B294) * (Mijlpalenbegroting!$J$151:$J$165) )*I181  +  SUMPRODUCT( (Mijlpalenbegroting!$B$170:$B$184=$B294) * (Mijlpalenbegroting!$J$170:$J$184) )*I181</f>
        <v>0</v>
      </c>
      <c r="J294" s="490" cm="1">
        <f t="array" ref="J294">SUMPRODUCT( (Mijlpalenbegroting!$B$151:$B$165=$B294) * (Mijlpalenbegroting!$J$151:$J$165) )*J181  +  SUMPRODUCT( (Mijlpalenbegroting!$B$170:$B$184=$B294) * (Mijlpalenbegroting!$J$170:$J$184) )*J181</f>
        <v>0</v>
      </c>
      <c r="K294" s="488">
        <f t="shared" si="97"/>
        <v>0</v>
      </c>
      <c r="L294" s="469">
        <f>$B$181</f>
        <v>13</v>
      </c>
      <c r="M294" s="487" cm="1">
        <f t="array" ref="M294">SUMPRODUCT( (Mijlpalenbegroting!$B$151:$B$165=$B294) * (Mijlpalenbegroting!$I$151:$I$165) )*C181  +  SUMPRODUCT( (Mijlpalenbegroting!$B$170:$B$184=$B294) * (Mijlpalenbegroting!$I$170:$I$184) )*C181</f>
        <v>0</v>
      </c>
      <c r="N294" s="487" cm="1">
        <f t="array" ref="N294">SUMPRODUCT( (Mijlpalenbegroting!$B$151:$B$165=$B294) * (Mijlpalenbegroting!$I$151:$I$165) )*D181  +  SUMPRODUCT( (Mijlpalenbegroting!$B$170:$B$184=$B294) * (Mijlpalenbegroting!$I$170:$I$184) )*D181</f>
        <v>0</v>
      </c>
      <c r="O294" s="487" cm="1">
        <f t="array" ref="O294">SUMPRODUCT( (Mijlpalenbegroting!$B$151:$B$165=$B294) * (Mijlpalenbegroting!$I$151:$I$165) )*E181  +  SUMPRODUCT( (Mijlpalenbegroting!$B$170:$B$184=$B294) * (Mijlpalenbegroting!$I$170:$I$184) )*E181</f>
        <v>0</v>
      </c>
      <c r="P294" s="487" cm="1">
        <f t="array" ref="P294">SUMPRODUCT( (Mijlpalenbegroting!$B$151:$B$165=$B294) * (Mijlpalenbegroting!$I$151:$I$165) )*F181  +  SUMPRODUCT( (Mijlpalenbegroting!$B$170:$B$184=$B294) * (Mijlpalenbegroting!$I$170:$I$184) )*F181</f>
        <v>0</v>
      </c>
      <c r="Q294" s="487" cm="1">
        <f t="array" ref="Q294">SUMPRODUCT( (Mijlpalenbegroting!$B$151:$B$165=$B294) * (Mijlpalenbegroting!$I$151:$I$165) )*G181  +  SUMPRODUCT( (Mijlpalenbegroting!$B$170:$B$184=$B294) * (Mijlpalenbegroting!$I$170:$I$184) )*G181</f>
        <v>0</v>
      </c>
      <c r="R294" s="487" cm="1">
        <f t="array" ref="R294">SUMPRODUCT( (Mijlpalenbegroting!$B$151:$B$165=$B294) * (Mijlpalenbegroting!$I$151:$I$165) )*H181  +  SUMPRODUCT( (Mijlpalenbegroting!$B$170:$B$184=$B294) * (Mijlpalenbegroting!$I$170:$I$184) )*H181</f>
        <v>0</v>
      </c>
      <c r="S294" s="487" cm="1">
        <f t="array" ref="S294">SUMPRODUCT( (Mijlpalenbegroting!$B$151:$B$165=$B294) * (Mijlpalenbegroting!$I$151:$I$165) )*I181  +  SUMPRODUCT( (Mijlpalenbegroting!$B$170:$B$184=$B294) * (Mijlpalenbegroting!$I$170:$I$184) )*I181</f>
        <v>0</v>
      </c>
      <c r="T294" s="487" cm="1">
        <f t="array" ref="T294">SUMPRODUCT( (Mijlpalenbegroting!$B$151:$B$165=$B294) * (Mijlpalenbegroting!$I$151:$I$165) )*J181  +  SUMPRODUCT( (Mijlpalenbegroting!$B$170:$B$184=$B294) * (Mijlpalenbegroting!$I$170:$I$184) )*J181</f>
        <v>0</v>
      </c>
      <c r="U294" s="488">
        <f t="shared" si="98"/>
        <v>0</v>
      </c>
      <c r="AT294"/>
    </row>
    <row r="295" spans="1:46" ht="12.5" hidden="1" outlineLevel="1" x14ac:dyDescent="0.25">
      <c r="A295" s="22"/>
      <c r="B295" s="469">
        <f>$B$182</f>
        <v>14</v>
      </c>
      <c r="C295" s="490" cm="1">
        <f t="array" ref="C295">SUMPRODUCT( (Mijlpalenbegroting!$B$151:$B$165=$B295) * (Mijlpalenbegroting!$J$151:$J$165) )*C182  +  SUMPRODUCT( (Mijlpalenbegroting!$B$170:$B$184=$B295) * (Mijlpalenbegroting!$J$170:$J$184) )*C182</f>
        <v>0</v>
      </c>
      <c r="D295" s="490" cm="1">
        <f t="array" ref="D295">SUMPRODUCT( (Mijlpalenbegroting!$B$151:$B$165=$B295) * (Mijlpalenbegroting!$J$151:$J$165) )*D182  +  SUMPRODUCT( (Mijlpalenbegroting!$B$170:$B$184=$B295) * (Mijlpalenbegroting!$J$170:$J$184) )*D182</f>
        <v>0</v>
      </c>
      <c r="E295" s="490" cm="1">
        <f t="array" ref="E295">SUMPRODUCT( (Mijlpalenbegroting!$B$151:$B$165=$B295) * (Mijlpalenbegroting!$J$151:$J$165) )*E182  +  SUMPRODUCT( (Mijlpalenbegroting!$B$170:$B$184=$B295) * (Mijlpalenbegroting!$J$170:$J$184) )*E182</f>
        <v>0</v>
      </c>
      <c r="F295" s="490" cm="1">
        <f t="array" ref="F295">SUMPRODUCT( (Mijlpalenbegroting!$B$151:$B$165=$B295) * (Mijlpalenbegroting!$J$151:$J$165) )*F182  +  SUMPRODUCT( (Mijlpalenbegroting!$B$170:$B$184=$B295) * (Mijlpalenbegroting!$J$170:$J$184) )*F182</f>
        <v>0</v>
      </c>
      <c r="G295" s="490" cm="1">
        <f t="array" ref="G295">SUMPRODUCT( (Mijlpalenbegroting!$B$151:$B$165=$B295) * (Mijlpalenbegroting!$J$151:$J$165) )*G182  +  SUMPRODUCT( (Mijlpalenbegroting!$B$170:$B$184=$B295) * (Mijlpalenbegroting!$J$170:$J$184) )*G182</f>
        <v>0</v>
      </c>
      <c r="H295" s="490" cm="1">
        <f t="array" ref="H295">SUMPRODUCT( (Mijlpalenbegroting!$B$151:$B$165=$B295) * (Mijlpalenbegroting!$J$151:$J$165) )*H182  +  SUMPRODUCT( (Mijlpalenbegroting!$B$170:$B$184=$B295) * (Mijlpalenbegroting!$J$170:$J$184) )*H182</f>
        <v>0</v>
      </c>
      <c r="I295" s="490" cm="1">
        <f t="array" ref="I295">SUMPRODUCT( (Mijlpalenbegroting!$B$151:$B$165=$B295) * (Mijlpalenbegroting!$J$151:$J$165) )*I182  +  SUMPRODUCT( (Mijlpalenbegroting!$B$170:$B$184=$B295) * (Mijlpalenbegroting!$J$170:$J$184) )*I182</f>
        <v>0</v>
      </c>
      <c r="J295" s="490" cm="1">
        <f t="array" ref="J295">SUMPRODUCT( (Mijlpalenbegroting!$B$151:$B$165=$B295) * (Mijlpalenbegroting!$J$151:$J$165) )*J182  +  SUMPRODUCT( (Mijlpalenbegroting!$B$170:$B$184=$B295) * (Mijlpalenbegroting!$J$170:$J$184) )*J182</f>
        <v>0</v>
      </c>
      <c r="K295" s="488">
        <f t="shared" si="97"/>
        <v>0</v>
      </c>
      <c r="L295" s="469">
        <f>$B$182</f>
        <v>14</v>
      </c>
      <c r="M295" s="487" cm="1">
        <f t="array" ref="M295">SUMPRODUCT( (Mijlpalenbegroting!$B$151:$B$165=$B295) * (Mijlpalenbegroting!$I$151:$I$165) )*C182  +  SUMPRODUCT( (Mijlpalenbegroting!$B$170:$B$184=$B295) * (Mijlpalenbegroting!$I$170:$I$184) )*C182</f>
        <v>0</v>
      </c>
      <c r="N295" s="487" cm="1">
        <f t="array" ref="N295">SUMPRODUCT( (Mijlpalenbegroting!$B$151:$B$165=$B295) * (Mijlpalenbegroting!$I$151:$I$165) )*D182  +  SUMPRODUCT( (Mijlpalenbegroting!$B$170:$B$184=$B295) * (Mijlpalenbegroting!$I$170:$I$184) )*D182</f>
        <v>0</v>
      </c>
      <c r="O295" s="487" cm="1">
        <f t="array" ref="O295">SUMPRODUCT( (Mijlpalenbegroting!$B$151:$B$165=$B295) * (Mijlpalenbegroting!$I$151:$I$165) )*E182  +  SUMPRODUCT( (Mijlpalenbegroting!$B$170:$B$184=$B295) * (Mijlpalenbegroting!$I$170:$I$184) )*E182</f>
        <v>0</v>
      </c>
      <c r="P295" s="487" cm="1">
        <f t="array" ref="P295">SUMPRODUCT( (Mijlpalenbegroting!$B$151:$B$165=$B295) * (Mijlpalenbegroting!$I$151:$I$165) )*F182  +  SUMPRODUCT( (Mijlpalenbegroting!$B$170:$B$184=$B295) * (Mijlpalenbegroting!$I$170:$I$184) )*F182</f>
        <v>0</v>
      </c>
      <c r="Q295" s="487" cm="1">
        <f t="array" ref="Q295">SUMPRODUCT( (Mijlpalenbegroting!$B$151:$B$165=$B295) * (Mijlpalenbegroting!$I$151:$I$165) )*G182  +  SUMPRODUCT( (Mijlpalenbegroting!$B$170:$B$184=$B295) * (Mijlpalenbegroting!$I$170:$I$184) )*G182</f>
        <v>0</v>
      </c>
      <c r="R295" s="487" cm="1">
        <f t="array" ref="R295">SUMPRODUCT( (Mijlpalenbegroting!$B$151:$B$165=$B295) * (Mijlpalenbegroting!$I$151:$I$165) )*H182  +  SUMPRODUCT( (Mijlpalenbegroting!$B$170:$B$184=$B295) * (Mijlpalenbegroting!$I$170:$I$184) )*H182</f>
        <v>0</v>
      </c>
      <c r="S295" s="487" cm="1">
        <f t="array" ref="S295">SUMPRODUCT( (Mijlpalenbegroting!$B$151:$B$165=$B295) * (Mijlpalenbegroting!$I$151:$I$165) )*I182  +  SUMPRODUCT( (Mijlpalenbegroting!$B$170:$B$184=$B295) * (Mijlpalenbegroting!$I$170:$I$184) )*I182</f>
        <v>0</v>
      </c>
      <c r="T295" s="487" cm="1">
        <f t="array" ref="T295">SUMPRODUCT( (Mijlpalenbegroting!$B$151:$B$165=$B295) * (Mijlpalenbegroting!$I$151:$I$165) )*J182  +  SUMPRODUCT( (Mijlpalenbegroting!$B$170:$B$184=$B295) * (Mijlpalenbegroting!$I$170:$I$184) )*J182</f>
        <v>0</v>
      </c>
      <c r="U295" s="488">
        <f t="shared" si="98"/>
        <v>0</v>
      </c>
      <c r="AT295"/>
    </row>
    <row r="296" spans="1:46" ht="12.5" hidden="1" outlineLevel="1" x14ac:dyDescent="0.25">
      <c r="A296" s="22"/>
      <c r="B296" s="469">
        <f>$B$183</f>
        <v>15</v>
      </c>
      <c r="C296" s="490" cm="1">
        <f t="array" ref="C296">SUMPRODUCT( (Mijlpalenbegroting!$B$151:$B$165=$B296) * (Mijlpalenbegroting!$J$151:$J$165) )*C183  +  SUMPRODUCT( (Mijlpalenbegroting!$B$170:$B$184=$B296) * (Mijlpalenbegroting!$J$170:$J$184) )*C183</f>
        <v>0</v>
      </c>
      <c r="D296" s="490" cm="1">
        <f t="array" ref="D296">SUMPRODUCT( (Mijlpalenbegroting!$B$151:$B$165=$B296) * (Mijlpalenbegroting!$J$151:$J$165) )*D183  +  SUMPRODUCT( (Mijlpalenbegroting!$B$170:$B$184=$B296) * (Mijlpalenbegroting!$J$170:$J$184) )*D183</f>
        <v>0</v>
      </c>
      <c r="E296" s="490" cm="1">
        <f t="array" ref="E296">SUMPRODUCT( (Mijlpalenbegroting!$B$151:$B$165=$B296) * (Mijlpalenbegroting!$J$151:$J$165) )*E183  +  SUMPRODUCT( (Mijlpalenbegroting!$B$170:$B$184=$B296) * (Mijlpalenbegroting!$J$170:$J$184) )*E183</f>
        <v>0</v>
      </c>
      <c r="F296" s="490" cm="1">
        <f t="array" ref="F296">SUMPRODUCT( (Mijlpalenbegroting!$B$151:$B$165=$B296) * (Mijlpalenbegroting!$J$151:$J$165) )*F183  +  SUMPRODUCT( (Mijlpalenbegroting!$B$170:$B$184=$B296) * (Mijlpalenbegroting!$J$170:$J$184) )*F183</f>
        <v>0</v>
      </c>
      <c r="G296" s="490" cm="1">
        <f t="array" ref="G296">SUMPRODUCT( (Mijlpalenbegroting!$B$151:$B$165=$B296) * (Mijlpalenbegroting!$J$151:$J$165) )*G183  +  SUMPRODUCT( (Mijlpalenbegroting!$B$170:$B$184=$B296) * (Mijlpalenbegroting!$J$170:$J$184) )*G183</f>
        <v>0</v>
      </c>
      <c r="H296" s="490" cm="1">
        <f t="array" ref="H296">SUMPRODUCT( (Mijlpalenbegroting!$B$151:$B$165=$B296) * (Mijlpalenbegroting!$J$151:$J$165) )*H183  +  SUMPRODUCT( (Mijlpalenbegroting!$B$170:$B$184=$B296) * (Mijlpalenbegroting!$J$170:$J$184) )*H183</f>
        <v>0</v>
      </c>
      <c r="I296" s="490" cm="1">
        <f t="array" ref="I296">SUMPRODUCT( (Mijlpalenbegroting!$B$151:$B$165=$B296) * (Mijlpalenbegroting!$J$151:$J$165) )*I183  +  SUMPRODUCT( (Mijlpalenbegroting!$B$170:$B$184=$B296) * (Mijlpalenbegroting!$J$170:$J$184) )*I183</f>
        <v>0</v>
      </c>
      <c r="J296" s="490" cm="1">
        <f t="array" ref="J296">SUMPRODUCT( (Mijlpalenbegroting!$B$151:$B$165=$B296) * (Mijlpalenbegroting!$J$151:$J$165) )*J183  +  SUMPRODUCT( (Mijlpalenbegroting!$B$170:$B$184=$B296) * (Mijlpalenbegroting!$J$170:$J$184) )*J183</f>
        <v>0</v>
      </c>
      <c r="K296" s="488">
        <f t="shared" si="97"/>
        <v>0</v>
      </c>
      <c r="L296" s="469">
        <f>$B$183</f>
        <v>15</v>
      </c>
      <c r="M296" s="487" cm="1">
        <f t="array" ref="M296">SUMPRODUCT( (Mijlpalenbegroting!$B$151:$B$165=$B296) * (Mijlpalenbegroting!$I$151:$I$165) )*C183  +  SUMPRODUCT( (Mijlpalenbegroting!$B$170:$B$184=$B296) * (Mijlpalenbegroting!$I$170:$I$184) )*C183</f>
        <v>0</v>
      </c>
      <c r="N296" s="487" cm="1">
        <f t="array" ref="N296">SUMPRODUCT( (Mijlpalenbegroting!$B$151:$B$165=$B296) * (Mijlpalenbegroting!$I$151:$I$165) )*D183  +  SUMPRODUCT( (Mijlpalenbegroting!$B$170:$B$184=$B296) * (Mijlpalenbegroting!$I$170:$I$184) )*D183</f>
        <v>0</v>
      </c>
      <c r="O296" s="487" cm="1">
        <f t="array" ref="O296">SUMPRODUCT( (Mijlpalenbegroting!$B$151:$B$165=$B296) * (Mijlpalenbegroting!$I$151:$I$165) )*E183  +  SUMPRODUCT( (Mijlpalenbegroting!$B$170:$B$184=$B296) * (Mijlpalenbegroting!$I$170:$I$184) )*E183</f>
        <v>0</v>
      </c>
      <c r="P296" s="487" cm="1">
        <f t="array" ref="P296">SUMPRODUCT( (Mijlpalenbegroting!$B$151:$B$165=$B296) * (Mijlpalenbegroting!$I$151:$I$165) )*F183  +  SUMPRODUCT( (Mijlpalenbegroting!$B$170:$B$184=$B296) * (Mijlpalenbegroting!$I$170:$I$184) )*F183</f>
        <v>0</v>
      </c>
      <c r="Q296" s="487" cm="1">
        <f t="array" ref="Q296">SUMPRODUCT( (Mijlpalenbegroting!$B$151:$B$165=$B296) * (Mijlpalenbegroting!$I$151:$I$165) )*G183  +  SUMPRODUCT( (Mijlpalenbegroting!$B$170:$B$184=$B296) * (Mijlpalenbegroting!$I$170:$I$184) )*G183</f>
        <v>0</v>
      </c>
      <c r="R296" s="487" cm="1">
        <f t="array" ref="R296">SUMPRODUCT( (Mijlpalenbegroting!$B$151:$B$165=$B296) * (Mijlpalenbegroting!$I$151:$I$165) )*H183  +  SUMPRODUCT( (Mijlpalenbegroting!$B$170:$B$184=$B296) * (Mijlpalenbegroting!$I$170:$I$184) )*H183</f>
        <v>0</v>
      </c>
      <c r="S296" s="487" cm="1">
        <f t="array" ref="S296">SUMPRODUCT( (Mijlpalenbegroting!$B$151:$B$165=$B296) * (Mijlpalenbegroting!$I$151:$I$165) )*I183  +  SUMPRODUCT( (Mijlpalenbegroting!$B$170:$B$184=$B296) * (Mijlpalenbegroting!$I$170:$I$184) )*I183</f>
        <v>0</v>
      </c>
      <c r="T296" s="487" cm="1">
        <f t="array" ref="T296">SUMPRODUCT( (Mijlpalenbegroting!$B$151:$B$165=$B296) * (Mijlpalenbegroting!$I$151:$I$165) )*J183  +  SUMPRODUCT( (Mijlpalenbegroting!$B$170:$B$184=$B296) * (Mijlpalenbegroting!$I$170:$I$184) )*J183</f>
        <v>0</v>
      </c>
      <c r="U296" s="488">
        <f t="shared" si="98"/>
        <v>0</v>
      </c>
      <c r="AT296"/>
    </row>
    <row r="297" spans="1:46" ht="12.5" hidden="1" outlineLevel="1" x14ac:dyDescent="0.25">
      <c r="A297" s="22"/>
      <c r="B297" s="469" t="s">
        <v>335</v>
      </c>
      <c r="C297" s="489">
        <f>SUM(C282:C296)</f>
        <v>0</v>
      </c>
      <c r="D297" s="489">
        <f t="shared" ref="D297" si="99">SUM(D282:D296)</f>
        <v>0</v>
      </c>
      <c r="E297" s="489">
        <f t="shared" ref="E297" si="100">SUM(E282:E296)</f>
        <v>0</v>
      </c>
      <c r="F297" s="489">
        <f t="shared" ref="F297" si="101">SUM(F282:F296)</f>
        <v>0</v>
      </c>
      <c r="G297" s="489">
        <f t="shared" ref="G297" si="102">SUM(G282:G296)</f>
        <v>0</v>
      </c>
      <c r="H297" s="489">
        <f t="shared" ref="H297" si="103">SUM(H282:H296)</f>
        <v>0</v>
      </c>
      <c r="I297" s="489">
        <f t="shared" ref="I297" si="104">SUM(I282:I296)</f>
        <v>0</v>
      </c>
      <c r="J297" s="489">
        <f t="shared" ref="J297" si="105">SUM(J282:J296)</f>
        <v>0</v>
      </c>
      <c r="K297" s="488">
        <f t="shared" si="97"/>
        <v>0</v>
      </c>
      <c r="L297" s="469" t="s">
        <v>335</v>
      </c>
      <c r="M297" s="489">
        <f>SUM(M282:M296)</f>
        <v>0</v>
      </c>
      <c r="N297" s="489">
        <f t="shared" ref="N297" si="106">SUM(N282:N296)</f>
        <v>0</v>
      </c>
      <c r="O297" s="489">
        <f t="shared" ref="O297" si="107">SUM(O282:O296)</f>
        <v>0</v>
      </c>
      <c r="P297" s="489">
        <f t="shared" ref="P297" si="108">SUM(P282:P296)</f>
        <v>0</v>
      </c>
      <c r="Q297" s="489">
        <f t="shared" ref="Q297" si="109">SUM(Q282:Q296)</f>
        <v>0</v>
      </c>
      <c r="R297" s="489">
        <f t="shared" ref="R297" si="110">SUM(R282:R296)</f>
        <v>0</v>
      </c>
      <c r="S297" s="489">
        <f t="shared" ref="S297" si="111">SUM(S282:S296)</f>
        <v>0</v>
      </c>
      <c r="T297" s="489">
        <f t="shared" ref="T297" si="112">SUM(T282:T296)</f>
        <v>0</v>
      </c>
      <c r="U297" s="488">
        <f t="shared" si="98"/>
        <v>0</v>
      </c>
      <c r="AT297"/>
    </row>
    <row r="298" spans="1:46" ht="12.5" hidden="1" outlineLevel="1" x14ac:dyDescent="0.25">
      <c r="A298" s="22"/>
      <c r="B298" s="124"/>
      <c r="C298" s="115"/>
      <c r="D298" s="115"/>
      <c r="E298" s="115"/>
      <c r="F298" s="115"/>
      <c r="G298" s="115"/>
      <c r="H298" s="478"/>
      <c r="I298" s="115"/>
      <c r="J298" s="124"/>
      <c r="L298" s="115"/>
      <c r="M298" s="115"/>
      <c r="N298" s="115"/>
      <c r="O298" s="115"/>
      <c r="P298" s="115"/>
      <c r="Q298" s="115"/>
      <c r="R298" s="115"/>
      <c r="S298" s="23"/>
      <c r="AT298"/>
    </row>
    <row r="299" spans="1:46" ht="12.5" hidden="1" outlineLevel="1" x14ac:dyDescent="0.25">
      <c r="A299" s="22"/>
      <c r="B299" s="469"/>
      <c r="C299" s="481" t="s">
        <v>263</v>
      </c>
      <c r="D299" s="480"/>
      <c r="E299" s="480"/>
      <c r="F299" s="480"/>
      <c r="G299" s="480"/>
      <c r="H299" s="480"/>
      <c r="I299" s="480"/>
      <c r="J299" s="480"/>
      <c r="L299" s="115"/>
      <c r="M299" s="478" t="s">
        <v>262</v>
      </c>
      <c r="N299" s="115"/>
      <c r="O299" s="115"/>
      <c r="P299" s="115"/>
      <c r="Q299" s="115"/>
      <c r="R299" s="115"/>
      <c r="S299" s="23"/>
      <c r="AT299"/>
    </row>
    <row r="300" spans="1:46" ht="12.5" hidden="1" outlineLevel="1" x14ac:dyDescent="0.25">
      <c r="A300" s="22"/>
      <c r="B300" s="483" t="str">
        <f>Mijlpalenbegroting!B189</f>
        <v>Aan derden verschuldigde kosten</v>
      </c>
      <c r="C300" s="484">
        <f>$C$168</f>
        <v>1900</v>
      </c>
      <c r="D300" s="485">
        <f>$D$168</f>
        <v>1901</v>
      </c>
      <c r="E300" s="485">
        <f>$E$168</f>
        <v>1902</v>
      </c>
      <c r="F300" s="485">
        <f>$F$168</f>
        <v>1903</v>
      </c>
      <c r="G300" s="485">
        <f>$G$168</f>
        <v>1904</v>
      </c>
      <c r="H300" s="485">
        <f>$H$168</f>
        <v>1905</v>
      </c>
      <c r="I300" s="485">
        <f>$I$168</f>
        <v>1906</v>
      </c>
      <c r="J300" s="485">
        <f>$J$168</f>
        <v>1907</v>
      </c>
      <c r="K300" s="486" t="s">
        <v>335</v>
      </c>
      <c r="L300" s="479">
        <f>B283</f>
        <v>2</v>
      </c>
      <c r="M300" s="484">
        <f>$C$168</f>
        <v>1900</v>
      </c>
      <c r="N300" s="485">
        <f>$D$168</f>
        <v>1901</v>
      </c>
      <c r="O300" s="485">
        <f>$E$168</f>
        <v>1902</v>
      </c>
      <c r="P300" s="485">
        <f>$F$168</f>
        <v>1903</v>
      </c>
      <c r="Q300" s="485">
        <f>$G$168</f>
        <v>1904</v>
      </c>
      <c r="R300" s="485">
        <f>$H$168</f>
        <v>1905</v>
      </c>
      <c r="S300" s="485">
        <f>$I$168</f>
        <v>1906</v>
      </c>
      <c r="T300" s="485">
        <f>$J$168</f>
        <v>1907</v>
      </c>
      <c r="U300" s="486" t="s">
        <v>335</v>
      </c>
      <c r="AT300"/>
    </row>
    <row r="301" spans="1:46" ht="12.5" hidden="1" outlineLevel="1" x14ac:dyDescent="0.25">
      <c r="A301" s="22"/>
      <c r="B301" s="469">
        <f>$B$169</f>
        <v>1</v>
      </c>
      <c r="C301" s="487" cm="1">
        <f t="array" ref="C301">SUMPRODUCT( (Mijlpalenbegroting!$B$193:$B$207=$B282) * (Mijlpalenbegroting!$J$193:$J$207) )*C169  +  SUMPRODUCT( (Mijlpalenbegroting!$B$212:$B$226=$B282) * (Mijlpalenbegroting!$J$212:$J$226) )*C169</f>
        <v>0</v>
      </c>
      <c r="D301" s="487" cm="1">
        <f t="array" ref="D301">SUMPRODUCT( (Mijlpalenbegroting!$B$193:$B$207=$B282) * (Mijlpalenbegroting!$J$193:$J$207) )*D169  +  SUMPRODUCT( (Mijlpalenbegroting!$B$212:$B$226=$B282) * (Mijlpalenbegroting!$J$212:$J$226) )*D169</f>
        <v>0</v>
      </c>
      <c r="E301" s="487" cm="1">
        <f t="array" ref="E301">SUMPRODUCT( (Mijlpalenbegroting!$B$193:$B$207=$B282) * (Mijlpalenbegroting!$J$193:$J$207) )*E169  +  SUMPRODUCT( (Mijlpalenbegroting!$B$212:$B$226=$B282) * (Mijlpalenbegroting!$J$212:$J$226) )*E169</f>
        <v>0</v>
      </c>
      <c r="F301" s="487" cm="1">
        <f t="array" ref="F301">SUMPRODUCT( (Mijlpalenbegroting!$B$193:$B$207=$B282) * (Mijlpalenbegroting!$J$193:$J$207) )*F169  +  SUMPRODUCT( (Mijlpalenbegroting!$B$212:$B$226=$B282) * (Mijlpalenbegroting!$J$212:$J$226) )*F169</f>
        <v>0</v>
      </c>
      <c r="G301" s="487" cm="1">
        <f t="array" ref="G301">SUMPRODUCT( (Mijlpalenbegroting!$B$193:$B$207=$B282) * (Mijlpalenbegroting!$J$193:$J$207) )*G169  +  SUMPRODUCT( (Mijlpalenbegroting!$B$212:$B$226=$B282) * (Mijlpalenbegroting!$J$212:$J$226) )*G169</f>
        <v>0</v>
      </c>
      <c r="H301" s="487" cm="1">
        <f t="array" ref="H301">SUMPRODUCT( (Mijlpalenbegroting!$B$193:$B$207=$B282) * (Mijlpalenbegroting!$J$193:$J$207) )*H169  +  SUMPRODUCT( (Mijlpalenbegroting!$B$212:$B$226=$B282) * (Mijlpalenbegroting!$J$212:$J$226) )*H169</f>
        <v>0</v>
      </c>
      <c r="I301" s="487" cm="1">
        <f t="array" ref="I301">SUMPRODUCT( (Mijlpalenbegroting!$B$193:$B$207=$B282) * (Mijlpalenbegroting!$J$193:$J$207) )*I169  +  SUMPRODUCT( (Mijlpalenbegroting!$B$212:$B$226=$B282) * (Mijlpalenbegroting!$J$212:$J$226) )*I169</f>
        <v>0</v>
      </c>
      <c r="J301" s="487" cm="1">
        <f t="array" ref="J301">SUMPRODUCT( (Mijlpalenbegroting!$B$193:$B$207=$B282) * (Mijlpalenbegroting!$J$193:$J$207) )*J169  +  SUMPRODUCT( (Mijlpalenbegroting!$B$212:$B$226=$B282) * (Mijlpalenbegroting!$J$212:$J$226) )*J169</f>
        <v>0</v>
      </c>
      <c r="K301" s="488">
        <f>SUM(C301:J301)</f>
        <v>0</v>
      </c>
      <c r="L301" s="469">
        <f>$B$169</f>
        <v>1</v>
      </c>
      <c r="M301" s="487" cm="1">
        <f t="array" ref="M301">SUMPRODUCT( (Mijlpalenbegroting!$B$193:$B$207=$B282) * (Mijlpalenbegroting!$I$193:$I$207) )*C169  +  SUMPRODUCT( (Mijlpalenbegroting!$B$212:$B$226=$B282) * (Mijlpalenbegroting!$I$212:$I$226) )*C169</f>
        <v>0</v>
      </c>
      <c r="N301" s="487" cm="1">
        <f t="array" ref="N301">SUMPRODUCT( (Mijlpalenbegroting!$B$193:$B$207=$B282) * (Mijlpalenbegroting!$I$193:$I$207) )*D169  +  SUMPRODUCT( (Mijlpalenbegroting!$B$212:$B$226=$B282) * (Mijlpalenbegroting!$I$212:$I$226) )*D169</f>
        <v>0</v>
      </c>
      <c r="O301" s="487" cm="1">
        <f t="array" ref="O301">SUMPRODUCT( (Mijlpalenbegroting!$B$193:$B$207=$B282) * (Mijlpalenbegroting!$I$193:$I$207) )*E169  +  SUMPRODUCT( (Mijlpalenbegroting!$B$212:$B$226=$B282) * (Mijlpalenbegroting!$I$212:$I$226) )*E169</f>
        <v>0</v>
      </c>
      <c r="P301" s="487" cm="1">
        <f t="array" ref="P301">SUMPRODUCT( (Mijlpalenbegroting!$B$193:$B$207=$B282) * (Mijlpalenbegroting!$I$193:$I$207) )*F169  +  SUMPRODUCT( (Mijlpalenbegroting!$B$212:$B$226=$B282) * (Mijlpalenbegroting!$I$212:$I$226) )*F169</f>
        <v>0</v>
      </c>
      <c r="Q301" s="487" cm="1">
        <f t="array" ref="Q301">SUMPRODUCT( (Mijlpalenbegroting!$B$193:$B$207=$B282) * (Mijlpalenbegroting!$I$193:$I$207) )*G169  +  SUMPRODUCT( (Mijlpalenbegroting!$B$212:$B$226=$B282) * (Mijlpalenbegroting!$I$212:$I$226) )*G169</f>
        <v>0</v>
      </c>
      <c r="R301" s="487" cm="1">
        <f t="array" ref="R301">SUMPRODUCT( (Mijlpalenbegroting!$B$193:$B$207=$B282) * (Mijlpalenbegroting!$I$193:$I$207) )*H169  +  SUMPRODUCT( (Mijlpalenbegroting!$B$212:$B$226=$B282) * (Mijlpalenbegroting!$I$212:$I$226) )*H169</f>
        <v>0</v>
      </c>
      <c r="S301" s="487" cm="1">
        <f t="array" ref="S301">SUMPRODUCT( (Mijlpalenbegroting!$B$193:$B$207=$B282) * (Mijlpalenbegroting!$I$193:$I$207) )*I169  +  SUMPRODUCT( (Mijlpalenbegroting!$B$212:$B$226=$B282) * (Mijlpalenbegroting!$I$212:$I$226) )*I169</f>
        <v>0</v>
      </c>
      <c r="T301" s="487" cm="1">
        <f t="array" ref="T301">SUMPRODUCT( (Mijlpalenbegroting!$B$193:$B$207=$B282) * (Mijlpalenbegroting!$I$193:$I$207) )*J169  +  SUMPRODUCT( (Mijlpalenbegroting!$B$212:$B$226=$B282) * (Mijlpalenbegroting!$I$212:$I$226) )*J169</f>
        <v>0</v>
      </c>
      <c r="U301" s="488">
        <f>SUM(M301:T301)</f>
        <v>0</v>
      </c>
      <c r="AT301"/>
    </row>
    <row r="302" spans="1:46" ht="12.5" hidden="1" outlineLevel="1" x14ac:dyDescent="0.25">
      <c r="A302" s="22"/>
      <c r="B302" s="469">
        <f>$B$170</f>
        <v>2</v>
      </c>
      <c r="C302" s="487" cm="1">
        <f t="array" ref="C302">SUMPRODUCT( (Mijlpalenbegroting!$B$193:$B$207=$B283) * (Mijlpalenbegroting!$J$193:$J$207) )*C170  +  SUMPRODUCT( (Mijlpalenbegroting!$B$212:$B$226=$B283) * (Mijlpalenbegroting!$J$212:$J$226) )*C170</f>
        <v>0</v>
      </c>
      <c r="D302" s="487" cm="1">
        <f t="array" ref="D302">SUMPRODUCT( (Mijlpalenbegroting!$B$193:$B$207=$B283) * (Mijlpalenbegroting!$J$193:$J$207) )*D170  +  SUMPRODUCT( (Mijlpalenbegroting!$B$212:$B$226=$B283) * (Mijlpalenbegroting!$J$212:$J$226) )*D170</f>
        <v>0</v>
      </c>
      <c r="E302" s="487" cm="1">
        <f t="array" ref="E302">SUMPRODUCT( (Mijlpalenbegroting!$B$193:$B$207=$B283) * (Mijlpalenbegroting!$J$193:$J$207) )*E170  +  SUMPRODUCT( (Mijlpalenbegroting!$B$212:$B$226=$B283) * (Mijlpalenbegroting!$J$212:$J$226) )*E170</f>
        <v>0</v>
      </c>
      <c r="F302" s="487" cm="1">
        <f t="array" ref="F302">SUMPRODUCT( (Mijlpalenbegroting!$B$193:$B$207=$B283) * (Mijlpalenbegroting!$J$193:$J$207) )*F170  +  SUMPRODUCT( (Mijlpalenbegroting!$B$212:$B$226=$B283) * (Mijlpalenbegroting!$J$212:$J$226) )*F170</f>
        <v>0</v>
      </c>
      <c r="G302" s="487" cm="1">
        <f t="array" ref="G302">SUMPRODUCT( (Mijlpalenbegroting!$B$193:$B$207=$B283) * (Mijlpalenbegroting!$J$193:$J$207) )*G170  +  SUMPRODUCT( (Mijlpalenbegroting!$B$212:$B$226=$B283) * (Mijlpalenbegroting!$J$212:$J$226) )*G170</f>
        <v>0</v>
      </c>
      <c r="H302" s="487" cm="1">
        <f t="array" ref="H302">SUMPRODUCT( (Mijlpalenbegroting!$B$193:$B$207=$B283) * (Mijlpalenbegroting!$J$193:$J$207) )*H170  +  SUMPRODUCT( (Mijlpalenbegroting!$B$212:$B$226=$B283) * (Mijlpalenbegroting!$J$212:$J$226) )*H170</f>
        <v>0</v>
      </c>
      <c r="I302" s="487" cm="1">
        <f t="array" ref="I302">SUMPRODUCT( (Mijlpalenbegroting!$B$193:$B$207=$B283) * (Mijlpalenbegroting!$J$193:$J$207) )*I170  +  SUMPRODUCT( (Mijlpalenbegroting!$B$212:$B$226=$B283) * (Mijlpalenbegroting!$J$212:$J$226) )*I170</f>
        <v>0</v>
      </c>
      <c r="J302" s="487" cm="1">
        <f t="array" ref="J302">SUMPRODUCT( (Mijlpalenbegroting!$B$193:$B$207=$B283) * (Mijlpalenbegroting!$J$193:$J$207) )*J170  +  SUMPRODUCT( (Mijlpalenbegroting!$B$212:$B$226=$B283) * (Mijlpalenbegroting!$J$212:$J$226) )*J170</f>
        <v>0</v>
      </c>
      <c r="K302" s="488">
        <f t="shared" ref="K302:K316" si="113">SUM(C302:J302)</f>
        <v>0</v>
      </c>
      <c r="L302" s="469">
        <f>$B$170</f>
        <v>2</v>
      </c>
      <c r="M302" s="487" cm="1">
        <f t="array" ref="M302">SUMPRODUCT( (Mijlpalenbegroting!$B$193:$B$207=$B283) * (Mijlpalenbegroting!$I$193:$I$207) )*C170  +  SUMPRODUCT( (Mijlpalenbegroting!$B$212:$B$226=$B283) * (Mijlpalenbegroting!$I$212:$I$226) )*C170</f>
        <v>0</v>
      </c>
      <c r="N302" s="487" cm="1">
        <f t="array" ref="N302">SUMPRODUCT( (Mijlpalenbegroting!$B$193:$B$207=$B283) * (Mijlpalenbegroting!$I$193:$I$207) )*D170  +  SUMPRODUCT( (Mijlpalenbegroting!$B$212:$B$226=$B283) * (Mijlpalenbegroting!$I$212:$I$226) )*D170</f>
        <v>0</v>
      </c>
      <c r="O302" s="487" cm="1">
        <f t="array" ref="O302">SUMPRODUCT( (Mijlpalenbegroting!$B$193:$B$207=$B283) * (Mijlpalenbegroting!$I$193:$I$207) )*E170  +  SUMPRODUCT( (Mijlpalenbegroting!$B$212:$B$226=$B283) * (Mijlpalenbegroting!$I$212:$I$226) )*E170</f>
        <v>0</v>
      </c>
      <c r="P302" s="487" cm="1">
        <f t="array" ref="P302">SUMPRODUCT( (Mijlpalenbegroting!$B$193:$B$207=$B283) * (Mijlpalenbegroting!$I$193:$I$207) )*F170  +  SUMPRODUCT( (Mijlpalenbegroting!$B$212:$B$226=$B283) * (Mijlpalenbegroting!$I$212:$I$226) )*F170</f>
        <v>0</v>
      </c>
      <c r="Q302" s="487" cm="1">
        <f t="array" ref="Q302">SUMPRODUCT( (Mijlpalenbegroting!$B$193:$B$207=$B283) * (Mijlpalenbegroting!$I$193:$I$207) )*G170  +  SUMPRODUCT( (Mijlpalenbegroting!$B$212:$B$226=$B283) * (Mijlpalenbegroting!$I$212:$I$226) )*G170</f>
        <v>0</v>
      </c>
      <c r="R302" s="487" cm="1">
        <f t="array" ref="R302">SUMPRODUCT( (Mijlpalenbegroting!$B$193:$B$207=$B283) * (Mijlpalenbegroting!$I$193:$I$207) )*H170  +  SUMPRODUCT( (Mijlpalenbegroting!$B$212:$B$226=$B283) * (Mijlpalenbegroting!$I$212:$I$226) )*H170</f>
        <v>0</v>
      </c>
      <c r="S302" s="487" cm="1">
        <f t="array" ref="S302">SUMPRODUCT( (Mijlpalenbegroting!$B$193:$B$207=$B283) * (Mijlpalenbegroting!$I$193:$I$207) )*I170  +  SUMPRODUCT( (Mijlpalenbegroting!$B$212:$B$226=$B283) * (Mijlpalenbegroting!$I$212:$I$226) )*I170</f>
        <v>0</v>
      </c>
      <c r="T302" s="487" cm="1">
        <f t="array" ref="T302">SUMPRODUCT( (Mijlpalenbegroting!$B$193:$B$207=$B283) * (Mijlpalenbegroting!$I$193:$I$207) )*J170  +  SUMPRODUCT( (Mijlpalenbegroting!$B$212:$B$226=$B283) * (Mijlpalenbegroting!$I$212:$I$226) )*J170</f>
        <v>0</v>
      </c>
      <c r="U302" s="488">
        <f t="shared" ref="U302:U316" si="114">SUM(M302:T302)</f>
        <v>0</v>
      </c>
      <c r="AT302"/>
    </row>
    <row r="303" spans="1:46" ht="12.5" hidden="1" outlineLevel="1" x14ac:dyDescent="0.25">
      <c r="A303" s="22"/>
      <c r="B303" s="469">
        <f>$B$171</f>
        <v>3</v>
      </c>
      <c r="C303" s="487" cm="1">
        <f t="array" ref="C303">SUMPRODUCT( (Mijlpalenbegroting!$B$193:$B$207=$B284) * (Mijlpalenbegroting!$J$193:$J$207) )*C171  +  SUMPRODUCT( (Mijlpalenbegroting!$B$212:$B$226=$B284) * (Mijlpalenbegroting!$J$212:$J$226) )*C171</f>
        <v>0</v>
      </c>
      <c r="D303" s="487" cm="1">
        <f t="array" ref="D303">SUMPRODUCT( (Mijlpalenbegroting!$B$193:$B$207=$B284) * (Mijlpalenbegroting!$J$193:$J$207) )*D171  +  SUMPRODUCT( (Mijlpalenbegroting!$B$212:$B$226=$B284) * (Mijlpalenbegroting!$J$212:$J$226) )*D171</f>
        <v>0</v>
      </c>
      <c r="E303" s="487" cm="1">
        <f t="array" ref="E303">SUMPRODUCT( (Mijlpalenbegroting!$B$193:$B$207=$B284) * (Mijlpalenbegroting!$J$193:$J$207) )*E171  +  SUMPRODUCT( (Mijlpalenbegroting!$B$212:$B$226=$B284) * (Mijlpalenbegroting!$J$212:$J$226) )*E171</f>
        <v>0</v>
      </c>
      <c r="F303" s="487" cm="1">
        <f t="array" ref="F303">SUMPRODUCT( (Mijlpalenbegroting!$B$193:$B$207=$B284) * (Mijlpalenbegroting!$J$193:$J$207) )*F171  +  SUMPRODUCT( (Mijlpalenbegroting!$B$212:$B$226=$B284) * (Mijlpalenbegroting!$J$212:$J$226) )*F171</f>
        <v>0</v>
      </c>
      <c r="G303" s="487" cm="1">
        <f t="array" ref="G303">SUMPRODUCT( (Mijlpalenbegroting!$B$193:$B$207=$B284) * (Mijlpalenbegroting!$J$193:$J$207) )*G171  +  SUMPRODUCT( (Mijlpalenbegroting!$B$212:$B$226=$B284) * (Mijlpalenbegroting!$J$212:$J$226) )*G171</f>
        <v>0</v>
      </c>
      <c r="H303" s="487" cm="1">
        <f t="array" ref="H303">SUMPRODUCT( (Mijlpalenbegroting!$B$193:$B$207=$B284) * (Mijlpalenbegroting!$J$193:$J$207) )*H171  +  SUMPRODUCT( (Mijlpalenbegroting!$B$212:$B$226=$B284) * (Mijlpalenbegroting!$J$212:$J$226) )*H171</f>
        <v>0</v>
      </c>
      <c r="I303" s="487" cm="1">
        <f t="array" ref="I303">SUMPRODUCT( (Mijlpalenbegroting!$B$193:$B$207=$B284) * (Mijlpalenbegroting!$J$193:$J$207) )*I171  +  SUMPRODUCT( (Mijlpalenbegroting!$B$212:$B$226=$B284) * (Mijlpalenbegroting!$J$212:$J$226) )*I171</f>
        <v>0</v>
      </c>
      <c r="J303" s="487" cm="1">
        <f t="array" ref="J303">SUMPRODUCT( (Mijlpalenbegroting!$B$193:$B$207=$B284) * (Mijlpalenbegroting!$J$193:$J$207) )*J171  +  SUMPRODUCT( (Mijlpalenbegroting!$B$212:$B$226=$B284) * (Mijlpalenbegroting!$J$212:$J$226) )*J171</f>
        <v>0</v>
      </c>
      <c r="K303" s="488">
        <f t="shared" si="113"/>
        <v>0</v>
      </c>
      <c r="L303" s="469">
        <f>$B$171</f>
        <v>3</v>
      </c>
      <c r="M303" s="487" cm="1">
        <f t="array" ref="M303">SUMPRODUCT( (Mijlpalenbegroting!$B$193:$B$207=$B284) * (Mijlpalenbegroting!$I$193:$I$207) )*C171  +  SUMPRODUCT( (Mijlpalenbegroting!$B$212:$B$226=$B284) * (Mijlpalenbegroting!$I$212:$I$226) )*C171</f>
        <v>0</v>
      </c>
      <c r="N303" s="487" cm="1">
        <f t="array" ref="N303">SUMPRODUCT( (Mijlpalenbegroting!$B$193:$B$207=$B284) * (Mijlpalenbegroting!$I$193:$I$207) )*D171  +  SUMPRODUCT( (Mijlpalenbegroting!$B$212:$B$226=$B284) * (Mijlpalenbegroting!$I$212:$I$226) )*D171</f>
        <v>0</v>
      </c>
      <c r="O303" s="487" cm="1">
        <f t="array" ref="O303">SUMPRODUCT( (Mijlpalenbegroting!$B$193:$B$207=$B284) * (Mijlpalenbegroting!$I$193:$I$207) )*E171  +  SUMPRODUCT( (Mijlpalenbegroting!$B$212:$B$226=$B284) * (Mijlpalenbegroting!$I$212:$I$226) )*E171</f>
        <v>0</v>
      </c>
      <c r="P303" s="487" cm="1">
        <f t="array" ref="P303">SUMPRODUCT( (Mijlpalenbegroting!$B$193:$B$207=$B284) * (Mijlpalenbegroting!$I$193:$I$207) )*F171  +  SUMPRODUCT( (Mijlpalenbegroting!$B$212:$B$226=$B284) * (Mijlpalenbegroting!$I$212:$I$226) )*F171</f>
        <v>0</v>
      </c>
      <c r="Q303" s="487" cm="1">
        <f t="array" ref="Q303">SUMPRODUCT( (Mijlpalenbegroting!$B$193:$B$207=$B284) * (Mijlpalenbegroting!$I$193:$I$207) )*G171  +  SUMPRODUCT( (Mijlpalenbegroting!$B$212:$B$226=$B284) * (Mijlpalenbegroting!$I$212:$I$226) )*G171</f>
        <v>0</v>
      </c>
      <c r="R303" s="487" cm="1">
        <f t="array" ref="R303">SUMPRODUCT( (Mijlpalenbegroting!$B$193:$B$207=$B284) * (Mijlpalenbegroting!$I$193:$I$207) )*H171  +  SUMPRODUCT( (Mijlpalenbegroting!$B$212:$B$226=$B284) * (Mijlpalenbegroting!$I$212:$I$226) )*H171</f>
        <v>0</v>
      </c>
      <c r="S303" s="487" cm="1">
        <f t="array" ref="S303">SUMPRODUCT( (Mijlpalenbegroting!$B$193:$B$207=$B284) * (Mijlpalenbegroting!$I$193:$I$207) )*I171  +  SUMPRODUCT( (Mijlpalenbegroting!$B$212:$B$226=$B284) * (Mijlpalenbegroting!$I$212:$I$226) )*I171</f>
        <v>0</v>
      </c>
      <c r="T303" s="487" cm="1">
        <f t="array" ref="T303">SUMPRODUCT( (Mijlpalenbegroting!$B$193:$B$207=$B284) * (Mijlpalenbegroting!$I$193:$I$207) )*J171  +  SUMPRODUCT( (Mijlpalenbegroting!$B$212:$B$226=$B284) * (Mijlpalenbegroting!$I$212:$I$226) )*J171</f>
        <v>0</v>
      </c>
      <c r="U303" s="488">
        <f t="shared" si="114"/>
        <v>0</v>
      </c>
      <c r="AT303"/>
    </row>
    <row r="304" spans="1:46" ht="12.5" hidden="1" outlineLevel="1" x14ac:dyDescent="0.25">
      <c r="A304" s="22"/>
      <c r="B304" s="469">
        <f>$B$172</f>
        <v>4</v>
      </c>
      <c r="C304" s="487" cm="1">
        <f t="array" ref="C304">SUMPRODUCT( (Mijlpalenbegroting!$B$193:$B$207=$B285) * (Mijlpalenbegroting!$J$193:$J$207) )*C172  +  SUMPRODUCT( (Mijlpalenbegroting!$B$212:$B$226=$B285) * (Mijlpalenbegroting!$J$212:$J$226) )*C172</f>
        <v>0</v>
      </c>
      <c r="D304" s="487" cm="1">
        <f t="array" ref="D304">SUMPRODUCT( (Mijlpalenbegroting!$B$193:$B$207=$B285) * (Mijlpalenbegroting!$J$193:$J$207) )*D172  +  SUMPRODUCT( (Mijlpalenbegroting!$B$212:$B$226=$B285) * (Mijlpalenbegroting!$J$212:$J$226) )*D172</f>
        <v>0</v>
      </c>
      <c r="E304" s="487" cm="1">
        <f t="array" ref="E304">SUMPRODUCT( (Mijlpalenbegroting!$B$193:$B$207=$B285) * (Mijlpalenbegroting!$J$193:$J$207) )*E172  +  SUMPRODUCT( (Mijlpalenbegroting!$B$212:$B$226=$B285) * (Mijlpalenbegroting!$J$212:$J$226) )*E172</f>
        <v>0</v>
      </c>
      <c r="F304" s="487" cm="1">
        <f t="array" ref="F304">SUMPRODUCT( (Mijlpalenbegroting!$B$193:$B$207=$B285) * (Mijlpalenbegroting!$J$193:$J$207) )*F172  +  SUMPRODUCT( (Mijlpalenbegroting!$B$212:$B$226=$B285) * (Mijlpalenbegroting!$J$212:$J$226) )*F172</f>
        <v>0</v>
      </c>
      <c r="G304" s="487" cm="1">
        <f t="array" ref="G304">SUMPRODUCT( (Mijlpalenbegroting!$B$193:$B$207=$B285) * (Mijlpalenbegroting!$J$193:$J$207) )*G172  +  SUMPRODUCT( (Mijlpalenbegroting!$B$212:$B$226=$B285) * (Mijlpalenbegroting!$J$212:$J$226) )*G172</f>
        <v>0</v>
      </c>
      <c r="H304" s="487" cm="1">
        <f t="array" ref="H304">SUMPRODUCT( (Mijlpalenbegroting!$B$193:$B$207=$B285) * (Mijlpalenbegroting!$J$193:$J$207) )*H172  +  SUMPRODUCT( (Mijlpalenbegroting!$B$212:$B$226=$B285) * (Mijlpalenbegroting!$J$212:$J$226) )*H172</f>
        <v>0</v>
      </c>
      <c r="I304" s="487" cm="1">
        <f t="array" ref="I304">SUMPRODUCT( (Mijlpalenbegroting!$B$193:$B$207=$B285) * (Mijlpalenbegroting!$J$193:$J$207) )*I172  +  SUMPRODUCT( (Mijlpalenbegroting!$B$212:$B$226=$B285) * (Mijlpalenbegroting!$J$212:$J$226) )*I172</f>
        <v>0</v>
      </c>
      <c r="J304" s="487" cm="1">
        <f t="array" ref="J304">SUMPRODUCT( (Mijlpalenbegroting!$B$193:$B$207=$B285) * (Mijlpalenbegroting!$J$193:$J$207) )*J172  +  SUMPRODUCT( (Mijlpalenbegroting!$B$212:$B$226=$B285) * (Mijlpalenbegroting!$J$212:$J$226) )*J172</f>
        <v>0</v>
      </c>
      <c r="K304" s="488">
        <f t="shared" si="113"/>
        <v>0</v>
      </c>
      <c r="L304" s="469">
        <f>$B$172</f>
        <v>4</v>
      </c>
      <c r="M304" s="487" cm="1">
        <f t="array" ref="M304">SUMPRODUCT( (Mijlpalenbegroting!$B$193:$B$207=$B285) * (Mijlpalenbegroting!$I$193:$I$207) )*C172  +  SUMPRODUCT( (Mijlpalenbegroting!$B$212:$B$226=$B285) * (Mijlpalenbegroting!$I$212:$I$226) )*C172</f>
        <v>0</v>
      </c>
      <c r="N304" s="487" cm="1">
        <f t="array" ref="N304">SUMPRODUCT( (Mijlpalenbegroting!$B$193:$B$207=$B285) * (Mijlpalenbegroting!$I$193:$I$207) )*D172  +  SUMPRODUCT( (Mijlpalenbegroting!$B$212:$B$226=$B285) * (Mijlpalenbegroting!$I$212:$I$226) )*D172</f>
        <v>0</v>
      </c>
      <c r="O304" s="487" cm="1">
        <f t="array" ref="O304">SUMPRODUCT( (Mijlpalenbegroting!$B$193:$B$207=$B285) * (Mijlpalenbegroting!$I$193:$I$207) )*E172  +  SUMPRODUCT( (Mijlpalenbegroting!$B$212:$B$226=$B285) * (Mijlpalenbegroting!$I$212:$I$226) )*E172</f>
        <v>0</v>
      </c>
      <c r="P304" s="487" cm="1">
        <f t="array" ref="P304">SUMPRODUCT( (Mijlpalenbegroting!$B$193:$B$207=$B285) * (Mijlpalenbegroting!$I$193:$I$207) )*F172  +  SUMPRODUCT( (Mijlpalenbegroting!$B$212:$B$226=$B285) * (Mijlpalenbegroting!$I$212:$I$226) )*F172</f>
        <v>0</v>
      </c>
      <c r="Q304" s="487" cm="1">
        <f t="array" ref="Q304">SUMPRODUCT( (Mijlpalenbegroting!$B$193:$B$207=$B285) * (Mijlpalenbegroting!$I$193:$I$207) )*G172  +  SUMPRODUCT( (Mijlpalenbegroting!$B$212:$B$226=$B285) * (Mijlpalenbegroting!$I$212:$I$226) )*G172</f>
        <v>0</v>
      </c>
      <c r="R304" s="487" cm="1">
        <f t="array" ref="R304">SUMPRODUCT( (Mijlpalenbegroting!$B$193:$B$207=$B285) * (Mijlpalenbegroting!$I$193:$I$207) )*H172  +  SUMPRODUCT( (Mijlpalenbegroting!$B$212:$B$226=$B285) * (Mijlpalenbegroting!$I$212:$I$226) )*H172</f>
        <v>0</v>
      </c>
      <c r="S304" s="487" cm="1">
        <f t="array" ref="S304">SUMPRODUCT( (Mijlpalenbegroting!$B$193:$B$207=$B285) * (Mijlpalenbegroting!$I$193:$I$207) )*I172  +  SUMPRODUCT( (Mijlpalenbegroting!$B$212:$B$226=$B285) * (Mijlpalenbegroting!$I$212:$I$226) )*I172</f>
        <v>0</v>
      </c>
      <c r="T304" s="487" cm="1">
        <f t="array" ref="T304">SUMPRODUCT( (Mijlpalenbegroting!$B$193:$B$207=$B285) * (Mijlpalenbegroting!$I$193:$I$207) )*J172  +  SUMPRODUCT( (Mijlpalenbegroting!$B$212:$B$226=$B285) * (Mijlpalenbegroting!$I$212:$I$226) )*J172</f>
        <v>0</v>
      </c>
      <c r="U304" s="488">
        <f t="shared" si="114"/>
        <v>0</v>
      </c>
      <c r="AT304"/>
    </row>
    <row r="305" spans="1:46" ht="12.5" hidden="1" outlineLevel="1" x14ac:dyDescent="0.25">
      <c r="A305" s="22"/>
      <c r="B305" s="469">
        <f>$B$173</f>
        <v>5</v>
      </c>
      <c r="C305" s="487" cm="1">
        <f t="array" ref="C305">SUMPRODUCT( (Mijlpalenbegroting!$B$193:$B$207=$B286) * (Mijlpalenbegroting!$J$193:$J$207) )*C173  +  SUMPRODUCT( (Mijlpalenbegroting!$B$212:$B$226=$B286) * (Mijlpalenbegroting!$J$212:$J$226) )*C173</f>
        <v>0</v>
      </c>
      <c r="D305" s="487" cm="1">
        <f t="array" ref="D305">SUMPRODUCT( (Mijlpalenbegroting!$B$193:$B$207=$B286) * (Mijlpalenbegroting!$J$193:$J$207) )*D173  +  SUMPRODUCT( (Mijlpalenbegroting!$B$212:$B$226=$B286) * (Mijlpalenbegroting!$J$212:$J$226) )*D173</f>
        <v>0</v>
      </c>
      <c r="E305" s="487" cm="1">
        <f t="array" ref="E305">SUMPRODUCT( (Mijlpalenbegroting!$B$193:$B$207=$B286) * (Mijlpalenbegroting!$J$193:$J$207) )*E173  +  SUMPRODUCT( (Mijlpalenbegroting!$B$212:$B$226=$B286) * (Mijlpalenbegroting!$J$212:$J$226) )*E173</f>
        <v>0</v>
      </c>
      <c r="F305" s="487" cm="1">
        <f t="array" ref="F305">SUMPRODUCT( (Mijlpalenbegroting!$B$193:$B$207=$B286) * (Mijlpalenbegroting!$J$193:$J$207) )*F173  +  SUMPRODUCT( (Mijlpalenbegroting!$B$212:$B$226=$B286) * (Mijlpalenbegroting!$J$212:$J$226) )*F173</f>
        <v>0</v>
      </c>
      <c r="G305" s="487" cm="1">
        <f t="array" ref="G305">SUMPRODUCT( (Mijlpalenbegroting!$B$193:$B$207=$B286) * (Mijlpalenbegroting!$J$193:$J$207) )*G173  +  SUMPRODUCT( (Mijlpalenbegroting!$B$212:$B$226=$B286) * (Mijlpalenbegroting!$J$212:$J$226) )*G173</f>
        <v>0</v>
      </c>
      <c r="H305" s="487" cm="1">
        <f t="array" ref="H305">SUMPRODUCT( (Mijlpalenbegroting!$B$193:$B$207=$B286) * (Mijlpalenbegroting!$J$193:$J$207) )*H173  +  SUMPRODUCT( (Mijlpalenbegroting!$B$212:$B$226=$B286) * (Mijlpalenbegroting!$J$212:$J$226) )*H173</f>
        <v>0</v>
      </c>
      <c r="I305" s="487" cm="1">
        <f t="array" ref="I305">SUMPRODUCT( (Mijlpalenbegroting!$B$193:$B$207=$B286) * (Mijlpalenbegroting!$J$193:$J$207) )*I173  +  SUMPRODUCT( (Mijlpalenbegroting!$B$212:$B$226=$B286) * (Mijlpalenbegroting!$J$212:$J$226) )*I173</f>
        <v>0</v>
      </c>
      <c r="J305" s="487" cm="1">
        <f t="array" ref="J305">SUMPRODUCT( (Mijlpalenbegroting!$B$193:$B$207=$B286) * (Mijlpalenbegroting!$J$193:$J$207) )*J173  +  SUMPRODUCT( (Mijlpalenbegroting!$B$212:$B$226=$B286) * (Mijlpalenbegroting!$J$212:$J$226) )*J173</f>
        <v>0</v>
      </c>
      <c r="K305" s="488">
        <f t="shared" si="113"/>
        <v>0</v>
      </c>
      <c r="L305" s="469">
        <f>$B$173</f>
        <v>5</v>
      </c>
      <c r="M305" s="487" cm="1">
        <f t="array" ref="M305">SUMPRODUCT( (Mijlpalenbegroting!$B$193:$B$207=$B286) * (Mijlpalenbegroting!$I$193:$I$207) )*C173  +  SUMPRODUCT( (Mijlpalenbegroting!$B$212:$B$226=$B286) * (Mijlpalenbegroting!$I$212:$I$226) )*C173</f>
        <v>0</v>
      </c>
      <c r="N305" s="487" cm="1">
        <f t="array" ref="N305">SUMPRODUCT( (Mijlpalenbegroting!$B$193:$B$207=$B286) * (Mijlpalenbegroting!$I$193:$I$207) )*D173  +  SUMPRODUCT( (Mijlpalenbegroting!$B$212:$B$226=$B286) * (Mijlpalenbegroting!$I$212:$I$226) )*D173</f>
        <v>0</v>
      </c>
      <c r="O305" s="487" cm="1">
        <f t="array" ref="O305">SUMPRODUCT( (Mijlpalenbegroting!$B$193:$B$207=$B286) * (Mijlpalenbegroting!$I$193:$I$207) )*E173  +  SUMPRODUCT( (Mijlpalenbegroting!$B$212:$B$226=$B286) * (Mijlpalenbegroting!$I$212:$I$226) )*E173</f>
        <v>0</v>
      </c>
      <c r="P305" s="487" cm="1">
        <f t="array" ref="P305">SUMPRODUCT( (Mijlpalenbegroting!$B$193:$B$207=$B286) * (Mijlpalenbegroting!$I$193:$I$207) )*F173  +  SUMPRODUCT( (Mijlpalenbegroting!$B$212:$B$226=$B286) * (Mijlpalenbegroting!$I$212:$I$226) )*F173</f>
        <v>0</v>
      </c>
      <c r="Q305" s="487" cm="1">
        <f t="array" ref="Q305">SUMPRODUCT( (Mijlpalenbegroting!$B$193:$B$207=$B286) * (Mijlpalenbegroting!$I$193:$I$207) )*G173  +  SUMPRODUCT( (Mijlpalenbegroting!$B$212:$B$226=$B286) * (Mijlpalenbegroting!$I$212:$I$226) )*G173</f>
        <v>0</v>
      </c>
      <c r="R305" s="487" cm="1">
        <f t="array" ref="R305">SUMPRODUCT( (Mijlpalenbegroting!$B$193:$B$207=$B286) * (Mijlpalenbegroting!$I$193:$I$207) )*H173  +  SUMPRODUCT( (Mijlpalenbegroting!$B$212:$B$226=$B286) * (Mijlpalenbegroting!$I$212:$I$226) )*H173</f>
        <v>0</v>
      </c>
      <c r="S305" s="487" cm="1">
        <f t="array" ref="S305">SUMPRODUCT( (Mijlpalenbegroting!$B$193:$B$207=$B286) * (Mijlpalenbegroting!$I$193:$I$207) )*I173  +  SUMPRODUCT( (Mijlpalenbegroting!$B$212:$B$226=$B286) * (Mijlpalenbegroting!$I$212:$I$226) )*I173</f>
        <v>0</v>
      </c>
      <c r="T305" s="487" cm="1">
        <f t="array" ref="T305">SUMPRODUCT( (Mijlpalenbegroting!$B$193:$B$207=$B286) * (Mijlpalenbegroting!$I$193:$I$207) )*J173  +  SUMPRODUCT( (Mijlpalenbegroting!$B$212:$B$226=$B286) * (Mijlpalenbegroting!$I$212:$I$226) )*J173</f>
        <v>0</v>
      </c>
      <c r="U305" s="488">
        <f t="shared" si="114"/>
        <v>0</v>
      </c>
      <c r="AT305"/>
    </row>
    <row r="306" spans="1:46" ht="12.5" hidden="1" outlineLevel="1" x14ac:dyDescent="0.25">
      <c r="A306" s="22"/>
      <c r="B306" s="469">
        <f>$B$174</f>
        <v>6</v>
      </c>
      <c r="C306" s="487" cm="1">
        <f t="array" ref="C306">SUMPRODUCT( (Mijlpalenbegroting!$B$193:$B$207=$B287) * (Mijlpalenbegroting!$J$193:$J$207) )*C174  +  SUMPRODUCT( (Mijlpalenbegroting!$B$212:$B$226=$B287) * (Mijlpalenbegroting!$J$212:$J$226) )*C174</f>
        <v>0</v>
      </c>
      <c r="D306" s="487" cm="1">
        <f t="array" ref="D306">SUMPRODUCT( (Mijlpalenbegroting!$B$193:$B$207=$B287) * (Mijlpalenbegroting!$J$193:$J$207) )*D174  +  SUMPRODUCT( (Mijlpalenbegroting!$B$212:$B$226=$B287) * (Mijlpalenbegroting!$J$212:$J$226) )*D174</f>
        <v>0</v>
      </c>
      <c r="E306" s="487" cm="1">
        <f t="array" ref="E306">SUMPRODUCT( (Mijlpalenbegroting!$B$193:$B$207=$B287) * (Mijlpalenbegroting!$J$193:$J$207) )*E174  +  SUMPRODUCT( (Mijlpalenbegroting!$B$212:$B$226=$B287) * (Mijlpalenbegroting!$J$212:$J$226) )*E174</f>
        <v>0</v>
      </c>
      <c r="F306" s="487" cm="1">
        <f t="array" ref="F306">SUMPRODUCT( (Mijlpalenbegroting!$B$193:$B$207=$B287) * (Mijlpalenbegroting!$J$193:$J$207) )*F174  +  SUMPRODUCT( (Mijlpalenbegroting!$B$212:$B$226=$B287) * (Mijlpalenbegroting!$J$212:$J$226) )*F174</f>
        <v>0</v>
      </c>
      <c r="G306" s="487" cm="1">
        <f t="array" ref="G306">SUMPRODUCT( (Mijlpalenbegroting!$B$193:$B$207=$B287) * (Mijlpalenbegroting!$J$193:$J$207) )*G174  +  SUMPRODUCT( (Mijlpalenbegroting!$B$212:$B$226=$B287) * (Mijlpalenbegroting!$J$212:$J$226) )*G174</f>
        <v>0</v>
      </c>
      <c r="H306" s="487" cm="1">
        <f t="array" ref="H306">SUMPRODUCT( (Mijlpalenbegroting!$B$193:$B$207=$B287) * (Mijlpalenbegroting!$J$193:$J$207) )*H174  +  SUMPRODUCT( (Mijlpalenbegroting!$B$212:$B$226=$B287) * (Mijlpalenbegroting!$J$212:$J$226) )*H174</f>
        <v>0</v>
      </c>
      <c r="I306" s="487" cm="1">
        <f t="array" ref="I306">SUMPRODUCT( (Mijlpalenbegroting!$B$193:$B$207=$B287) * (Mijlpalenbegroting!$J$193:$J$207) )*I174  +  SUMPRODUCT( (Mijlpalenbegroting!$B$212:$B$226=$B287) * (Mijlpalenbegroting!$J$212:$J$226) )*I174</f>
        <v>0</v>
      </c>
      <c r="J306" s="487" cm="1">
        <f t="array" ref="J306">SUMPRODUCT( (Mijlpalenbegroting!$B$193:$B$207=$B287) * (Mijlpalenbegroting!$J$193:$J$207) )*J174  +  SUMPRODUCT( (Mijlpalenbegroting!$B$212:$B$226=$B287) * (Mijlpalenbegroting!$J$212:$J$226) )*J174</f>
        <v>0</v>
      </c>
      <c r="K306" s="488">
        <f t="shared" si="113"/>
        <v>0</v>
      </c>
      <c r="L306" s="469">
        <f>$B$174</f>
        <v>6</v>
      </c>
      <c r="M306" s="487" cm="1">
        <f t="array" ref="M306">SUMPRODUCT( (Mijlpalenbegroting!$B$193:$B$207=$B287) * (Mijlpalenbegroting!$I$193:$I$207) )*C174  +  SUMPRODUCT( (Mijlpalenbegroting!$B$212:$B$226=$B287) * (Mijlpalenbegroting!$I$212:$I$226) )*C174</f>
        <v>0</v>
      </c>
      <c r="N306" s="487" cm="1">
        <f t="array" ref="N306">SUMPRODUCT( (Mijlpalenbegroting!$B$193:$B$207=$B287) * (Mijlpalenbegroting!$I$193:$I$207) )*D174  +  SUMPRODUCT( (Mijlpalenbegroting!$B$212:$B$226=$B287) * (Mijlpalenbegroting!$I$212:$I$226) )*D174</f>
        <v>0</v>
      </c>
      <c r="O306" s="487" cm="1">
        <f t="array" ref="O306">SUMPRODUCT( (Mijlpalenbegroting!$B$193:$B$207=$B287) * (Mijlpalenbegroting!$I$193:$I$207) )*E174  +  SUMPRODUCT( (Mijlpalenbegroting!$B$212:$B$226=$B287) * (Mijlpalenbegroting!$I$212:$I$226) )*E174</f>
        <v>0</v>
      </c>
      <c r="P306" s="487" cm="1">
        <f t="array" ref="P306">SUMPRODUCT( (Mijlpalenbegroting!$B$193:$B$207=$B287) * (Mijlpalenbegroting!$I$193:$I$207) )*F174  +  SUMPRODUCT( (Mijlpalenbegroting!$B$212:$B$226=$B287) * (Mijlpalenbegroting!$I$212:$I$226) )*F174</f>
        <v>0</v>
      </c>
      <c r="Q306" s="487" cm="1">
        <f t="array" ref="Q306">SUMPRODUCT( (Mijlpalenbegroting!$B$193:$B$207=$B287) * (Mijlpalenbegroting!$I$193:$I$207) )*G174  +  SUMPRODUCT( (Mijlpalenbegroting!$B$212:$B$226=$B287) * (Mijlpalenbegroting!$I$212:$I$226) )*G174</f>
        <v>0</v>
      </c>
      <c r="R306" s="487" cm="1">
        <f t="array" ref="R306">SUMPRODUCT( (Mijlpalenbegroting!$B$193:$B$207=$B287) * (Mijlpalenbegroting!$I$193:$I$207) )*H174  +  SUMPRODUCT( (Mijlpalenbegroting!$B$212:$B$226=$B287) * (Mijlpalenbegroting!$I$212:$I$226) )*H174</f>
        <v>0</v>
      </c>
      <c r="S306" s="487" cm="1">
        <f t="array" ref="S306">SUMPRODUCT( (Mijlpalenbegroting!$B$193:$B$207=$B287) * (Mijlpalenbegroting!$I$193:$I$207) )*I174  +  SUMPRODUCT( (Mijlpalenbegroting!$B$212:$B$226=$B287) * (Mijlpalenbegroting!$I$212:$I$226) )*I174</f>
        <v>0</v>
      </c>
      <c r="T306" s="487" cm="1">
        <f t="array" ref="T306">SUMPRODUCT( (Mijlpalenbegroting!$B$193:$B$207=$B287) * (Mijlpalenbegroting!$I$193:$I$207) )*J174  +  SUMPRODUCT( (Mijlpalenbegroting!$B$212:$B$226=$B287) * (Mijlpalenbegroting!$I$212:$I$226) )*J174</f>
        <v>0</v>
      </c>
      <c r="U306" s="488">
        <f t="shared" si="114"/>
        <v>0</v>
      </c>
      <c r="AT306"/>
    </row>
    <row r="307" spans="1:46" ht="12.5" hidden="1" outlineLevel="1" x14ac:dyDescent="0.25">
      <c r="A307" s="22"/>
      <c r="B307" s="469">
        <f>$B$175</f>
        <v>7</v>
      </c>
      <c r="C307" s="487" cm="1">
        <f t="array" ref="C307">SUMPRODUCT( (Mijlpalenbegroting!$B$193:$B$207=$B288) * (Mijlpalenbegroting!$J$193:$J$207) )*C175  +  SUMPRODUCT( (Mijlpalenbegroting!$B$212:$B$226=$B288) * (Mijlpalenbegroting!$J$212:$J$226) )*C175</f>
        <v>0</v>
      </c>
      <c r="D307" s="487" cm="1">
        <f t="array" ref="D307">SUMPRODUCT( (Mijlpalenbegroting!$B$193:$B$207=$B288) * (Mijlpalenbegroting!$J$193:$J$207) )*D175  +  SUMPRODUCT( (Mijlpalenbegroting!$B$212:$B$226=$B288) * (Mijlpalenbegroting!$J$212:$J$226) )*D175</f>
        <v>0</v>
      </c>
      <c r="E307" s="487" cm="1">
        <f t="array" ref="E307">SUMPRODUCT( (Mijlpalenbegroting!$B$193:$B$207=$B288) * (Mijlpalenbegroting!$J$193:$J$207) )*E175  +  SUMPRODUCT( (Mijlpalenbegroting!$B$212:$B$226=$B288) * (Mijlpalenbegroting!$J$212:$J$226) )*E175</f>
        <v>0</v>
      </c>
      <c r="F307" s="487" cm="1">
        <f t="array" ref="F307">SUMPRODUCT( (Mijlpalenbegroting!$B$193:$B$207=$B288) * (Mijlpalenbegroting!$J$193:$J$207) )*F175  +  SUMPRODUCT( (Mijlpalenbegroting!$B$212:$B$226=$B288) * (Mijlpalenbegroting!$J$212:$J$226) )*F175</f>
        <v>0</v>
      </c>
      <c r="G307" s="487" cm="1">
        <f t="array" ref="G307">SUMPRODUCT( (Mijlpalenbegroting!$B$193:$B$207=$B288) * (Mijlpalenbegroting!$J$193:$J$207) )*G175  +  SUMPRODUCT( (Mijlpalenbegroting!$B$212:$B$226=$B288) * (Mijlpalenbegroting!$J$212:$J$226) )*G175</f>
        <v>0</v>
      </c>
      <c r="H307" s="487" cm="1">
        <f t="array" ref="H307">SUMPRODUCT( (Mijlpalenbegroting!$B$193:$B$207=$B288) * (Mijlpalenbegroting!$J$193:$J$207) )*H175  +  SUMPRODUCT( (Mijlpalenbegroting!$B$212:$B$226=$B288) * (Mijlpalenbegroting!$J$212:$J$226) )*H175</f>
        <v>0</v>
      </c>
      <c r="I307" s="487" cm="1">
        <f t="array" ref="I307">SUMPRODUCT( (Mijlpalenbegroting!$B$193:$B$207=$B288) * (Mijlpalenbegroting!$J$193:$J$207) )*I175  +  SUMPRODUCT( (Mijlpalenbegroting!$B$212:$B$226=$B288) * (Mijlpalenbegroting!$J$212:$J$226) )*I175</f>
        <v>0</v>
      </c>
      <c r="J307" s="487" cm="1">
        <f t="array" ref="J307">SUMPRODUCT( (Mijlpalenbegroting!$B$193:$B$207=$B288) * (Mijlpalenbegroting!$J$193:$J$207) )*J175  +  SUMPRODUCT( (Mijlpalenbegroting!$B$212:$B$226=$B288) * (Mijlpalenbegroting!$J$212:$J$226) )*J175</f>
        <v>0</v>
      </c>
      <c r="K307" s="488">
        <f t="shared" si="113"/>
        <v>0</v>
      </c>
      <c r="L307" s="469">
        <f>$B$175</f>
        <v>7</v>
      </c>
      <c r="M307" s="487" cm="1">
        <f t="array" ref="M307">SUMPRODUCT( (Mijlpalenbegroting!$B$193:$B$207=$B288) * (Mijlpalenbegroting!$I$193:$I$207) )*C175  +  SUMPRODUCT( (Mijlpalenbegroting!$B$212:$B$226=$B288) * (Mijlpalenbegroting!$I$212:$I$226) )*C175</f>
        <v>0</v>
      </c>
      <c r="N307" s="487" cm="1">
        <f t="array" ref="N307">SUMPRODUCT( (Mijlpalenbegroting!$B$193:$B$207=$B288) * (Mijlpalenbegroting!$I$193:$I$207) )*D175  +  SUMPRODUCT( (Mijlpalenbegroting!$B$212:$B$226=$B288) * (Mijlpalenbegroting!$I$212:$I$226) )*D175</f>
        <v>0</v>
      </c>
      <c r="O307" s="487" cm="1">
        <f t="array" ref="O307">SUMPRODUCT( (Mijlpalenbegroting!$B$193:$B$207=$B288) * (Mijlpalenbegroting!$I$193:$I$207) )*E175  +  SUMPRODUCT( (Mijlpalenbegroting!$B$212:$B$226=$B288) * (Mijlpalenbegroting!$I$212:$I$226) )*E175</f>
        <v>0</v>
      </c>
      <c r="P307" s="487" cm="1">
        <f t="array" ref="P307">SUMPRODUCT( (Mijlpalenbegroting!$B$193:$B$207=$B288) * (Mijlpalenbegroting!$I$193:$I$207) )*F175  +  SUMPRODUCT( (Mijlpalenbegroting!$B$212:$B$226=$B288) * (Mijlpalenbegroting!$I$212:$I$226) )*F175</f>
        <v>0</v>
      </c>
      <c r="Q307" s="487" cm="1">
        <f t="array" ref="Q307">SUMPRODUCT( (Mijlpalenbegroting!$B$193:$B$207=$B288) * (Mijlpalenbegroting!$I$193:$I$207) )*G175  +  SUMPRODUCT( (Mijlpalenbegroting!$B$212:$B$226=$B288) * (Mijlpalenbegroting!$I$212:$I$226) )*G175</f>
        <v>0</v>
      </c>
      <c r="R307" s="487" cm="1">
        <f t="array" ref="R307">SUMPRODUCT( (Mijlpalenbegroting!$B$193:$B$207=$B288) * (Mijlpalenbegroting!$I$193:$I$207) )*H175  +  SUMPRODUCT( (Mijlpalenbegroting!$B$212:$B$226=$B288) * (Mijlpalenbegroting!$I$212:$I$226) )*H175</f>
        <v>0</v>
      </c>
      <c r="S307" s="487" cm="1">
        <f t="array" ref="S307">SUMPRODUCT( (Mijlpalenbegroting!$B$193:$B$207=$B288) * (Mijlpalenbegroting!$I$193:$I$207) )*I175  +  SUMPRODUCT( (Mijlpalenbegroting!$B$212:$B$226=$B288) * (Mijlpalenbegroting!$I$212:$I$226) )*I175</f>
        <v>0</v>
      </c>
      <c r="T307" s="487" cm="1">
        <f t="array" ref="T307">SUMPRODUCT( (Mijlpalenbegroting!$B$193:$B$207=$B288) * (Mijlpalenbegroting!$I$193:$I$207) )*J175  +  SUMPRODUCT( (Mijlpalenbegroting!$B$212:$B$226=$B288) * (Mijlpalenbegroting!$I$212:$I$226) )*J175</f>
        <v>0</v>
      </c>
      <c r="U307" s="488">
        <f t="shared" si="114"/>
        <v>0</v>
      </c>
      <c r="AT307"/>
    </row>
    <row r="308" spans="1:46" ht="12.5" hidden="1" outlineLevel="1" x14ac:dyDescent="0.25">
      <c r="A308" s="22"/>
      <c r="B308" s="469">
        <f>$B$176</f>
        <v>8</v>
      </c>
      <c r="C308" s="487" cm="1">
        <f t="array" ref="C308">SUMPRODUCT( (Mijlpalenbegroting!$B$193:$B$207=$B289) * (Mijlpalenbegroting!$J$193:$J$207) )*C176  +  SUMPRODUCT( (Mijlpalenbegroting!$B$212:$B$226=$B289) * (Mijlpalenbegroting!$J$212:$J$226) )*C176</f>
        <v>0</v>
      </c>
      <c r="D308" s="487" cm="1">
        <f t="array" ref="D308">SUMPRODUCT( (Mijlpalenbegroting!$B$193:$B$207=$B289) * (Mijlpalenbegroting!$J$193:$J$207) )*D176  +  SUMPRODUCT( (Mijlpalenbegroting!$B$212:$B$226=$B289) * (Mijlpalenbegroting!$J$212:$J$226) )*D176</f>
        <v>0</v>
      </c>
      <c r="E308" s="487" cm="1">
        <f t="array" ref="E308">SUMPRODUCT( (Mijlpalenbegroting!$B$193:$B$207=$B289) * (Mijlpalenbegroting!$J$193:$J$207) )*E176  +  SUMPRODUCT( (Mijlpalenbegroting!$B$212:$B$226=$B289) * (Mijlpalenbegroting!$J$212:$J$226) )*E176</f>
        <v>0</v>
      </c>
      <c r="F308" s="487" cm="1">
        <f t="array" ref="F308">SUMPRODUCT( (Mijlpalenbegroting!$B$193:$B$207=$B289) * (Mijlpalenbegroting!$J$193:$J$207) )*F176  +  SUMPRODUCT( (Mijlpalenbegroting!$B$212:$B$226=$B289) * (Mijlpalenbegroting!$J$212:$J$226) )*F176</f>
        <v>0</v>
      </c>
      <c r="G308" s="487" cm="1">
        <f t="array" ref="G308">SUMPRODUCT( (Mijlpalenbegroting!$B$193:$B$207=$B289) * (Mijlpalenbegroting!$J$193:$J$207) )*G176  +  SUMPRODUCT( (Mijlpalenbegroting!$B$212:$B$226=$B289) * (Mijlpalenbegroting!$J$212:$J$226) )*G176</f>
        <v>0</v>
      </c>
      <c r="H308" s="487" cm="1">
        <f t="array" ref="H308">SUMPRODUCT( (Mijlpalenbegroting!$B$193:$B$207=$B289) * (Mijlpalenbegroting!$J$193:$J$207) )*H176  +  SUMPRODUCT( (Mijlpalenbegroting!$B$212:$B$226=$B289) * (Mijlpalenbegroting!$J$212:$J$226) )*H176</f>
        <v>0</v>
      </c>
      <c r="I308" s="487" cm="1">
        <f t="array" ref="I308">SUMPRODUCT( (Mijlpalenbegroting!$B$193:$B$207=$B289) * (Mijlpalenbegroting!$J$193:$J$207) )*I176  +  SUMPRODUCT( (Mijlpalenbegroting!$B$212:$B$226=$B289) * (Mijlpalenbegroting!$J$212:$J$226) )*I176</f>
        <v>0</v>
      </c>
      <c r="J308" s="487" cm="1">
        <f t="array" ref="J308">SUMPRODUCT( (Mijlpalenbegroting!$B$193:$B$207=$B289) * (Mijlpalenbegroting!$J$193:$J$207) )*J176  +  SUMPRODUCT( (Mijlpalenbegroting!$B$212:$B$226=$B289) * (Mijlpalenbegroting!$J$212:$J$226) )*J176</f>
        <v>0</v>
      </c>
      <c r="K308" s="488">
        <f t="shared" si="113"/>
        <v>0</v>
      </c>
      <c r="L308" s="469">
        <f>$B$176</f>
        <v>8</v>
      </c>
      <c r="M308" s="487" cm="1">
        <f t="array" ref="M308">SUMPRODUCT( (Mijlpalenbegroting!$B$193:$B$207=$B289) * (Mijlpalenbegroting!$I$193:$I$207) )*C176  +  SUMPRODUCT( (Mijlpalenbegroting!$B$212:$B$226=$B289) * (Mijlpalenbegroting!$I$212:$I$226) )*C176</f>
        <v>0</v>
      </c>
      <c r="N308" s="487" cm="1">
        <f t="array" ref="N308">SUMPRODUCT( (Mijlpalenbegroting!$B$193:$B$207=$B289) * (Mijlpalenbegroting!$I$193:$I$207) )*D176  +  SUMPRODUCT( (Mijlpalenbegroting!$B$212:$B$226=$B289) * (Mijlpalenbegroting!$I$212:$I$226) )*D176</f>
        <v>0</v>
      </c>
      <c r="O308" s="487" cm="1">
        <f t="array" ref="O308">SUMPRODUCT( (Mijlpalenbegroting!$B$193:$B$207=$B289) * (Mijlpalenbegroting!$I$193:$I$207) )*E176  +  SUMPRODUCT( (Mijlpalenbegroting!$B$212:$B$226=$B289) * (Mijlpalenbegroting!$I$212:$I$226) )*E176</f>
        <v>0</v>
      </c>
      <c r="P308" s="487" cm="1">
        <f t="array" ref="P308">SUMPRODUCT( (Mijlpalenbegroting!$B$193:$B$207=$B289) * (Mijlpalenbegroting!$I$193:$I$207) )*F176  +  SUMPRODUCT( (Mijlpalenbegroting!$B$212:$B$226=$B289) * (Mijlpalenbegroting!$I$212:$I$226) )*F176</f>
        <v>0</v>
      </c>
      <c r="Q308" s="487" cm="1">
        <f t="array" ref="Q308">SUMPRODUCT( (Mijlpalenbegroting!$B$193:$B$207=$B289) * (Mijlpalenbegroting!$I$193:$I$207) )*G176  +  SUMPRODUCT( (Mijlpalenbegroting!$B$212:$B$226=$B289) * (Mijlpalenbegroting!$I$212:$I$226) )*G176</f>
        <v>0</v>
      </c>
      <c r="R308" s="487" cm="1">
        <f t="array" ref="R308">SUMPRODUCT( (Mijlpalenbegroting!$B$193:$B$207=$B289) * (Mijlpalenbegroting!$I$193:$I$207) )*H176  +  SUMPRODUCT( (Mijlpalenbegroting!$B$212:$B$226=$B289) * (Mijlpalenbegroting!$I$212:$I$226) )*H176</f>
        <v>0</v>
      </c>
      <c r="S308" s="487" cm="1">
        <f t="array" ref="S308">SUMPRODUCT( (Mijlpalenbegroting!$B$193:$B$207=$B289) * (Mijlpalenbegroting!$I$193:$I$207) )*I176  +  SUMPRODUCT( (Mijlpalenbegroting!$B$212:$B$226=$B289) * (Mijlpalenbegroting!$I$212:$I$226) )*I176</f>
        <v>0</v>
      </c>
      <c r="T308" s="487" cm="1">
        <f t="array" ref="T308">SUMPRODUCT( (Mijlpalenbegroting!$B$193:$B$207=$B289) * (Mijlpalenbegroting!$I$193:$I$207) )*J176  +  SUMPRODUCT( (Mijlpalenbegroting!$B$212:$B$226=$B289) * (Mijlpalenbegroting!$I$212:$I$226) )*J176</f>
        <v>0</v>
      </c>
      <c r="U308" s="488">
        <f t="shared" si="114"/>
        <v>0</v>
      </c>
      <c r="AT308"/>
    </row>
    <row r="309" spans="1:46" ht="12.5" hidden="1" outlineLevel="1" x14ac:dyDescent="0.25">
      <c r="A309" s="22"/>
      <c r="B309" s="469">
        <f>$B$177</f>
        <v>9</v>
      </c>
      <c r="C309" s="487" cm="1">
        <f t="array" ref="C309">SUMPRODUCT( (Mijlpalenbegroting!$B$193:$B$207=$B290) * (Mijlpalenbegroting!$J$193:$J$207) )*C177  +  SUMPRODUCT( (Mijlpalenbegroting!$B$212:$B$226=$B290) * (Mijlpalenbegroting!$J$212:$J$226) )*C177</f>
        <v>0</v>
      </c>
      <c r="D309" s="487" cm="1">
        <f t="array" ref="D309">SUMPRODUCT( (Mijlpalenbegroting!$B$193:$B$207=$B290) * (Mijlpalenbegroting!$J$193:$J$207) )*D177  +  SUMPRODUCT( (Mijlpalenbegroting!$B$212:$B$226=$B290) * (Mijlpalenbegroting!$J$212:$J$226) )*D177</f>
        <v>0</v>
      </c>
      <c r="E309" s="487" cm="1">
        <f t="array" ref="E309">SUMPRODUCT( (Mijlpalenbegroting!$B$193:$B$207=$B290) * (Mijlpalenbegroting!$J$193:$J$207) )*E177  +  SUMPRODUCT( (Mijlpalenbegroting!$B$212:$B$226=$B290) * (Mijlpalenbegroting!$J$212:$J$226) )*E177</f>
        <v>0</v>
      </c>
      <c r="F309" s="487" cm="1">
        <f t="array" ref="F309">SUMPRODUCT( (Mijlpalenbegroting!$B$193:$B$207=$B290) * (Mijlpalenbegroting!$J$193:$J$207) )*F177  +  SUMPRODUCT( (Mijlpalenbegroting!$B$212:$B$226=$B290) * (Mijlpalenbegroting!$J$212:$J$226) )*F177</f>
        <v>0</v>
      </c>
      <c r="G309" s="487" cm="1">
        <f t="array" ref="G309">SUMPRODUCT( (Mijlpalenbegroting!$B$193:$B$207=$B290) * (Mijlpalenbegroting!$J$193:$J$207) )*G177  +  SUMPRODUCT( (Mijlpalenbegroting!$B$212:$B$226=$B290) * (Mijlpalenbegroting!$J$212:$J$226) )*G177</f>
        <v>0</v>
      </c>
      <c r="H309" s="487" cm="1">
        <f t="array" ref="H309">SUMPRODUCT( (Mijlpalenbegroting!$B$193:$B$207=$B290) * (Mijlpalenbegroting!$J$193:$J$207) )*H177  +  SUMPRODUCT( (Mijlpalenbegroting!$B$212:$B$226=$B290) * (Mijlpalenbegroting!$J$212:$J$226) )*H177</f>
        <v>0</v>
      </c>
      <c r="I309" s="487" cm="1">
        <f t="array" ref="I309">SUMPRODUCT( (Mijlpalenbegroting!$B$193:$B$207=$B290) * (Mijlpalenbegroting!$J$193:$J$207) )*I177  +  SUMPRODUCT( (Mijlpalenbegroting!$B$212:$B$226=$B290) * (Mijlpalenbegroting!$J$212:$J$226) )*I177</f>
        <v>0</v>
      </c>
      <c r="J309" s="487" cm="1">
        <f t="array" ref="J309">SUMPRODUCT( (Mijlpalenbegroting!$B$193:$B$207=$B290) * (Mijlpalenbegroting!$J$193:$J$207) )*J177  +  SUMPRODUCT( (Mijlpalenbegroting!$B$212:$B$226=$B290) * (Mijlpalenbegroting!$J$212:$J$226) )*J177</f>
        <v>0</v>
      </c>
      <c r="K309" s="488">
        <f t="shared" si="113"/>
        <v>0</v>
      </c>
      <c r="L309" s="469">
        <f>$B$177</f>
        <v>9</v>
      </c>
      <c r="M309" s="487" cm="1">
        <f t="array" ref="M309">SUMPRODUCT( (Mijlpalenbegroting!$B$193:$B$207=$B290) * (Mijlpalenbegroting!$I$193:$I$207) )*C177  +  SUMPRODUCT( (Mijlpalenbegroting!$B$212:$B$226=$B290) * (Mijlpalenbegroting!$I$212:$I$226) )*C177</f>
        <v>0</v>
      </c>
      <c r="N309" s="487" cm="1">
        <f t="array" ref="N309">SUMPRODUCT( (Mijlpalenbegroting!$B$193:$B$207=$B290) * (Mijlpalenbegroting!$I$193:$I$207) )*D177  +  SUMPRODUCT( (Mijlpalenbegroting!$B$212:$B$226=$B290) * (Mijlpalenbegroting!$I$212:$I$226) )*D177</f>
        <v>0</v>
      </c>
      <c r="O309" s="487" cm="1">
        <f t="array" ref="O309">SUMPRODUCT( (Mijlpalenbegroting!$B$193:$B$207=$B290) * (Mijlpalenbegroting!$I$193:$I$207) )*E177  +  SUMPRODUCT( (Mijlpalenbegroting!$B$212:$B$226=$B290) * (Mijlpalenbegroting!$I$212:$I$226) )*E177</f>
        <v>0</v>
      </c>
      <c r="P309" s="487" cm="1">
        <f t="array" ref="P309">SUMPRODUCT( (Mijlpalenbegroting!$B$193:$B$207=$B290) * (Mijlpalenbegroting!$I$193:$I$207) )*F177  +  SUMPRODUCT( (Mijlpalenbegroting!$B$212:$B$226=$B290) * (Mijlpalenbegroting!$I$212:$I$226) )*F177</f>
        <v>0</v>
      </c>
      <c r="Q309" s="487" cm="1">
        <f t="array" ref="Q309">SUMPRODUCT( (Mijlpalenbegroting!$B$193:$B$207=$B290) * (Mijlpalenbegroting!$I$193:$I$207) )*G177  +  SUMPRODUCT( (Mijlpalenbegroting!$B$212:$B$226=$B290) * (Mijlpalenbegroting!$I$212:$I$226) )*G177</f>
        <v>0</v>
      </c>
      <c r="R309" s="487" cm="1">
        <f t="array" ref="R309">SUMPRODUCT( (Mijlpalenbegroting!$B$193:$B$207=$B290) * (Mijlpalenbegroting!$I$193:$I$207) )*H177  +  SUMPRODUCT( (Mijlpalenbegroting!$B$212:$B$226=$B290) * (Mijlpalenbegroting!$I$212:$I$226) )*H177</f>
        <v>0</v>
      </c>
      <c r="S309" s="487" cm="1">
        <f t="array" ref="S309">SUMPRODUCT( (Mijlpalenbegroting!$B$193:$B$207=$B290) * (Mijlpalenbegroting!$I$193:$I$207) )*I177  +  SUMPRODUCT( (Mijlpalenbegroting!$B$212:$B$226=$B290) * (Mijlpalenbegroting!$I$212:$I$226) )*I177</f>
        <v>0</v>
      </c>
      <c r="T309" s="487" cm="1">
        <f t="array" ref="T309">SUMPRODUCT( (Mijlpalenbegroting!$B$193:$B$207=$B290) * (Mijlpalenbegroting!$I$193:$I$207) )*J177  +  SUMPRODUCT( (Mijlpalenbegroting!$B$212:$B$226=$B290) * (Mijlpalenbegroting!$I$212:$I$226) )*J177</f>
        <v>0</v>
      </c>
      <c r="U309" s="488">
        <f t="shared" si="114"/>
        <v>0</v>
      </c>
      <c r="AT309"/>
    </row>
    <row r="310" spans="1:46" ht="12.5" hidden="1" outlineLevel="1" x14ac:dyDescent="0.25">
      <c r="A310" s="22"/>
      <c r="B310" s="469">
        <f>$B$178</f>
        <v>10</v>
      </c>
      <c r="C310" s="487" cm="1">
        <f t="array" ref="C310">SUMPRODUCT( (Mijlpalenbegroting!$B$193:$B$207=$B291) * (Mijlpalenbegroting!$J$193:$J$207) )*C178  +  SUMPRODUCT( (Mijlpalenbegroting!$B$212:$B$226=$B291) * (Mijlpalenbegroting!$J$212:$J$226) )*C178</f>
        <v>0</v>
      </c>
      <c r="D310" s="487" cm="1">
        <f t="array" ref="D310">SUMPRODUCT( (Mijlpalenbegroting!$B$193:$B$207=$B291) * (Mijlpalenbegroting!$J$193:$J$207) )*D178  +  SUMPRODUCT( (Mijlpalenbegroting!$B$212:$B$226=$B291) * (Mijlpalenbegroting!$J$212:$J$226) )*D178</f>
        <v>0</v>
      </c>
      <c r="E310" s="487" cm="1">
        <f t="array" ref="E310">SUMPRODUCT( (Mijlpalenbegroting!$B$193:$B$207=$B291) * (Mijlpalenbegroting!$J$193:$J$207) )*E178  +  SUMPRODUCT( (Mijlpalenbegroting!$B$212:$B$226=$B291) * (Mijlpalenbegroting!$J$212:$J$226) )*E178</f>
        <v>0</v>
      </c>
      <c r="F310" s="487" cm="1">
        <f t="array" ref="F310">SUMPRODUCT( (Mijlpalenbegroting!$B$193:$B$207=$B291) * (Mijlpalenbegroting!$J$193:$J$207) )*F178  +  SUMPRODUCT( (Mijlpalenbegroting!$B$212:$B$226=$B291) * (Mijlpalenbegroting!$J$212:$J$226) )*F178</f>
        <v>0</v>
      </c>
      <c r="G310" s="487" cm="1">
        <f t="array" ref="G310">SUMPRODUCT( (Mijlpalenbegroting!$B$193:$B$207=$B291) * (Mijlpalenbegroting!$J$193:$J$207) )*G178  +  SUMPRODUCT( (Mijlpalenbegroting!$B$212:$B$226=$B291) * (Mijlpalenbegroting!$J$212:$J$226) )*G178</f>
        <v>0</v>
      </c>
      <c r="H310" s="487" cm="1">
        <f t="array" ref="H310">SUMPRODUCT( (Mijlpalenbegroting!$B$193:$B$207=$B291) * (Mijlpalenbegroting!$J$193:$J$207) )*H178  +  SUMPRODUCT( (Mijlpalenbegroting!$B$212:$B$226=$B291) * (Mijlpalenbegroting!$J$212:$J$226) )*H178</f>
        <v>0</v>
      </c>
      <c r="I310" s="487" cm="1">
        <f t="array" ref="I310">SUMPRODUCT( (Mijlpalenbegroting!$B$193:$B$207=$B291) * (Mijlpalenbegroting!$J$193:$J$207) )*I178  +  SUMPRODUCT( (Mijlpalenbegroting!$B$212:$B$226=$B291) * (Mijlpalenbegroting!$J$212:$J$226) )*I178</f>
        <v>0</v>
      </c>
      <c r="J310" s="487" cm="1">
        <f t="array" ref="J310">SUMPRODUCT( (Mijlpalenbegroting!$B$193:$B$207=$B291) * (Mijlpalenbegroting!$J$193:$J$207) )*J178  +  SUMPRODUCT( (Mijlpalenbegroting!$B$212:$B$226=$B291) * (Mijlpalenbegroting!$J$212:$J$226) )*J178</f>
        <v>0</v>
      </c>
      <c r="K310" s="488">
        <f t="shared" si="113"/>
        <v>0</v>
      </c>
      <c r="L310" s="469">
        <f>$B$178</f>
        <v>10</v>
      </c>
      <c r="M310" s="487" cm="1">
        <f t="array" ref="M310">SUMPRODUCT( (Mijlpalenbegroting!$B$193:$B$207=$B291) * (Mijlpalenbegroting!$I$193:$I$207) )*C178  +  SUMPRODUCT( (Mijlpalenbegroting!$B$212:$B$226=$B291) * (Mijlpalenbegroting!$I$212:$I$226) )*C178</f>
        <v>0</v>
      </c>
      <c r="N310" s="487" cm="1">
        <f t="array" ref="N310">SUMPRODUCT( (Mijlpalenbegroting!$B$193:$B$207=$B291) * (Mijlpalenbegroting!$I$193:$I$207) )*D178  +  SUMPRODUCT( (Mijlpalenbegroting!$B$212:$B$226=$B291) * (Mijlpalenbegroting!$I$212:$I$226) )*D178</f>
        <v>0</v>
      </c>
      <c r="O310" s="487" cm="1">
        <f t="array" ref="O310">SUMPRODUCT( (Mijlpalenbegroting!$B$193:$B$207=$B291) * (Mijlpalenbegroting!$I$193:$I$207) )*E178  +  SUMPRODUCT( (Mijlpalenbegroting!$B$212:$B$226=$B291) * (Mijlpalenbegroting!$I$212:$I$226) )*E178</f>
        <v>0</v>
      </c>
      <c r="P310" s="487" cm="1">
        <f t="array" ref="P310">SUMPRODUCT( (Mijlpalenbegroting!$B$193:$B$207=$B291) * (Mijlpalenbegroting!$I$193:$I$207) )*F178  +  SUMPRODUCT( (Mijlpalenbegroting!$B$212:$B$226=$B291) * (Mijlpalenbegroting!$I$212:$I$226) )*F178</f>
        <v>0</v>
      </c>
      <c r="Q310" s="487" cm="1">
        <f t="array" ref="Q310">SUMPRODUCT( (Mijlpalenbegroting!$B$193:$B$207=$B291) * (Mijlpalenbegroting!$I$193:$I$207) )*G178  +  SUMPRODUCT( (Mijlpalenbegroting!$B$212:$B$226=$B291) * (Mijlpalenbegroting!$I$212:$I$226) )*G178</f>
        <v>0</v>
      </c>
      <c r="R310" s="487" cm="1">
        <f t="array" ref="R310">SUMPRODUCT( (Mijlpalenbegroting!$B$193:$B$207=$B291) * (Mijlpalenbegroting!$I$193:$I$207) )*H178  +  SUMPRODUCT( (Mijlpalenbegroting!$B$212:$B$226=$B291) * (Mijlpalenbegroting!$I$212:$I$226) )*H178</f>
        <v>0</v>
      </c>
      <c r="S310" s="487" cm="1">
        <f t="array" ref="S310">SUMPRODUCT( (Mijlpalenbegroting!$B$193:$B$207=$B291) * (Mijlpalenbegroting!$I$193:$I$207) )*I178  +  SUMPRODUCT( (Mijlpalenbegroting!$B$212:$B$226=$B291) * (Mijlpalenbegroting!$I$212:$I$226) )*I178</f>
        <v>0</v>
      </c>
      <c r="T310" s="487" cm="1">
        <f t="array" ref="T310">SUMPRODUCT( (Mijlpalenbegroting!$B$193:$B$207=$B291) * (Mijlpalenbegroting!$I$193:$I$207) )*J178  +  SUMPRODUCT( (Mijlpalenbegroting!$B$212:$B$226=$B291) * (Mijlpalenbegroting!$I$212:$I$226) )*J178</f>
        <v>0</v>
      </c>
      <c r="U310" s="488">
        <f t="shared" si="114"/>
        <v>0</v>
      </c>
      <c r="AT310"/>
    </row>
    <row r="311" spans="1:46" ht="12.5" hidden="1" outlineLevel="1" x14ac:dyDescent="0.25">
      <c r="A311" s="22"/>
      <c r="B311" s="469">
        <f>$B$179</f>
        <v>11</v>
      </c>
      <c r="C311" s="487" cm="1">
        <f t="array" ref="C311">SUMPRODUCT( (Mijlpalenbegroting!$B$193:$B$207=$B292) * (Mijlpalenbegroting!$J$193:$J$207) )*C179  +  SUMPRODUCT( (Mijlpalenbegroting!$B$212:$B$226=$B292) * (Mijlpalenbegroting!$J$212:$J$226) )*C179</f>
        <v>0</v>
      </c>
      <c r="D311" s="487" cm="1">
        <f t="array" ref="D311">SUMPRODUCT( (Mijlpalenbegroting!$B$193:$B$207=$B292) * (Mijlpalenbegroting!$J$193:$J$207) )*D179  +  SUMPRODUCT( (Mijlpalenbegroting!$B$212:$B$226=$B292) * (Mijlpalenbegroting!$J$212:$J$226) )*D179</f>
        <v>0</v>
      </c>
      <c r="E311" s="487" cm="1">
        <f t="array" ref="E311">SUMPRODUCT( (Mijlpalenbegroting!$B$193:$B$207=$B292) * (Mijlpalenbegroting!$J$193:$J$207) )*E179  +  SUMPRODUCT( (Mijlpalenbegroting!$B$212:$B$226=$B292) * (Mijlpalenbegroting!$J$212:$J$226) )*E179</f>
        <v>0</v>
      </c>
      <c r="F311" s="487" cm="1">
        <f t="array" ref="F311">SUMPRODUCT( (Mijlpalenbegroting!$B$193:$B$207=$B292) * (Mijlpalenbegroting!$J$193:$J$207) )*F179  +  SUMPRODUCT( (Mijlpalenbegroting!$B$212:$B$226=$B292) * (Mijlpalenbegroting!$J$212:$J$226) )*F179</f>
        <v>0</v>
      </c>
      <c r="G311" s="487" cm="1">
        <f t="array" ref="G311">SUMPRODUCT( (Mijlpalenbegroting!$B$193:$B$207=$B292) * (Mijlpalenbegroting!$J$193:$J$207) )*G179  +  SUMPRODUCT( (Mijlpalenbegroting!$B$212:$B$226=$B292) * (Mijlpalenbegroting!$J$212:$J$226) )*G179</f>
        <v>0</v>
      </c>
      <c r="H311" s="487" cm="1">
        <f t="array" ref="H311">SUMPRODUCT( (Mijlpalenbegroting!$B$193:$B$207=$B292) * (Mijlpalenbegroting!$J$193:$J$207) )*H179  +  SUMPRODUCT( (Mijlpalenbegroting!$B$212:$B$226=$B292) * (Mijlpalenbegroting!$J$212:$J$226) )*H179</f>
        <v>0</v>
      </c>
      <c r="I311" s="487" cm="1">
        <f t="array" ref="I311">SUMPRODUCT( (Mijlpalenbegroting!$B$193:$B$207=$B292) * (Mijlpalenbegroting!$J$193:$J$207) )*I179  +  SUMPRODUCT( (Mijlpalenbegroting!$B$212:$B$226=$B292) * (Mijlpalenbegroting!$J$212:$J$226) )*I179</f>
        <v>0</v>
      </c>
      <c r="J311" s="487" cm="1">
        <f t="array" ref="J311">SUMPRODUCT( (Mijlpalenbegroting!$B$193:$B$207=$B292) * (Mijlpalenbegroting!$J$193:$J$207) )*J179  +  SUMPRODUCT( (Mijlpalenbegroting!$B$212:$B$226=$B292) * (Mijlpalenbegroting!$J$212:$J$226) )*J179</f>
        <v>0</v>
      </c>
      <c r="K311" s="488">
        <f t="shared" si="113"/>
        <v>0</v>
      </c>
      <c r="L311" s="469">
        <f>$B$179</f>
        <v>11</v>
      </c>
      <c r="M311" s="487" cm="1">
        <f t="array" ref="M311">SUMPRODUCT( (Mijlpalenbegroting!$B$193:$B$207=$B292) * (Mijlpalenbegroting!$I$193:$I$207) )*C179  +  SUMPRODUCT( (Mijlpalenbegroting!$B$212:$B$226=$B292) * (Mijlpalenbegroting!$I$212:$I$226) )*C179</f>
        <v>0</v>
      </c>
      <c r="N311" s="487" cm="1">
        <f t="array" ref="N311">SUMPRODUCT( (Mijlpalenbegroting!$B$193:$B$207=$B292) * (Mijlpalenbegroting!$I$193:$I$207) )*D179  +  SUMPRODUCT( (Mijlpalenbegroting!$B$212:$B$226=$B292) * (Mijlpalenbegroting!$I$212:$I$226) )*D179</f>
        <v>0</v>
      </c>
      <c r="O311" s="487" cm="1">
        <f t="array" ref="O311">SUMPRODUCT( (Mijlpalenbegroting!$B$193:$B$207=$B292) * (Mijlpalenbegroting!$I$193:$I$207) )*E179  +  SUMPRODUCT( (Mijlpalenbegroting!$B$212:$B$226=$B292) * (Mijlpalenbegroting!$I$212:$I$226) )*E179</f>
        <v>0</v>
      </c>
      <c r="P311" s="487" cm="1">
        <f t="array" ref="P311">SUMPRODUCT( (Mijlpalenbegroting!$B$193:$B$207=$B292) * (Mijlpalenbegroting!$I$193:$I$207) )*F179  +  SUMPRODUCT( (Mijlpalenbegroting!$B$212:$B$226=$B292) * (Mijlpalenbegroting!$I$212:$I$226) )*F179</f>
        <v>0</v>
      </c>
      <c r="Q311" s="487" cm="1">
        <f t="array" ref="Q311">SUMPRODUCT( (Mijlpalenbegroting!$B$193:$B$207=$B292) * (Mijlpalenbegroting!$I$193:$I$207) )*G179  +  SUMPRODUCT( (Mijlpalenbegroting!$B$212:$B$226=$B292) * (Mijlpalenbegroting!$I$212:$I$226) )*G179</f>
        <v>0</v>
      </c>
      <c r="R311" s="487" cm="1">
        <f t="array" ref="R311">SUMPRODUCT( (Mijlpalenbegroting!$B$193:$B$207=$B292) * (Mijlpalenbegroting!$I$193:$I$207) )*H179  +  SUMPRODUCT( (Mijlpalenbegroting!$B$212:$B$226=$B292) * (Mijlpalenbegroting!$I$212:$I$226) )*H179</f>
        <v>0</v>
      </c>
      <c r="S311" s="487" cm="1">
        <f t="array" ref="S311">SUMPRODUCT( (Mijlpalenbegroting!$B$193:$B$207=$B292) * (Mijlpalenbegroting!$I$193:$I$207) )*I179  +  SUMPRODUCT( (Mijlpalenbegroting!$B$212:$B$226=$B292) * (Mijlpalenbegroting!$I$212:$I$226) )*I179</f>
        <v>0</v>
      </c>
      <c r="T311" s="487" cm="1">
        <f t="array" ref="T311">SUMPRODUCT( (Mijlpalenbegroting!$B$193:$B$207=$B292) * (Mijlpalenbegroting!$I$193:$I$207) )*J179  +  SUMPRODUCT( (Mijlpalenbegroting!$B$212:$B$226=$B292) * (Mijlpalenbegroting!$I$212:$I$226) )*J179</f>
        <v>0</v>
      </c>
      <c r="U311" s="488">
        <f t="shared" si="114"/>
        <v>0</v>
      </c>
      <c r="AT311"/>
    </row>
    <row r="312" spans="1:46" ht="12.5" hidden="1" outlineLevel="1" x14ac:dyDescent="0.25">
      <c r="A312" s="22"/>
      <c r="B312" s="469">
        <f>$B$180</f>
        <v>12</v>
      </c>
      <c r="C312" s="487" cm="1">
        <f t="array" ref="C312">SUMPRODUCT( (Mijlpalenbegroting!$B$193:$B$207=$B293) * (Mijlpalenbegroting!$J$193:$J$207) )*C180  +  SUMPRODUCT( (Mijlpalenbegroting!$B$212:$B$226=$B293) * (Mijlpalenbegroting!$J$212:$J$226) )*C180</f>
        <v>0</v>
      </c>
      <c r="D312" s="487" cm="1">
        <f t="array" ref="D312">SUMPRODUCT( (Mijlpalenbegroting!$B$193:$B$207=$B293) * (Mijlpalenbegroting!$J$193:$J$207) )*D180  +  SUMPRODUCT( (Mijlpalenbegroting!$B$212:$B$226=$B293) * (Mijlpalenbegroting!$J$212:$J$226) )*D180</f>
        <v>0</v>
      </c>
      <c r="E312" s="487" cm="1">
        <f t="array" ref="E312">SUMPRODUCT( (Mijlpalenbegroting!$B$193:$B$207=$B293) * (Mijlpalenbegroting!$J$193:$J$207) )*E180  +  SUMPRODUCT( (Mijlpalenbegroting!$B$212:$B$226=$B293) * (Mijlpalenbegroting!$J$212:$J$226) )*E180</f>
        <v>0</v>
      </c>
      <c r="F312" s="487" cm="1">
        <f t="array" ref="F312">SUMPRODUCT( (Mijlpalenbegroting!$B$193:$B$207=$B293) * (Mijlpalenbegroting!$J$193:$J$207) )*F180  +  SUMPRODUCT( (Mijlpalenbegroting!$B$212:$B$226=$B293) * (Mijlpalenbegroting!$J$212:$J$226) )*F180</f>
        <v>0</v>
      </c>
      <c r="G312" s="487" cm="1">
        <f t="array" ref="G312">SUMPRODUCT( (Mijlpalenbegroting!$B$193:$B$207=$B293) * (Mijlpalenbegroting!$J$193:$J$207) )*G180  +  SUMPRODUCT( (Mijlpalenbegroting!$B$212:$B$226=$B293) * (Mijlpalenbegroting!$J$212:$J$226) )*G180</f>
        <v>0</v>
      </c>
      <c r="H312" s="487" cm="1">
        <f t="array" ref="H312">SUMPRODUCT( (Mijlpalenbegroting!$B$193:$B$207=$B293) * (Mijlpalenbegroting!$J$193:$J$207) )*H180  +  SUMPRODUCT( (Mijlpalenbegroting!$B$212:$B$226=$B293) * (Mijlpalenbegroting!$J$212:$J$226) )*H180</f>
        <v>0</v>
      </c>
      <c r="I312" s="487" cm="1">
        <f t="array" ref="I312">SUMPRODUCT( (Mijlpalenbegroting!$B$193:$B$207=$B293) * (Mijlpalenbegroting!$J$193:$J$207) )*I180  +  SUMPRODUCT( (Mijlpalenbegroting!$B$212:$B$226=$B293) * (Mijlpalenbegroting!$J$212:$J$226) )*I180</f>
        <v>0</v>
      </c>
      <c r="J312" s="487" cm="1">
        <f t="array" ref="J312">SUMPRODUCT( (Mijlpalenbegroting!$B$193:$B$207=$B293) * (Mijlpalenbegroting!$J$193:$J$207) )*J180  +  SUMPRODUCT( (Mijlpalenbegroting!$B$212:$B$226=$B293) * (Mijlpalenbegroting!$J$212:$J$226) )*J180</f>
        <v>0</v>
      </c>
      <c r="K312" s="488">
        <f t="shared" si="113"/>
        <v>0</v>
      </c>
      <c r="L312" s="469">
        <f>$B$180</f>
        <v>12</v>
      </c>
      <c r="M312" s="487" cm="1">
        <f t="array" ref="M312">SUMPRODUCT( (Mijlpalenbegroting!$B$193:$B$207=$B293) * (Mijlpalenbegroting!$I$193:$I$207) )*C180  +  SUMPRODUCT( (Mijlpalenbegroting!$B$212:$B$226=$B293) * (Mijlpalenbegroting!$I$212:$I$226) )*C180</f>
        <v>0</v>
      </c>
      <c r="N312" s="487" cm="1">
        <f t="array" ref="N312">SUMPRODUCT( (Mijlpalenbegroting!$B$193:$B$207=$B293) * (Mijlpalenbegroting!$I$193:$I$207) )*D180  +  SUMPRODUCT( (Mijlpalenbegroting!$B$212:$B$226=$B293) * (Mijlpalenbegroting!$I$212:$I$226) )*D180</f>
        <v>0</v>
      </c>
      <c r="O312" s="487" cm="1">
        <f t="array" ref="O312">SUMPRODUCT( (Mijlpalenbegroting!$B$193:$B$207=$B293) * (Mijlpalenbegroting!$I$193:$I$207) )*E180  +  SUMPRODUCT( (Mijlpalenbegroting!$B$212:$B$226=$B293) * (Mijlpalenbegroting!$I$212:$I$226) )*E180</f>
        <v>0</v>
      </c>
      <c r="P312" s="487" cm="1">
        <f t="array" ref="P312">SUMPRODUCT( (Mijlpalenbegroting!$B$193:$B$207=$B293) * (Mijlpalenbegroting!$I$193:$I$207) )*F180  +  SUMPRODUCT( (Mijlpalenbegroting!$B$212:$B$226=$B293) * (Mijlpalenbegroting!$I$212:$I$226) )*F180</f>
        <v>0</v>
      </c>
      <c r="Q312" s="487" cm="1">
        <f t="array" ref="Q312">SUMPRODUCT( (Mijlpalenbegroting!$B$193:$B$207=$B293) * (Mijlpalenbegroting!$I$193:$I$207) )*G180  +  SUMPRODUCT( (Mijlpalenbegroting!$B$212:$B$226=$B293) * (Mijlpalenbegroting!$I$212:$I$226) )*G180</f>
        <v>0</v>
      </c>
      <c r="R312" s="487" cm="1">
        <f t="array" ref="R312">SUMPRODUCT( (Mijlpalenbegroting!$B$193:$B$207=$B293) * (Mijlpalenbegroting!$I$193:$I$207) )*H180  +  SUMPRODUCT( (Mijlpalenbegroting!$B$212:$B$226=$B293) * (Mijlpalenbegroting!$I$212:$I$226) )*H180</f>
        <v>0</v>
      </c>
      <c r="S312" s="487" cm="1">
        <f t="array" ref="S312">SUMPRODUCT( (Mijlpalenbegroting!$B$193:$B$207=$B293) * (Mijlpalenbegroting!$I$193:$I$207) )*I180  +  SUMPRODUCT( (Mijlpalenbegroting!$B$212:$B$226=$B293) * (Mijlpalenbegroting!$I$212:$I$226) )*I180</f>
        <v>0</v>
      </c>
      <c r="T312" s="487" cm="1">
        <f t="array" ref="T312">SUMPRODUCT( (Mijlpalenbegroting!$B$193:$B$207=$B293) * (Mijlpalenbegroting!$I$193:$I$207) )*J180  +  SUMPRODUCT( (Mijlpalenbegroting!$B$212:$B$226=$B293) * (Mijlpalenbegroting!$I$212:$I$226) )*J180</f>
        <v>0</v>
      </c>
      <c r="U312" s="488">
        <f t="shared" si="114"/>
        <v>0</v>
      </c>
      <c r="AT312"/>
    </row>
    <row r="313" spans="1:46" ht="12.5" hidden="1" outlineLevel="1" x14ac:dyDescent="0.25">
      <c r="A313" s="22"/>
      <c r="B313" s="469">
        <f>$B$181</f>
        <v>13</v>
      </c>
      <c r="C313" s="487" cm="1">
        <f t="array" ref="C313">SUMPRODUCT( (Mijlpalenbegroting!$B$193:$B$207=$B294) * (Mijlpalenbegroting!$J$193:$J$207) )*C181  +  SUMPRODUCT( (Mijlpalenbegroting!$B$212:$B$226=$B294) * (Mijlpalenbegroting!$J$212:$J$226) )*C181</f>
        <v>0</v>
      </c>
      <c r="D313" s="487" cm="1">
        <f t="array" ref="D313">SUMPRODUCT( (Mijlpalenbegroting!$B$193:$B$207=$B294) * (Mijlpalenbegroting!$J$193:$J$207) )*D181  +  SUMPRODUCT( (Mijlpalenbegroting!$B$212:$B$226=$B294) * (Mijlpalenbegroting!$J$212:$J$226) )*D181</f>
        <v>0</v>
      </c>
      <c r="E313" s="487" cm="1">
        <f t="array" ref="E313">SUMPRODUCT( (Mijlpalenbegroting!$B$193:$B$207=$B294) * (Mijlpalenbegroting!$J$193:$J$207) )*E181  +  SUMPRODUCT( (Mijlpalenbegroting!$B$212:$B$226=$B294) * (Mijlpalenbegroting!$J$212:$J$226) )*E181</f>
        <v>0</v>
      </c>
      <c r="F313" s="487" cm="1">
        <f t="array" ref="F313">SUMPRODUCT( (Mijlpalenbegroting!$B$193:$B$207=$B294) * (Mijlpalenbegroting!$J$193:$J$207) )*F181  +  SUMPRODUCT( (Mijlpalenbegroting!$B$212:$B$226=$B294) * (Mijlpalenbegroting!$J$212:$J$226) )*F181</f>
        <v>0</v>
      </c>
      <c r="G313" s="487" cm="1">
        <f t="array" ref="G313">SUMPRODUCT( (Mijlpalenbegroting!$B$193:$B$207=$B294) * (Mijlpalenbegroting!$J$193:$J$207) )*G181  +  SUMPRODUCT( (Mijlpalenbegroting!$B$212:$B$226=$B294) * (Mijlpalenbegroting!$J$212:$J$226) )*G181</f>
        <v>0</v>
      </c>
      <c r="H313" s="487" cm="1">
        <f t="array" ref="H313">SUMPRODUCT( (Mijlpalenbegroting!$B$193:$B$207=$B294) * (Mijlpalenbegroting!$J$193:$J$207) )*H181  +  SUMPRODUCT( (Mijlpalenbegroting!$B$212:$B$226=$B294) * (Mijlpalenbegroting!$J$212:$J$226) )*H181</f>
        <v>0</v>
      </c>
      <c r="I313" s="487" cm="1">
        <f t="array" ref="I313">SUMPRODUCT( (Mijlpalenbegroting!$B$193:$B$207=$B294) * (Mijlpalenbegroting!$J$193:$J$207) )*I181  +  SUMPRODUCT( (Mijlpalenbegroting!$B$212:$B$226=$B294) * (Mijlpalenbegroting!$J$212:$J$226) )*I181</f>
        <v>0</v>
      </c>
      <c r="J313" s="487" cm="1">
        <f t="array" ref="J313">SUMPRODUCT( (Mijlpalenbegroting!$B$193:$B$207=$B294) * (Mijlpalenbegroting!$J$193:$J$207) )*J181  +  SUMPRODUCT( (Mijlpalenbegroting!$B$212:$B$226=$B294) * (Mijlpalenbegroting!$J$212:$J$226) )*J181</f>
        <v>0</v>
      </c>
      <c r="K313" s="488">
        <f t="shared" si="113"/>
        <v>0</v>
      </c>
      <c r="L313" s="469">
        <f>$B$181</f>
        <v>13</v>
      </c>
      <c r="M313" s="487" cm="1">
        <f t="array" ref="M313">SUMPRODUCT( (Mijlpalenbegroting!$B$193:$B$207=$B294) * (Mijlpalenbegroting!$I$193:$I$207) )*C181  +  SUMPRODUCT( (Mijlpalenbegroting!$B$212:$B$226=$B294) * (Mijlpalenbegroting!$I$212:$I$226) )*C181</f>
        <v>0</v>
      </c>
      <c r="N313" s="487" cm="1">
        <f t="array" ref="N313">SUMPRODUCT( (Mijlpalenbegroting!$B$193:$B$207=$B294) * (Mijlpalenbegroting!$I$193:$I$207) )*D181  +  SUMPRODUCT( (Mijlpalenbegroting!$B$212:$B$226=$B294) * (Mijlpalenbegroting!$I$212:$I$226) )*D181</f>
        <v>0</v>
      </c>
      <c r="O313" s="487" cm="1">
        <f t="array" ref="O313">SUMPRODUCT( (Mijlpalenbegroting!$B$193:$B$207=$B294) * (Mijlpalenbegroting!$I$193:$I$207) )*E181  +  SUMPRODUCT( (Mijlpalenbegroting!$B$212:$B$226=$B294) * (Mijlpalenbegroting!$I$212:$I$226) )*E181</f>
        <v>0</v>
      </c>
      <c r="P313" s="487" cm="1">
        <f t="array" ref="P313">SUMPRODUCT( (Mijlpalenbegroting!$B$193:$B$207=$B294) * (Mijlpalenbegroting!$I$193:$I$207) )*F181  +  SUMPRODUCT( (Mijlpalenbegroting!$B$212:$B$226=$B294) * (Mijlpalenbegroting!$I$212:$I$226) )*F181</f>
        <v>0</v>
      </c>
      <c r="Q313" s="487" cm="1">
        <f t="array" ref="Q313">SUMPRODUCT( (Mijlpalenbegroting!$B$193:$B$207=$B294) * (Mijlpalenbegroting!$I$193:$I$207) )*G181  +  SUMPRODUCT( (Mijlpalenbegroting!$B$212:$B$226=$B294) * (Mijlpalenbegroting!$I$212:$I$226) )*G181</f>
        <v>0</v>
      </c>
      <c r="R313" s="487" cm="1">
        <f t="array" ref="R313">SUMPRODUCT( (Mijlpalenbegroting!$B$193:$B$207=$B294) * (Mijlpalenbegroting!$I$193:$I$207) )*H181  +  SUMPRODUCT( (Mijlpalenbegroting!$B$212:$B$226=$B294) * (Mijlpalenbegroting!$I$212:$I$226) )*H181</f>
        <v>0</v>
      </c>
      <c r="S313" s="487" cm="1">
        <f t="array" ref="S313">SUMPRODUCT( (Mijlpalenbegroting!$B$193:$B$207=$B294) * (Mijlpalenbegroting!$I$193:$I$207) )*I181  +  SUMPRODUCT( (Mijlpalenbegroting!$B$212:$B$226=$B294) * (Mijlpalenbegroting!$I$212:$I$226) )*I181</f>
        <v>0</v>
      </c>
      <c r="T313" s="487" cm="1">
        <f t="array" ref="T313">SUMPRODUCT( (Mijlpalenbegroting!$B$193:$B$207=$B294) * (Mijlpalenbegroting!$I$193:$I$207) )*J181  +  SUMPRODUCT( (Mijlpalenbegroting!$B$212:$B$226=$B294) * (Mijlpalenbegroting!$I$212:$I$226) )*J181</f>
        <v>0</v>
      </c>
      <c r="U313" s="488">
        <f t="shared" si="114"/>
        <v>0</v>
      </c>
      <c r="AT313"/>
    </row>
    <row r="314" spans="1:46" ht="12.5" hidden="1" outlineLevel="1" x14ac:dyDescent="0.25">
      <c r="A314" s="22"/>
      <c r="B314" s="469">
        <f>$B$182</f>
        <v>14</v>
      </c>
      <c r="C314" s="487" cm="1">
        <f t="array" ref="C314">SUMPRODUCT( (Mijlpalenbegroting!$B$193:$B$207=$B295) * (Mijlpalenbegroting!$J$193:$J$207) )*C182  +  SUMPRODUCT( (Mijlpalenbegroting!$B$212:$B$226=$B295) * (Mijlpalenbegroting!$J$212:$J$226) )*C182</f>
        <v>0</v>
      </c>
      <c r="D314" s="487" cm="1">
        <f t="array" ref="D314">SUMPRODUCT( (Mijlpalenbegroting!$B$193:$B$207=$B295) * (Mijlpalenbegroting!$J$193:$J$207) )*D182  +  SUMPRODUCT( (Mijlpalenbegroting!$B$212:$B$226=$B295) * (Mijlpalenbegroting!$J$212:$J$226) )*D182</f>
        <v>0</v>
      </c>
      <c r="E314" s="487" cm="1">
        <f t="array" ref="E314">SUMPRODUCT( (Mijlpalenbegroting!$B$193:$B$207=$B295) * (Mijlpalenbegroting!$J$193:$J$207) )*E182  +  SUMPRODUCT( (Mijlpalenbegroting!$B$212:$B$226=$B295) * (Mijlpalenbegroting!$J$212:$J$226) )*E182</f>
        <v>0</v>
      </c>
      <c r="F314" s="487" cm="1">
        <f t="array" ref="F314">SUMPRODUCT( (Mijlpalenbegroting!$B$193:$B$207=$B295) * (Mijlpalenbegroting!$J$193:$J$207) )*F182  +  SUMPRODUCT( (Mijlpalenbegroting!$B$212:$B$226=$B295) * (Mijlpalenbegroting!$J$212:$J$226) )*F182</f>
        <v>0</v>
      </c>
      <c r="G314" s="487" cm="1">
        <f t="array" ref="G314">SUMPRODUCT( (Mijlpalenbegroting!$B$193:$B$207=$B295) * (Mijlpalenbegroting!$J$193:$J$207) )*G182  +  SUMPRODUCT( (Mijlpalenbegroting!$B$212:$B$226=$B295) * (Mijlpalenbegroting!$J$212:$J$226) )*G182</f>
        <v>0</v>
      </c>
      <c r="H314" s="487" cm="1">
        <f t="array" ref="H314">SUMPRODUCT( (Mijlpalenbegroting!$B$193:$B$207=$B295) * (Mijlpalenbegroting!$J$193:$J$207) )*H182  +  SUMPRODUCT( (Mijlpalenbegroting!$B$212:$B$226=$B295) * (Mijlpalenbegroting!$J$212:$J$226) )*H182</f>
        <v>0</v>
      </c>
      <c r="I314" s="487" cm="1">
        <f t="array" ref="I314">SUMPRODUCT( (Mijlpalenbegroting!$B$193:$B$207=$B295) * (Mijlpalenbegroting!$J$193:$J$207) )*I182  +  SUMPRODUCT( (Mijlpalenbegroting!$B$212:$B$226=$B295) * (Mijlpalenbegroting!$J$212:$J$226) )*I182</f>
        <v>0</v>
      </c>
      <c r="J314" s="487" cm="1">
        <f t="array" ref="J314">SUMPRODUCT( (Mijlpalenbegroting!$B$193:$B$207=$B295) * (Mijlpalenbegroting!$J$193:$J$207) )*J182  +  SUMPRODUCT( (Mijlpalenbegroting!$B$212:$B$226=$B295) * (Mijlpalenbegroting!$J$212:$J$226) )*J182</f>
        <v>0</v>
      </c>
      <c r="K314" s="488">
        <f t="shared" si="113"/>
        <v>0</v>
      </c>
      <c r="L314" s="469">
        <f>$B$182</f>
        <v>14</v>
      </c>
      <c r="M314" s="487" cm="1">
        <f t="array" ref="M314">SUMPRODUCT( (Mijlpalenbegroting!$B$193:$B$207=$B295) * (Mijlpalenbegroting!$I$193:$I$207) )*C182  +  SUMPRODUCT( (Mijlpalenbegroting!$B$212:$B$226=$B295) * (Mijlpalenbegroting!$I$212:$I$226) )*C182</f>
        <v>0</v>
      </c>
      <c r="N314" s="487" cm="1">
        <f t="array" ref="N314">SUMPRODUCT( (Mijlpalenbegroting!$B$193:$B$207=$B295) * (Mijlpalenbegroting!$I$193:$I$207) )*D182  +  SUMPRODUCT( (Mijlpalenbegroting!$B$212:$B$226=$B295) * (Mijlpalenbegroting!$I$212:$I$226) )*D182</f>
        <v>0</v>
      </c>
      <c r="O314" s="487" cm="1">
        <f t="array" ref="O314">SUMPRODUCT( (Mijlpalenbegroting!$B$193:$B$207=$B295) * (Mijlpalenbegroting!$I$193:$I$207) )*E182  +  SUMPRODUCT( (Mijlpalenbegroting!$B$212:$B$226=$B295) * (Mijlpalenbegroting!$I$212:$I$226) )*E182</f>
        <v>0</v>
      </c>
      <c r="P314" s="487" cm="1">
        <f t="array" ref="P314">SUMPRODUCT( (Mijlpalenbegroting!$B$193:$B$207=$B295) * (Mijlpalenbegroting!$I$193:$I$207) )*F182  +  SUMPRODUCT( (Mijlpalenbegroting!$B$212:$B$226=$B295) * (Mijlpalenbegroting!$I$212:$I$226) )*F182</f>
        <v>0</v>
      </c>
      <c r="Q314" s="487" cm="1">
        <f t="array" ref="Q314">SUMPRODUCT( (Mijlpalenbegroting!$B$193:$B$207=$B295) * (Mijlpalenbegroting!$I$193:$I$207) )*G182  +  SUMPRODUCT( (Mijlpalenbegroting!$B$212:$B$226=$B295) * (Mijlpalenbegroting!$I$212:$I$226) )*G182</f>
        <v>0</v>
      </c>
      <c r="R314" s="487" cm="1">
        <f t="array" ref="R314">SUMPRODUCT( (Mijlpalenbegroting!$B$193:$B$207=$B295) * (Mijlpalenbegroting!$I$193:$I$207) )*H182  +  SUMPRODUCT( (Mijlpalenbegroting!$B$212:$B$226=$B295) * (Mijlpalenbegroting!$I$212:$I$226) )*H182</f>
        <v>0</v>
      </c>
      <c r="S314" s="487" cm="1">
        <f t="array" ref="S314">SUMPRODUCT( (Mijlpalenbegroting!$B$193:$B$207=$B295) * (Mijlpalenbegroting!$I$193:$I$207) )*I182  +  SUMPRODUCT( (Mijlpalenbegroting!$B$212:$B$226=$B295) * (Mijlpalenbegroting!$I$212:$I$226) )*I182</f>
        <v>0</v>
      </c>
      <c r="T314" s="487" cm="1">
        <f t="array" ref="T314">SUMPRODUCT( (Mijlpalenbegroting!$B$193:$B$207=$B295) * (Mijlpalenbegroting!$I$193:$I$207) )*J182  +  SUMPRODUCT( (Mijlpalenbegroting!$B$212:$B$226=$B295) * (Mijlpalenbegroting!$I$212:$I$226) )*J182</f>
        <v>0</v>
      </c>
      <c r="U314" s="488">
        <f t="shared" si="114"/>
        <v>0</v>
      </c>
      <c r="AT314"/>
    </row>
    <row r="315" spans="1:46" ht="12.5" hidden="1" outlineLevel="1" x14ac:dyDescent="0.25">
      <c r="A315" s="22"/>
      <c r="B315" s="469">
        <f>$B$183</f>
        <v>15</v>
      </c>
      <c r="C315" s="487" cm="1">
        <f t="array" ref="C315">SUMPRODUCT( (Mijlpalenbegroting!$B$193:$B$207=$B296) * (Mijlpalenbegroting!$J$193:$J$207) )*C183  +  SUMPRODUCT( (Mijlpalenbegroting!$B$212:$B$226=$B296) * (Mijlpalenbegroting!$J$212:$J$226) )*C183</f>
        <v>0</v>
      </c>
      <c r="D315" s="487" cm="1">
        <f t="array" ref="D315">SUMPRODUCT( (Mijlpalenbegroting!$B$193:$B$207=$B296) * (Mijlpalenbegroting!$J$193:$J$207) )*D183  +  SUMPRODUCT( (Mijlpalenbegroting!$B$212:$B$226=$B296) * (Mijlpalenbegroting!$J$212:$J$226) )*D183</f>
        <v>0</v>
      </c>
      <c r="E315" s="487" cm="1">
        <f t="array" ref="E315">SUMPRODUCT( (Mijlpalenbegroting!$B$193:$B$207=$B296) * (Mijlpalenbegroting!$J$193:$J$207) )*E183  +  SUMPRODUCT( (Mijlpalenbegroting!$B$212:$B$226=$B296) * (Mijlpalenbegroting!$J$212:$J$226) )*E183</f>
        <v>0</v>
      </c>
      <c r="F315" s="487" cm="1">
        <f t="array" ref="F315">SUMPRODUCT( (Mijlpalenbegroting!$B$193:$B$207=$B296) * (Mijlpalenbegroting!$J$193:$J$207) )*F183  +  SUMPRODUCT( (Mijlpalenbegroting!$B$212:$B$226=$B296) * (Mijlpalenbegroting!$J$212:$J$226) )*F183</f>
        <v>0</v>
      </c>
      <c r="G315" s="487" cm="1">
        <f t="array" ref="G315">SUMPRODUCT( (Mijlpalenbegroting!$B$193:$B$207=$B296) * (Mijlpalenbegroting!$J$193:$J$207) )*G183  +  SUMPRODUCT( (Mijlpalenbegroting!$B$212:$B$226=$B296) * (Mijlpalenbegroting!$J$212:$J$226) )*G183</f>
        <v>0</v>
      </c>
      <c r="H315" s="487" cm="1">
        <f t="array" ref="H315">SUMPRODUCT( (Mijlpalenbegroting!$B$193:$B$207=$B296) * (Mijlpalenbegroting!$J$193:$J$207) )*H183  +  SUMPRODUCT( (Mijlpalenbegroting!$B$212:$B$226=$B296) * (Mijlpalenbegroting!$J$212:$J$226) )*H183</f>
        <v>0</v>
      </c>
      <c r="I315" s="487" cm="1">
        <f t="array" ref="I315">SUMPRODUCT( (Mijlpalenbegroting!$B$193:$B$207=$B296) * (Mijlpalenbegroting!$J$193:$J$207) )*I183  +  SUMPRODUCT( (Mijlpalenbegroting!$B$212:$B$226=$B296) * (Mijlpalenbegroting!$J$212:$J$226) )*I183</f>
        <v>0</v>
      </c>
      <c r="J315" s="487" cm="1">
        <f t="array" ref="J315">SUMPRODUCT( (Mijlpalenbegroting!$B$193:$B$207=$B296) * (Mijlpalenbegroting!$J$193:$J$207) )*J183  +  SUMPRODUCT( (Mijlpalenbegroting!$B$212:$B$226=$B296) * (Mijlpalenbegroting!$J$212:$J$226) )*J183</f>
        <v>0</v>
      </c>
      <c r="K315" s="488">
        <f t="shared" si="113"/>
        <v>0</v>
      </c>
      <c r="L315" s="469">
        <f>$B$183</f>
        <v>15</v>
      </c>
      <c r="M315" s="487" cm="1">
        <f t="array" ref="M315">SUMPRODUCT( (Mijlpalenbegroting!$B$193:$B$207=$B296) * (Mijlpalenbegroting!$I$193:$I$207) )*C183  +  SUMPRODUCT( (Mijlpalenbegroting!$B$212:$B$226=$B296) * (Mijlpalenbegroting!$I$212:$I$226) )*C183</f>
        <v>0</v>
      </c>
      <c r="N315" s="487" cm="1">
        <f t="array" ref="N315">SUMPRODUCT( (Mijlpalenbegroting!$B$193:$B$207=$B296) * (Mijlpalenbegroting!$I$193:$I$207) )*D183  +  SUMPRODUCT( (Mijlpalenbegroting!$B$212:$B$226=$B296) * (Mijlpalenbegroting!$I$212:$I$226) )*D183</f>
        <v>0</v>
      </c>
      <c r="O315" s="487" cm="1">
        <f t="array" ref="O315">SUMPRODUCT( (Mijlpalenbegroting!$B$193:$B$207=$B296) * (Mijlpalenbegroting!$I$193:$I$207) )*E183  +  SUMPRODUCT( (Mijlpalenbegroting!$B$212:$B$226=$B296) * (Mijlpalenbegroting!$I$212:$I$226) )*E183</f>
        <v>0</v>
      </c>
      <c r="P315" s="487" cm="1">
        <f t="array" ref="P315">SUMPRODUCT( (Mijlpalenbegroting!$B$193:$B$207=$B296) * (Mijlpalenbegroting!$I$193:$I$207) )*F183  +  SUMPRODUCT( (Mijlpalenbegroting!$B$212:$B$226=$B296) * (Mijlpalenbegroting!$I$212:$I$226) )*F183</f>
        <v>0</v>
      </c>
      <c r="Q315" s="487" cm="1">
        <f t="array" ref="Q315">SUMPRODUCT( (Mijlpalenbegroting!$B$193:$B$207=$B296) * (Mijlpalenbegroting!$I$193:$I$207) )*G183  +  SUMPRODUCT( (Mijlpalenbegroting!$B$212:$B$226=$B296) * (Mijlpalenbegroting!$I$212:$I$226) )*G183</f>
        <v>0</v>
      </c>
      <c r="R315" s="487" cm="1">
        <f t="array" ref="R315">SUMPRODUCT( (Mijlpalenbegroting!$B$193:$B$207=$B296) * (Mijlpalenbegroting!$I$193:$I$207) )*H183  +  SUMPRODUCT( (Mijlpalenbegroting!$B$212:$B$226=$B296) * (Mijlpalenbegroting!$I$212:$I$226) )*H183</f>
        <v>0</v>
      </c>
      <c r="S315" s="487" cm="1">
        <f t="array" ref="S315">SUMPRODUCT( (Mijlpalenbegroting!$B$193:$B$207=$B296) * (Mijlpalenbegroting!$I$193:$I$207) )*I183  +  SUMPRODUCT( (Mijlpalenbegroting!$B$212:$B$226=$B296) * (Mijlpalenbegroting!$I$212:$I$226) )*I183</f>
        <v>0</v>
      </c>
      <c r="T315" s="487" cm="1">
        <f t="array" ref="T315">SUMPRODUCT( (Mijlpalenbegroting!$B$193:$B$207=$B296) * (Mijlpalenbegroting!$I$193:$I$207) )*J183  +  SUMPRODUCT( (Mijlpalenbegroting!$B$212:$B$226=$B296) * (Mijlpalenbegroting!$I$212:$I$226) )*J183</f>
        <v>0</v>
      </c>
      <c r="U315" s="488">
        <f t="shared" si="114"/>
        <v>0</v>
      </c>
      <c r="AT315"/>
    </row>
    <row r="316" spans="1:46" ht="12.5" hidden="1" outlineLevel="1" x14ac:dyDescent="0.25">
      <c r="A316" s="22"/>
      <c r="B316" s="469" t="s">
        <v>335</v>
      </c>
      <c r="C316" s="489">
        <f>SUM(C301:C315)</f>
        <v>0</v>
      </c>
      <c r="D316" s="489">
        <f t="shared" ref="D316" si="115">SUM(D301:D315)</f>
        <v>0</v>
      </c>
      <c r="E316" s="489">
        <f t="shared" ref="E316" si="116">SUM(E301:E315)</f>
        <v>0</v>
      </c>
      <c r="F316" s="489">
        <f t="shared" ref="F316" si="117">SUM(F301:F315)</f>
        <v>0</v>
      </c>
      <c r="G316" s="489">
        <f t="shared" ref="G316" si="118">SUM(G301:G315)</f>
        <v>0</v>
      </c>
      <c r="H316" s="489">
        <f t="shared" ref="H316" si="119">SUM(H301:H315)</f>
        <v>0</v>
      </c>
      <c r="I316" s="489">
        <f t="shared" ref="I316" si="120">SUM(I301:I315)</f>
        <v>0</v>
      </c>
      <c r="J316" s="489">
        <f t="shared" ref="J316" si="121">SUM(J301:J315)</f>
        <v>0</v>
      </c>
      <c r="K316" s="488">
        <f t="shared" si="113"/>
        <v>0</v>
      </c>
      <c r="L316" s="469" t="s">
        <v>335</v>
      </c>
      <c r="M316" s="489">
        <f>SUM(M301:M315)</f>
        <v>0</v>
      </c>
      <c r="N316" s="489">
        <f t="shared" ref="N316" si="122">SUM(N301:N315)</f>
        <v>0</v>
      </c>
      <c r="O316" s="489">
        <f t="shared" ref="O316" si="123">SUM(O301:O315)</f>
        <v>0</v>
      </c>
      <c r="P316" s="489">
        <f t="shared" ref="P316" si="124">SUM(P301:P315)</f>
        <v>0</v>
      </c>
      <c r="Q316" s="489">
        <f t="shared" ref="Q316" si="125">SUM(Q301:Q315)</f>
        <v>0</v>
      </c>
      <c r="R316" s="489">
        <f t="shared" ref="R316" si="126">SUM(R301:R315)</f>
        <v>0</v>
      </c>
      <c r="S316" s="489">
        <f t="shared" ref="S316" si="127">SUM(S301:S315)</f>
        <v>0</v>
      </c>
      <c r="T316" s="489">
        <f t="shared" ref="T316" si="128">SUM(T301:T315)</f>
        <v>0</v>
      </c>
      <c r="U316" s="488">
        <f t="shared" si="114"/>
        <v>0</v>
      </c>
      <c r="AT316"/>
    </row>
    <row r="317" spans="1:46" collapsed="1" x14ac:dyDescent="0.25"/>
  </sheetData>
  <sheetProtection algorithmName="SHA-512" hashValue="2lNoCUUJ1CD5wz4cJqzXgXg47i/BBDSvtu9zWu2C9r5m/Gap6VpU91Y1ZLPyVnQJkRmrkij/7mkCBTfK99t0TA==" saltValue="a5q2boREBUjvz0YlasxNmQ==" spinCount="100000" sheet="1" formatColumns="0" formatRows="0"/>
  <mergeCells count="1">
    <mergeCell ref="B9:R9"/>
  </mergeCells>
  <phoneticPr fontId="6" type="noConversion"/>
  <conditionalFormatting sqref="C169:J185">
    <cfRule type="colorScale" priority="32">
      <colorScale>
        <cfvo type="min"/>
        <cfvo type="max"/>
        <color rgb="FFFCFCFF"/>
        <color rgb="FF63BE7B"/>
      </colorScale>
    </cfRule>
  </conditionalFormatting>
  <conditionalFormatting sqref="C187:J201">
    <cfRule type="colorScale" priority="30">
      <colorScale>
        <cfvo type="min"/>
        <cfvo type="max"/>
        <color rgb="FFFCFCFF"/>
        <color rgb="FF63BE7B"/>
      </colorScale>
    </cfRule>
  </conditionalFormatting>
  <conditionalFormatting sqref="C204:J204">
    <cfRule type="colorScale" priority="39">
      <colorScale>
        <cfvo type="min"/>
        <cfvo type="max"/>
        <color rgb="FFFCFCFF"/>
        <color rgb="FF63BE7B"/>
      </colorScale>
    </cfRule>
  </conditionalFormatting>
  <conditionalFormatting sqref="C206:J220">
    <cfRule type="colorScale" priority="25">
      <colorScale>
        <cfvo type="min"/>
        <cfvo type="max"/>
        <color rgb="FFFCFCFF"/>
        <color rgb="FF63BE7B"/>
      </colorScale>
    </cfRule>
  </conditionalFormatting>
  <conditionalFormatting sqref="C223:J223">
    <cfRule type="colorScale" priority="38">
      <colorScale>
        <cfvo type="min"/>
        <cfvo type="max"/>
        <color rgb="FFFCFCFF"/>
        <color rgb="FF63BE7B"/>
      </colorScale>
    </cfRule>
  </conditionalFormatting>
  <conditionalFormatting sqref="C225:J239">
    <cfRule type="colorScale" priority="21">
      <colorScale>
        <cfvo type="min"/>
        <cfvo type="max"/>
        <color rgb="FFFCFCFF"/>
        <color rgb="FF63BE7B"/>
      </colorScale>
    </cfRule>
  </conditionalFormatting>
  <conditionalFormatting sqref="C242:J242">
    <cfRule type="colorScale" priority="37">
      <colorScale>
        <cfvo type="min"/>
        <cfvo type="max"/>
        <color rgb="FFFCFCFF"/>
        <color rgb="FF63BE7B"/>
      </colorScale>
    </cfRule>
  </conditionalFormatting>
  <conditionalFormatting sqref="C244:J258">
    <cfRule type="colorScale" priority="17">
      <colorScale>
        <cfvo type="min"/>
        <cfvo type="max"/>
        <color rgb="FFFCFCFF"/>
        <color rgb="FF63BE7B"/>
      </colorScale>
    </cfRule>
  </conditionalFormatting>
  <conditionalFormatting sqref="C261:J261">
    <cfRule type="colorScale" priority="35">
      <colorScale>
        <cfvo type="min"/>
        <cfvo type="max"/>
        <color rgb="FFFCFCFF"/>
        <color rgb="FF63BE7B"/>
      </colorScale>
    </cfRule>
  </conditionalFormatting>
  <conditionalFormatting sqref="C263:J277">
    <cfRule type="colorScale" priority="13">
      <colorScale>
        <cfvo type="min"/>
        <cfvo type="max"/>
        <color rgb="FFFCFCFF"/>
        <color rgb="FF63BE7B"/>
      </colorScale>
    </cfRule>
  </conditionalFormatting>
  <conditionalFormatting sqref="C280:J280">
    <cfRule type="colorScale" priority="36">
      <colorScale>
        <cfvo type="min"/>
        <cfvo type="max"/>
        <color rgb="FFFCFCFF"/>
        <color rgb="FF63BE7B"/>
      </colorScale>
    </cfRule>
  </conditionalFormatting>
  <conditionalFormatting sqref="C282:J296">
    <cfRule type="colorScale" priority="9">
      <colorScale>
        <cfvo type="min"/>
        <cfvo type="max"/>
        <color rgb="FFFCFCFF"/>
        <color rgb="FF63BE7B"/>
      </colorScale>
    </cfRule>
  </conditionalFormatting>
  <conditionalFormatting sqref="C299:J299">
    <cfRule type="colorScale" priority="6">
      <colorScale>
        <cfvo type="min"/>
        <cfvo type="max"/>
        <color rgb="FFFCFCFF"/>
        <color rgb="FF63BE7B"/>
      </colorScale>
    </cfRule>
  </conditionalFormatting>
  <conditionalFormatting sqref="C301:J315">
    <cfRule type="colorScale" priority="5">
      <colorScale>
        <cfvo type="min"/>
        <cfvo type="max"/>
        <color rgb="FFFCFCFF"/>
        <color rgb="FF63BE7B"/>
      </colorScale>
    </cfRule>
  </conditionalFormatting>
  <conditionalFormatting sqref="C149:Q157">
    <cfRule type="colorScale" priority="33">
      <colorScale>
        <cfvo type="min"/>
        <cfvo type="max"/>
        <color rgb="FFFCFCFF"/>
        <color rgb="FF63BE7B"/>
      </colorScale>
    </cfRule>
  </conditionalFormatting>
  <conditionalFormatting sqref="C159:Q166">
    <cfRule type="colorScale" priority="34">
      <colorScale>
        <cfvo type="min"/>
        <cfvo type="max"/>
        <color rgb="FFFCFCFF"/>
        <color rgb="FF63BE7B"/>
      </colorScale>
    </cfRule>
  </conditionalFormatting>
  <conditionalFormatting sqref="M187">
    <cfRule type="colorScale" priority="28">
      <colorScale>
        <cfvo type="min"/>
        <cfvo type="max"/>
        <color rgb="FFFCFCFF"/>
        <color rgb="FF63BE7B"/>
      </colorScale>
    </cfRule>
  </conditionalFormatting>
  <conditionalFormatting sqref="M187:T201">
    <cfRule type="colorScale" priority="27">
      <colorScale>
        <cfvo type="min"/>
        <cfvo type="max"/>
        <color rgb="FFFCFCFF"/>
        <color rgb="FF63BE7B"/>
      </colorScale>
    </cfRule>
  </conditionalFormatting>
  <conditionalFormatting sqref="M206:T220">
    <cfRule type="colorScale" priority="23">
      <colorScale>
        <cfvo type="min"/>
        <cfvo type="max"/>
        <color rgb="FFFCFCFF"/>
        <color rgb="FF63BE7B"/>
      </colorScale>
    </cfRule>
    <cfRule type="colorScale" priority="24">
      <colorScale>
        <cfvo type="min"/>
        <cfvo type="max"/>
        <color rgb="FFFCFCFF"/>
        <color rgb="FF63BE7B"/>
      </colorScale>
    </cfRule>
  </conditionalFormatting>
  <conditionalFormatting sqref="M225:T239">
    <cfRule type="colorScale" priority="19">
      <colorScale>
        <cfvo type="min"/>
        <cfvo type="max"/>
        <color rgb="FFFCFCFF"/>
        <color rgb="FF63BE7B"/>
      </colorScale>
    </cfRule>
    <cfRule type="colorScale" priority="20">
      <colorScale>
        <cfvo type="min"/>
        <cfvo type="max"/>
        <color rgb="FFFCFCFF"/>
        <color rgb="FF63BE7B"/>
      </colorScale>
    </cfRule>
  </conditionalFormatting>
  <conditionalFormatting sqref="M244:T258">
    <cfRule type="colorScale" priority="15">
      <colorScale>
        <cfvo type="min"/>
        <cfvo type="max"/>
        <color rgb="FFFCFCFF"/>
        <color rgb="FF63BE7B"/>
      </colorScale>
    </cfRule>
    <cfRule type="colorScale" priority="16">
      <colorScale>
        <cfvo type="min"/>
        <cfvo type="max"/>
        <color rgb="FFFCFCFF"/>
        <color rgb="FF63BE7B"/>
      </colorScale>
    </cfRule>
  </conditionalFormatting>
  <conditionalFormatting sqref="M263:T277">
    <cfRule type="colorScale" priority="11">
      <colorScale>
        <cfvo type="min"/>
        <cfvo type="max"/>
        <color rgb="FFFCFCFF"/>
        <color rgb="FF63BE7B"/>
      </colorScale>
    </cfRule>
    <cfRule type="colorScale" priority="12">
      <colorScale>
        <cfvo type="min"/>
        <cfvo type="max"/>
        <color rgb="FFFCFCFF"/>
        <color rgb="FF63BE7B"/>
      </colorScale>
    </cfRule>
  </conditionalFormatting>
  <conditionalFormatting sqref="M282:T296">
    <cfRule type="colorScale" priority="7">
      <colorScale>
        <cfvo type="min"/>
        <cfvo type="max"/>
        <color rgb="FFFCFCFF"/>
        <color rgb="FF63BE7B"/>
      </colorScale>
    </cfRule>
    <cfRule type="colorScale" priority="8">
      <colorScale>
        <cfvo type="min"/>
        <cfvo type="max"/>
        <color rgb="FFFCFCFF"/>
        <color rgb="FF63BE7B"/>
      </colorScale>
    </cfRule>
  </conditionalFormatting>
  <conditionalFormatting sqref="M301:T315">
    <cfRule type="colorScale" priority="3">
      <colorScale>
        <cfvo type="min"/>
        <cfvo type="max"/>
        <color rgb="FFFCFCFF"/>
        <color rgb="FF63BE7B"/>
      </colorScale>
    </cfRule>
    <cfRule type="colorScale" priority="4">
      <colorScale>
        <cfvo type="min"/>
        <cfvo type="max"/>
        <color rgb="FFFCFCFF"/>
        <color rgb="FF63BE7B"/>
      </colorScale>
    </cfRule>
  </conditionalFormatting>
  <dataValidations count="1">
    <dataValidation type="date" allowBlank="1" showInputMessage="1" showErrorMessage="1" error="De datum van de mijlpaal moet liggen tussen de start- en einddatum opgegeven in tabblad 'Project'." sqref="C17:Q18" xr:uid="{F7F3155E-E94E-4BDC-80AA-253D1BF8B4DC}">
      <formula1>Startdatum</formula1>
      <formula2>Einddatum</formula2>
    </dataValidation>
  </dataValidations>
  <pageMargins left="0.25" right="0.25" top="0.75" bottom="0.75" header="0.3" footer="0.3"/>
  <pageSetup paperSize="9" scale="54" orientation="portrait" horizontalDpi="4294967292" r:id="rId1"/>
  <colBreaks count="1" manualBreakCount="1">
    <brk id="13" max="1048575" man="1"/>
  </colBreaks>
  <ignoredErrors>
    <ignoredError sqref="C301:K315 C281:K297 C274:K280 C298:K300 L298:T300 L274:T280 L281:T297 L301:T315"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95416-143C-4894-8AD6-F31E4B635D82}">
  <sheetPr>
    <tabColor rgb="FFFFFFCC"/>
    <pageSetUpPr fitToPage="1"/>
  </sheetPr>
  <dimension ref="B1:AN103"/>
  <sheetViews>
    <sheetView showGridLines="0" zoomScaleNormal="100" zoomScaleSheetLayoutView="80" workbookViewId="0">
      <selection activeCell="C35" sqref="C35"/>
    </sheetView>
  </sheetViews>
  <sheetFormatPr defaultColWidth="9.26953125" defaultRowHeight="11.5" outlineLevelRow="1" x14ac:dyDescent="0.25"/>
  <cols>
    <col min="1" max="1" width="2" style="20" customWidth="1"/>
    <col min="2" max="2" width="47" style="20" customWidth="1"/>
    <col min="3" max="3" width="25.81640625" style="20" customWidth="1"/>
    <col min="4" max="9" width="19" style="20" customWidth="1"/>
    <col min="10" max="10" width="56.26953125" style="20" customWidth="1"/>
    <col min="11" max="12" width="9.26953125" style="822" hidden="1" customWidth="1"/>
    <col min="13" max="15" width="16.453125" style="20" customWidth="1"/>
    <col min="16" max="20" width="16.26953125" style="20" customWidth="1"/>
    <col min="21" max="21" width="11" style="20" bestFit="1" customWidth="1"/>
    <col min="22" max="26" width="9.453125" style="20" bestFit="1" customWidth="1"/>
    <col min="27" max="29" width="9.26953125" style="20" customWidth="1"/>
    <col min="30" max="39" width="9.453125" style="20" bestFit="1" customWidth="1"/>
    <col min="40" max="16384" width="9.26953125" style="20"/>
  </cols>
  <sheetData>
    <row r="1" spans="2:35" ht="9.65" customHeight="1" x14ac:dyDescent="0.25"/>
    <row r="2" spans="2:35" ht="18.5" x14ac:dyDescent="0.25">
      <c r="B2" s="131" t="s">
        <v>336</v>
      </c>
      <c r="D2" s="66"/>
      <c r="E2" s="66"/>
      <c r="F2" s="66"/>
      <c r="G2" s="66"/>
    </row>
    <row r="3" spans="2:35" ht="9.65" customHeight="1" x14ac:dyDescent="0.25">
      <c r="D3" s="66"/>
      <c r="E3" s="66"/>
      <c r="F3" s="66"/>
      <c r="G3" s="66"/>
      <c r="H3" s="66"/>
      <c r="I3" s="66"/>
      <c r="J3" s="66"/>
      <c r="M3" s="66"/>
      <c r="N3" s="66"/>
      <c r="O3" s="66"/>
      <c r="P3" s="66"/>
      <c r="Q3" s="66"/>
      <c r="R3" s="66"/>
      <c r="S3" s="66"/>
      <c r="T3" s="66"/>
      <c r="U3" s="66"/>
      <c r="V3" s="66"/>
      <c r="W3" s="66"/>
      <c r="X3" s="66"/>
      <c r="Y3" s="66"/>
      <c r="Z3" s="66"/>
      <c r="AA3" s="66"/>
      <c r="AB3" s="66"/>
      <c r="AC3" s="66"/>
      <c r="AD3" s="66"/>
      <c r="AE3" s="66"/>
      <c r="AF3" s="66"/>
      <c r="AG3" s="66"/>
      <c r="AH3" s="66"/>
      <c r="AI3" s="66"/>
    </row>
    <row r="4" spans="2:35" ht="13.5" x14ac:dyDescent="0.25">
      <c r="B4" s="728" t="s">
        <v>337</v>
      </c>
      <c r="C4" s="729"/>
      <c r="D4" s="729"/>
      <c r="E4" s="729"/>
      <c r="F4" s="729"/>
      <c r="G4" s="729"/>
      <c r="H4" s="729"/>
      <c r="I4" s="729"/>
      <c r="J4" s="729"/>
      <c r="K4" s="823"/>
      <c r="L4" s="823"/>
      <c r="M4" s="496"/>
      <c r="N4" s="496"/>
      <c r="O4" s="496"/>
      <c r="P4" s="496"/>
      <c r="Q4" s="66"/>
      <c r="R4" s="66"/>
      <c r="S4" s="66"/>
      <c r="T4" s="66"/>
      <c r="U4" s="66"/>
      <c r="V4" s="66"/>
      <c r="W4" s="66"/>
      <c r="X4" s="66"/>
      <c r="Y4" s="66"/>
      <c r="Z4" s="66"/>
      <c r="AA4" s="66"/>
      <c r="AB4" s="66"/>
      <c r="AC4" s="66"/>
      <c r="AD4" s="66"/>
      <c r="AE4" s="66"/>
      <c r="AF4" s="66"/>
      <c r="AG4" s="66"/>
      <c r="AH4" s="66"/>
      <c r="AI4" s="66"/>
    </row>
    <row r="5" spans="2:35" s="66" customFormat="1" ht="14" thickBot="1" x14ac:dyDescent="0.3">
      <c r="B5" s="496"/>
      <c r="C5" s="496"/>
      <c r="D5" s="496"/>
      <c r="E5" s="496"/>
      <c r="F5" s="496"/>
      <c r="G5" s="496"/>
      <c r="H5" s="496"/>
      <c r="I5" s="496"/>
      <c r="J5" s="496"/>
      <c r="K5" s="823"/>
      <c r="L5" s="823"/>
      <c r="M5" s="496"/>
      <c r="N5" s="496"/>
      <c r="O5" s="496"/>
      <c r="P5" s="496"/>
    </row>
    <row r="6" spans="2:35" ht="12.75" customHeight="1" x14ac:dyDescent="0.25">
      <c r="B6" s="616" t="str">
        <f>Project!A4</f>
        <v>Projectnummer:</v>
      </c>
      <c r="C6" s="620" t="str">
        <f>IF(Project!$B$4="","Invullen bij tabblad 'Project'",Project!$B$4)</f>
        <v>[Dit veld vult RVO in]</v>
      </c>
      <c r="D6" s="66"/>
      <c r="E6" s="610"/>
      <c r="F6" s="610"/>
      <c r="G6" s="610"/>
      <c r="H6" s="610"/>
      <c r="I6" s="610"/>
    </row>
    <row r="7" spans="2:35" ht="12.75" customHeight="1" x14ac:dyDescent="0.25">
      <c r="B7" s="617" t="str">
        <f>Project!A7</f>
        <v>Titel van het project:</v>
      </c>
      <c r="C7" s="619" t="str">
        <f>IF(Project!$B$7="","Invullen bij tabblad 'Project'",Project!$B$7)</f>
        <v>Invullen bij tabblad 'Project'</v>
      </c>
      <c r="D7" s="66"/>
      <c r="E7" s="610"/>
      <c r="F7" s="610"/>
      <c r="G7" s="610"/>
      <c r="H7" s="610"/>
      <c r="I7" s="610"/>
    </row>
    <row r="8" spans="2:35" ht="12.75" customHeight="1" thickBot="1" x14ac:dyDescent="0.3">
      <c r="B8" s="618" t="str">
        <f>Project!B16</f>
        <v>Organisatienaam</v>
      </c>
      <c r="C8" s="621" t="str">
        <f>IF(Project!$B$17="","Invullen bij tabblad 'Project'",Project!$B$17)</f>
        <v>Invullen bij tabblad 'Project'</v>
      </c>
      <c r="D8" s="608"/>
      <c r="E8" s="610"/>
      <c r="F8" s="610"/>
      <c r="G8" s="610"/>
      <c r="H8" s="610"/>
      <c r="I8" s="610"/>
      <c r="J8" s="26"/>
      <c r="K8" s="824"/>
      <c r="L8" s="824"/>
      <c r="M8" s="26"/>
      <c r="N8" s="26"/>
      <c r="O8" s="26"/>
      <c r="P8" s="26"/>
      <c r="Q8" s="26"/>
      <c r="R8" s="26"/>
      <c r="S8" s="26"/>
    </row>
    <row r="9" spans="2:35" ht="12.75" customHeight="1" thickBot="1" x14ac:dyDescent="0.3">
      <c r="D9" s="608"/>
      <c r="E9" s="610"/>
      <c r="F9" s="610"/>
      <c r="G9" s="610"/>
      <c r="H9" s="610"/>
      <c r="I9" s="610"/>
      <c r="J9" s="26"/>
      <c r="K9" s="824"/>
      <c r="L9" s="824"/>
      <c r="M9" s="26"/>
      <c r="N9" s="26"/>
      <c r="O9" s="26"/>
      <c r="P9" s="26"/>
      <c r="Q9" s="26"/>
      <c r="R9" s="26"/>
      <c r="S9" s="26"/>
    </row>
    <row r="10" spans="2:35" ht="12.65" customHeight="1" x14ac:dyDescent="0.25">
      <c r="B10" s="613" t="str">
        <f>Mijlpalenbegroting!B271</f>
        <v>A. Totale investeringskosten</v>
      </c>
      <c r="C10" s="623">
        <f>Mijlpalenbegroting!J271</f>
        <v>0</v>
      </c>
      <c r="D10" s="66"/>
      <c r="E10" s="610"/>
      <c r="F10" s="610"/>
      <c r="G10" s="610"/>
      <c r="H10" s="610"/>
      <c r="I10" s="610"/>
    </row>
    <row r="11" spans="2:35" ht="12.75" customHeight="1" x14ac:dyDescent="0.25">
      <c r="B11" s="622" t="str">
        <f>Mijlpalenbegroting!B272</f>
        <v>B. Verstrekte of ontvangen overige steun/subsidie</v>
      </c>
      <c r="C11" s="624">
        <f>Mijlpalenbegroting!J272</f>
        <v>0</v>
      </c>
      <c r="D11" s="658" t="str">
        <f>IF(C11&gt;0,"Let op, het kan zijn dat dit bedrag in mindering wordt gebracht op de subsidie en deze niet volledig wordt meegerekend bij de financiering van het eigen aandeel, zie toelichting onderaan","")</f>
        <v/>
      </c>
      <c r="E11" s="610"/>
      <c r="F11" s="610"/>
      <c r="G11" s="610"/>
      <c r="H11" s="610"/>
      <c r="I11" s="610"/>
    </row>
    <row r="12" spans="2:35" ht="12.75" customHeight="1" x14ac:dyDescent="0.25">
      <c r="B12" s="614" t="str">
        <f>Mijlpalenbegroting!B273</f>
        <v>Gevraagde WIS subsidie</v>
      </c>
      <c r="C12" s="624">
        <f>Mijlpalenbegroting!J266</f>
        <v>0</v>
      </c>
      <c r="D12" s="658"/>
      <c r="E12" s="610"/>
      <c r="F12" s="610"/>
      <c r="G12" s="610"/>
      <c r="H12" s="610"/>
      <c r="I12" s="610"/>
    </row>
    <row r="13" spans="2:35" ht="12.75" customHeight="1" x14ac:dyDescent="0.25">
      <c r="B13" s="614" t="s">
        <v>338</v>
      </c>
      <c r="C13" s="624">
        <f>SUMPRODUCT(Exploitatieberekening!E20:E49,Exploitatieberekening!J20:J49)</f>
        <v>0</v>
      </c>
      <c r="D13" s="849" t="str">
        <f>IF(C13=0,"Let op, deze waarde resulteert uit tabblad 'Exploitatieberekening', cel J20 t/m J49. Dit deel dient voor volledigheid eerst te worden ingevuld","Resulteert uit tabblad 'Exploitatieberekening'")</f>
        <v>Let op, deze waarde resulteert uit tabblad 'Exploitatieberekening', cel J20 t/m J49. Dit deel dient voor volledigheid eerst te worden ingevuld</v>
      </c>
      <c r="E13" s="610"/>
      <c r="F13" s="610"/>
      <c r="G13" s="610"/>
      <c r="H13" s="610"/>
      <c r="I13" s="610"/>
    </row>
    <row r="14" spans="2:35" ht="12.75" customHeight="1" thickBot="1" x14ac:dyDescent="0.3">
      <c r="B14" s="615" t="s">
        <v>339</v>
      </c>
      <c r="C14" s="625">
        <f>+C10-C11-C12-C13</f>
        <v>0</v>
      </c>
      <c r="D14"/>
      <c r="E14" s="610"/>
      <c r="F14" s="610"/>
      <c r="G14" s="610"/>
      <c r="H14" s="610"/>
      <c r="I14" s="610"/>
      <c r="J14" s="32"/>
      <c r="M14" s="33"/>
      <c r="N14" s="32"/>
      <c r="O14" s="33"/>
      <c r="P14" s="32"/>
      <c r="Q14" s="33"/>
    </row>
    <row r="15" spans="2:35" s="66" customFormat="1" ht="12.75" customHeight="1" thickBot="1" x14ac:dyDescent="0.3">
      <c r="B15" s="610"/>
      <c r="C15" s="607"/>
      <c r="D15" s="492"/>
      <c r="E15" s="610"/>
      <c r="F15" s="610"/>
      <c r="G15" s="610"/>
      <c r="H15" s="610"/>
      <c r="I15" s="610"/>
      <c r="J15" s="611"/>
      <c r="K15" s="822"/>
      <c r="L15" s="822"/>
      <c r="M15" s="612"/>
      <c r="N15" s="611"/>
      <c r="O15" s="612"/>
      <c r="P15" s="611"/>
      <c r="Q15" s="612"/>
    </row>
    <row r="16" spans="2:35" s="66" customFormat="1" ht="15.75" customHeight="1" thickBot="1" x14ac:dyDescent="0.3">
      <c r="B16" s="804" t="s">
        <v>340</v>
      </c>
      <c r="C16" s="805"/>
      <c r="D16" s="805"/>
      <c r="E16" s="805"/>
      <c r="F16" s="805"/>
      <c r="G16" s="805"/>
      <c r="H16" s="805"/>
      <c r="I16" s="805"/>
      <c r="J16" s="806"/>
      <c r="K16" s="823"/>
      <c r="L16" s="823"/>
      <c r="M16" s="612"/>
      <c r="N16" s="611"/>
      <c r="O16" s="612"/>
      <c r="P16" s="611"/>
      <c r="Q16" s="612"/>
    </row>
    <row r="17" spans="2:23" s="66" customFormat="1" ht="235.15" customHeight="1" thickBot="1" x14ac:dyDescent="0.3">
      <c r="B17" s="1021" t="s">
        <v>341</v>
      </c>
      <c r="C17" s="1022"/>
      <c r="D17" s="1022"/>
      <c r="E17" s="1022"/>
      <c r="F17" s="1022"/>
      <c r="G17" s="1022"/>
      <c r="H17" s="1022"/>
      <c r="I17" s="1022"/>
      <c r="J17" s="1023"/>
      <c r="K17" s="825"/>
      <c r="L17" s="825"/>
      <c r="M17" s="612"/>
      <c r="N17" s="611"/>
      <c r="O17" s="612"/>
      <c r="P17" s="611"/>
      <c r="Q17" s="612"/>
    </row>
    <row r="18" spans="2:23" s="66" customFormat="1" ht="12.75" customHeight="1" thickBot="1" x14ac:dyDescent="0.3">
      <c r="B18" s="610"/>
      <c r="C18" s="607"/>
      <c r="D18" s="492"/>
      <c r="E18" s="626"/>
      <c r="F18" s="626"/>
      <c r="G18" s="626"/>
      <c r="H18" s="626"/>
      <c r="I18" s="626"/>
      <c r="J18" s="611"/>
      <c r="K18" s="822"/>
      <c r="L18" s="822"/>
      <c r="M18" s="612"/>
      <c r="N18" s="611"/>
      <c r="O18" s="612"/>
      <c r="P18" s="611"/>
      <c r="Q18" s="612"/>
    </row>
    <row r="19" spans="2:23" s="66" customFormat="1" ht="15" customHeight="1" thickBot="1" x14ac:dyDescent="0.3">
      <c r="B19" s="804" t="s">
        <v>342</v>
      </c>
      <c r="C19" s="805"/>
      <c r="D19" s="805"/>
      <c r="E19" s="805"/>
      <c r="F19" s="805"/>
      <c r="G19" s="805"/>
      <c r="H19" s="805"/>
      <c r="I19" s="805"/>
      <c r="J19" s="806"/>
      <c r="K19" s="823"/>
      <c r="L19" s="823"/>
      <c r="M19" s="612"/>
      <c r="N19" s="611"/>
      <c r="O19" s="612"/>
      <c r="P19" s="611"/>
      <c r="Q19" s="612"/>
    </row>
    <row r="20" spans="2:23" ht="12.75" customHeight="1" thickBot="1" x14ac:dyDescent="0.3">
      <c r="B20" s="629" t="s">
        <v>343</v>
      </c>
      <c r="C20" s="31"/>
      <c r="D20" s="31"/>
      <c r="E20" s="31"/>
      <c r="F20" s="31"/>
      <c r="G20" s="31"/>
    </row>
    <row r="21" spans="2:23" ht="46.5" thickBot="1" x14ac:dyDescent="0.3">
      <c r="B21" s="637" t="s">
        <v>344</v>
      </c>
      <c r="C21" s="637" t="s">
        <v>345</v>
      </c>
      <c r="D21" s="638" t="s">
        <v>346</v>
      </c>
      <c r="E21" s="807" t="s">
        <v>347</v>
      </c>
      <c r="F21" s="807" t="s">
        <v>348</v>
      </c>
      <c r="G21" s="807" t="s">
        <v>349</v>
      </c>
      <c r="H21" s="807" t="s">
        <v>350</v>
      </c>
      <c r="I21" s="807" t="s">
        <v>351</v>
      </c>
      <c r="J21" s="637" t="s">
        <v>352</v>
      </c>
      <c r="K21" s="826"/>
      <c r="L21" s="826"/>
      <c r="M21" s="1019"/>
      <c r="N21" s="1020"/>
      <c r="O21" s="1020"/>
      <c r="P21" s="1020"/>
      <c r="Q21" s="1020"/>
      <c r="V21" s="34"/>
      <c r="W21" s="34"/>
    </row>
    <row r="22" spans="2:23" ht="13.5" customHeight="1" x14ac:dyDescent="0.25">
      <c r="B22" s="635" t="str">
        <f t="shared" ref="B22:C24" si="0">+B11</f>
        <v>B. Verstrekte of ontvangen overige steun/subsidie</v>
      </c>
      <c r="C22" s="510">
        <f t="shared" si="0"/>
        <v>0</v>
      </c>
      <c r="D22" s="631"/>
      <c r="E22" s="808"/>
      <c r="F22" s="808"/>
      <c r="G22" s="808"/>
      <c r="H22" s="808"/>
      <c r="I22" s="809"/>
      <c r="J22" s="632"/>
      <c r="K22" s="827"/>
      <c r="L22" s="827"/>
      <c r="M22" s="610"/>
      <c r="N22" s="610"/>
      <c r="O22" s="610"/>
      <c r="P22" s="610"/>
      <c r="Q22" s="610"/>
      <c r="R22" s="80"/>
      <c r="V22" s="34"/>
      <c r="W22" s="34"/>
    </row>
    <row r="23" spans="2:23" ht="13.5" customHeight="1" x14ac:dyDescent="0.25">
      <c r="B23" s="636" t="str">
        <f t="shared" si="0"/>
        <v>Gevraagde WIS subsidie</v>
      </c>
      <c r="C23" s="510">
        <f t="shared" si="0"/>
        <v>0</v>
      </c>
      <c r="D23" s="633"/>
      <c r="E23" s="810"/>
      <c r="F23" s="810"/>
      <c r="G23" s="810"/>
      <c r="H23" s="810"/>
      <c r="I23" s="810"/>
      <c r="J23" s="634"/>
      <c r="K23" s="827"/>
      <c r="L23" s="827"/>
      <c r="M23" s="610"/>
      <c r="N23" s="610"/>
      <c r="O23" s="610"/>
      <c r="P23" s="610"/>
      <c r="Q23" s="610"/>
      <c r="R23" s="80"/>
      <c r="V23" s="34"/>
      <c r="W23" s="34"/>
    </row>
    <row r="24" spans="2:23" ht="13.5" customHeight="1" x14ac:dyDescent="0.25">
      <c r="B24" s="636" t="str">
        <f t="shared" si="0"/>
        <v>Te ontvangen eenmalige aansluitbijdragen</v>
      </c>
      <c r="C24" s="511">
        <f t="shared" si="0"/>
        <v>0</v>
      </c>
      <c r="D24" s="633"/>
      <c r="E24" s="810"/>
      <c r="F24" s="810"/>
      <c r="G24" s="810"/>
      <c r="H24" s="810"/>
      <c r="I24" s="810"/>
      <c r="J24" s="634"/>
      <c r="K24" s="827"/>
      <c r="L24" s="827"/>
      <c r="M24" s="610"/>
      <c r="N24" s="610"/>
      <c r="O24" s="610"/>
      <c r="P24" s="610"/>
      <c r="Q24" s="610"/>
      <c r="V24" s="34"/>
      <c r="W24" s="34"/>
    </row>
    <row r="25" spans="2:23" ht="13.5" customHeight="1" x14ac:dyDescent="0.25">
      <c r="B25" s="512"/>
      <c r="C25" s="513"/>
      <c r="D25" s="514"/>
      <c r="E25" s="811"/>
      <c r="F25" s="812"/>
      <c r="G25" s="813"/>
      <c r="H25" s="814"/>
      <c r="I25" s="819"/>
      <c r="J25" s="627"/>
      <c r="K25" s="834" t="str">
        <f>IF(D25=Lijsten!$G$5,F25,"")</f>
        <v/>
      </c>
      <c r="L25" s="821">
        <f t="shared" ref="L25:L32" si="1">F25+H25</f>
        <v>0</v>
      </c>
      <c r="N25" s="610"/>
      <c r="O25" s="610"/>
      <c r="P25" s="610"/>
      <c r="Q25" s="610"/>
      <c r="V25" s="34"/>
      <c r="W25" s="34"/>
    </row>
    <row r="26" spans="2:23" ht="13.5" customHeight="1" x14ac:dyDescent="0.25">
      <c r="B26" s="512"/>
      <c r="C26" s="513"/>
      <c r="D26" s="514"/>
      <c r="E26" s="811"/>
      <c r="F26" s="812"/>
      <c r="G26" s="813"/>
      <c r="H26" s="814"/>
      <c r="I26" s="819"/>
      <c r="J26" s="627"/>
      <c r="K26" s="834" t="str">
        <f>IF(D26=Lijsten!$G$5,F26,"")</f>
        <v/>
      </c>
      <c r="L26" s="821">
        <f t="shared" si="1"/>
        <v>0</v>
      </c>
      <c r="N26" s="610"/>
      <c r="O26" s="610"/>
      <c r="P26" s="610"/>
      <c r="Q26" s="610"/>
      <c r="V26" s="34"/>
      <c r="W26" s="34"/>
    </row>
    <row r="27" spans="2:23" ht="13.5" customHeight="1" x14ac:dyDescent="0.25">
      <c r="B27" s="512"/>
      <c r="C27" s="513"/>
      <c r="D27" s="514"/>
      <c r="E27" s="811"/>
      <c r="F27" s="812"/>
      <c r="G27" s="813"/>
      <c r="H27" s="814"/>
      <c r="I27" s="819"/>
      <c r="J27" s="627"/>
      <c r="K27" s="834" t="str">
        <f>IF(D27=Lijsten!$G$5,F27,"")</f>
        <v/>
      </c>
      <c r="L27" s="821">
        <f t="shared" si="1"/>
        <v>0</v>
      </c>
      <c r="N27" s="610"/>
      <c r="O27" s="610"/>
      <c r="P27" s="610"/>
      <c r="Q27" s="610"/>
      <c r="V27" s="34"/>
      <c r="W27" s="34"/>
    </row>
    <row r="28" spans="2:23" ht="13.5" customHeight="1" x14ac:dyDescent="0.25">
      <c r="B28" s="512"/>
      <c r="C28" s="513"/>
      <c r="D28" s="514"/>
      <c r="E28" s="811"/>
      <c r="F28" s="812"/>
      <c r="G28" s="813"/>
      <c r="H28" s="814"/>
      <c r="I28" s="819"/>
      <c r="J28" s="627"/>
      <c r="K28" s="834" t="str">
        <f>IF(D28=Lijsten!$G$5,F28,"")</f>
        <v/>
      </c>
      <c r="L28" s="821">
        <f t="shared" si="1"/>
        <v>0</v>
      </c>
      <c r="N28" s="610"/>
      <c r="O28" s="610"/>
      <c r="P28" s="610"/>
      <c r="Q28" s="610"/>
      <c r="V28" s="34"/>
      <c r="W28" s="34"/>
    </row>
    <row r="29" spans="2:23" ht="13.5" customHeight="1" x14ac:dyDescent="0.25">
      <c r="B29" s="512"/>
      <c r="C29" s="513"/>
      <c r="D29" s="514"/>
      <c r="E29" s="811"/>
      <c r="F29" s="812"/>
      <c r="G29" s="813"/>
      <c r="H29" s="814"/>
      <c r="I29" s="819"/>
      <c r="J29" s="627"/>
      <c r="K29" s="834" t="str">
        <f>IF(D29=Lijsten!$G$5,F29,"")</f>
        <v/>
      </c>
      <c r="L29" s="821">
        <f t="shared" si="1"/>
        <v>0</v>
      </c>
      <c r="N29" s="610"/>
      <c r="O29" s="610"/>
      <c r="P29" s="610"/>
      <c r="Q29" s="610"/>
      <c r="V29" s="34"/>
      <c r="W29" s="34"/>
    </row>
    <row r="30" spans="2:23" ht="13.5" customHeight="1" x14ac:dyDescent="0.25">
      <c r="B30" s="512"/>
      <c r="C30" s="513"/>
      <c r="D30" s="514"/>
      <c r="E30" s="811"/>
      <c r="F30" s="812"/>
      <c r="G30" s="813"/>
      <c r="H30" s="814"/>
      <c r="I30" s="819"/>
      <c r="J30" s="627"/>
      <c r="K30" s="834" t="str">
        <f>IF(D30=Lijsten!$G$5,F30,"")</f>
        <v/>
      </c>
      <c r="L30" s="821">
        <f t="shared" si="1"/>
        <v>0</v>
      </c>
      <c r="N30" s="610"/>
      <c r="O30" s="610"/>
      <c r="P30" s="610"/>
      <c r="Q30" s="610"/>
      <c r="V30" s="34"/>
      <c r="W30" s="34"/>
    </row>
    <row r="31" spans="2:23" ht="13.5" customHeight="1" x14ac:dyDescent="0.25">
      <c r="B31" s="512"/>
      <c r="C31" s="513"/>
      <c r="D31" s="514"/>
      <c r="E31" s="811"/>
      <c r="F31" s="812"/>
      <c r="G31" s="813"/>
      <c r="H31" s="814"/>
      <c r="I31" s="819"/>
      <c r="J31" s="627"/>
      <c r="K31" s="834" t="str">
        <f>IF(D31=Lijsten!$G$5,F31,"")</f>
        <v/>
      </c>
      <c r="L31" s="821">
        <f t="shared" si="1"/>
        <v>0</v>
      </c>
      <c r="N31" s="610"/>
      <c r="O31" s="610"/>
      <c r="P31" s="610"/>
      <c r="Q31" s="610"/>
      <c r="V31" s="34"/>
      <c r="W31" s="34"/>
    </row>
    <row r="32" spans="2:23" ht="13.5" customHeight="1" thickBot="1" x14ac:dyDescent="0.3">
      <c r="B32" s="796"/>
      <c r="C32" s="797"/>
      <c r="D32" s="515"/>
      <c r="E32" s="815"/>
      <c r="F32" s="816"/>
      <c r="G32" s="817"/>
      <c r="H32" s="818"/>
      <c r="I32" s="820"/>
      <c r="J32" s="628"/>
      <c r="K32" s="834" t="str">
        <f>IF(D32=Lijsten!$G$5,F32,"")</f>
        <v/>
      </c>
      <c r="L32" s="821">
        <f t="shared" si="1"/>
        <v>0</v>
      </c>
      <c r="N32" s="610"/>
      <c r="O32" s="610"/>
      <c r="P32" s="610"/>
      <c r="Q32" s="610"/>
      <c r="V32" s="34"/>
      <c r="W32" s="34"/>
    </row>
    <row r="33" spans="2:40" ht="13.5" customHeight="1" x14ac:dyDescent="0.25">
      <c r="B33" s="798" t="s">
        <v>353</v>
      </c>
      <c r="C33" s="799">
        <f>SUM(C22:C32)</f>
        <v>0</v>
      </c>
      <c r="D33" s="67"/>
      <c r="E33" s="69"/>
      <c r="F33" s="69"/>
      <c r="G33" s="69"/>
      <c r="H33" s="69"/>
      <c r="I33" s="838"/>
      <c r="J33" s="198"/>
      <c r="M33" s="66"/>
      <c r="N33" s="66"/>
      <c r="O33" s="66"/>
      <c r="P33" s="66"/>
      <c r="Q33" s="33"/>
    </row>
    <row r="34" spans="2:40" ht="13.5" customHeight="1" x14ac:dyDescent="0.25">
      <c r="B34" s="800" t="s">
        <v>354</v>
      </c>
      <c r="C34" s="801">
        <f>C10-C33</f>
        <v>0</v>
      </c>
      <c r="D34" s="918" t="str" cm="1">
        <f t="array" aca="1" ref="D34" ca="1">IF(C33&lt;C10," Onderbouw de financiering van de totale investeringskosten (cel "&amp;CELL("adres",C10)&amp;")","")</f>
        <v/>
      </c>
      <c r="E34" s="67"/>
      <c r="F34" s="69"/>
      <c r="G34" s="69"/>
      <c r="H34" s="69"/>
      <c r="I34" s="838"/>
      <c r="J34" s="852"/>
      <c r="Q34" s="33"/>
    </row>
    <row r="35" spans="2:40" ht="13.5" customHeight="1" thickBot="1" x14ac:dyDescent="0.3">
      <c r="B35" s="802" t="s">
        <v>355</v>
      </c>
      <c r="C35" s="803" t="str">
        <f>IFERROR(SUMIFS(C25:C32,D25:D32,Lijsten!G4)/C10,"")</f>
        <v/>
      </c>
      <c r="D35" s="67"/>
      <c r="E35" s="67"/>
      <c r="F35" s="69"/>
      <c r="G35" s="69"/>
      <c r="H35" s="69"/>
      <c r="I35" s="853"/>
      <c r="J35" s="69"/>
      <c r="Q35" s="33"/>
    </row>
    <row r="36" spans="2:40" ht="12.75" customHeight="1" thickBot="1" x14ac:dyDescent="0.3">
      <c r="B36" s="30"/>
      <c r="C36" s="33"/>
      <c r="D36" s="33"/>
      <c r="Q36" s="33"/>
    </row>
    <row r="37" spans="2:40" s="55" customFormat="1" ht="14" thickBot="1" x14ac:dyDescent="0.3">
      <c r="B37" s="232" t="s">
        <v>356</v>
      </c>
      <c r="C37" s="233"/>
      <c r="D37" s="233"/>
      <c r="E37" s="233"/>
      <c r="F37" s="233"/>
      <c r="G37" s="233"/>
      <c r="H37" s="233"/>
      <c r="I37" s="234"/>
      <c r="J37" s="233"/>
      <c r="K37" s="828"/>
      <c r="L37" s="828"/>
    </row>
    <row r="38" spans="2:40" ht="29.15" customHeight="1" thickBot="1" x14ac:dyDescent="0.3">
      <c r="B38" s="1024" t="s">
        <v>357</v>
      </c>
      <c r="C38" s="1025"/>
      <c r="D38" s="1025"/>
      <c r="E38" s="1025"/>
      <c r="F38" s="1025"/>
      <c r="G38" s="1025"/>
      <c r="H38" s="1025"/>
      <c r="I38" s="1025"/>
      <c r="J38" s="1026"/>
      <c r="K38" s="829"/>
      <c r="L38" s="829"/>
      <c r="M38" s="9"/>
      <c r="N38" s="9"/>
      <c r="O38" s="9"/>
      <c r="P38" s="9"/>
      <c r="Q38" s="9"/>
      <c r="R38" s="9"/>
      <c r="S38" s="9"/>
    </row>
    <row r="39" spans="2:40" ht="11.25" customHeight="1" x14ac:dyDescent="0.25">
      <c r="B39" s="722"/>
      <c r="C39" s="722"/>
      <c r="D39" s="722"/>
      <c r="E39" s="722"/>
      <c r="F39" s="722"/>
      <c r="G39" s="722"/>
      <c r="H39" s="722"/>
      <c r="I39" s="722"/>
      <c r="J39" s="722"/>
      <c r="K39" s="830"/>
      <c r="L39" s="830"/>
      <c r="M39" s="9"/>
      <c r="N39" s="9"/>
      <c r="O39" s="9"/>
      <c r="P39" s="9"/>
      <c r="Q39" s="9"/>
      <c r="R39" s="9"/>
      <c r="S39" s="9"/>
    </row>
    <row r="40" spans="2:40" ht="11.25" customHeight="1" x14ac:dyDescent="0.25">
      <c r="B40" s="723"/>
      <c r="C40" s="15"/>
      <c r="D40" s="15"/>
      <c r="E40" s="15"/>
      <c r="F40" s="15"/>
      <c r="G40" s="15"/>
      <c r="H40" s="15"/>
      <c r="I40" s="15"/>
      <c r="J40" s="15"/>
      <c r="K40" s="830"/>
      <c r="L40" s="830"/>
      <c r="M40" s="9"/>
      <c r="N40" s="9"/>
      <c r="O40" s="9"/>
      <c r="P40" s="9"/>
      <c r="Q40" s="9"/>
      <c r="R40" s="9"/>
      <c r="S40" s="9"/>
    </row>
    <row r="42" spans="2:40" hidden="1" outlineLevel="1" x14ac:dyDescent="0.25">
      <c r="B42" s="30" t="s">
        <v>358</v>
      </c>
      <c r="C42" s="30"/>
      <c r="D42" s="299">
        <f>YEAR(Startdatum)</f>
        <v>1900</v>
      </c>
      <c r="E42" s="298">
        <f t="shared" ref="E42:AN42" si="2" xml:space="preserve"> D42 + 1</f>
        <v>1901</v>
      </c>
      <c r="F42" s="298">
        <f t="shared" si="2"/>
        <v>1902</v>
      </c>
      <c r="G42" s="298">
        <f t="shared" si="2"/>
        <v>1903</v>
      </c>
      <c r="H42" s="298">
        <f t="shared" si="2"/>
        <v>1904</v>
      </c>
      <c r="I42" s="298">
        <f t="shared" si="2"/>
        <v>1905</v>
      </c>
      <c r="J42" s="299">
        <f xml:space="preserve"> I42 + 1</f>
        <v>1906</v>
      </c>
      <c r="K42" s="831"/>
      <c r="L42" s="831"/>
      <c r="M42" s="298">
        <f xml:space="preserve"> J42 + 1</f>
        <v>1907</v>
      </c>
      <c r="N42" s="298">
        <f t="shared" si="2"/>
        <v>1908</v>
      </c>
      <c r="O42" s="298">
        <f t="shared" si="2"/>
        <v>1909</v>
      </c>
      <c r="P42" s="298">
        <f t="shared" si="2"/>
        <v>1910</v>
      </c>
      <c r="Q42" s="298">
        <f t="shared" si="2"/>
        <v>1911</v>
      </c>
      <c r="R42" s="298">
        <f t="shared" si="2"/>
        <v>1912</v>
      </c>
      <c r="S42" s="298">
        <f t="shared" si="2"/>
        <v>1913</v>
      </c>
      <c r="T42" s="298">
        <f t="shared" si="2"/>
        <v>1914</v>
      </c>
      <c r="U42" s="298">
        <f t="shared" si="2"/>
        <v>1915</v>
      </c>
      <c r="V42" s="299">
        <f t="shared" si="2"/>
        <v>1916</v>
      </c>
      <c r="W42" s="298">
        <f t="shared" si="2"/>
        <v>1917</v>
      </c>
      <c r="X42" s="298">
        <f t="shared" si="2"/>
        <v>1918</v>
      </c>
      <c r="Y42" s="298">
        <f t="shared" si="2"/>
        <v>1919</v>
      </c>
      <c r="Z42" s="298">
        <f t="shared" si="2"/>
        <v>1920</v>
      </c>
      <c r="AA42" s="298">
        <f t="shared" si="2"/>
        <v>1921</v>
      </c>
      <c r="AB42" s="298">
        <f t="shared" si="2"/>
        <v>1922</v>
      </c>
      <c r="AC42" s="298">
        <f t="shared" si="2"/>
        <v>1923</v>
      </c>
      <c r="AD42" s="298">
        <f t="shared" si="2"/>
        <v>1924</v>
      </c>
      <c r="AE42" s="298">
        <f t="shared" si="2"/>
        <v>1925</v>
      </c>
      <c r="AF42" s="298">
        <f t="shared" si="2"/>
        <v>1926</v>
      </c>
      <c r="AG42" s="298">
        <f t="shared" si="2"/>
        <v>1927</v>
      </c>
      <c r="AH42" s="298">
        <f t="shared" si="2"/>
        <v>1928</v>
      </c>
      <c r="AI42" s="298">
        <f t="shared" si="2"/>
        <v>1929</v>
      </c>
      <c r="AJ42" s="298">
        <f t="shared" si="2"/>
        <v>1930</v>
      </c>
      <c r="AK42" s="298">
        <f t="shared" si="2"/>
        <v>1931</v>
      </c>
      <c r="AL42" s="298">
        <f t="shared" si="2"/>
        <v>1932</v>
      </c>
      <c r="AM42" s="298">
        <f t="shared" si="2"/>
        <v>1933</v>
      </c>
      <c r="AN42" s="298">
        <f t="shared" si="2"/>
        <v>1934</v>
      </c>
    </row>
    <row r="43" spans="2:40" hidden="1" outlineLevel="1" x14ac:dyDescent="0.25">
      <c r="B43" s="24">
        <f t="shared" ref="B43:B52" si="3">B67</f>
        <v>0</v>
      </c>
      <c r="C43" s="24"/>
      <c r="D43" s="398">
        <f t="shared" ref="D43:H50" si="4">IF($G25="Annuitair", IFERROR( -PPMT($E25,MAX(0,E$42-$I25),($H25-$I25+$F25),$C25), 0), 0)</f>
        <v>0</v>
      </c>
      <c r="E43" s="398">
        <f t="shared" si="4"/>
        <v>0</v>
      </c>
      <c r="F43" s="398">
        <f t="shared" si="4"/>
        <v>0</v>
      </c>
      <c r="G43" s="398">
        <f t="shared" si="4"/>
        <v>0</v>
      </c>
      <c r="H43" s="398">
        <f t="shared" si="4"/>
        <v>0</v>
      </c>
      <c r="I43" s="398">
        <f t="shared" ref="I43:I50" si="5">IF($G25="Annuitair", IFERROR( -PPMT($E25,MAX(0,J$42-$I25),($H25-$I25+$F25),$C25), 0), 0)</f>
        <v>0</v>
      </c>
      <c r="J43" s="398">
        <f t="shared" ref="J43:J50" si="6">IF($G25="Annuitair", IFERROR( -PPMT($E25,MAX(0,M$42-$I25),($H25-$I25+$F25),$C25), 0), 0)</f>
        <v>0</v>
      </c>
      <c r="K43" s="832"/>
      <c r="L43" s="832"/>
      <c r="M43" s="398">
        <f t="shared" ref="M43:AN43" si="7">IF($G25="Annuitair", IFERROR( -PPMT($E25,MAX(0,N$42-$I25),($H25-$I25+$F25),$C25), 0), 0)</f>
        <v>0</v>
      </c>
      <c r="N43" s="398">
        <f t="shared" si="7"/>
        <v>0</v>
      </c>
      <c r="O43" s="398">
        <f t="shared" si="7"/>
        <v>0</v>
      </c>
      <c r="P43" s="398">
        <f t="shared" si="7"/>
        <v>0</v>
      </c>
      <c r="Q43" s="398">
        <f t="shared" si="7"/>
        <v>0</v>
      </c>
      <c r="R43" s="398">
        <f t="shared" si="7"/>
        <v>0</v>
      </c>
      <c r="S43" s="398">
        <f t="shared" si="7"/>
        <v>0</v>
      </c>
      <c r="T43" s="398">
        <f t="shared" si="7"/>
        <v>0</v>
      </c>
      <c r="U43" s="398">
        <f t="shared" si="7"/>
        <v>0</v>
      </c>
      <c r="V43" s="398">
        <f t="shared" si="7"/>
        <v>0</v>
      </c>
      <c r="W43" s="398">
        <f t="shared" si="7"/>
        <v>0</v>
      </c>
      <c r="X43" s="398">
        <f t="shared" si="7"/>
        <v>0</v>
      </c>
      <c r="Y43" s="398">
        <f t="shared" si="7"/>
        <v>0</v>
      </c>
      <c r="Z43" s="398">
        <f t="shared" si="7"/>
        <v>0</v>
      </c>
      <c r="AA43" s="398">
        <f t="shared" si="7"/>
        <v>0</v>
      </c>
      <c r="AB43" s="398">
        <f t="shared" si="7"/>
        <v>0</v>
      </c>
      <c r="AC43" s="398">
        <f t="shared" si="7"/>
        <v>0</v>
      </c>
      <c r="AD43" s="398">
        <f t="shared" si="7"/>
        <v>0</v>
      </c>
      <c r="AE43" s="398">
        <f t="shared" si="7"/>
        <v>0</v>
      </c>
      <c r="AF43" s="398">
        <f t="shared" si="7"/>
        <v>0</v>
      </c>
      <c r="AG43" s="398">
        <f t="shared" si="7"/>
        <v>0</v>
      </c>
      <c r="AH43" s="398">
        <f t="shared" si="7"/>
        <v>0</v>
      </c>
      <c r="AI43" s="398">
        <f t="shared" si="7"/>
        <v>0</v>
      </c>
      <c r="AJ43" s="398">
        <f t="shared" si="7"/>
        <v>0</v>
      </c>
      <c r="AK43" s="398">
        <f t="shared" si="7"/>
        <v>0</v>
      </c>
      <c r="AL43" s="398">
        <f t="shared" si="7"/>
        <v>0</v>
      </c>
      <c r="AM43" s="398">
        <f t="shared" si="7"/>
        <v>0</v>
      </c>
      <c r="AN43" s="398">
        <f t="shared" si="7"/>
        <v>0</v>
      </c>
    </row>
    <row r="44" spans="2:40" hidden="1" outlineLevel="1" x14ac:dyDescent="0.25">
      <c r="B44" s="24">
        <f t="shared" si="3"/>
        <v>0</v>
      </c>
      <c r="C44" s="24"/>
      <c r="D44" s="398">
        <f t="shared" si="4"/>
        <v>0</v>
      </c>
      <c r="E44" s="398">
        <f t="shared" si="4"/>
        <v>0</v>
      </c>
      <c r="F44" s="398">
        <f t="shared" si="4"/>
        <v>0</v>
      </c>
      <c r="G44" s="398">
        <f t="shared" si="4"/>
        <v>0</v>
      </c>
      <c r="H44" s="398">
        <f t="shared" si="4"/>
        <v>0</v>
      </c>
      <c r="I44" s="398">
        <f t="shared" si="5"/>
        <v>0</v>
      </c>
      <c r="J44" s="398">
        <f t="shared" si="6"/>
        <v>0</v>
      </c>
      <c r="K44" s="832"/>
      <c r="L44" s="832"/>
      <c r="M44" s="398">
        <f t="shared" ref="M44:AN44" si="8">IF($G26="Annuitair", IFERROR( -PPMT($E26,MAX(0,N$42-$I26),($H26-$I26+$F26),$C26), 0), 0)</f>
        <v>0</v>
      </c>
      <c r="N44" s="398">
        <f t="shared" si="8"/>
        <v>0</v>
      </c>
      <c r="O44" s="398">
        <f t="shared" si="8"/>
        <v>0</v>
      </c>
      <c r="P44" s="398">
        <f t="shared" si="8"/>
        <v>0</v>
      </c>
      <c r="Q44" s="398">
        <f t="shared" si="8"/>
        <v>0</v>
      </c>
      <c r="R44" s="398">
        <f t="shared" si="8"/>
        <v>0</v>
      </c>
      <c r="S44" s="398">
        <f t="shared" si="8"/>
        <v>0</v>
      </c>
      <c r="T44" s="398">
        <f t="shared" si="8"/>
        <v>0</v>
      </c>
      <c r="U44" s="398">
        <f t="shared" si="8"/>
        <v>0</v>
      </c>
      <c r="V44" s="398">
        <f t="shared" si="8"/>
        <v>0</v>
      </c>
      <c r="W44" s="398">
        <f t="shared" si="8"/>
        <v>0</v>
      </c>
      <c r="X44" s="398">
        <f t="shared" si="8"/>
        <v>0</v>
      </c>
      <c r="Y44" s="398">
        <f t="shared" si="8"/>
        <v>0</v>
      </c>
      <c r="Z44" s="398">
        <f t="shared" si="8"/>
        <v>0</v>
      </c>
      <c r="AA44" s="398">
        <f t="shared" si="8"/>
        <v>0</v>
      </c>
      <c r="AB44" s="398">
        <f t="shared" si="8"/>
        <v>0</v>
      </c>
      <c r="AC44" s="398">
        <f t="shared" si="8"/>
        <v>0</v>
      </c>
      <c r="AD44" s="398">
        <f t="shared" si="8"/>
        <v>0</v>
      </c>
      <c r="AE44" s="398">
        <f t="shared" si="8"/>
        <v>0</v>
      </c>
      <c r="AF44" s="398">
        <f t="shared" si="8"/>
        <v>0</v>
      </c>
      <c r="AG44" s="398">
        <f t="shared" si="8"/>
        <v>0</v>
      </c>
      <c r="AH44" s="398">
        <f t="shared" si="8"/>
        <v>0</v>
      </c>
      <c r="AI44" s="398">
        <f t="shared" si="8"/>
        <v>0</v>
      </c>
      <c r="AJ44" s="398">
        <f t="shared" si="8"/>
        <v>0</v>
      </c>
      <c r="AK44" s="398">
        <f t="shared" si="8"/>
        <v>0</v>
      </c>
      <c r="AL44" s="398">
        <f t="shared" si="8"/>
        <v>0</v>
      </c>
      <c r="AM44" s="398">
        <f t="shared" si="8"/>
        <v>0</v>
      </c>
      <c r="AN44" s="398">
        <f t="shared" si="8"/>
        <v>0</v>
      </c>
    </row>
    <row r="45" spans="2:40" hidden="1" outlineLevel="1" x14ac:dyDescent="0.25">
      <c r="B45" s="24">
        <f t="shared" si="3"/>
        <v>0</v>
      </c>
      <c r="C45" s="24"/>
      <c r="D45" s="398">
        <f t="shared" si="4"/>
        <v>0</v>
      </c>
      <c r="E45" s="398">
        <f t="shared" si="4"/>
        <v>0</v>
      </c>
      <c r="F45" s="398">
        <f t="shared" si="4"/>
        <v>0</v>
      </c>
      <c r="G45" s="398">
        <f t="shared" si="4"/>
        <v>0</v>
      </c>
      <c r="H45" s="398">
        <f t="shared" si="4"/>
        <v>0</v>
      </c>
      <c r="I45" s="398">
        <f t="shared" si="5"/>
        <v>0</v>
      </c>
      <c r="J45" s="398">
        <f t="shared" si="6"/>
        <v>0</v>
      </c>
      <c r="K45" s="832"/>
      <c r="L45" s="832"/>
      <c r="M45" s="398">
        <f t="shared" ref="M45:AN45" si="9">IF($G27="Annuitair", IFERROR( -PPMT($E27,MAX(0,N$42-$I27),($H27-$I27+$F27),$C27), 0), 0)</f>
        <v>0</v>
      </c>
      <c r="N45" s="398">
        <f t="shared" si="9"/>
        <v>0</v>
      </c>
      <c r="O45" s="398">
        <f t="shared" si="9"/>
        <v>0</v>
      </c>
      <c r="P45" s="398">
        <f t="shared" si="9"/>
        <v>0</v>
      </c>
      <c r="Q45" s="398">
        <f t="shared" si="9"/>
        <v>0</v>
      </c>
      <c r="R45" s="398">
        <f t="shared" si="9"/>
        <v>0</v>
      </c>
      <c r="S45" s="398">
        <f t="shared" si="9"/>
        <v>0</v>
      </c>
      <c r="T45" s="398">
        <f t="shared" si="9"/>
        <v>0</v>
      </c>
      <c r="U45" s="398">
        <f t="shared" si="9"/>
        <v>0</v>
      </c>
      <c r="V45" s="398">
        <f t="shared" si="9"/>
        <v>0</v>
      </c>
      <c r="W45" s="398">
        <f t="shared" si="9"/>
        <v>0</v>
      </c>
      <c r="X45" s="398">
        <f t="shared" si="9"/>
        <v>0</v>
      </c>
      <c r="Y45" s="398">
        <f t="shared" si="9"/>
        <v>0</v>
      </c>
      <c r="Z45" s="398">
        <f t="shared" si="9"/>
        <v>0</v>
      </c>
      <c r="AA45" s="398">
        <f t="shared" si="9"/>
        <v>0</v>
      </c>
      <c r="AB45" s="398">
        <f t="shared" si="9"/>
        <v>0</v>
      </c>
      <c r="AC45" s="398">
        <f t="shared" si="9"/>
        <v>0</v>
      </c>
      <c r="AD45" s="398">
        <f t="shared" si="9"/>
        <v>0</v>
      </c>
      <c r="AE45" s="398">
        <f t="shared" si="9"/>
        <v>0</v>
      </c>
      <c r="AF45" s="398">
        <f t="shared" si="9"/>
        <v>0</v>
      </c>
      <c r="AG45" s="398">
        <f t="shared" si="9"/>
        <v>0</v>
      </c>
      <c r="AH45" s="398">
        <f t="shared" si="9"/>
        <v>0</v>
      </c>
      <c r="AI45" s="398">
        <f t="shared" si="9"/>
        <v>0</v>
      </c>
      <c r="AJ45" s="398">
        <f t="shared" si="9"/>
        <v>0</v>
      </c>
      <c r="AK45" s="398">
        <f t="shared" si="9"/>
        <v>0</v>
      </c>
      <c r="AL45" s="398">
        <f t="shared" si="9"/>
        <v>0</v>
      </c>
      <c r="AM45" s="398">
        <f t="shared" si="9"/>
        <v>0</v>
      </c>
      <c r="AN45" s="398">
        <f t="shared" si="9"/>
        <v>0</v>
      </c>
    </row>
    <row r="46" spans="2:40" hidden="1" outlineLevel="1" x14ac:dyDescent="0.25">
      <c r="B46" s="24">
        <f t="shared" si="3"/>
        <v>0</v>
      </c>
      <c r="C46" s="24"/>
      <c r="D46" s="398">
        <f t="shared" si="4"/>
        <v>0</v>
      </c>
      <c r="E46" s="398">
        <f t="shared" si="4"/>
        <v>0</v>
      </c>
      <c r="F46" s="398">
        <f t="shared" si="4"/>
        <v>0</v>
      </c>
      <c r="G46" s="398">
        <f t="shared" si="4"/>
        <v>0</v>
      </c>
      <c r="H46" s="398">
        <f t="shared" si="4"/>
        <v>0</v>
      </c>
      <c r="I46" s="398">
        <f t="shared" si="5"/>
        <v>0</v>
      </c>
      <c r="J46" s="398">
        <f t="shared" si="6"/>
        <v>0</v>
      </c>
      <c r="K46" s="832"/>
      <c r="L46" s="832"/>
      <c r="M46" s="398">
        <f t="shared" ref="M46:AN46" si="10">IF($G28="Annuitair", IFERROR( -PPMT($E28,MAX(0,N$42-$I28),($H28-$I28+$F28),$C28), 0), 0)</f>
        <v>0</v>
      </c>
      <c r="N46" s="398">
        <f t="shared" si="10"/>
        <v>0</v>
      </c>
      <c r="O46" s="398">
        <f t="shared" si="10"/>
        <v>0</v>
      </c>
      <c r="P46" s="398">
        <f t="shared" si="10"/>
        <v>0</v>
      </c>
      <c r="Q46" s="398">
        <f t="shared" si="10"/>
        <v>0</v>
      </c>
      <c r="R46" s="398">
        <f t="shared" si="10"/>
        <v>0</v>
      </c>
      <c r="S46" s="398">
        <f t="shared" si="10"/>
        <v>0</v>
      </c>
      <c r="T46" s="398">
        <f t="shared" si="10"/>
        <v>0</v>
      </c>
      <c r="U46" s="398">
        <f t="shared" si="10"/>
        <v>0</v>
      </c>
      <c r="V46" s="398">
        <f t="shared" si="10"/>
        <v>0</v>
      </c>
      <c r="W46" s="398">
        <f t="shared" si="10"/>
        <v>0</v>
      </c>
      <c r="X46" s="398">
        <f t="shared" si="10"/>
        <v>0</v>
      </c>
      <c r="Y46" s="398">
        <f t="shared" si="10"/>
        <v>0</v>
      </c>
      <c r="Z46" s="398">
        <f t="shared" si="10"/>
        <v>0</v>
      </c>
      <c r="AA46" s="398">
        <f t="shared" si="10"/>
        <v>0</v>
      </c>
      <c r="AB46" s="398">
        <f t="shared" si="10"/>
        <v>0</v>
      </c>
      <c r="AC46" s="398">
        <f t="shared" si="10"/>
        <v>0</v>
      </c>
      <c r="AD46" s="398">
        <f t="shared" si="10"/>
        <v>0</v>
      </c>
      <c r="AE46" s="398">
        <f t="shared" si="10"/>
        <v>0</v>
      </c>
      <c r="AF46" s="398">
        <f t="shared" si="10"/>
        <v>0</v>
      </c>
      <c r="AG46" s="398">
        <f t="shared" si="10"/>
        <v>0</v>
      </c>
      <c r="AH46" s="398">
        <f t="shared" si="10"/>
        <v>0</v>
      </c>
      <c r="AI46" s="398">
        <f t="shared" si="10"/>
        <v>0</v>
      </c>
      <c r="AJ46" s="398">
        <f t="shared" si="10"/>
        <v>0</v>
      </c>
      <c r="AK46" s="398">
        <f t="shared" si="10"/>
        <v>0</v>
      </c>
      <c r="AL46" s="398">
        <f t="shared" si="10"/>
        <v>0</v>
      </c>
      <c r="AM46" s="398">
        <f t="shared" si="10"/>
        <v>0</v>
      </c>
      <c r="AN46" s="398">
        <f t="shared" si="10"/>
        <v>0</v>
      </c>
    </row>
    <row r="47" spans="2:40" hidden="1" outlineLevel="1" x14ac:dyDescent="0.25">
      <c r="B47" s="24">
        <f t="shared" si="3"/>
        <v>0</v>
      </c>
      <c r="C47" s="24"/>
      <c r="D47" s="398">
        <f>IF($G29="Annuitair", IFERROR( -PPMT($E29,MAX(0,E$42-$I29),($H29-$I29+$F29),$C29), 0), 0)</f>
        <v>0</v>
      </c>
      <c r="E47" s="398">
        <f t="shared" si="4"/>
        <v>0</v>
      </c>
      <c r="F47" s="398">
        <f t="shared" si="4"/>
        <v>0</v>
      </c>
      <c r="G47" s="398">
        <f>IF($G29="Annuitair", IFERROR( -PPMT($E29,MAX(0,H$42-$I29),($H29-$I29+$F29),$C29), 0), 0)</f>
        <v>0</v>
      </c>
      <c r="H47" s="398">
        <f t="shared" si="4"/>
        <v>0</v>
      </c>
      <c r="I47" s="398">
        <f t="shared" si="5"/>
        <v>0</v>
      </c>
      <c r="J47" s="398">
        <f t="shared" si="6"/>
        <v>0</v>
      </c>
      <c r="K47" s="832"/>
      <c r="L47" s="832"/>
      <c r="M47" s="398">
        <f t="shared" ref="M47:AN47" si="11">IF($G29="Annuitair", IFERROR( -PPMT($E29,MAX(0,N$42-$I29),($H29-$I29+$F29),$C29), 0), 0)</f>
        <v>0</v>
      </c>
      <c r="N47" s="398">
        <f t="shared" si="11"/>
        <v>0</v>
      </c>
      <c r="O47" s="398">
        <f t="shared" si="11"/>
        <v>0</v>
      </c>
      <c r="P47" s="398">
        <f t="shared" si="11"/>
        <v>0</v>
      </c>
      <c r="Q47" s="398">
        <f t="shared" si="11"/>
        <v>0</v>
      </c>
      <c r="R47" s="398">
        <f t="shared" si="11"/>
        <v>0</v>
      </c>
      <c r="S47" s="398">
        <f t="shared" si="11"/>
        <v>0</v>
      </c>
      <c r="T47" s="398">
        <f t="shared" si="11"/>
        <v>0</v>
      </c>
      <c r="U47" s="398">
        <f t="shared" si="11"/>
        <v>0</v>
      </c>
      <c r="V47" s="398">
        <f t="shared" si="11"/>
        <v>0</v>
      </c>
      <c r="W47" s="398">
        <f t="shared" si="11"/>
        <v>0</v>
      </c>
      <c r="X47" s="398">
        <f t="shared" si="11"/>
        <v>0</v>
      </c>
      <c r="Y47" s="398">
        <f t="shared" si="11"/>
        <v>0</v>
      </c>
      <c r="Z47" s="398">
        <f t="shared" si="11"/>
        <v>0</v>
      </c>
      <c r="AA47" s="398">
        <f t="shared" si="11"/>
        <v>0</v>
      </c>
      <c r="AB47" s="398">
        <f t="shared" si="11"/>
        <v>0</v>
      </c>
      <c r="AC47" s="398">
        <f t="shared" si="11"/>
        <v>0</v>
      </c>
      <c r="AD47" s="398">
        <f t="shared" si="11"/>
        <v>0</v>
      </c>
      <c r="AE47" s="398">
        <f t="shared" si="11"/>
        <v>0</v>
      </c>
      <c r="AF47" s="398">
        <f t="shared" si="11"/>
        <v>0</v>
      </c>
      <c r="AG47" s="398">
        <f t="shared" si="11"/>
        <v>0</v>
      </c>
      <c r="AH47" s="398">
        <f t="shared" si="11"/>
        <v>0</v>
      </c>
      <c r="AI47" s="398">
        <f t="shared" si="11"/>
        <v>0</v>
      </c>
      <c r="AJ47" s="398">
        <f t="shared" si="11"/>
        <v>0</v>
      </c>
      <c r="AK47" s="398">
        <f t="shared" si="11"/>
        <v>0</v>
      </c>
      <c r="AL47" s="398">
        <f t="shared" si="11"/>
        <v>0</v>
      </c>
      <c r="AM47" s="398">
        <f t="shared" si="11"/>
        <v>0</v>
      </c>
      <c r="AN47" s="398">
        <f t="shared" si="11"/>
        <v>0</v>
      </c>
    </row>
    <row r="48" spans="2:40" hidden="1" outlineLevel="1" x14ac:dyDescent="0.25">
      <c r="B48" s="24">
        <f t="shared" si="3"/>
        <v>0</v>
      </c>
      <c r="C48" s="24"/>
      <c r="D48" s="398">
        <f>IF($G30="Annuitair", IFERROR( -PPMT($E30,MAX(0,E$42-$I30),($H30-$I30+$F30),$C30), 0), 0)</f>
        <v>0</v>
      </c>
      <c r="E48" s="398">
        <f t="shared" si="4"/>
        <v>0</v>
      </c>
      <c r="F48" s="398">
        <f t="shared" si="4"/>
        <v>0</v>
      </c>
      <c r="G48" s="398">
        <f t="shared" si="4"/>
        <v>0</v>
      </c>
      <c r="H48" s="398">
        <f t="shared" si="4"/>
        <v>0</v>
      </c>
      <c r="I48" s="398">
        <f t="shared" si="5"/>
        <v>0</v>
      </c>
      <c r="J48" s="398">
        <f t="shared" si="6"/>
        <v>0</v>
      </c>
      <c r="K48" s="832"/>
      <c r="L48" s="832"/>
      <c r="M48" s="398">
        <f t="shared" ref="M48:AN48" si="12">IF($G30="Annuitair", IFERROR( -PPMT($E30,MAX(0,N$42-$I30),($H30-$I30+$F30),$C30), 0), 0)</f>
        <v>0</v>
      </c>
      <c r="N48" s="398">
        <f t="shared" si="12"/>
        <v>0</v>
      </c>
      <c r="O48" s="398">
        <f t="shared" si="12"/>
        <v>0</v>
      </c>
      <c r="P48" s="398">
        <f t="shared" si="12"/>
        <v>0</v>
      </c>
      <c r="Q48" s="398">
        <f t="shared" si="12"/>
        <v>0</v>
      </c>
      <c r="R48" s="398">
        <f t="shared" si="12"/>
        <v>0</v>
      </c>
      <c r="S48" s="398">
        <f t="shared" si="12"/>
        <v>0</v>
      </c>
      <c r="T48" s="398">
        <f t="shared" si="12"/>
        <v>0</v>
      </c>
      <c r="U48" s="398">
        <f t="shared" si="12"/>
        <v>0</v>
      </c>
      <c r="V48" s="398">
        <f t="shared" si="12"/>
        <v>0</v>
      </c>
      <c r="W48" s="398">
        <f t="shared" si="12"/>
        <v>0</v>
      </c>
      <c r="X48" s="398">
        <f t="shared" si="12"/>
        <v>0</v>
      </c>
      <c r="Y48" s="398">
        <f t="shared" si="12"/>
        <v>0</v>
      </c>
      <c r="Z48" s="398">
        <f t="shared" si="12"/>
        <v>0</v>
      </c>
      <c r="AA48" s="398">
        <f t="shared" si="12"/>
        <v>0</v>
      </c>
      <c r="AB48" s="398">
        <f t="shared" si="12"/>
        <v>0</v>
      </c>
      <c r="AC48" s="398">
        <f t="shared" si="12"/>
        <v>0</v>
      </c>
      <c r="AD48" s="398">
        <f t="shared" si="12"/>
        <v>0</v>
      </c>
      <c r="AE48" s="398">
        <f t="shared" si="12"/>
        <v>0</v>
      </c>
      <c r="AF48" s="398">
        <f t="shared" si="12"/>
        <v>0</v>
      </c>
      <c r="AG48" s="398">
        <f t="shared" si="12"/>
        <v>0</v>
      </c>
      <c r="AH48" s="398">
        <f t="shared" si="12"/>
        <v>0</v>
      </c>
      <c r="AI48" s="398">
        <f t="shared" si="12"/>
        <v>0</v>
      </c>
      <c r="AJ48" s="398">
        <f t="shared" si="12"/>
        <v>0</v>
      </c>
      <c r="AK48" s="398">
        <f t="shared" si="12"/>
        <v>0</v>
      </c>
      <c r="AL48" s="398">
        <f t="shared" si="12"/>
        <v>0</v>
      </c>
      <c r="AM48" s="398">
        <f t="shared" si="12"/>
        <v>0</v>
      </c>
      <c r="AN48" s="398">
        <f t="shared" si="12"/>
        <v>0</v>
      </c>
    </row>
    <row r="49" spans="2:40" hidden="1" outlineLevel="1" x14ac:dyDescent="0.25">
      <c r="B49" s="24">
        <f t="shared" si="3"/>
        <v>0</v>
      </c>
      <c r="C49" s="24"/>
      <c r="D49" s="398">
        <f t="shared" si="4"/>
        <v>0</v>
      </c>
      <c r="E49" s="398">
        <f t="shared" si="4"/>
        <v>0</v>
      </c>
      <c r="F49" s="398">
        <f t="shared" si="4"/>
        <v>0</v>
      </c>
      <c r="G49" s="398">
        <f>IF($G31="Annuitair", IFERROR( -PPMT($E31,MAX(0,H$42-$I31),($H31-$I31+$F31),$C31), 0), 0)</f>
        <v>0</v>
      </c>
      <c r="H49" s="398">
        <f t="shared" si="4"/>
        <v>0</v>
      </c>
      <c r="I49" s="398">
        <f t="shared" si="5"/>
        <v>0</v>
      </c>
      <c r="J49" s="398">
        <f t="shared" si="6"/>
        <v>0</v>
      </c>
      <c r="K49" s="832"/>
      <c r="L49" s="832"/>
      <c r="M49" s="398">
        <f t="shared" ref="M49:AN49" si="13">IF($G31="Annuitair", IFERROR( -PPMT($E31,MAX(0,N$42-$I31),($H31-$I31+$F31),$C31), 0), 0)</f>
        <v>0</v>
      </c>
      <c r="N49" s="398">
        <f t="shared" si="13"/>
        <v>0</v>
      </c>
      <c r="O49" s="398">
        <f t="shared" si="13"/>
        <v>0</v>
      </c>
      <c r="P49" s="398">
        <f t="shared" si="13"/>
        <v>0</v>
      </c>
      <c r="Q49" s="398">
        <f t="shared" si="13"/>
        <v>0</v>
      </c>
      <c r="R49" s="398">
        <f t="shared" si="13"/>
        <v>0</v>
      </c>
      <c r="S49" s="398">
        <f t="shared" si="13"/>
        <v>0</v>
      </c>
      <c r="T49" s="398">
        <f t="shared" si="13"/>
        <v>0</v>
      </c>
      <c r="U49" s="398">
        <f t="shared" si="13"/>
        <v>0</v>
      </c>
      <c r="V49" s="398">
        <f t="shared" si="13"/>
        <v>0</v>
      </c>
      <c r="W49" s="398">
        <f t="shared" si="13"/>
        <v>0</v>
      </c>
      <c r="X49" s="398">
        <f t="shared" si="13"/>
        <v>0</v>
      </c>
      <c r="Y49" s="398">
        <f t="shared" si="13"/>
        <v>0</v>
      </c>
      <c r="Z49" s="398">
        <f t="shared" si="13"/>
        <v>0</v>
      </c>
      <c r="AA49" s="398">
        <f t="shared" si="13"/>
        <v>0</v>
      </c>
      <c r="AB49" s="398">
        <f t="shared" si="13"/>
        <v>0</v>
      </c>
      <c r="AC49" s="398">
        <f t="shared" si="13"/>
        <v>0</v>
      </c>
      <c r="AD49" s="398">
        <f t="shared" si="13"/>
        <v>0</v>
      </c>
      <c r="AE49" s="398">
        <f t="shared" si="13"/>
        <v>0</v>
      </c>
      <c r="AF49" s="398">
        <f t="shared" si="13"/>
        <v>0</v>
      </c>
      <c r="AG49" s="398">
        <f t="shared" si="13"/>
        <v>0</v>
      </c>
      <c r="AH49" s="398">
        <f t="shared" si="13"/>
        <v>0</v>
      </c>
      <c r="AI49" s="398">
        <f t="shared" si="13"/>
        <v>0</v>
      </c>
      <c r="AJ49" s="398">
        <f t="shared" si="13"/>
        <v>0</v>
      </c>
      <c r="AK49" s="398">
        <f t="shared" si="13"/>
        <v>0</v>
      </c>
      <c r="AL49" s="398">
        <f t="shared" si="13"/>
        <v>0</v>
      </c>
      <c r="AM49" s="398">
        <f t="shared" si="13"/>
        <v>0</v>
      </c>
      <c r="AN49" s="398">
        <f t="shared" si="13"/>
        <v>0</v>
      </c>
    </row>
    <row r="50" spans="2:40" hidden="1" outlineLevel="1" x14ac:dyDescent="0.25">
      <c r="B50" s="24">
        <f t="shared" si="3"/>
        <v>0</v>
      </c>
      <c r="C50" s="24"/>
      <c r="D50" s="398">
        <f t="shared" si="4"/>
        <v>0</v>
      </c>
      <c r="E50" s="398">
        <f t="shared" si="4"/>
        <v>0</v>
      </c>
      <c r="F50" s="398">
        <f t="shared" si="4"/>
        <v>0</v>
      </c>
      <c r="G50" s="398">
        <f t="shared" si="4"/>
        <v>0</v>
      </c>
      <c r="H50" s="398">
        <f t="shared" si="4"/>
        <v>0</v>
      </c>
      <c r="I50" s="398">
        <f t="shared" si="5"/>
        <v>0</v>
      </c>
      <c r="J50" s="398">
        <f t="shared" si="6"/>
        <v>0</v>
      </c>
      <c r="K50" s="832"/>
      <c r="L50" s="832"/>
      <c r="M50" s="398">
        <f t="shared" ref="M50:AN50" si="14">IF($G32="Annuitair", IFERROR( -PPMT($E32,MAX(0,N$42-$I32),($H32-$I32+$F32),$C32), 0), 0)</f>
        <v>0</v>
      </c>
      <c r="N50" s="398">
        <f t="shared" si="14"/>
        <v>0</v>
      </c>
      <c r="O50" s="398">
        <f t="shared" si="14"/>
        <v>0</v>
      </c>
      <c r="P50" s="398">
        <f t="shared" si="14"/>
        <v>0</v>
      </c>
      <c r="Q50" s="398">
        <f t="shared" si="14"/>
        <v>0</v>
      </c>
      <c r="R50" s="398">
        <f t="shared" si="14"/>
        <v>0</v>
      </c>
      <c r="S50" s="398">
        <f t="shared" si="14"/>
        <v>0</v>
      </c>
      <c r="T50" s="398">
        <f t="shared" si="14"/>
        <v>0</v>
      </c>
      <c r="U50" s="398">
        <f t="shared" si="14"/>
        <v>0</v>
      </c>
      <c r="V50" s="398">
        <f t="shared" si="14"/>
        <v>0</v>
      </c>
      <c r="W50" s="398">
        <f t="shared" si="14"/>
        <v>0</v>
      </c>
      <c r="X50" s="398">
        <f t="shared" si="14"/>
        <v>0</v>
      </c>
      <c r="Y50" s="398">
        <f t="shared" si="14"/>
        <v>0</v>
      </c>
      <c r="Z50" s="398">
        <f t="shared" si="14"/>
        <v>0</v>
      </c>
      <c r="AA50" s="398">
        <f t="shared" si="14"/>
        <v>0</v>
      </c>
      <c r="AB50" s="398">
        <f t="shared" si="14"/>
        <v>0</v>
      </c>
      <c r="AC50" s="398">
        <f t="shared" si="14"/>
        <v>0</v>
      </c>
      <c r="AD50" s="398">
        <f t="shared" si="14"/>
        <v>0</v>
      </c>
      <c r="AE50" s="398">
        <f t="shared" si="14"/>
        <v>0</v>
      </c>
      <c r="AF50" s="398">
        <f t="shared" si="14"/>
        <v>0</v>
      </c>
      <c r="AG50" s="398">
        <f t="shared" si="14"/>
        <v>0</v>
      </c>
      <c r="AH50" s="398">
        <f t="shared" si="14"/>
        <v>0</v>
      </c>
      <c r="AI50" s="398">
        <f t="shared" si="14"/>
        <v>0</v>
      </c>
      <c r="AJ50" s="398">
        <f t="shared" si="14"/>
        <v>0</v>
      </c>
      <c r="AK50" s="398">
        <f t="shared" si="14"/>
        <v>0</v>
      </c>
      <c r="AL50" s="398">
        <f t="shared" si="14"/>
        <v>0</v>
      </c>
      <c r="AM50" s="398">
        <f t="shared" si="14"/>
        <v>0</v>
      </c>
      <c r="AN50" s="398">
        <f t="shared" si="14"/>
        <v>0</v>
      </c>
    </row>
    <row r="51" spans="2:40" hidden="1" outlineLevel="1" x14ac:dyDescent="0.25">
      <c r="B51" s="24">
        <f t="shared" si="3"/>
        <v>0</v>
      </c>
      <c r="C51" s="24"/>
    </row>
    <row r="52" spans="2:40" hidden="1" outlineLevel="1" x14ac:dyDescent="0.25">
      <c r="B52" s="24">
        <f t="shared" si="3"/>
        <v>0</v>
      </c>
      <c r="C52" s="24"/>
    </row>
    <row r="53" spans="2:40" hidden="1" outlineLevel="1" x14ac:dyDescent="0.25">
      <c r="B53" s="417" t="s">
        <v>359</v>
      </c>
      <c r="C53" s="417"/>
      <c r="D53" s="299">
        <f>YEAR(Startdatum)</f>
        <v>1900</v>
      </c>
      <c r="E53" s="298">
        <f t="shared" ref="E53:AN53" si="15" xml:space="preserve"> D53 + 1</f>
        <v>1901</v>
      </c>
      <c r="F53" s="298">
        <f t="shared" si="15"/>
        <v>1902</v>
      </c>
      <c r="G53" s="298">
        <f t="shared" si="15"/>
        <v>1903</v>
      </c>
      <c r="H53" s="298">
        <f t="shared" si="15"/>
        <v>1904</v>
      </c>
      <c r="I53" s="298">
        <f t="shared" si="15"/>
        <v>1905</v>
      </c>
      <c r="J53" s="299">
        <f xml:space="preserve"> I53 + 1</f>
        <v>1906</v>
      </c>
      <c r="K53" s="831"/>
      <c r="L53" s="831"/>
      <c r="M53" s="298">
        <f xml:space="preserve"> J53 + 1</f>
        <v>1907</v>
      </c>
      <c r="N53" s="298">
        <f t="shared" si="15"/>
        <v>1908</v>
      </c>
      <c r="O53" s="298">
        <f t="shared" si="15"/>
        <v>1909</v>
      </c>
      <c r="P53" s="298">
        <f t="shared" si="15"/>
        <v>1910</v>
      </c>
      <c r="Q53" s="298">
        <f t="shared" si="15"/>
        <v>1911</v>
      </c>
      <c r="R53" s="298">
        <f t="shared" si="15"/>
        <v>1912</v>
      </c>
      <c r="S53" s="298">
        <f t="shared" si="15"/>
        <v>1913</v>
      </c>
      <c r="T53" s="298">
        <f t="shared" si="15"/>
        <v>1914</v>
      </c>
      <c r="U53" s="298">
        <f t="shared" si="15"/>
        <v>1915</v>
      </c>
      <c r="V53" s="299">
        <f t="shared" si="15"/>
        <v>1916</v>
      </c>
      <c r="W53" s="298">
        <f t="shared" si="15"/>
        <v>1917</v>
      </c>
      <c r="X53" s="298">
        <f t="shared" si="15"/>
        <v>1918</v>
      </c>
      <c r="Y53" s="298">
        <f t="shared" si="15"/>
        <v>1919</v>
      </c>
      <c r="Z53" s="298">
        <f t="shared" si="15"/>
        <v>1920</v>
      </c>
      <c r="AA53" s="298">
        <f t="shared" si="15"/>
        <v>1921</v>
      </c>
      <c r="AB53" s="298">
        <f t="shared" si="15"/>
        <v>1922</v>
      </c>
      <c r="AC53" s="298">
        <f t="shared" si="15"/>
        <v>1923</v>
      </c>
      <c r="AD53" s="298">
        <f t="shared" si="15"/>
        <v>1924</v>
      </c>
      <c r="AE53" s="298">
        <f t="shared" si="15"/>
        <v>1925</v>
      </c>
      <c r="AF53" s="298">
        <f t="shared" si="15"/>
        <v>1926</v>
      </c>
      <c r="AG53" s="298">
        <f t="shared" si="15"/>
        <v>1927</v>
      </c>
      <c r="AH53" s="298">
        <f t="shared" si="15"/>
        <v>1928</v>
      </c>
      <c r="AI53" s="298">
        <f t="shared" si="15"/>
        <v>1929</v>
      </c>
      <c r="AJ53" s="298">
        <f t="shared" si="15"/>
        <v>1930</v>
      </c>
      <c r="AK53" s="298">
        <f t="shared" si="15"/>
        <v>1931</v>
      </c>
      <c r="AL53" s="298">
        <f t="shared" si="15"/>
        <v>1932</v>
      </c>
      <c r="AM53" s="298">
        <f t="shared" si="15"/>
        <v>1933</v>
      </c>
      <c r="AN53" s="298">
        <f t="shared" si="15"/>
        <v>1934</v>
      </c>
    </row>
    <row r="54" spans="2:40" hidden="1" outlineLevel="1" x14ac:dyDescent="0.25">
      <c r="B54" s="24">
        <f t="shared" ref="B54:B61" si="16">B78</f>
        <v>0</v>
      </c>
      <c r="C54" s="24"/>
      <c r="D54" s="398">
        <f t="shared" ref="D54:J61" si="17">IF(AND($G25 = "lineair", D$53&gt;=$I25, ($F25+$H25)&gt;D$53 ), $C25/($H25-$I25+$F25), 0)</f>
        <v>0</v>
      </c>
      <c r="E54" s="398">
        <f t="shared" si="17"/>
        <v>0</v>
      </c>
      <c r="F54" s="398">
        <f t="shared" si="17"/>
        <v>0</v>
      </c>
      <c r="G54" s="398">
        <f t="shared" si="17"/>
        <v>0</v>
      </c>
      <c r="H54" s="398">
        <f t="shared" si="17"/>
        <v>0</v>
      </c>
      <c r="I54" s="398">
        <f t="shared" si="17"/>
        <v>0</v>
      </c>
      <c r="J54" s="398">
        <f t="shared" si="17"/>
        <v>0</v>
      </c>
      <c r="K54" s="832"/>
      <c r="L54" s="832"/>
      <c r="M54" s="398">
        <f t="shared" ref="M54:AN54" si="18">IF(AND($G25 = "lineair", M$53&gt;=$I25, ($F25+$H25)&gt;M$53 ), $C25/($H25-$I25+$F25), 0)</f>
        <v>0</v>
      </c>
      <c r="N54" s="398">
        <f t="shared" si="18"/>
        <v>0</v>
      </c>
      <c r="O54" s="398">
        <f t="shared" si="18"/>
        <v>0</v>
      </c>
      <c r="P54" s="398">
        <f t="shared" si="18"/>
        <v>0</v>
      </c>
      <c r="Q54" s="398">
        <f t="shared" si="18"/>
        <v>0</v>
      </c>
      <c r="R54" s="398">
        <f t="shared" si="18"/>
        <v>0</v>
      </c>
      <c r="S54" s="398">
        <f t="shared" si="18"/>
        <v>0</v>
      </c>
      <c r="T54" s="398">
        <f t="shared" si="18"/>
        <v>0</v>
      </c>
      <c r="U54" s="398">
        <f t="shared" si="18"/>
        <v>0</v>
      </c>
      <c r="V54" s="398">
        <f t="shared" si="18"/>
        <v>0</v>
      </c>
      <c r="W54" s="398">
        <f t="shared" si="18"/>
        <v>0</v>
      </c>
      <c r="X54" s="398">
        <f t="shared" si="18"/>
        <v>0</v>
      </c>
      <c r="Y54" s="398">
        <f t="shared" si="18"/>
        <v>0</v>
      </c>
      <c r="Z54" s="398">
        <f t="shared" si="18"/>
        <v>0</v>
      </c>
      <c r="AA54" s="398">
        <f t="shared" si="18"/>
        <v>0</v>
      </c>
      <c r="AB54" s="398">
        <f t="shared" si="18"/>
        <v>0</v>
      </c>
      <c r="AC54" s="398">
        <f t="shared" si="18"/>
        <v>0</v>
      </c>
      <c r="AD54" s="398">
        <f t="shared" si="18"/>
        <v>0</v>
      </c>
      <c r="AE54" s="398">
        <f t="shared" si="18"/>
        <v>0</v>
      </c>
      <c r="AF54" s="398">
        <f t="shared" si="18"/>
        <v>0</v>
      </c>
      <c r="AG54" s="398">
        <f t="shared" si="18"/>
        <v>0</v>
      </c>
      <c r="AH54" s="398">
        <f t="shared" si="18"/>
        <v>0</v>
      </c>
      <c r="AI54" s="398">
        <f t="shared" si="18"/>
        <v>0</v>
      </c>
      <c r="AJ54" s="398">
        <f t="shared" si="18"/>
        <v>0</v>
      </c>
      <c r="AK54" s="398">
        <f t="shared" si="18"/>
        <v>0</v>
      </c>
      <c r="AL54" s="398">
        <f t="shared" si="18"/>
        <v>0</v>
      </c>
      <c r="AM54" s="398">
        <f t="shared" si="18"/>
        <v>0</v>
      </c>
      <c r="AN54" s="398">
        <f t="shared" si="18"/>
        <v>0</v>
      </c>
    </row>
    <row r="55" spans="2:40" hidden="1" outlineLevel="1" x14ac:dyDescent="0.25">
      <c r="B55" s="24">
        <f t="shared" si="16"/>
        <v>0</v>
      </c>
      <c r="C55" s="24"/>
      <c r="D55" s="398">
        <f t="shared" si="17"/>
        <v>0</v>
      </c>
      <c r="E55" s="398">
        <f t="shared" si="17"/>
        <v>0</v>
      </c>
      <c r="F55" s="398">
        <f t="shared" si="17"/>
        <v>0</v>
      </c>
      <c r="G55" s="398">
        <f t="shared" si="17"/>
        <v>0</v>
      </c>
      <c r="H55" s="398">
        <f t="shared" si="17"/>
        <v>0</v>
      </c>
      <c r="I55" s="398">
        <f t="shared" si="17"/>
        <v>0</v>
      </c>
      <c r="J55" s="398">
        <f t="shared" si="17"/>
        <v>0</v>
      </c>
      <c r="K55" s="832"/>
      <c r="L55" s="832"/>
      <c r="M55" s="398">
        <f t="shared" ref="M55:AN55" si="19">IF(AND($G26 = "lineair", M$53&gt;=$I26, ($F26+$H26)&gt;M$53 ), $C26/($H26-$I26+$F26), 0)</f>
        <v>0</v>
      </c>
      <c r="N55" s="398">
        <f t="shared" si="19"/>
        <v>0</v>
      </c>
      <c r="O55" s="398">
        <f t="shared" si="19"/>
        <v>0</v>
      </c>
      <c r="P55" s="398">
        <f t="shared" si="19"/>
        <v>0</v>
      </c>
      <c r="Q55" s="398">
        <f t="shared" si="19"/>
        <v>0</v>
      </c>
      <c r="R55" s="398">
        <f t="shared" si="19"/>
        <v>0</v>
      </c>
      <c r="S55" s="398">
        <f t="shared" si="19"/>
        <v>0</v>
      </c>
      <c r="T55" s="398">
        <f t="shared" si="19"/>
        <v>0</v>
      </c>
      <c r="U55" s="398">
        <f t="shared" si="19"/>
        <v>0</v>
      </c>
      <c r="V55" s="398">
        <f t="shared" si="19"/>
        <v>0</v>
      </c>
      <c r="W55" s="398">
        <f t="shared" si="19"/>
        <v>0</v>
      </c>
      <c r="X55" s="398">
        <f t="shared" si="19"/>
        <v>0</v>
      </c>
      <c r="Y55" s="398">
        <f t="shared" si="19"/>
        <v>0</v>
      </c>
      <c r="Z55" s="398">
        <f t="shared" si="19"/>
        <v>0</v>
      </c>
      <c r="AA55" s="398">
        <f t="shared" si="19"/>
        <v>0</v>
      </c>
      <c r="AB55" s="398">
        <f t="shared" si="19"/>
        <v>0</v>
      </c>
      <c r="AC55" s="398">
        <f t="shared" si="19"/>
        <v>0</v>
      </c>
      <c r="AD55" s="398">
        <f t="shared" si="19"/>
        <v>0</v>
      </c>
      <c r="AE55" s="398">
        <f t="shared" si="19"/>
        <v>0</v>
      </c>
      <c r="AF55" s="398">
        <f t="shared" si="19"/>
        <v>0</v>
      </c>
      <c r="AG55" s="398">
        <f t="shared" si="19"/>
        <v>0</v>
      </c>
      <c r="AH55" s="398">
        <f t="shared" si="19"/>
        <v>0</v>
      </c>
      <c r="AI55" s="398">
        <f t="shared" si="19"/>
        <v>0</v>
      </c>
      <c r="AJ55" s="398">
        <f t="shared" si="19"/>
        <v>0</v>
      </c>
      <c r="AK55" s="398">
        <f t="shared" si="19"/>
        <v>0</v>
      </c>
      <c r="AL55" s="398">
        <f t="shared" si="19"/>
        <v>0</v>
      </c>
      <c r="AM55" s="398">
        <f t="shared" si="19"/>
        <v>0</v>
      </c>
      <c r="AN55" s="398">
        <f t="shared" si="19"/>
        <v>0</v>
      </c>
    </row>
    <row r="56" spans="2:40" hidden="1" outlineLevel="1" x14ac:dyDescent="0.25">
      <c r="B56" s="24">
        <f t="shared" si="16"/>
        <v>0</v>
      </c>
      <c r="C56" s="24"/>
      <c r="D56" s="398">
        <f t="shared" si="17"/>
        <v>0</v>
      </c>
      <c r="E56" s="398">
        <f t="shared" si="17"/>
        <v>0</v>
      </c>
      <c r="F56" s="398">
        <f t="shared" si="17"/>
        <v>0</v>
      </c>
      <c r="G56" s="398">
        <f t="shared" si="17"/>
        <v>0</v>
      </c>
      <c r="H56" s="398">
        <f t="shared" si="17"/>
        <v>0</v>
      </c>
      <c r="I56" s="398">
        <f t="shared" si="17"/>
        <v>0</v>
      </c>
      <c r="J56" s="398">
        <f t="shared" si="17"/>
        <v>0</v>
      </c>
      <c r="K56" s="832"/>
      <c r="L56" s="832"/>
      <c r="M56" s="398">
        <f t="shared" ref="M56:AN56" si="20">IF(AND($G27 = "lineair", M$53&gt;=$I27, ($F27+$H27)&gt;M$53 ), $C27/($H27-$I27+$F27), 0)</f>
        <v>0</v>
      </c>
      <c r="N56" s="398">
        <f t="shared" si="20"/>
        <v>0</v>
      </c>
      <c r="O56" s="398">
        <f t="shared" si="20"/>
        <v>0</v>
      </c>
      <c r="P56" s="398">
        <f t="shared" si="20"/>
        <v>0</v>
      </c>
      <c r="Q56" s="398">
        <f t="shared" si="20"/>
        <v>0</v>
      </c>
      <c r="R56" s="398">
        <f t="shared" si="20"/>
        <v>0</v>
      </c>
      <c r="S56" s="398">
        <f t="shared" si="20"/>
        <v>0</v>
      </c>
      <c r="T56" s="398">
        <f t="shared" si="20"/>
        <v>0</v>
      </c>
      <c r="U56" s="398">
        <f t="shared" si="20"/>
        <v>0</v>
      </c>
      <c r="V56" s="398">
        <f t="shared" si="20"/>
        <v>0</v>
      </c>
      <c r="W56" s="398">
        <f t="shared" si="20"/>
        <v>0</v>
      </c>
      <c r="X56" s="398">
        <f t="shared" si="20"/>
        <v>0</v>
      </c>
      <c r="Y56" s="398">
        <f t="shared" si="20"/>
        <v>0</v>
      </c>
      <c r="Z56" s="398">
        <f t="shared" si="20"/>
        <v>0</v>
      </c>
      <c r="AA56" s="398">
        <f t="shared" si="20"/>
        <v>0</v>
      </c>
      <c r="AB56" s="398">
        <f t="shared" si="20"/>
        <v>0</v>
      </c>
      <c r="AC56" s="398">
        <f t="shared" si="20"/>
        <v>0</v>
      </c>
      <c r="AD56" s="398">
        <f t="shared" si="20"/>
        <v>0</v>
      </c>
      <c r="AE56" s="398">
        <f t="shared" si="20"/>
        <v>0</v>
      </c>
      <c r="AF56" s="398">
        <f t="shared" si="20"/>
        <v>0</v>
      </c>
      <c r="AG56" s="398">
        <f t="shared" si="20"/>
        <v>0</v>
      </c>
      <c r="AH56" s="398">
        <f t="shared" si="20"/>
        <v>0</v>
      </c>
      <c r="AI56" s="398">
        <f t="shared" si="20"/>
        <v>0</v>
      </c>
      <c r="AJ56" s="398">
        <f t="shared" si="20"/>
        <v>0</v>
      </c>
      <c r="AK56" s="398">
        <f t="shared" si="20"/>
        <v>0</v>
      </c>
      <c r="AL56" s="398">
        <f t="shared" si="20"/>
        <v>0</v>
      </c>
      <c r="AM56" s="398">
        <f t="shared" si="20"/>
        <v>0</v>
      </c>
      <c r="AN56" s="398">
        <f t="shared" si="20"/>
        <v>0</v>
      </c>
    </row>
    <row r="57" spans="2:40" hidden="1" outlineLevel="1" x14ac:dyDescent="0.25">
      <c r="B57" s="24">
        <f t="shared" si="16"/>
        <v>0</v>
      </c>
      <c r="C57" s="24"/>
      <c r="D57" s="398">
        <f t="shared" si="17"/>
        <v>0</v>
      </c>
      <c r="E57" s="398">
        <f t="shared" si="17"/>
        <v>0</v>
      </c>
      <c r="F57" s="398">
        <f t="shared" si="17"/>
        <v>0</v>
      </c>
      <c r="G57" s="398">
        <f t="shared" si="17"/>
        <v>0</v>
      </c>
      <c r="H57" s="398">
        <f t="shared" si="17"/>
        <v>0</v>
      </c>
      <c r="I57" s="398">
        <f t="shared" si="17"/>
        <v>0</v>
      </c>
      <c r="J57" s="398">
        <f t="shared" si="17"/>
        <v>0</v>
      </c>
      <c r="K57" s="832"/>
      <c r="L57" s="832"/>
      <c r="M57" s="398">
        <f t="shared" ref="M57:AN57" si="21">IF(AND($G28 = "lineair", M$53&gt;=$I28, ($F28+$H28)&gt;M$53 ), $C28/($H28-$I28+$F28), 0)</f>
        <v>0</v>
      </c>
      <c r="N57" s="398">
        <f t="shared" si="21"/>
        <v>0</v>
      </c>
      <c r="O57" s="398">
        <f t="shared" si="21"/>
        <v>0</v>
      </c>
      <c r="P57" s="398">
        <f t="shared" si="21"/>
        <v>0</v>
      </c>
      <c r="Q57" s="398">
        <f t="shared" si="21"/>
        <v>0</v>
      </c>
      <c r="R57" s="398">
        <f t="shared" si="21"/>
        <v>0</v>
      </c>
      <c r="S57" s="398">
        <f t="shared" si="21"/>
        <v>0</v>
      </c>
      <c r="T57" s="398">
        <f t="shared" si="21"/>
        <v>0</v>
      </c>
      <c r="U57" s="398">
        <f t="shared" si="21"/>
        <v>0</v>
      </c>
      <c r="V57" s="398">
        <f t="shared" si="21"/>
        <v>0</v>
      </c>
      <c r="W57" s="398">
        <f t="shared" si="21"/>
        <v>0</v>
      </c>
      <c r="X57" s="398">
        <f t="shared" si="21"/>
        <v>0</v>
      </c>
      <c r="Y57" s="398">
        <f t="shared" si="21"/>
        <v>0</v>
      </c>
      <c r="Z57" s="398">
        <f t="shared" si="21"/>
        <v>0</v>
      </c>
      <c r="AA57" s="398">
        <f t="shared" si="21"/>
        <v>0</v>
      </c>
      <c r="AB57" s="398">
        <f t="shared" si="21"/>
        <v>0</v>
      </c>
      <c r="AC57" s="398">
        <f t="shared" si="21"/>
        <v>0</v>
      </c>
      <c r="AD57" s="398">
        <f t="shared" si="21"/>
        <v>0</v>
      </c>
      <c r="AE57" s="398">
        <f t="shared" si="21"/>
        <v>0</v>
      </c>
      <c r="AF57" s="398">
        <f t="shared" si="21"/>
        <v>0</v>
      </c>
      <c r="AG57" s="398">
        <f t="shared" si="21"/>
        <v>0</v>
      </c>
      <c r="AH57" s="398">
        <f t="shared" si="21"/>
        <v>0</v>
      </c>
      <c r="AI57" s="398">
        <f t="shared" si="21"/>
        <v>0</v>
      </c>
      <c r="AJ57" s="398">
        <f t="shared" si="21"/>
        <v>0</v>
      </c>
      <c r="AK57" s="398">
        <f t="shared" si="21"/>
        <v>0</v>
      </c>
      <c r="AL57" s="398">
        <f t="shared" si="21"/>
        <v>0</v>
      </c>
      <c r="AM57" s="398">
        <f t="shared" si="21"/>
        <v>0</v>
      </c>
      <c r="AN57" s="398">
        <f t="shared" si="21"/>
        <v>0</v>
      </c>
    </row>
    <row r="58" spans="2:40" hidden="1" outlineLevel="1" x14ac:dyDescent="0.25">
      <c r="B58" s="24">
        <f t="shared" si="16"/>
        <v>0</v>
      </c>
      <c r="C58" s="24"/>
      <c r="D58" s="398">
        <f>IF(AND($G29 = "lineair", D$53&gt;=$I29, ($F29+$H29)&gt;D$53 ), $C29/($H29-$I29+$F29), 0)</f>
        <v>0</v>
      </c>
      <c r="E58" s="398">
        <f>IF(AND($G29 = "lineair", E$53&gt;=$I29, ($F29+$H29)&gt;E$53 ), $C29/($H29-$I29+$F29), 0)</f>
        <v>0</v>
      </c>
      <c r="F58" s="398">
        <f t="shared" si="17"/>
        <v>0</v>
      </c>
      <c r="G58" s="398">
        <f>IF(AND($G29 = "lineair", G$53&gt;=$I29, ($F29+$H29)&gt;G$53 ), $C29/($H29-$I29+$F29), 0)</f>
        <v>0</v>
      </c>
      <c r="H58" s="398">
        <f>IF(AND($G29 = "lineair", H$53&gt;=$I29, ($F29+$H29)&gt;H$53 ), $C29/($H29-$I29+$F29), 0)</f>
        <v>0</v>
      </c>
      <c r="I58" s="398">
        <f t="shared" si="17"/>
        <v>0</v>
      </c>
      <c r="J58" s="398">
        <f t="shared" si="17"/>
        <v>0</v>
      </c>
      <c r="K58" s="832"/>
      <c r="L58" s="832"/>
      <c r="M58" s="398">
        <f t="shared" ref="M58:AN58" si="22">IF(AND($G29 = "lineair", M$53&gt;=$I29, ($F29+$H29)&gt;M$53 ), $C29/($H29-$I29+$F29), 0)</f>
        <v>0</v>
      </c>
      <c r="N58" s="398">
        <f t="shared" si="22"/>
        <v>0</v>
      </c>
      <c r="O58" s="398">
        <f t="shared" si="22"/>
        <v>0</v>
      </c>
      <c r="P58" s="398">
        <f t="shared" si="22"/>
        <v>0</v>
      </c>
      <c r="Q58" s="398">
        <f t="shared" si="22"/>
        <v>0</v>
      </c>
      <c r="R58" s="398">
        <f t="shared" si="22"/>
        <v>0</v>
      </c>
      <c r="S58" s="398">
        <f t="shared" si="22"/>
        <v>0</v>
      </c>
      <c r="T58" s="398">
        <f t="shared" si="22"/>
        <v>0</v>
      </c>
      <c r="U58" s="398">
        <f t="shared" si="22"/>
        <v>0</v>
      </c>
      <c r="V58" s="398">
        <f t="shared" si="22"/>
        <v>0</v>
      </c>
      <c r="W58" s="398">
        <f t="shared" si="22"/>
        <v>0</v>
      </c>
      <c r="X58" s="398">
        <f t="shared" si="22"/>
        <v>0</v>
      </c>
      <c r="Y58" s="398">
        <f t="shared" si="22"/>
        <v>0</v>
      </c>
      <c r="Z58" s="398">
        <f t="shared" si="22"/>
        <v>0</v>
      </c>
      <c r="AA58" s="398">
        <f t="shared" si="22"/>
        <v>0</v>
      </c>
      <c r="AB58" s="398">
        <f t="shared" si="22"/>
        <v>0</v>
      </c>
      <c r="AC58" s="398">
        <f t="shared" si="22"/>
        <v>0</v>
      </c>
      <c r="AD58" s="398">
        <f t="shared" si="22"/>
        <v>0</v>
      </c>
      <c r="AE58" s="398">
        <f t="shared" si="22"/>
        <v>0</v>
      </c>
      <c r="AF58" s="398">
        <f t="shared" si="22"/>
        <v>0</v>
      </c>
      <c r="AG58" s="398">
        <f t="shared" si="22"/>
        <v>0</v>
      </c>
      <c r="AH58" s="398">
        <f t="shared" si="22"/>
        <v>0</v>
      </c>
      <c r="AI58" s="398">
        <f t="shared" si="22"/>
        <v>0</v>
      </c>
      <c r="AJ58" s="398">
        <f t="shared" si="22"/>
        <v>0</v>
      </c>
      <c r="AK58" s="398">
        <f t="shared" si="22"/>
        <v>0</v>
      </c>
      <c r="AL58" s="398">
        <f t="shared" si="22"/>
        <v>0</v>
      </c>
      <c r="AM58" s="398">
        <f t="shared" si="22"/>
        <v>0</v>
      </c>
      <c r="AN58" s="398">
        <f t="shared" si="22"/>
        <v>0</v>
      </c>
    </row>
    <row r="59" spans="2:40" hidden="1" outlineLevel="1" x14ac:dyDescent="0.25">
      <c r="B59" s="24">
        <f t="shared" si="16"/>
        <v>0</v>
      </c>
      <c r="C59" s="24"/>
      <c r="D59" s="398">
        <f t="shared" si="17"/>
        <v>0</v>
      </c>
      <c r="E59" s="398">
        <f t="shared" si="17"/>
        <v>0</v>
      </c>
      <c r="F59" s="398">
        <f t="shared" si="17"/>
        <v>0</v>
      </c>
      <c r="G59" s="398">
        <f t="shared" si="17"/>
        <v>0</v>
      </c>
      <c r="H59" s="398">
        <f t="shared" si="17"/>
        <v>0</v>
      </c>
      <c r="I59" s="398">
        <f t="shared" si="17"/>
        <v>0</v>
      </c>
      <c r="J59" s="398">
        <f t="shared" si="17"/>
        <v>0</v>
      </c>
      <c r="K59" s="832"/>
      <c r="L59" s="832"/>
      <c r="M59" s="398">
        <f t="shared" ref="M59:AN59" si="23">IF(AND($G30 = "lineair", M$53&gt;=$I30, ($F30+$H30)&gt;M$53 ), $C30/($H30-$I30+$F30), 0)</f>
        <v>0</v>
      </c>
      <c r="N59" s="398">
        <f t="shared" si="23"/>
        <v>0</v>
      </c>
      <c r="O59" s="398">
        <f t="shared" si="23"/>
        <v>0</v>
      </c>
      <c r="P59" s="398">
        <f t="shared" si="23"/>
        <v>0</v>
      </c>
      <c r="Q59" s="398">
        <f t="shared" si="23"/>
        <v>0</v>
      </c>
      <c r="R59" s="398">
        <f t="shared" si="23"/>
        <v>0</v>
      </c>
      <c r="S59" s="398">
        <f t="shared" si="23"/>
        <v>0</v>
      </c>
      <c r="T59" s="398">
        <f t="shared" si="23"/>
        <v>0</v>
      </c>
      <c r="U59" s="398">
        <f t="shared" si="23"/>
        <v>0</v>
      </c>
      <c r="V59" s="398">
        <f t="shared" si="23"/>
        <v>0</v>
      </c>
      <c r="W59" s="398">
        <f t="shared" si="23"/>
        <v>0</v>
      </c>
      <c r="X59" s="398">
        <f t="shared" si="23"/>
        <v>0</v>
      </c>
      <c r="Y59" s="398">
        <f t="shared" si="23"/>
        <v>0</v>
      </c>
      <c r="Z59" s="398">
        <f t="shared" si="23"/>
        <v>0</v>
      </c>
      <c r="AA59" s="398">
        <f t="shared" si="23"/>
        <v>0</v>
      </c>
      <c r="AB59" s="398">
        <f t="shared" si="23"/>
        <v>0</v>
      </c>
      <c r="AC59" s="398">
        <f t="shared" si="23"/>
        <v>0</v>
      </c>
      <c r="AD59" s="398">
        <f t="shared" si="23"/>
        <v>0</v>
      </c>
      <c r="AE59" s="398">
        <f t="shared" si="23"/>
        <v>0</v>
      </c>
      <c r="AF59" s="398">
        <f t="shared" si="23"/>
        <v>0</v>
      </c>
      <c r="AG59" s="398">
        <f t="shared" si="23"/>
        <v>0</v>
      </c>
      <c r="AH59" s="398">
        <f t="shared" si="23"/>
        <v>0</v>
      </c>
      <c r="AI59" s="398">
        <f t="shared" si="23"/>
        <v>0</v>
      </c>
      <c r="AJ59" s="398">
        <f t="shared" si="23"/>
        <v>0</v>
      </c>
      <c r="AK59" s="398">
        <f t="shared" si="23"/>
        <v>0</v>
      </c>
      <c r="AL59" s="398">
        <f t="shared" si="23"/>
        <v>0</v>
      </c>
      <c r="AM59" s="398">
        <f t="shared" si="23"/>
        <v>0</v>
      </c>
      <c r="AN59" s="398">
        <f t="shared" si="23"/>
        <v>0</v>
      </c>
    </row>
    <row r="60" spans="2:40" hidden="1" outlineLevel="1" x14ac:dyDescent="0.25">
      <c r="B60" s="24">
        <f t="shared" si="16"/>
        <v>0</v>
      </c>
      <c r="C60" s="24"/>
      <c r="D60" s="398">
        <f t="shared" si="17"/>
        <v>0</v>
      </c>
      <c r="E60" s="398">
        <f t="shared" si="17"/>
        <v>0</v>
      </c>
      <c r="F60" s="398">
        <f t="shared" si="17"/>
        <v>0</v>
      </c>
      <c r="G60" s="398">
        <f t="shared" si="17"/>
        <v>0</v>
      </c>
      <c r="H60" s="398">
        <f t="shared" si="17"/>
        <v>0</v>
      </c>
      <c r="I60" s="398">
        <f t="shared" si="17"/>
        <v>0</v>
      </c>
      <c r="J60" s="398">
        <f t="shared" si="17"/>
        <v>0</v>
      </c>
      <c r="K60" s="832"/>
      <c r="L60" s="832"/>
      <c r="M60" s="398">
        <f t="shared" ref="M60:AN60" si="24">IF(AND($G31 = "lineair", M$53&gt;=$I31, ($F31+$H31)&gt;M$53 ), $C31/($H31-$I31+$F31), 0)</f>
        <v>0</v>
      </c>
      <c r="N60" s="398">
        <f t="shared" si="24"/>
        <v>0</v>
      </c>
      <c r="O60" s="398">
        <f t="shared" si="24"/>
        <v>0</v>
      </c>
      <c r="P60" s="398">
        <f t="shared" si="24"/>
        <v>0</v>
      </c>
      <c r="Q60" s="398">
        <f t="shared" si="24"/>
        <v>0</v>
      </c>
      <c r="R60" s="398">
        <f t="shared" si="24"/>
        <v>0</v>
      </c>
      <c r="S60" s="398">
        <f t="shared" si="24"/>
        <v>0</v>
      </c>
      <c r="T60" s="398">
        <f t="shared" si="24"/>
        <v>0</v>
      </c>
      <c r="U60" s="398">
        <f t="shared" si="24"/>
        <v>0</v>
      </c>
      <c r="V60" s="398">
        <f t="shared" si="24"/>
        <v>0</v>
      </c>
      <c r="W60" s="398">
        <f t="shared" si="24"/>
        <v>0</v>
      </c>
      <c r="X60" s="398">
        <f t="shared" si="24"/>
        <v>0</v>
      </c>
      <c r="Y60" s="398">
        <f t="shared" si="24"/>
        <v>0</v>
      </c>
      <c r="Z60" s="398">
        <f t="shared" si="24"/>
        <v>0</v>
      </c>
      <c r="AA60" s="398">
        <f t="shared" si="24"/>
        <v>0</v>
      </c>
      <c r="AB60" s="398">
        <f t="shared" si="24"/>
        <v>0</v>
      </c>
      <c r="AC60" s="398">
        <f t="shared" si="24"/>
        <v>0</v>
      </c>
      <c r="AD60" s="398">
        <f t="shared" si="24"/>
        <v>0</v>
      </c>
      <c r="AE60" s="398">
        <f t="shared" si="24"/>
        <v>0</v>
      </c>
      <c r="AF60" s="398">
        <f t="shared" si="24"/>
        <v>0</v>
      </c>
      <c r="AG60" s="398">
        <f t="shared" si="24"/>
        <v>0</v>
      </c>
      <c r="AH60" s="398">
        <f t="shared" si="24"/>
        <v>0</v>
      </c>
      <c r="AI60" s="398">
        <f t="shared" si="24"/>
        <v>0</v>
      </c>
      <c r="AJ60" s="398">
        <f t="shared" si="24"/>
        <v>0</v>
      </c>
      <c r="AK60" s="398">
        <f t="shared" si="24"/>
        <v>0</v>
      </c>
      <c r="AL60" s="398">
        <f t="shared" si="24"/>
        <v>0</v>
      </c>
      <c r="AM60" s="398">
        <f t="shared" si="24"/>
        <v>0</v>
      </c>
      <c r="AN60" s="398">
        <f t="shared" si="24"/>
        <v>0</v>
      </c>
    </row>
    <row r="61" spans="2:40" hidden="1" outlineLevel="1" x14ac:dyDescent="0.25">
      <c r="B61" s="24">
        <f t="shared" si="16"/>
        <v>0</v>
      </c>
      <c r="C61" s="24"/>
      <c r="D61" s="398">
        <f t="shared" si="17"/>
        <v>0</v>
      </c>
      <c r="E61" s="398">
        <f t="shared" si="17"/>
        <v>0</v>
      </c>
      <c r="F61" s="398">
        <f t="shared" si="17"/>
        <v>0</v>
      </c>
      <c r="G61" s="398">
        <f t="shared" si="17"/>
        <v>0</v>
      </c>
      <c r="H61" s="398">
        <f t="shared" si="17"/>
        <v>0</v>
      </c>
      <c r="I61" s="398">
        <f t="shared" si="17"/>
        <v>0</v>
      </c>
      <c r="J61" s="398">
        <f t="shared" si="17"/>
        <v>0</v>
      </c>
      <c r="K61" s="832"/>
      <c r="L61" s="832"/>
      <c r="M61" s="398">
        <f t="shared" ref="M61:AN61" si="25">IF(AND($G32 = "lineair", M$53&gt;=$I32, ($F32+$H32)&gt;M$53 ), $C32/($H32-$I32+$F32), 0)</f>
        <v>0</v>
      </c>
      <c r="N61" s="398">
        <f t="shared" si="25"/>
        <v>0</v>
      </c>
      <c r="O61" s="398">
        <f t="shared" si="25"/>
        <v>0</v>
      </c>
      <c r="P61" s="398">
        <f t="shared" si="25"/>
        <v>0</v>
      </c>
      <c r="Q61" s="398">
        <f t="shared" si="25"/>
        <v>0</v>
      </c>
      <c r="R61" s="398">
        <f t="shared" si="25"/>
        <v>0</v>
      </c>
      <c r="S61" s="398">
        <f t="shared" si="25"/>
        <v>0</v>
      </c>
      <c r="T61" s="398">
        <f t="shared" si="25"/>
        <v>0</v>
      </c>
      <c r="U61" s="398">
        <f t="shared" si="25"/>
        <v>0</v>
      </c>
      <c r="V61" s="398">
        <f t="shared" si="25"/>
        <v>0</v>
      </c>
      <c r="W61" s="398">
        <f t="shared" si="25"/>
        <v>0</v>
      </c>
      <c r="X61" s="398">
        <f t="shared" si="25"/>
        <v>0</v>
      </c>
      <c r="Y61" s="398">
        <f t="shared" si="25"/>
        <v>0</v>
      </c>
      <c r="Z61" s="398">
        <f t="shared" si="25"/>
        <v>0</v>
      </c>
      <c r="AA61" s="398">
        <f t="shared" si="25"/>
        <v>0</v>
      </c>
      <c r="AB61" s="398">
        <f t="shared" si="25"/>
        <v>0</v>
      </c>
      <c r="AC61" s="398">
        <f t="shared" si="25"/>
        <v>0</v>
      </c>
      <c r="AD61" s="398">
        <f t="shared" si="25"/>
        <v>0</v>
      </c>
      <c r="AE61" s="398">
        <f t="shared" si="25"/>
        <v>0</v>
      </c>
      <c r="AF61" s="398">
        <f t="shared" si="25"/>
        <v>0</v>
      </c>
      <c r="AG61" s="398">
        <f t="shared" si="25"/>
        <v>0</v>
      </c>
      <c r="AH61" s="398">
        <f t="shared" si="25"/>
        <v>0</v>
      </c>
      <c r="AI61" s="398">
        <f t="shared" si="25"/>
        <v>0</v>
      </c>
      <c r="AJ61" s="398">
        <f t="shared" si="25"/>
        <v>0</v>
      </c>
      <c r="AK61" s="398">
        <f t="shared" si="25"/>
        <v>0</v>
      </c>
      <c r="AL61" s="398">
        <f t="shared" si="25"/>
        <v>0</v>
      </c>
      <c r="AM61" s="398">
        <f t="shared" si="25"/>
        <v>0</v>
      </c>
      <c r="AN61" s="398">
        <f t="shared" si="25"/>
        <v>0</v>
      </c>
    </row>
    <row r="62" spans="2:40" hidden="1" outlineLevel="1" x14ac:dyDescent="0.25">
      <c r="B62" s="24"/>
      <c r="C62" s="24"/>
    </row>
    <row r="63" spans="2:40" hidden="1" outlineLevel="1" x14ac:dyDescent="0.25">
      <c r="B63" s="417" t="s">
        <v>360</v>
      </c>
      <c r="C63" s="417"/>
      <c r="D63" s="418">
        <f t="shared" ref="D63:AN63" si="26">SUM(D43:D50) + SUM(D54:D61)</f>
        <v>0</v>
      </c>
      <c r="E63" s="418">
        <f t="shared" si="26"/>
        <v>0</v>
      </c>
      <c r="F63" s="418">
        <f t="shared" si="26"/>
        <v>0</v>
      </c>
      <c r="G63" s="418">
        <f t="shared" si="26"/>
        <v>0</v>
      </c>
      <c r="H63" s="418">
        <f t="shared" si="26"/>
        <v>0</v>
      </c>
      <c r="I63" s="418">
        <f t="shared" si="26"/>
        <v>0</v>
      </c>
      <c r="J63" s="418">
        <f t="shared" si="26"/>
        <v>0</v>
      </c>
      <c r="K63" s="833"/>
      <c r="L63" s="833"/>
      <c r="M63" s="418">
        <f t="shared" si="26"/>
        <v>0</v>
      </c>
      <c r="N63" s="418">
        <f t="shared" si="26"/>
        <v>0</v>
      </c>
      <c r="O63" s="418">
        <f t="shared" si="26"/>
        <v>0</v>
      </c>
      <c r="P63" s="418">
        <f t="shared" si="26"/>
        <v>0</v>
      </c>
      <c r="Q63" s="418">
        <f t="shared" si="26"/>
        <v>0</v>
      </c>
      <c r="R63" s="418">
        <f t="shared" si="26"/>
        <v>0</v>
      </c>
      <c r="S63" s="418">
        <f t="shared" si="26"/>
        <v>0</v>
      </c>
      <c r="T63" s="418">
        <f t="shared" si="26"/>
        <v>0</v>
      </c>
      <c r="U63" s="418">
        <f t="shared" si="26"/>
        <v>0</v>
      </c>
      <c r="V63" s="418">
        <f t="shared" si="26"/>
        <v>0</v>
      </c>
      <c r="W63" s="418">
        <f t="shared" si="26"/>
        <v>0</v>
      </c>
      <c r="X63" s="418">
        <f t="shared" si="26"/>
        <v>0</v>
      </c>
      <c r="Y63" s="418">
        <f t="shared" si="26"/>
        <v>0</v>
      </c>
      <c r="Z63" s="418">
        <f t="shared" si="26"/>
        <v>0</v>
      </c>
      <c r="AA63" s="418">
        <f t="shared" si="26"/>
        <v>0</v>
      </c>
      <c r="AB63" s="418">
        <f t="shared" si="26"/>
        <v>0</v>
      </c>
      <c r="AC63" s="418">
        <f t="shared" si="26"/>
        <v>0</v>
      </c>
      <c r="AD63" s="418">
        <f t="shared" si="26"/>
        <v>0</v>
      </c>
      <c r="AE63" s="418">
        <f t="shared" si="26"/>
        <v>0</v>
      </c>
      <c r="AF63" s="418">
        <f t="shared" si="26"/>
        <v>0</v>
      </c>
      <c r="AG63" s="418">
        <f t="shared" si="26"/>
        <v>0</v>
      </c>
      <c r="AH63" s="418">
        <f t="shared" si="26"/>
        <v>0</v>
      </c>
      <c r="AI63" s="418">
        <f t="shared" si="26"/>
        <v>0</v>
      </c>
      <c r="AJ63" s="418">
        <f t="shared" si="26"/>
        <v>0</v>
      </c>
      <c r="AK63" s="418">
        <f t="shared" si="26"/>
        <v>0</v>
      </c>
      <c r="AL63" s="418">
        <f t="shared" si="26"/>
        <v>0</v>
      </c>
      <c r="AM63" s="418">
        <f t="shared" si="26"/>
        <v>0</v>
      </c>
      <c r="AN63" s="418">
        <f t="shared" si="26"/>
        <v>0</v>
      </c>
    </row>
    <row r="64" spans="2:40" hidden="1" outlineLevel="1" x14ac:dyDescent="0.25"/>
    <row r="65" spans="2:40" hidden="1" outlineLevel="1" x14ac:dyDescent="0.25"/>
    <row r="66" spans="2:40" hidden="1" outlineLevel="1" x14ac:dyDescent="0.25">
      <c r="B66" s="30" t="s">
        <v>361</v>
      </c>
      <c r="C66" s="30"/>
      <c r="D66" s="299">
        <f>YEAR(Startdatum)</f>
        <v>1900</v>
      </c>
      <c r="E66" s="298">
        <f t="shared" ref="E66" si="27" xml:space="preserve"> D66 + 1</f>
        <v>1901</v>
      </c>
      <c r="F66" s="298">
        <f t="shared" ref="F66" si="28" xml:space="preserve"> E66 + 1</f>
        <v>1902</v>
      </c>
      <c r="G66" s="298">
        <f t="shared" ref="G66" si="29" xml:space="preserve"> F66 + 1</f>
        <v>1903</v>
      </c>
      <c r="H66" s="298">
        <f t="shared" ref="H66" si="30" xml:space="preserve"> G66 + 1</f>
        <v>1904</v>
      </c>
      <c r="I66" s="298">
        <f t="shared" ref="I66" si="31" xml:space="preserve"> H66 + 1</f>
        <v>1905</v>
      </c>
      <c r="J66" s="299">
        <f xml:space="preserve"> I66 + 1</f>
        <v>1906</v>
      </c>
      <c r="K66" s="831"/>
      <c r="L66" s="831"/>
      <c r="M66" s="298">
        <f xml:space="preserve"> J66 + 1</f>
        <v>1907</v>
      </c>
      <c r="N66" s="298">
        <f t="shared" ref="N66" si="32" xml:space="preserve"> M66 + 1</f>
        <v>1908</v>
      </c>
      <c r="O66" s="298">
        <f t="shared" ref="O66" si="33" xml:space="preserve"> N66 + 1</f>
        <v>1909</v>
      </c>
      <c r="P66" s="298">
        <f xml:space="preserve"> O66 + 1</f>
        <v>1910</v>
      </c>
      <c r="Q66" s="298">
        <f t="shared" ref="Q66" si="34" xml:space="preserve"> P66 + 1</f>
        <v>1911</v>
      </c>
      <c r="R66" s="298">
        <f t="shared" ref="R66" si="35" xml:space="preserve"> Q66 + 1</f>
        <v>1912</v>
      </c>
      <c r="S66" s="298">
        <f t="shared" ref="S66" si="36" xml:space="preserve"> R66 + 1</f>
        <v>1913</v>
      </c>
      <c r="T66" s="298">
        <f t="shared" ref="T66" si="37" xml:space="preserve"> S66 + 1</f>
        <v>1914</v>
      </c>
      <c r="U66" s="298">
        <f t="shared" ref="U66" si="38" xml:space="preserve"> T66 + 1</f>
        <v>1915</v>
      </c>
      <c r="V66" s="299">
        <f t="shared" ref="V66" si="39" xml:space="preserve"> U66 + 1</f>
        <v>1916</v>
      </c>
      <c r="W66" s="298">
        <f t="shared" ref="W66" si="40" xml:space="preserve"> V66 + 1</f>
        <v>1917</v>
      </c>
      <c r="X66" s="298">
        <f t="shared" ref="X66" si="41" xml:space="preserve"> W66 + 1</f>
        <v>1918</v>
      </c>
      <c r="Y66" s="298">
        <f t="shared" ref="Y66" si="42" xml:space="preserve"> X66 + 1</f>
        <v>1919</v>
      </c>
      <c r="Z66" s="298">
        <f t="shared" ref="Z66" si="43" xml:space="preserve"> Y66 + 1</f>
        <v>1920</v>
      </c>
      <c r="AA66" s="298">
        <f t="shared" ref="AA66" si="44" xml:space="preserve"> Z66 + 1</f>
        <v>1921</v>
      </c>
      <c r="AB66" s="298">
        <f t="shared" ref="AB66" si="45" xml:space="preserve"> AA66 + 1</f>
        <v>1922</v>
      </c>
      <c r="AC66" s="298">
        <f t="shared" ref="AC66" si="46" xml:space="preserve"> AB66 + 1</f>
        <v>1923</v>
      </c>
      <c r="AD66" s="298">
        <f t="shared" ref="AD66" si="47" xml:space="preserve"> AC66 + 1</f>
        <v>1924</v>
      </c>
      <c r="AE66" s="298">
        <f t="shared" ref="AE66" si="48" xml:space="preserve"> AD66 + 1</f>
        <v>1925</v>
      </c>
      <c r="AF66" s="298">
        <f t="shared" ref="AF66" si="49" xml:space="preserve"> AE66 + 1</f>
        <v>1926</v>
      </c>
      <c r="AG66" s="298">
        <f t="shared" ref="AG66" si="50" xml:space="preserve"> AF66 + 1</f>
        <v>1927</v>
      </c>
      <c r="AH66" s="298">
        <f t="shared" ref="AH66" si="51" xml:space="preserve"> AG66 + 1</f>
        <v>1928</v>
      </c>
      <c r="AI66" s="298">
        <f t="shared" ref="AI66" si="52" xml:space="preserve"> AH66 + 1</f>
        <v>1929</v>
      </c>
      <c r="AJ66" s="298">
        <f t="shared" ref="AJ66" si="53" xml:space="preserve"> AI66 + 1</f>
        <v>1930</v>
      </c>
      <c r="AK66" s="298">
        <f t="shared" ref="AK66" si="54" xml:space="preserve"> AJ66 + 1</f>
        <v>1931</v>
      </c>
      <c r="AL66" s="298">
        <f t="shared" ref="AL66" si="55" xml:space="preserve"> AK66 + 1</f>
        <v>1932</v>
      </c>
      <c r="AM66" s="298">
        <f t="shared" ref="AM66" si="56" xml:space="preserve"> AL66 + 1</f>
        <v>1933</v>
      </c>
      <c r="AN66" s="298">
        <f t="shared" ref="AN66" si="57" xml:space="preserve"> AM66 + 1</f>
        <v>1934</v>
      </c>
    </row>
    <row r="67" spans="2:40" hidden="1" outlineLevel="1" x14ac:dyDescent="0.25">
      <c r="B67" s="396">
        <f t="shared" ref="B67:B74" si="58">B25</f>
        <v>0</v>
      </c>
      <c r="C67" s="396"/>
      <c r="D67" s="398">
        <f>IF(AND($G25="Annuitair",D$66&gt;=$F25), ($C25-SUM($C43:C43))*$E25, 0)</f>
        <v>0</v>
      </c>
      <c r="E67" s="398">
        <f>IF(AND($G25="Annuitair",E$66&gt;=$F25), ($C25-SUM($C43:D43))*$E25, 0)</f>
        <v>0</v>
      </c>
      <c r="F67" s="398">
        <f>IF(AND($G25="Annuitair",F$66&gt;=$F25), ($C25-SUM($C43:E43))*$E25, 0)</f>
        <v>0</v>
      </c>
      <c r="G67" s="398">
        <f>IF(AND($G25="Annuitair",G$66&gt;=$F25), ($C25-SUM($C43:F43))*$E25, 0)</f>
        <v>0</v>
      </c>
      <c r="H67" s="398">
        <f>IF(AND($G25="Annuitair",H$66&gt;=$F25), ($C25-SUM($C43:G43))*$E25, 0)</f>
        <v>0</v>
      </c>
      <c r="I67" s="398">
        <f>IF(AND($G25="Annuitair",I$66&gt;=$F25), ($C25-SUM($C43:H43))*$E25, 0)</f>
        <v>0</v>
      </c>
      <c r="J67" s="398">
        <f>IF(AND($G25="Annuitair",J$66&gt;=$F25), ($C25-SUM($C43:I43))*$E25, 0)</f>
        <v>0</v>
      </c>
      <c r="K67" s="832"/>
      <c r="L67" s="832"/>
      <c r="M67" s="398">
        <f>IF(AND($G25="Annuitair",M$66&gt;=$F25), ($C25-SUM($C43:J43))*$E25, 0)</f>
        <v>0</v>
      </c>
      <c r="N67" s="398">
        <f>IF(AND($G25="Annuitair",N$66&gt;=$F25), ($C25-SUM($C43:M43))*$E25, 0)</f>
        <v>0</v>
      </c>
      <c r="O67" s="398">
        <f>IF(AND($G25="Annuitair",O$66&gt;=$F25), ($C25-SUM($C43:N43))*$E25, 0)</f>
        <v>0</v>
      </c>
      <c r="P67" s="398">
        <f>IF(AND($G25="Annuitair",P$66&gt;=$F25), ($C25-SUM($C43:O43))*$E25, 0)</f>
        <v>0</v>
      </c>
      <c r="Q67" s="398">
        <f>IF(AND($G25="Annuitair",Q$66&gt;=$F25), ($C25-SUM($C43:P43))*$E25, 0)</f>
        <v>0</v>
      </c>
      <c r="R67" s="398">
        <f>IF(AND($G25="Annuitair",R$66&gt;=$F25), ($C25-SUM($C43:Q43))*$E25, 0)</f>
        <v>0</v>
      </c>
      <c r="S67" s="398">
        <f>IF(AND($G25="Annuitair",S$66&gt;=$F25), ($C25-SUM($C43:R43))*$E25, 0)</f>
        <v>0</v>
      </c>
      <c r="T67" s="398">
        <f>IF(AND($G25="Annuitair",T$66&gt;=$F25), ($C25-SUM($C43:S43))*$E25, 0)</f>
        <v>0</v>
      </c>
      <c r="U67" s="398">
        <f>IF(AND($G25="Annuitair",U$66&gt;=$F25), ($C25-SUM($C43:T43))*$E25, 0)</f>
        <v>0</v>
      </c>
      <c r="V67" s="398">
        <f>IF(AND($G25="Annuitair",V$66&gt;=$F25), ($C25-SUM($C43:U43))*$E25, 0)</f>
        <v>0</v>
      </c>
      <c r="W67" s="398">
        <f>IF(AND($G25="Annuitair",W$66&gt;=$F25), ($C25-SUM($C43:V43))*$E25, 0)</f>
        <v>0</v>
      </c>
      <c r="X67" s="398">
        <f>IF(AND($G25="Annuitair",X$66&gt;=$F25), ($C25-SUM($C43:W43))*$E25, 0)</f>
        <v>0</v>
      </c>
      <c r="Y67" s="398">
        <f>IF(AND($G25="Annuitair",Y$66&gt;=$F25), ($C25-SUM($C43:X43))*$E25, 0)</f>
        <v>0</v>
      </c>
      <c r="Z67" s="398">
        <f>IF(AND($G25="Annuitair",Z$66&gt;=$F25), ($C25-SUM($C43:Y43))*$E25, 0)</f>
        <v>0</v>
      </c>
      <c r="AA67" s="398">
        <f>IF(AND($G25="Annuitair",AA$66&gt;=$F25), ($C25-SUM($C43:Z43))*$E25, 0)</f>
        <v>0</v>
      </c>
      <c r="AB67" s="398">
        <f>IF(AND($G25="Annuitair",AB$66&gt;=$F25), ($C25-SUM($C43:AA43))*$E25, 0)</f>
        <v>0</v>
      </c>
      <c r="AC67" s="398">
        <f>IF(AND($G25="Annuitair",AC$66&gt;=$F25), ($C25-SUM($C43:AB43))*$E25, 0)</f>
        <v>0</v>
      </c>
      <c r="AD67" s="398">
        <f>IF(AND($G25="Annuitair",AD$66&gt;=$F25), ($C25-SUM($C43:AC43))*$E25, 0)</f>
        <v>0</v>
      </c>
      <c r="AE67" s="398">
        <f>IF(AND($G25="Annuitair",AE$66&gt;=$F25), ($C25-SUM($C43:AD43))*$E25, 0)</f>
        <v>0</v>
      </c>
      <c r="AF67" s="398">
        <f>IF(AND($G25="Annuitair",AF$66&gt;=$F25), ($C25-SUM($C43:AE43))*$E25, 0)</f>
        <v>0</v>
      </c>
      <c r="AG67" s="398">
        <f>IF(AND($G25="Annuitair",AG$66&gt;=$F25), ($C25-SUM($C43:AF43))*$E25, 0)</f>
        <v>0</v>
      </c>
      <c r="AH67" s="398">
        <f>IF(AND($G25="Annuitair",AH$66&gt;=$F25), ($C25-SUM($C43:AG43))*$E25, 0)</f>
        <v>0</v>
      </c>
      <c r="AI67" s="398">
        <f>IF(AND($G25="Annuitair",AI$66&gt;=$F25), ($C25-SUM($C43:AH43))*$E25, 0)</f>
        <v>0</v>
      </c>
      <c r="AJ67" s="398">
        <f>IF(AND($G25="Annuitair",AJ$66&gt;=$F25), ($C25-SUM($C43:AI43))*$E25, 0)</f>
        <v>0</v>
      </c>
      <c r="AK67" s="398">
        <f>IF(AND($G25="Annuitair",AK$66&gt;=$F25), ($C25-SUM($C43:AJ43))*$E25, 0)</f>
        <v>0</v>
      </c>
      <c r="AL67" s="398">
        <f>IF(AND($G25="Annuitair",AL$66&gt;=$F25), ($C25-SUM($C43:AK43))*$E25, 0)</f>
        <v>0</v>
      </c>
      <c r="AM67" s="398">
        <f>IF(AND($G25="Annuitair",AM$66&gt;=$F25), ($C25-SUM($C43:AL43))*$E25, 0)</f>
        <v>0</v>
      </c>
      <c r="AN67" s="398">
        <f>IF(AND($G25="Annuitair",AN$66&gt;=$F25), ($C25-SUM($C43:AM43))*$E25, 0)</f>
        <v>0</v>
      </c>
    </row>
    <row r="68" spans="2:40" hidden="1" outlineLevel="1" x14ac:dyDescent="0.25">
      <c r="B68" s="396">
        <f t="shared" si="58"/>
        <v>0</v>
      </c>
      <c r="C68" s="396"/>
      <c r="D68" s="398">
        <f>IF(AND($G26="Annuitair",D$66&gt;=$F26), ($C26-SUM($C44:C44))*$E26, 0)</f>
        <v>0</v>
      </c>
      <c r="E68" s="398">
        <f>IF(AND($G26="Annuitair",E$66&gt;=$F26), ($C26-SUM($C44:D44))*$E26, 0)</f>
        <v>0</v>
      </c>
      <c r="F68" s="398">
        <f>IF(AND($G26="Annuitair",F$66&gt;=$F26), ($C26-SUM($C44:E44))*$E26, 0)</f>
        <v>0</v>
      </c>
      <c r="G68" s="398">
        <f>IF(AND($G26="Annuitair",G$66&gt;=$F26), ($C26-SUM($C44:F44))*$E26, 0)</f>
        <v>0</v>
      </c>
      <c r="H68" s="398">
        <f>IF(AND($G26="Annuitair",H$66&gt;=$F26), ($C26-SUM($C44:G44))*$E26, 0)</f>
        <v>0</v>
      </c>
      <c r="I68" s="398">
        <f>IF(AND($G26="Annuitair",I$66&gt;=$F26), ($C26-SUM($C44:H44))*$E26, 0)</f>
        <v>0</v>
      </c>
      <c r="J68" s="398">
        <f>IF(AND($G26="Annuitair",J$66&gt;=$F26), ($C26-SUM($C44:I44))*$E26, 0)</f>
        <v>0</v>
      </c>
      <c r="K68" s="832"/>
      <c r="L68" s="832"/>
      <c r="M68" s="398">
        <f>IF(AND($G26="Annuitair",M$66&gt;=$F26), ($C26-SUM($C44:J44))*$E26, 0)</f>
        <v>0</v>
      </c>
      <c r="N68" s="398">
        <f>IF(AND($G26="Annuitair",N$66&gt;=$F26), ($C26-SUM($C44:M44))*$E26, 0)</f>
        <v>0</v>
      </c>
      <c r="O68" s="398">
        <f>IF(AND($G26="Annuitair",O$66&gt;=$F26), ($C26-SUM($C44:N44))*$E26, 0)</f>
        <v>0</v>
      </c>
      <c r="P68" s="398">
        <f>IF(AND($G26="Annuitair",P$66&gt;=$F26), ($C26-SUM($C44:O44))*$E26, 0)</f>
        <v>0</v>
      </c>
      <c r="Q68" s="398">
        <f>IF(AND($G26="Annuitair",Q$66&gt;=$F26), ($C26-SUM($C44:P44))*$E26, 0)</f>
        <v>0</v>
      </c>
      <c r="R68" s="398">
        <f>IF(AND($G26="Annuitair",R$66&gt;=$F26), ($C26-SUM($C44:Q44))*$E26, 0)</f>
        <v>0</v>
      </c>
      <c r="S68" s="398">
        <f>IF(AND($G26="Annuitair",S$66&gt;=$F26), ($C26-SUM($C44:R44))*$E26, 0)</f>
        <v>0</v>
      </c>
      <c r="T68" s="398">
        <f>IF(AND($G26="Annuitair",T$66&gt;=$F26), ($C26-SUM($C44:S44))*$E26, 0)</f>
        <v>0</v>
      </c>
      <c r="U68" s="398">
        <f>IF(AND($G26="Annuitair",U$66&gt;=$F26), ($C26-SUM($C44:T44))*$E26, 0)</f>
        <v>0</v>
      </c>
      <c r="V68" s="398">
        <f>IF(AND($G26="Annuitair",V$66&gt;=$F26), ($C26-SUM($C44:U44))*$E26, 0)</f>
        <v>0</v>
      </c>
      <c r="W68" s="398">
        <f>IF(AND($G26="Annuitair",W$66&gt;=$F26), ($C26-SUM($C44:V44))*$E26, 0)</f>
        <v>0</v>
      </c>
      <c r="X68" s="398">
        <f>IF(AND($G26="Annuitair",X$66&gt;=$F26), ($C26-SUM($C44:W44))*$E26, 0)</f>
        <v>0</v>
      </c>
      <c r="Y68" s="398">
        <f>IF(AND($G26="Annuitair",Y$66&gt;=$F26), ($C26-SUM($C44:X44))*$E26, 0)</f>
        <v>0</v>
      </c>
      <c r="Z68" s="398">
        <f>IF(AND($G26="Annuitair",Z$66&gt;=$F26), ($C26-SUM($C44:Y44))*$E26, 0)</f>
        <v>0</v>
      </c>
      <c r="AA68" s="398">
        <f>IF(AND($G26="Annuitair",AA$66&gt;=$F26), ($C26-SUM($C44:Z44))*$E26, 0)</f>
        <v>0</v>
      </c>
      <c r="AB68" s="398">
        <f>IF(AND($G26="Annuitair",AB$66&gt;=$F26), ($C26-SUM($C44:AA44))*$E26, 0)</f>
        <v>0</v>
      </c>
      <c r="AC68" s="398">
        <f>IF(AND($G26="Annuitair",AC$66&gt;=$F26), ($C26-SUM($C44:AB44))*$E26, 0)</f>
        <v>0</v>
      </c>
      <c r="AD68" s="398">
        <f>IF(AND($G26="Annuitair",AD$66&gt;=$F26), ($C26-SUM($C44:AC44))*$E26, 0)</f>
        <v>0</v>
      </c>
      <c r="AE68" s="398">
        <f>IF(AND($G26="Annuitair",AE$66&gt;=$F26), ($C26-SUM($C44:AD44))*$E26, 0)</f>
        <v>0</v>
      </c>
      <c r="AF68" s="398">
        <f>IF(AND($G26="Annuitair",AF$66&gt;=$F26), ($C26-SUM($C44:AE44))*$E26, 0)</f>
        <v>0</v>
      </c>
      <c r="AG68" s="398">
        <f>IF(AND($G26="Annuitair",AG$66&gt;=$F26), ($C26-SUM($C44:AF44))*$E26, 0)</f>
        <v>0</v>
      </c>
      <c r="AH68" s="398">
        <f>IF(AND($G26="Annuitair",AH$66&gt;=$F26), ($C26-SUM($C44:AG44))*$E26, 0)</f>
        <v>0</v>
      </c>
      <c r="AI68" s="398">
        <f>IF(AND($G26="Annuitair",AI$66&gt;=$F26), ($C26-SUM($C44:AH44))*$E26, 0)</f>
        <v>0</v>
      </c>
      <c r="AJ68" s="398">
        <f>IF(AND($G26="Annuitair",AJ$66&gt;=$F26), ($C26-SUM($C44:AI44))*$E26, 0)</f>
        <v>0</v>
      </c>
      <c r="AK68" s="398">
        <f>IF(AND($G26="Annuitair",AK$66&gt;=$F26), ($C26-SUM($C44:AJ44))*$E26, 0)</f>
        <v>0</v>
      </c>
      <c r="AL68" s="398">
        <f>IF(AND($G26="Annuitair",AL$66&gt;=$F26), ($C26-SUM($C44:AK44))*$E26, 0)</f>
        <v>0</v>
      </c>
      <c r="AM68" s="398">
        <f>IF(AND($G26="Annuitair",AM$66&gt;=$F26), ($C26-SUM($C44:AL44))*$E26, 0)</f>
        <v>0</v>
      </c>
      <c r="AN68" s="398">
        <f>IF(AND($G26="Annuitair",AN$66&gt;=$F26), ($C26-SUM($C44:AM44))*$E26, 0)</f>
        <v>0</v>
      </c>
    </row>
    <row r="69" spans="2:40" hidden="1" outlineLevel="1" x14ac:dyDescent="0.25">
      <c r="B69" s="396">
        <f t="shared" si="58"/>
        <v>0</v>
      </c>
      <c r="C69" s="396"/>
      <c r="D69" s="398">
        <f>IF(AND($G27="Annuitair",D$66&gt;=$F27), ($C27-SUM($C45:C45))*$E27, 0)</f>
        <v>0</v>
      </c>
      <c r="E69" s="398">
        <f>IF(AND($G27="Annuitair",E$66&gt;=$F27), ($C27-SUM($C45:D45))*$E27, 0)</f>
        <v>0</v>
      </c>
      <c r="F69" s="398">
        <f>IF(AND($G27="Annuitair",F$66&gt;=$F27), ($C27-SUM($C45:E45))*$E27, 0)</f>
        <v>0</v>
      </c>
      <c r="G69" s="398">
        <f>IF(AND($G27="Annuitair",G$66&gt;=$F27), ($C27-SUM($C45:F45))*$E27, 0)</f>
        <v>0</v>
      </c>
      <c r="H69" s="398">
        <f>IF(AND($G27="Annuitair",H$66&gt;=$F27), ($C27-SUM($C45:G45))*$E27, 0)</f>
        <v>0</v>
      </c>
      <c r="I69" s="398">
        <f>IF(AND($G27="Annuitair",I$66&gt;=$F27), ($C27-SUM($C45:H45))*$E27, 0)</f>
        <v>0</v>
      </c>
      <c r="J69" s="398">
        <f>IF(AND($G27="Annuitair",J$66&gt;=$F27), ($C27-SUM($C45:I45))*$E27, 0)</f>
        <v>0</v>
      </c>
      <c r="K69" s="832"/>
      <c r="L69" s="832"/>
      <c r="M69" s="398">
        <f>IF(AND($G27="Annuitair",M$66&gt;=$F27), ($C27-SUM($C45:J45))*$E27, 0)</f>
        <v>0</v>
      </c>
      <c r="N69" s="398">
        <f>IF(AND($G27="Annuitair",N$66&gt;=$F27), ($C27-SUM($C45:M45))*$E27, 0)</f>
        <v>0</v>
      </c>
      <c r="O69" s="398">
        <f>IF(AND($G27="Annuitair",O$66&gt;=$F27), ($C27-SUM($C45:N45))*$E27, 0)</f>
        <v>0</v>
      </c>
      <c r="P69" s="398">
        <f>IF(AND($G27="Annuitair",P$66&gt;=$F27), ($C27-SUM($C45:O45))*$E27, 0)</f>
        <v>0</v>
      </c>
      <c r="Q69" s="398">
        <f>IF(AND($G27="Annuitair",Q$66&gt;=$F27), ($C27-SUM($C45:P45))*$E27, 0)</f>
        <v>0</v>
      </c>
      <c r="R69" s="398">
        <f>IF(AND($G27="Annuitair",R$66&gt;=$F27), ($C27-SUM($C45:Q45))*$E27, 0)</f>
        <v>0</v>
      </c>
      <c r="S69" s="398">
        <f>IF(AND($G27="Annuitair",S$66&gt;=$F27), ($C27-SUM($C45:R45))*$E27, 0)</f>
        <v>0</v>
      </c>
      <c r="T69" s="398">
        <f>IF(AND($G27="Annuitair",T$66&gt;=$F27), ($C27-SUM($C45:S45))*$E27, 0)</f>
        <v>0</v>
      </c>
      <c r="U69" s="398">
        <f>IF(AND($G27="Annuitair",U$66&gt;=$F27), ($C27-SUM($C45:T45))*$E27, 0)</f>
        <v>0</v>
      </c>
      <c r="V69" s="398">
        <f>IF(AND($G27="Annuitair",V$66&gt;=$F27), ($C27-SUM($C45:U45))*$E27, 0)</f>
        <v>0</v>
      </c>
      <c r="W69" s="398">
        <f>IF(AND($G27="Annuitair",W$66&gt;=$F27), ($C27-SUM($C45:V45))*$E27, 0)</f>
        <v>0</v>
      </c>
      <c r="X69" s="398">
        <f>IF(AND($G27="Annuitair",X$66&gt;=$F27), ($C27-SUM($C45:W45))*$E27, 0)</f>
        <v>0</v>
      </c>
      <c r="Y69" s="398">
        <f>IF(AND($G27="Annuitair",Y$66&gt;=$F27), ($C27-SUM($C45:X45))*$E27, 0)</f>
        <v>0</v>
      </c>
      <c r="Z69" s="398">
        <f>IF(AND($G27="Annuitair",Z$66&gt;=$F27), ($C27-SUM($C45:Y45))*$E27, 0)</f>
        <v>0</v>
      </c>
      <c r="AA69" s="398">
        <f>IF(AND($G27="Annuitair",AA$66&gt;=$F27), ($C27-SUM($C45:Z45))*$E27, 0)</f>
        <v>0</v>
      </c>
      <c r="AB69" s="398">
        <f>IF(AND($G27="Annuitair",AB$66&gt;=$F27), ($C27-SUM($C45:AA45))*$E27, 0)</f>
        <v>0</v>
      </c>
      <c r="AC69" s="398">
        <f>IF(AND($G27="Annuitair",AC$66&gt;=$F27), ($C27-SUM($C45:AB45))*$E27, 0)</f>
        <v>0</v>
      </c>
      <c r="AD69" s="398">
        <f>IF(AND($G27="Annuitair",AD$66&gt;=$F27), ($C27-SUM($C45:AC45))*$E27, 0)</f>
        <v>0</v>
      </c>
      <c r="AE69" s="398">
        <f>IF(AND($G27="Annuitair",AE$66&gt;=$F27), ($C27-SUM($C45:AD45))*$E27, 0)</f>
        <v>0</v>
      </c>
      <c r="AF69" s="398">
        <f>IF(AND($G27="Annuitair",AF$66&gt;=$F27), ($C27-SUM($C45:AE45))*$E27, 0)</f>
        <v>0</v>
      </c>
      <c r="AG69" s="398">
        <f>IF(AND($G27="Annuitair",AG$66&gt;=$F27), ($C27-SUM($C45:AF45))*$E27, 0)</f>
        <v>0</v>
      </c>
      <c r="AH69" s="398">
        <f>IF(AND($G27="Annuitair",AH$66&gt;=$F27), ($C27-SUM($C45:AG45))*$E27, 0)</f>
        <v>0</v>
      </c>
      <c r="AI69" s="398">
        <f>IF(AND($G27="Annuitair",AI$66&gt;=$F27), ($C27-SUM($C45:AH45))*$E27, 0)</f>
        <v>0</v>
      </c>
      <c r="AJ69" s="398">
        <f>IF(AND($G27="Annuitair",AJ$66&gt;=$F27), ($C27-SUM($C45:AI45))*$E27, 0)</f>
        <v>0</v>
      </c>
      <c r="AK69" s="398">
        <f>IF(AND($G27="Annuitair",AK$66&gt;=$F27), ($C27-SUM($C45:AJ45))*$E27, 0)</f>
        <v>0</v>
      </c>
      <c r="AL69" s="398">
        <f>IF(AND($G27="Annuitair",AL$66&gt;=$F27), ($C27-SUM($C45:AK45))*$E27, 0)</f>
        <v>0</v>
      </c>
      <c r="AM69" s="398">
        <f>IF(AND($G27="Annuitair",AM$66&gt;=$F27), ($C27-SUM($C45:AL45))*$E27, 0)</f>
        <v>0</v>
      </c>
      <c r="AN69" s="398">
        <f>IF(AND($G27="Annuitair",AN$66&gt;=$F27), ($C27-SUM($C45:AM45))*$E27, 0)</f>
        <v>0</v>
      </c>
    </row>
    <row r="70" spans="2:40" hidden="1" outlineLevel="1" x14ac:dyDescent="0.25">
      <c r="B70" s="396">
        <f t="shared" si="58"/>
        <v>0</v>
      </c>
      <c r="C70" s="396"/>
      <c r="D70" s="398">
        <f>IF(AND($G28="Annuitair",D$66&gt;=$F28), ($C28-SUM($C46:C46))*$E28, 0)</f>
        <v>0</v>
      </c>
      <c r="E70" s="398">
        <f>IF(AND($G28="Annuitair",E$66&gt;=$F28), ($C28-SUM($C46:D46))*$E28, 0)</f>
        <v>0</v>
      </c>
      <c r="F70" s="398">
        <f>IF(AND($G28="Annuitair",F$66&gt;=$F28), ($C28-SUM($C46:E46))*$E28, 0)</f>
        <v>0</v>
      </c>
      <c r="G70" s="398">
        <f>IF(AND($G28="Annuitair",G$66&gt;=$F28), ($C28-SUM($C46:F46))*$E28, 0)</f>
        <v>0</v>
      </c>
      <c r="H70" s="398">
        <f>IF(AND($G28="Annuitair",H$66&gt;=$F28), ($C28-SUM($C46:G46))*$E28, 0)</f>
        <v>0</v>
      </c>
      <c r="I70" s="398">
        <f>IF(AND($G28="Annuitair",I$66&gt;=$F28), ($C28-SUM($C46:H46))*$E28, 0)</f>
        <v>0</v>
      </c>
      <c r="J70" s="398">
        <f>IF(AND($G28="Annuitair",J$66&gt;=$F28), ($C28-SUM($C46:I46))*$E28, 0)</f>
        <v>0</v>
      </c>
      <c r="K70" s="832"/>
      <c r="L70" s="832"/>
      <c r="M70" s="398">
        <f>IF(AND($G28="Annuitair",M$66&gt;=$F28), ($C28-SUM($C46:J46))*$E28, 0)</f>
        <v>0</v>
      </c>
      <c r="N70" s="398">
        <f>IF(AND($G28="Annuitair",N$66&gt;=$F28), ($C28-SUM($C46:M46))*$E28, 0)</f>
        <v>0</v>
      </c>
      <c r="O70" s="398">
        <f>IF(AND($G28="Annuitair",O$66&gt;=$F28), ($C28-SUM($C46:N46))*$E28, 0)</f>
        <v>0</v>
      </c>
      <c r="P70" s="398">
        <f>IF(AND($G28="Annuitair",P$66&gt;=$F28), ($C28-SUM($C46:O46))*$E28, 0)</f>
        <v>0</v>
      </c>
      <c r="Q70" s="398">
        <f>IF(AND($G28="Annuitair",Q$66&gt;=$F28), ($C28-SUM($C46:P46))*$E28, 0)</f>
        <v>0</v>
      </c>
      <c r="R70" s="398">
        <f>IF(AND($G28="Annuitair",R$66&gt;=$F28), ($C28-SUM($C46:Q46))*$E28, 0)</f>
        <v>0</v>
      </c>
      <c r="S70" s="398">
        <f>IF(AND($G28="Annuitair",S$66&gt;=$F28), ($C28-SUM($C46:R46))*$E28, 0)</f>
        <v>0</v>
      </c>
      <c r="T70" s="398">
        <f>IF(AND($G28="Annuitair",T$66&gt;=$F28), ($C28-SUM($C46:S46))*$E28, 0)</f>
        <v>0</v>
      </c>
      <c r="U70" s="398">
        <f>IF(AND($G28="Annuitair",U$66&gt;=$F28), ($C28-SUM($C46:T46))*$E28, 0)</f>
        <v>0</v>
      </c>
      <c r="V70" s="398">
        <f>IF(AND($G28="Annuitair",V$66&gt;=$F28), ($C28-SUM($C46:U46))*$E28, 0)</f>
        <v>0</v>
      </c>
      <c r="W70" s="398">
        <f>IF(AND($G28="Annuitair",W$66&gt;=$F28), ($C28-SUM($C46:V46))*$E28, 0)</f>
        <v>0</v>
      </c>
      <c r="X70" s="398">
        <f>IF(AND($G28="Annuitair",X$66&gt;=$F28), ($C28-SUM($C46:W46))*$E28, 0)</f>
        <v>0</v>
      </c>
      <c r="Y70" s="398">
        <f>IF(AND($G28="Annuitair",Y$66&gt;=$F28), ($C28-SUM($C46:X46))*$E28, 0)</f>
        <v>0</v>
      </c>
      <c r="Z70" s="398">
        <f>IF(AND($G28="Annuitair",Z$66&gt;=$F28), ($C28-SUM($C46:Y46))*$E28, 0)</f>
        <v>0</v>
      </c>
      <c r="AA70" s="398">
        <f>IF(AND($G28="Annuitair",AA$66&gt;=$F28), ($C28-SUM($C46:Z46))*$E28, 0)</f>
        <v>0</v>
      </c>
      <c r="AB70" s="398">
        <f>IF(AND($G28="Annuitair",AB$66&gt;=$F28), ($C28-SUM($C46:AA46))*$E28, 0)</f>
        <v>0</v>
      </c>
      <c r="AC70" s="398">
        <f>IF(AND($G28="Annuitair",AC$66&gt;=$F28), ($C28-SUM($C46:AB46))*$E28, 0)</f>
        <v>0</v>
      </c>
      <c r="AD70" s="398">
        <f>IF(AND($G28="Annuitair",AD$66&gt;=$F28), ($C28-SUM($C46:AC46))*$E28, 0)</f>
        <v>0</v>
      </c>
      <c r="AE70" s="398">
        <f>IF(AND($G28="Annuitair",AE$66&gt;=$F28), ($C28-SUM($C46:AD46))*$E28, 0)</f>
        <v>0</v>
      </c>
      <c r="AF70" s="398">
        <f>IF(AND($G28="Annuitair",AF$66&gt;=$F28), ($C28-SUM($C46:AE46))*$E28, 0)</f>
        <v>0</v>
      </c>
      <c r="AG70" s="398">
        <f>IF(AND($G28="Annuitair",AG$66&gt;=$F28), ($C28-SUM($C46:AF46))*$E28, 0)</f>
        <v>0</v>
      </c>
      <c r="AH70" s="398">
        <f>IF(AND($G28="Annuitair",AH$66&gt;=$F28), ($C28-SUM($C46:AG46))*$E28, 0)</f>
        <v>0</v>
      </c>
      <c r="AI70" s="398">
        <f>IF(AND($G28="Annuitair",AI$66&gt;=$F28), ($C28-SUM($C46:AH46))*$E28, 0)</f>
        <v>0</v>
      </c>
      <c r="AJ70" s="398">
        <f>IF(AND($G28="Annuitair",AJ$66&gt;=$F28), ($C28-SUM($C46:AI46))*$E28, 0)</f>
        <v>0</v>
      </c>
      <c r="AK70" s="398">
        <f>IF(AND($G28="Annuitair",AK$66&gt;=$F28), ($C28-SUM($C46:AJ46))*$E28, 0)</f>
        <v>0</v>
      </c>
      <c r="AL70" s="398">
        <f>IF(AND($G28="Annuitair",AL$66&gt;=$F28), ($C28-SUM($C46:AK46))*$E28, 0)</f>
        <v>0</v>
      </c>
      <c r="AM70" s="398">
        <f>IF(AND($G28="Annuitair",AM$66&gt;=$F28), ($C28-SUM($C46:AL46))*$E28, 0)</f>
        <v>0</v>
      </c>
      <c r="AN70" s="398">
        <f>IF(AND($G28="Annuitair",AN$66&gt;=$F28), ($C28-SUM($C46:AM46))*$E28, 0)</f>
        <v>0</v>
      </c>
    </row>
    <row r="71" spans="2:40" hidden="1" outlineLevel="1" x14ac:dyDescent="0.25">
      <c r="B71" s="396">
        <f t="shared" si="58"/>
        <v>0</v>
      </c>
      <c r="C71" s="396"/>
      <c r="D71" s="398">
        <f>IF(AND($G29="Annuitair",D$66&gt;=$F29), ($C29-SUM($C47:C47))*$E29, 0)</f>
        <v>0</v>
      </c>
      <c r="E71" s="398">
        <f>IF(AND($G29="Annuitair",E$66&gt;=$F29), ($C29-SUM($C47:D47))*$E29, 0)</f>
        <v>0</v>
      </c>
      <c r="F71" s="398">
        <f>IF(AND($G29="Annuitair",F$66&gt;=$F29), ($C29-SUM($C47:E47))*$E29, 0)</f>
        <v>0</v>
      </c>
      <c r="G71" s="398">
        <f>IF(AND($G29="Annuitair",G$66&gt;=$F29), ($C29-SUM($C47:F47))*$E29, 0)</f>
        <v>0</v>
      </c>
      <c r="H71" s="398">
        <f>IF(AND($G29="Annuitair",H$66&gt;=$F29), ($C29-SUM($C47:G47))*$E29, 0)</f>
        <v>0</v>
      </c>
      <c r="I71" s="398">
        <f>IF(AND($G29="Annuitair",I$66&gt;=$F29), ($C29-SUM($C47:H47))*$E29, 0)</f>
        <v>0</v>
      </c>
      <c r="J71" s="398">
        <f>IF(AND($G29="Annuitair",J$66&gt;=$F29), ($C29-SUM($C47:I47))*$E29, 0)</f>
        <v>0</v>
      </c>
      <c r="K71" s="832"/>
      <c r="L71" s="832"/>
      <c r="M71" s="398">
        <f>IF(AND($G29="Annuitair",M$66&gt;=$F29), ($C29-SUM($C47:J47))*$E29, 0)</f>
        <v>0</v>
      </c>
      <c r="N71" s="398">
        <f>IF(AND($G29="Annuitair",N$66&gt;=$F29), ($C29-SUM($C47:M47))*$E29, 0)</f>
        <v>0</v>
      </c>
      <c r="O71" s="398">
        <f>IF(AND($G29="Annuitair",O$66&gt;=$F29), ($C29-SUM($C47:N47))*$E29, 0)</f>
        <v>0</v>
      </c>
      <c r="P71" s="398">
        <f>IF(AND($G29="Annuitair",P$66&gt;=$F29), ($C29-SUM($C47:O47))*$E29, 0)</f>
        <v>0</v>
      </c>
      <c r="Q71" s="398">
        <f>IF(AND($G29="Annuitair",Q$66&gt;=$F29), ($C29-SUM($C47:P47))*$E29, 0)</f>
        <v>0</v>
      </c>
      <c r="R71" s="398">
        <f>IF(AND($G29="Annuitair",R$66&gt;=$F29), ($C29-SUM($C47:Q47))*$E29, 0)</f>
        <v>0</v>
      </c>
      <c r="S71" s="398">
        <f>IF(AND($G29="Annuitair",S$66&gt;=$F29), ($C29-SUM($C47:R47))*$E29, 0)</f>
        <v>0</v>
      </c>
      <c r="T71" s="398">
        <f>IF(AND($G29="Annuitair",T$66&gt;=$F29), ($C29-SUM($C47:S47))*$E29, 0)</f>
        <v>0</v>
      </c>
      <c r="U71" s="398">
        <f>IF(AND($G29="Annuitair",U$66&gt;=$F29), ($C29-SUM($C47:T47))*$E29, 0)</f>
        <v>0</v>
      </c>
      <c r="V71" s="398">
        <f>IF(AND($G29="Annuitair",V$66&gt;=$F29), ($C29-SUM($C47:U47))*$E29, 0)</f>
        <v>0</v>
      </c>
      <c r="W71" s="398">
        <f>IF(AND($G29="Annuitair",W$66&gt;=$F29), ($C29-SUM($C47:V47))*$E29, 0)</f>
        <v>0</v>
      </c>
      <c r="X71" s="398">
        <f>IF(AND($G29="Annuitair",X$66&gt;=$F29), ($C29-SUM($C47:W47))*$E29, 0)</f>
        <v>0</v>
      </c>
      <c r="Y71" s="398">
        <f>IF(AND($G29="Annuitair",Y$66&gt;=$F29), ($C29-SUM($C47:X47))*$E29, 0)</f>
        <v>0</v>
      </c>
      <c r="Z71" s="398">
        <f>IF(AND($G29="Annuitair",Z$66&gt;=$F29), ($C29-SUM($C47:Y47))*$E29, 0)</f>
        <v>0</v>
      </c>
      <c r="AA71" s="398">
        <f>IF(AND($G29="Annuitair",AA$66&gt;=$F29), ($C29-SUM($C47:Z47))*$E29, 0)</f>
        <v>0</v>
      </c>
      <c r="AB71" s="398">
        <f>IF(AND($G29="Annuitair",AB$66&gt;=$F29), ($C29-SUM($C47:AA47))*$E29, 0)</f>
        <v>0</v>
      </c>
      <c r="AC71" s="398">
        <f>IF(AND($G29="Annuitair",AC$66&gt;=$F29), ($C29-SUM($C47:AB47))*$E29, 0)</f>
        <v>0</v>
      </c>
      <c r="AD71" s="398">
        <f>IF(AND($G29="Annuitair",AD$66&gt;=$F29), ($C29-SUM($C47:AC47))*$E29, 0)</f>
        <v>0</v>
      </c>
      <c r="AE71" s="398">
        <f>IF(AND($G29="Annuitair",AE$66&gt;=$F29), ($C29-SUM($C47:AD47))*$E29, 0)</f>
        <v>0</v>
      </c>
      <c r="AF71" s="398">
        <f>IF(AND($G29="Annuitair",AF$66&gt;=$F29), ($C29-SUM($C47:AE47))*$E29, 0)</f>
        <v>0</v>
      </c>
      <c r="AG71" s="398">
        <f>IF(AND($G29="Annuitair",AG$66&gt;=$F29), ($C29-SUM($C47:AF47))*$E29, 0)</f>
        <v>0</v>
      </c>
      <c r="AH71" s="398">
        <f>IF(AND($G29="Annuitair",AH$66&gt;=$F29), ($C29-SUM($C47:AG47))*$E29, 0)</f>
        <v>0</v>
      </c>
      <c r="AI71" s="398">
        <f>IF(AND($G29="Annuitair",AI$66&gt;=$F29), ($C29-SUM($C47:AH47))*$E29, 0)</f>
        <v>0</v>
      </c>
      <c r="AJ71" s="398">
        <f>IF(AND($G29="Annuitair",AJ$66&gt;=$F29), ($C29-SUM($C47:AI47))*$E29, 0)</f>
        <v>0</v>
      </c>
      <c r="AK71" s="398">
        <f>IF(AND($G29="Annuitair",AK$66&gt;=$F29), ($C29-SUM($C47:AJ47))*$E29, 0)</f>
        <v>0</v>
      </c>
      <c r="AL71" s="398">
        <f>IF(AND($G29="Annuitair",AL$66&gt;=$F29), ($C29-SUM($C47:AK47))*$E29, 0)</f>
        <v>0</v>
      </c>
      <c r="AM71" s="398">
        <f>IF(AND($G29="Annuitair",AM$66&gt;=$F29), ($C29-SUM($C47:AL47))*$E29, 0)</f>
        <v>0</v>
      </c>
      <c r="AN71" s="398">
        <f>IF(AND($G29="Annuitair",AN$66&gt;=$F29), ($C29-SUM($C47:AM47))*$E29, 0)</f>
        <v>0</v>
      </c>
    </row>
    <row r="72" spans="2:40" hidden="1" outlineLevel="1" x14ac:dyDescent="0.25">
      <c r="B72" s="396">
        <f t="shared" si="58"/>
        <v>0</v>
      </c>
      <c r="C72" s="396"/>
      <c r="D72" s="398">
        <f>IF(AND($G30="Annuitair",D$66&gt;=$F30), ($C30-SUM($C48:C48))*$E30, 0)</f>
        <v>0</v>
      </c>
      <c r="E72" s="398">
        <f>IF(AND($G30="Annuitair",E$66&gt;=$F30), ($C30-SUM($C48:D48))*$E30, 0)</f>
        <v>0</v>
      </c>
      <c r="F72" s="398">
        <f>IF(AND($G30="Annuitair",F$66&gt;=$F30), ($C30-SUM($C48:E48))*$E30, 0)</f>
        <v>0</v>
      </c>
      <c r="G72" s="398">
        <f>IF(AND($G30="Annuitair",G$66&gt;=$F30), ($C30-SUM($C48:F48))*$E30, 0)</f>
        <v>0</v>
      </c>
      <c r="H72" s="398">
        <f>IF(AND($G30="Annuitair",H$66&gt;=$F30), ($C30-SUM($C48:G48))*$E30, 0)</f>
        <v>0</v>
      </c>
      <c r="I72" s="398">
        <f>IF(AND($G30="Annuitair",I$66&gt;=$F30), ($C30-SUM($C48:H48))*$E30, 0)</f>
        <v>0</v>
      </c>
      <c r="J72" s="398">
        <f>IF(AND($G30="Annuitair",J$66&gt;=$F30), ($C30-SUM($C48:I48))*$E30, 0)</f>
        <v>0</v>
      </c>
      <c r="K72" s="832"/>
      <c r="L72" s="832"/>
      <c r="M72" s="398">
        <f>IF(AND($G30="Annuitair",M$66&gt;=$F30), ($C30-SUM($C48:J48))*$E30, 0)</f>
        <v>0</v>
      </c>
      <c r="N72" s="398">
        <f>IF(AND($G30="Annuitair",N$66&gt;=$F30), ($C30-SUM($C48:M48))*$E30, 0)</f>
        <v>0</v>
      </c>
      <c r="O72" s="398">
        <f>IF(AND($G30="Annuitair",O$66&gt;=$F30), ($C30-SUM($C48:N48))*$E30, 0)</f>
        <v>0</v>
      </c>
      <c r="P72" s="398">
        <f>IF(AND($G30="Annuitair",P$66&gt;=$F30), ($C30-SUM($C48:O48))*$E30, 0)</f>
        <v>0</v>
      </c>
      <c r="Q72" s="398">
        <f>IF(AND($G30="Annuitair",Q$66&gt;=$F30), ($C30-SUM($C48:P48))*$E30, 0)</f>
        <v>0</v>
      </c>
      <c r="R72" s="398">
        <f>IF(AND($G30="Annuitair",R$66&gt;=$F30), ($C30-SUM($C48:Q48))*$E30, 0)</f>
        <v>0</v>
      </c>
      <c r="S72" s="398">
        <f>IF(AND($G30="Annuitair",S$66&gt;=$F30), ($C30-SUM($C48:R48))*$E30, 0)</f>
        <v>0</v>
      </c>
      <c r="T72" s="398">
        <f>IF(AND($G30="Annuitair",T$66&gt;=$F30), ($C30-SUM($C48:S48))*$E30, 0)</f>
        <v>0</v>
      </c>
      <c r="U72" s="398">
        <f>IF(AND($G30="Annuitair",U$66&gt;=$F30), ($C30-SUM($C48:T48))*$E30, 0)</f>
        <v>0</v>
      </c>
      <c r="V72" s="398">
        <f>IF(AND($G30="Annuitair",V$66&gt;=$F30), ($C30-SUM($C48:U48))*$E30, 0)</f>
        <v>0</v>
      </c>
      <c r="W72" s="398">
        <f>IF(AND($G30="Annuitair",W$66&gt;=$F30), ($C30-SUM($C48:V48))*$E30, 0)</f>
        <v>0</v>
      </c>
      <c r="X72" s="398">
        <f>IF(AND($G30="Annuitair",X$66&gt;=$F30), ($C30-SUM($C48:W48))*$E30, 0)</f>
        <v>0</v>
      </c>
      <c r="Y72" s="398">
        <f>IF(AND($G30="Annuitair",Y$66&gt;=$F30), ($C30-SUM($C48:X48))*$E30, 0)</f>
        <v>0</v>
      </c>
      <c r="Z72" s="398">
        <f>IF(AND($G30="Annuitair",Z$66&gt;=$F30), ($C30-SUM($C48:Y48))*$E30, 0)</f>
        <v>0</v>
      </c>
      <c r="AA72" s="398">
        <f>IF(AND($G30="Annuitair",AA$66&gt;=$F30), ($C30-SUM($C48:Z48))*$E30, 0)</f>
        <v>0</v>
      </c>
      <c r="AB72" s="398">
        <f>IF(AND($G30="Annuitair",AB$66&gt;=$F30), ($C30-SUM($C48:AA48))*$E30, 0)</f>
        <v>0</v>
      </c>
      <c r="AC72" s="398">
        <f>IF(AND($G30="Annuitair",AC$66&gt;=$F30), ($C30-SUM($C48:AB48))*$E30, 0)</f>
        <v>0</v>
      </c>
      <c r="AD72" s="398">
        <f>IF(AND($G30="Annuitair",AD$66&gt;=$F30), ($C30-SUM($C48:AC48))*$E30, 0)</f>
        <v>0</v>
      </c>
      <c r="AE72" s="398">
        <f>IF(AND($G30="Annuitair",AE$66&gt;=$F30), ($C30-SUM($C48:AD48))*$E30, 0)</f>
        <v>0</v>
      </c>
      <c r="AF72" s="398">
        <f>IF(AND($G30="Annuitair",AF$66&gt;=$F30), ($C30-SUM($C48:AE48))*$E30, 0)</f>
        <v>0</v>
      </c>
      <c r="AG72" s="398">
        <f>IF(AND($G30="Annuitair",AG$66&gt;=$F30), ($C30-SUM($C48:AF48))*$E30, 0)</f>
        <v>0</v>
      </c>
      <c r="AH72" s="398">
        <f>IF(AND($G30="Annuitair",AH$66&gt;=$F30), ($C30-SUM($C48:AG48))*$E30, 0)</f>
        <v>0</v>
      </c>
      <c r="AI72" s="398">
        <f>IF(AND($G30="Annuitair",AI$66&gt;=$F30), ($C30-SUM($C48:AH48))*$E30, 0)</f>
        <v>0</v>
      </c>
      <c r="AJ72" s="398">
        <f>IF(AND($G30="Annuitair",AJ$66&gt;=$F30), ($C30-SUM($C48:AI48))*$E30, 0)</f>
        <v>0</v>
      </c>
      <c r="AK72" s="398">
        <f>IF(AND($G30="Annuitair",AK$66&gt;=$F30), ($C30-SUM($C48:AJ48))*$E30, 0)</f>
        <v>0</v>
      </c>
      <c r="AL72" s="398">
        <f>IF(AND($G30="Annuitair",AL$66&gt;=$F30), ($C30-SUM($C48:AK48))*$E30, 0)</f>
        <v>0</v>
      </c>
      <c r="AM72" s="398">
        <f>IF(AND($G30="Annuitair",AM$66&gt;=$F30), ($C30-SUM($C48:AL48))*$E30, 0)</f>
        <v>0</v>
      </c>
      <c r="AN72" s="398">
        <f>IF(AND($G30="Annuitair",AN$66&gt;=$F30), ($C30-SUM($C48:AM48))*$E30, 0)</f>
        <v>0</v>
      </c>
    </row>
    <row r="73" spans="2:40" hidden="1" outlineLevel="1" x14ac:dyDescent="0.25">
      <c r="B73" s="396">
        <f t="shared" si="58"/>
        <v>0</v>
      </c>
      <c r="C73" s="396"/>
      <c r="D73" s="398">
        <f>IF(AND($G31="Annuitair",D$66&gt;=$F31), ($C31-SUM($C49:C49))*$E31, 0)</f>
        <v>0</v>
      </c>
      <c r="E73" s="398">
        <f>IF(AND($G31="Annuitair",E$66&gt;=$F31), ($C31-SUM($C49:D49))*$E31, 0)</f>
        <v>0</v>
      </c>
      <c r="F73" s="398">
        <f>IF(AND($G31="Annuitair",F$66&gt;=$F31), ($C31-SUM($C49:E49))*$E31, 0)</f>
        <v>0</v>
      </c>
      <c r="G73" s="398">
        <f>IF(AND($G31="Annuitair",G$66&gt;=$F31), ($C31-SUM($C49:F49))*$E31, 0)</f>
        <v>0</v>
      </c>
      <c r="H73" s="398">
        <f>IF(AND($G31="Annuitair",H$66&gt;=$F31), ($C31-SUM($C49:G49))*$E31, 0)</f>
        <v>0</v>
      </c>
      <c r="I73" s="398">
        <f>IF(AND($G31="Annuitair",I$66&gt;=$F31), ($C31-SUM($C49:H49))*$E31, 0)</f>
        <v>0</v>
      </c>
      <c r="J73" s="398">
        <f>IF(AND($G31="Annuitair",J$66&gt;=$F31), ($C31-SUM($C49:I49))*$E31, 0)</f>
        <v>0</v>
      </c>
      <c r="K73" s="832"/>
      <c r="L73" s="832"/>
      <c r="M73" s="398">
        <f>IF(AND($G31="Annuitair",M$66&gt;=$F31), ($C31-SUM($C49:J49))*$E31, 0)</f>
        <v>0</v>
      </c>
      <c r="N73" s="398">
        <f>IF(AND($G31="Annuitair",N$66&gt;=$F31), ($C31-SUM($C49:M49))*$E31, 0)</f>
        <v>0</v>
      </c>
      <c r="O73" s="398">
        <f>IF(AND($G31="Annuitair",O$66&gt;=$F31), ($C31-SUM($C49:N49))*$E31, 0)</f>
        <v>0</v>
      </c>
      <c r="P73" s="398">
        <f>IF(AND($G31="Annuitair",P$66&gt;=$F31), ($C31-SUM($C49:O49))*$E31, 0)</f>
        <v>0</v>
      </c>
      <c r="Q73" s="398">
        <f>IF(AND($G31="Annuitair",Q$66&gt;=$F31), ($C31-SUM($C49:P49))*$E31, 0)</f>
        <v>0</v>
      </c>
      <c r="R73" s="398">
        <f>IF(AND($G31="Annuitair",R$66&gt;=$F31), ($C31-SUM($C49:Q49))*$E31, 0)</f>
        <v>0</v>
      </c>
      <c r="S73" s="398">
        <f>IF(AND($G31="Annuitair",S$66&gt;=$F31), ($C31-SUM($C49:R49))*$E31, 0)</f>
        <v>0</v>
      </c>
      <c r="T73" s="398">
        <f>IF(AND($G31="Annuitair",T$66&gt;=$F31), ($C31-SUM($C49:S49))*$E31, 0)</f>
        <v>0</v>
      </c>
      <c r="U73" s="398">
        <f>IF(AND($G31="Annuitair",U$66&gt;=$F31), ($C31-SUM($C49:T49))*$E31, 0)</f>
        <v>0</v>
      </c>
      <c r="V73" s="398">
        <f>IF(AND($G31="Annuitair",V$66&gt;=$F31), ($C31-SUM($C49:U49))*$E31, 0)</f>
        <v>0</v>
      </c>
      <c r="W73" s="398">
        <f>IF(AND($G31="Annuitair",W$66&gt;=$F31), ($C31-SUM($C49:V49))*$E31, 0)</f>
        <v>0</v>
      </c>
      <c r="X73" s="398">
        <f>IF(AND($G31="Annuitair",X$66&gt;=$F31), ($C31-SUM($C49:W49))*$E31, 0)</f>
        <v>0</v>
      </c>
      <c r="Y73" s="398">
        <f>IF(AND($G31="Annuitair",Y$66&gt;=$F31), ($C31-SUM($C49:X49))*$E31, 0)</f>
        <v>0</v>
      </c>
      <c r="Z73" s="398">
        <f>IF(AND($G31="Annuitair",Z$66&gt;=$F31), ($C31-SUM($C49:Y49))*$E31, 0)</f>
        <v>0</v>
      </c>
      <c r="AA73" s="398">
        <f>IF(AND($G31="Annuitair",AA$66&gt;=$F31), ($C31-SUM($C49:Z49))*$E31, 0)</f>
        <v>0</v>
      </c>
      <c r="AB73" s="398">
        <f>IF(AND($G31="Annuitair",AB$66&gt;=$F31), ($C31-SUM($C49:AA49))*$E31, 0)</f>
        <v>0</v>
      </c>
      <c r="AC73" s="398">
        <f>IF(AND($G31="Annuitair",AC$66&gt;=$F31), ($C31-SUM($C49:AB49))*$E31, 0)</f>
        <v>0</v>
      </c>
      <c r="AD73" s="398">
        <f>IF(AND($G31="Annuitair",AD$66&gt;=$F31), ($C31-SUM($C49:AC49))*$E31, 0)</f>
        <v>0</v>
      </c>
      <c r="AE73" s="398">
        <f>IF(AND($G31="Annuitair",AE$66&gt;=$F31), ($C31-SUM($C49:AD49))*$E31, 0)</f>
        <v>0</v>
      </c>
      <c r="AF73" s="398">
        <f>IF(AND($G31="Annuitair",AF$66&gt;=$F31), ($C31-SUM($C49:AE49))*$E31, 0)</f>
        <v>0</v>
      </c>
      <c r="AG73" s="398">
        <f>IF(AND($G31="Annuitair",AG$66&gt;=$F31), ($C31-SUM($C49:AF49))*$E31, 0)</f>
        <v>0</v>
      </c>
      <c r="AH73" s="398">
        <f>IF(AND($G31="Annuitair",AH$66&gt;=$F31), ($C31-SUM($C49:AG49))*$E31, 0)</f>
        <v>0</v>
      </c>
      <c r="AI73" s="398">
        <f>IF(AND($G31="Annuitair",AI$66&gt;=$F31), ($C31-SUM($C49:AH49))*$E31, 0)</f>
        <v>0</v>
      </c>
      <c r="AJ73" s="398">
        <f>IF(AND($G31="Annuitair",AJ$66&gt;=$F31), ($C31-SUM($C49:AI49))*$E31, 0)</f>
        <v>0</v>
      </c>
      <c r="AK73" s="398">
        <f>IF(AND($G31="Annuitair",AK$66&gt;=$F31), ($C31-SUM($C49:AJ49))*$E31, 0)</f>
        <v>0</v>
      </c>
      <c r="AL73" s="398">
        <f>IF(AND($G31="Annuitair",AL$66&gt;=$F31), ($C31-SUM($C49:AK49))*$E31, 0)</f>
        <v>0</v>
      </c>
      <c r="AM73" s="398">
        <f>IF(AND($G31="Annuitair",AM$66&gt;=$F31), ($C31-SUM($C49:AL49))*$E31, 0)</f>
        <v>0</v>
      </c>
      <c r="AN73" s="398">
        <f>IF(AND($G31="Annuitair",AN$66&gt;=$F31), ($C31-SUM($C49:AM49))*$E31, 0)</f>
        <v>0</v>
      </c>
    </row>
    <row r="74" spans="2:40" hidden="1" outlineLevel="1" x14ac:dyDescent="0.25">
      <c r="B74" s="396">
        <f t="shared" si="58"/>
        <v>0</v>
      </c>
      <c r="C74" s="396"/>
      <c r="D74" s="398">
        <f>IF(AND($G32="Annuitair",D$66&gt;=$F32), ($C32-SUM($C50:C50))*$E32, 0)</f>
        <v>0</v>
      </c>
      <c r="E74" s="398">
        <f>IF(AND($G32="Annuitair",E$66&gt;=$F32), ($C32-SUM($C50:D50))*$E32, 0)</f>
        <v>0</v>
      </c>
      <c r="F74" s="398">
        <f>IF(AND($G32="Annuitair",F$66&gt;=$F32), ($C32-SUM($C50:E50))*$E32, 0)</f>
        <v>0</v>
      </c>
      <c r="G74" s="398">
        <f>IF(AND($G32="Annuitair",G$66&gt;=$F32), ($C32-SUM($C50:F50))*$E32, 0)</f>
        <v>0</v>
      </c>
      <c r="H74" s="398">
        <f>IF(AND($G32="Annuitair",H$66&gt;=$F32), ($C32-SUM($C50:G50))*$E32, 0)</f>
        <v>0</v>
      </c>
      <c r="I74" s="398">
        <f>IF(AND($G32="Annuitair",I$66&gt;=$F32), ($C32-SUM($C50:H50))*$E32, 0)</f>
        <v>0</v>
      </c>
      <c r="J74" s="398">
        <f>IF(AND($G32="Annuitair",J$66&gt;=$F32), ($C32-SUM($C50:I50))*$E32, 0)</f>
        <v>0</v>
      </c>
      <c r="K74" s="832"/>
      <c r="L74" s="832"/>
      <c r="M74" s="398">
        <f>IF(AND($G32="Annuitair",M$66&gt;=$F32), ($C32-SUM($C50:J50))*$E32, 0)</f>
        <v>0</v>
      </c>
      <c r="N74" s="398">
        <f>IF(AND($G32="Annuitair",N$66&gt;=$F32), ($C32-SUM($C50:M50))*$E32, 0)</f>
        <v>0</v>
      </c>
      <c r="O74" s="398">
        <f>IF(AND($G32="Annuitair",O$66&gt;=$F32), ($C32-SUM($C50:N50))*$E32, 0)</f>
        <v>0</v>
      </c>
      <c r="P74" s="398">
        <f>IF(AND($G32="Annuitair",P$66&gt;=$F32), ($C32-SUM($C50:O50))*$E32, 0)</f>
        <v>0</v>
      </c>
      <c r="Q74" s="398">
        <f>IF(AND($G32="Annuitair",Q$66&gt;=$F32), ($C32-SUM($C50:P50))*$E32, 0)</f>
        <v>0</v>
      </c>
      <c r="R74" s="398">
        <f>IF(AND($G32="Annuitair",R$66&gt;=$F32), ($C32-SUM($C50:Q50))*$E32, 0)</f>
        <v>0</v>
      </c>
      <c r="S74" s="398">
        <f>IF(AND($G32="Annuitair",S$66&gt;=$F32), ($C32-SUM($C50:R50))*$E32, 0)</f>
        <v>0</v>
      </c>
      <c r="T74" s="398">
        <f>IF(AND($G32="Annuitair",T$66&gt;=$F32), ($C32-SUM($C50:S50))*$E32, 0)</f>
        <v>0</v>
      </c>
      <c r="U74" s="398">
        <f>IF(AND($G32="Annuitair",U$66&gt;=$F32), ($C32-SUM($C50:T50))*$E32, 0)</f>
        <v>0</v>
      </c>
      <c r="V74" s="398">
        <f>IF(AND($G32="Annuitair",V$66&gt;=$F32), ($C32-SUM($C50:U50))*$E32, 0)</f>
        <v>0</v>
      </c>
      <c r="W74" s="398">
        <f>IF(AND($G32="Annuitair",W$66&gt;=$F32), ($C32-SUM($C50:V50))*$E32, 0)</f>
        <v>0</v>
      </c>
      <c r="X74" s="398">
        <f>IF(AND($G32="Annuitair",X$66&gt;=$F32), ($C32-SUM($C50:W50))*$E32, 0)</f>
        <v>0</v>
      </c>
      <c r="Y74" s="398">
        <f>IF(AND($G32="Annuitair",Y$66&gt;=$F32), ($C32-SUM($C50:X50))*$E32, 0)</f>
        <v>0</v>
      </c>
      <c r="Z74" s="398">
        <f>IF(AND($G32="Annuitair",Z$66&gt;=$F32), ($C32-SUM($C50:Y50))*$E32, 0)</f>
        <v>0</v>
      </c>
      <c r="AA74" s="398">
        <f>IF(AND($G32="Annuitair",AA$66&gt;=$F32), ($C32-SUM($C50:Z50))*$E32, 0)</f>
        <v>0</v>
      </c>
      <c r="AB74" s="398">
        <f>IF(AND($G32="Annuitair",AB$66&gt;=$F32), ($C32-SUM($C50:AA50))*$E32, 0)</f>
        <v>0</v>
      </c>
      <c r="AC74" s="398">
        <f>IF(AND($G32="Annuitair",AC$66&gt;=$F32), ($C32-SUM($C50:AB50))*$E32, 0)</f>
        <v>0</v>
      </c>
      <c r="AD74" s="398">
        <f>IF(AND($G32="Annuitair",AD$66&gt;=$F32), ($C32-SUM($C50:AC50))*$E32, 0)</f>
        <v>0</v>
      </c>
      <c r="AE74" s="398">
        <f>IF(AND($G32="Annuitair",AE$66&gt;=$F32), ($C32-SUM($C50:AD50))*$E32, 0)</f>
        <v>0</v>
      </c>
      <c r="AF74" s="398">
        <f>IF(AND($G32="Annuitair",AF$66&gt;=$F32), ($C32-SUM($C50:AE50))*$E32, 0)</f>
        <v>0</v>
      </c>
      <c r="AG74" s="398">
        <f>IF(AND($G32="Annuitair",AG$66&gt;=$F32), ($C32-SUM($C50:AF50))*$E32, 0)</f>
        <v>0</v>
      </c>
      <c r="AH74" s="398">
        <f>IF(AND($G32="Annuitair",AH$66&gt;=$F32), ($C32-SUM($C50:AG50))*$E32, 0)</f>
        <v>0</v>
      </c>
      <c r="AI74" s="398">
        <f>IF(AND($G32="Annuitair",AI$66&gt;=$F32), ($C32-SUM($C50:AH50))*$E32, 0)</f>
        <v>0</v>
      </c>
      <c r="AJ74" s="398">
        <f>IF(AND($G32="Annuitair",AJ$66&gt;=$F32), ($C32-SUM($C50:AI50))*$E32, 0)</f>
        <v>0</v>
      </c>
      <c r="AK74" s="398">
        <f>IF(AND($G32="Annuitair",AK$66&gt;=$F32), ($C32-SUM($C50:AJ50))*$E32, 0)</f>
        <v>0</v>
      </c>
      <c r="AL74" s="398">
        <f>IF(AND($G32="Annuitair",AL$66&gt;=$F32), ($C32-SUM($C50:AK50))*$E32, 0)</f>
        <v>0</v>
      </c>
      <c r="AM74" s="398">
        <f>IF(AND($G32="Annuitair",AM$66&gt;=$F32), ($C32-SUM($C50:AL50))*$E32, 0)</f>
        <v>0</v>
      </c>
      <c r="AN74" s="398">
        <f>IF(AND($G32="Annuitair",AN$66&gt;=$F32), ($C32-SUM($C50:AM50))*$E32, 0)</f>
        <v>0</v>
      </c>
    </row>
    <row r="75" spans="2:40" hidden="1" outlineLevel="1" x14ac:dyDescent="0.25">
      <c r="B75" s="396"/>
      <c r="C75" s="396"/>
    </row>
    <row r="76" spans="2:40" hidden="1" outlineLevel="1" x14ac:dyDescent="0.25">
      <c r="B76" s="13"/>
      <c r="C76" s="13"/>
    </row>
    <row r="77" spans="2:40" hidden="1" outlineLevel="1" x14ac:dyDescent="0.25">
      <c r="B77" s="30" t="s">
        <v>362</v>
      </c>
      <c r="C77" s="30"/>
      <c r="D77" s="299">
        <f>YEAR(Startdatum)</f>
        <v>1900</v>
      </c>
      <c r="E77" s="298">
        <f t="shared" ref="E77:O77" si="59" xml:space="preserve"> D77 + 1</f>
        <v>1901</v>
      </c>
      <c r="F77" s="298">
        <f t="shared" si="59"/>
        <v>1902</v>
      </c>
      <c r="G77" s="298">
        <f t="shared" si="59"/>
        <v>1903</v>
      </c>
      <c r="H77" s="298">
        <f t="shared" si="59"/>
        <v>1904</v>
      </c>
      <c r="I77" s="298">
        <f t="shared" si="59"/>
        <v>1905</v>
      </c>
      <c r="J77" s="299">
        <f xml:space="preserve"> I77 + 1</f>
        <v>1906</v>
      </c>
      <c r="K77" s="831"/>
      <c r="L77" s="831"/>
      <c r="M77" s="298">
        <f xml:space="preserve"> J77 + 1</f>
        <v>1907</v>
      </c>
      <c r="N77" s="298">
        <f t="shared" si="59"/>
        <v>1908</v>
      </c>
      <c r="O77" s="298">
        <f t="shared" si="59"/>
        <v>1909</v>
      </c>
      <c r="P77" s="298">
        <f xml:space="preserve"> O77 + 1</f>
        <v>1910</v>
      </c>
      <c r="Q77" s="298">
        <f t="shared" ref="Q77:AN77" si="60" xml:space="preserve"> P77 + 1</f>
        <v>1911</v>
      </c>
      <c r="R77" s="298">
        <f t="shared" si="60"/>
        <v>1912</v>
      </c>
      <c r="S77" s="298">
        <f t="shared" si="60"/>
        <v>1913</v>
      </c>
      <c r="T77" s="298">
        <f t="shared" si="60"/>
        <v>1914</v>
      </c>
      <c r="U77" s="298">
        <f t="shared" si="60"/>
        <v>1915</v>
      </c>
      <c r="V77" s="299">
        <f t="shared" si="60"/>
        <v>1916</v>
      </c>
      <c r="W77" s="298">
        <f t="shared" si="60"/>
        <v>1917</v>
      </c>
      <c r="X77" s="298">
        <f t="shared" si="60"/>
        <v>1918</v>
      </c>
      <c r="Y77" s="298">
        <f t="shared" si="60"/>
        <v>1919</v>
      </c>
      <c r="Z77" s="298">
        <f t="shared" si="60"/>
        <v>1920</v>
      </c>
      <c r="AA77" s="298">
        <f t="shared" si="60"/>
        <v>1921</v>
      </c>
      <c r="AB77" s="298">
        <f t="shared" si="60"/>
        <v>1922</v>
      </c>
      <c r="AC77" s="298">
        <f t="shared" si="60"/>
        <v>1923</v>
      </c>
      <c r="AD77" s="298">
        <f t="shared" si="60"/>
        <v>1924</v>
      </c>
      <c r="AE77" s="298">
        <f t="shared" si="60"/>
        <v>1925</v>
      </c>
      <c r="AF77" s="298">
        <f t="shared" si="60"/>
        <v>1926</v>
      </c>
      <c r="AG77" s="298">
        <f t="shared" si="60"/>
        <v>1927</v>
      </c>
      <c r="AH77" s="298">
        <f t="shared" si="60"/>
        <v>1928</v>
      </c>
      <c r="AI77" s="298">
        <f t="shared" si="60"/>
        <v>1929</v>
      </c>
      <c r="AJ77" s="298">
        <f t="shared" si="60"/>
        <v>1930</v>
      </c>
      <c r="AK77" s="298">
        <f t="shared" si="60"/>
        <v>1931</v>
      </c>
      <c r="AL77" s="298">
        <f t="shared" si="60"/>
        <v>1932</v>
      </c>
      <c r="AM77" s="298">
        <f t="shared" si="60"/>
        <v>1933</v>
      </c>
      <c r="AN77" s="298">
        <f t="shared" si="60"/>
        <v>1934</v>
      </c>
    </row>
    <row r="78" spans="2:40" hidden="1" outlineLevel="1" x14ac:dyDescent="0.25">
      <c r="B78" s="396">
        <f t="shared" ref="B78:B85" si="61">B25</f>
        <v>0</v>
      </c>
      <c r="C78" s="396"/>
      <c r="D78" s="397">
        <f>IF(AND($G25="Lineair",D$77&gt;=$F25), ($C25-SUM($C54:C54))*$E25, 0)</f>
        <v>0</v>
      </c>
      <c r="E78" s="397">
        <f>IF(AND($G25="Lineair",E$77&gt;=$F25), ($C25-SUM($C54:D54))*$E25, 0)</f>
        <v>0</v>
      </c>
      <c r="F78" s="397">
        <f>IF(AND($G25="Lineair",F$77&gt;=$F25), ($C25-SUM($C54:E54))*$E25, 0)</f>
        <v>0</v>
      </c>
      <c r="G78" s="397">
        <f>IF(AND($G25="Lineair",G$77&gt;=$F25), ($C25-SUM($C54:F54))*$E25, 0)</f>
        <v>0</v>
      </c>
      <c r="H78" s="397">
        <f>IF(AND($G25="Lineair",H$77&gt;=$F25), ($C25-SUM($C54:G54))*$E25, 0)</f>
        <v>0</v>
      </c>
      <c r="I78" s="397">
        <f>IF(AND($G25="Lineair",I$77&gt;=$F25), ($C25-SUM($C54:H54))*$E25, 0)</f>
        <v>0</v>
      </c>
      <c r="J78" s="397">
        <f>IF(AND($G25="Lineair",J$77&gt;=$F25), ($C25-SUM($C54:I54))*$E25, 0)</f>
        <v>0</v>
      </c>
      <c r="M78" s="397">
        <f>IF(AND($G25="Lineair",M$77&gt;=$F25), ($C25-SUM($C54:J54))*$E25, 0)</f>
        <v>0</v>
      </c>
      <c r="N78" s="397">
        <f>IF(AND($G25="Lineair",N$77&gt;=$F25), ($C25-SUM($C54:M54))*$E25, 0)</f>
        <v>0</v>
      </c>
      <c r="O78" s="397">
        <f>IF(AND($G25="Lineair",O$77&gt;=$F25), ($C25-SUM($C54:N54))*$E25, 0)</f>
        <v>0</v>
      </c>
      <c r="P78" s="397">
        <f>IF(AND($G25="Lineair",P$77&gt;=$F25), ($C25-SUM($C54:O54))*$E25, 0)</f>
        <v>0</v>
      </c>
      <c r="Q78" s="397">
        <f>IF(AND($G25="Lineair",Q$77&gt;=$F25), ($C25-SUM($C54:P54))*$E25, 0)</f>
        <v>0</v>
      </c>
      <c r="R78" s="397">
        <f>IF(AND($G25="Lineair",R$77&gt;=$F25), ($C25-SUM($C54:Q54))*$E25, 0)</f>
        <v>0</v>
      </c>
      <c r="S78" s="397">
        <f>IF(AND($G25="Lineair",S$77&gt;=$F25), ($C25-SUM($C54:R54))*$E25, 0)</f>
        <v>0</v>
      </c>
      <c r="T78" s="397">
        <f>IF(AND($G25="Lineair",T$77&gt;=$F25), ($C25-SUM($C54:S54))*$E25, 0)</f>
        <v>0</v>
      </c>
      <c r="U78" s="397">
        <f>IF(AND($G25="Lineair",U$77&gt;=$F25), ($C25-SUM($C54:T54))*$E25, 0)</f>
        <v>0</v>
      </c>
      <c r="V78" s="397">
        <f>IF(AND($G25="Lineair",V$77&gt;=$F25), ($C25-SUM($C54:U54))*$E25, 0)</f>
        <v>0</v>
      </c>
      <c r="W78" s="397">
        <f>IF(AND($G25="Lineair",W$77&gt;=$F25), ($C25-SUM($C54:V54))*$E25, 0)</f>
        <v>0</v>
      </c>
      <c r="X78" s="397">
        <f>IF(AND($G25="Lineair",X$77&gt;=$F25), ($C25-SUM($C54:W54))*$E25, 0)</f>
        <v>0</v>
      </c>
      <c r="Y78" s="397">
        <f>IF(AND($G25="Lineair",Y$77&gt;=$F25), ($C25-SUM($C54:X54))*$E25, 0)</f>
        <v>0</v>
      </c>
      <c r="Z78" s="397">
        <f>IF(AND($G25="Lineair",Z$77&gt;=$F25), ($C25-SUM($C54:Y54))*$E25, 0)</f>
        <v>0</v>
      </c>
      <c r="AA78" s="397">
        <f>IF(AND($G25="Lineair",AA$77&gt;=$F25), ($C25-SUM($C54:Z54))*$E25, 0)</f>
        <v>0</v>
      </c>
      <c r="AB78" s="397">
        <f>IF(AND($G25="Lineair",AB$77&gt;=$F25), ($C25-SUM($C54:AA54))*$E25, 0)</f>
        <v>0</v>
      </c>
      <c r="AC78" s="397">
        <f>IF(AND($G25="Lineair",AC$77&gt;=$F25), ($C25-SUM($C54:AB54))*$E25, 0)</f>
        <v>0</v>
      </c>
      <c r="AD78" s="397">
        <f>IF(AND($G25="Lineair",AD$77&gt;=$F25), ($C25-SUM($C54:AC54))*$E25, 0)</f>
        <v>0</v>
      </c>
      <c r="AE78" s="397">
        <f>IF(AND($G25="Lineair",AE$77&gt;=$F25), ($C25-SUM($C54:AD54))*$E25, 0)</f>
        <v>0</v>
      </c>
      <c r="AF78" s="397">
        <f>IF(AND($G25="Lineair",AF$77&gt;=$F25), ($C25-SUM($C54:AE54))*$E25, 0)</f>
        <v>0</v>
      </c>
      <c r="AG78" s="397">
        <f>IF(AND($G25="Lineair",AG$77&gt;=$F25), ($C25-SUM($C54:AF54))*$E25, 0)</f>
        <v>0</v>
      </c>
      <c r="AH78" s="397">
        <f>IF(AND($G25="Lineair",AH$77&gt;=$F25), ($C25-SUM($C54:AG54))*$E25, 0)</f>
        <v>0</v>
      </c>
      <c r="AI78" s="397">
        <f>IF(AND($G25="Lineair",AI$77&gt;=$F25), ($C25-SUM($C54:AH54))*$E25, 0)</f>
        <v>0</v>
      </c>
      <c r="AJ78" s="397">
        <f>IF(AND($G25="Lineair",AJ$77&gt;=$F25), ($C25-SUM($C54:AI54))*$E25, 0)</f>
        <v>0</v>
      </c>
      <c r="AK78" s="397">
        <f>IF(AND($G25="Lineair",AK$77&gt;=$F25), ($C25-SUM($C54:AJ54))*$E25, 0)</f>
        <v>0</v>
      </c>
      <c r="AL78" s="397">
        <f>IF(AND($G25="Lineair",AL$77&gt;=$F25), ($C25-SUM($C54:AK54))*$E25, 0)</f>
        <v>0</v>
      </c>
      <c r="AM78" s="397">
        <f>IF(AND($G25="Lineair",AM$77&gt;=$F25), ($C25-SUM($C54:AL54))*$E25, 0)</f>
        <v>0</v>
      </c>
      <c r="AN78" s="397">
        <f>IF(AND($G25="Lineair",AN$77&gt;=$F25), ($C25-SUM($C54:AM54))*$E25, 0)</f>
        <v>0</v>
      </c>
    </row>
    <row r="79" spans="2:40" hidden="1" outlineLevel="1" x14ac:dyDescent="0.25">
      <c r="B79" s="396">
        <f t="shared" si="61"/>
        <v>0</v>
      </c>
      <c r="C79" s="396"/>
      <c r="D79" s="397">
        <f>IF(AND($G26="Lineair",D$77&gt;=$F26), ($C26-SUM($C55:C55))*$E26, 0)</f>
        <v>0</v>
      </c>
      <c r="E79" s="397">
        <f>IF(AND($G26="Lineair",E$77&gt;=$F26), ($C26-SUM($C55:D55))*$E26, 0)</f>
        <v>0</v>
      </c>
      <c r="F79" s="397">
        <f>IF(AND($G26="Lineair",F$77&gt;=$F26), ($C26-SUM($C55:E55))*$E26, 0)</f>
        <v>0</v>
      </c>
      <c r="G79" s="397">
        <f>IF(AND($G26="Lineair",G$77&gt;=$F26), ($C26-SUM($C55:F55))*$E26, 0)</f>
        <v>0</v>
      </c>
      <c r="H79" s="397">
        <f>IF(AND($G26="Lineair",H$77&gt;=$F26), ($C26-SUM($C55:G55))*$E26, 0)</f>
        <v>0</v>
      </c>
      <c r="I79" s="397">
        <f>IF(AND($G26="Lineair",I$77&gt;=$F26), ($C26-SUM($C55:H55))*$E26, 0)</f>
        <v>0</v>
      </c>
      <c r="J79" s="397">
        <f>IF(AND($G26="Lineair",J$77&gt;=$F26), ($C26-SUM($C55:I55))*$E26, 0)</f>
        <v>0</v>
      </c>
      <c r="M79" s="397">
        <f>IF(AND($G26="Lineair",M$77&gt;=$F26), ($C26-SUM($C55:J55))*$E26, 0)</f>
        <v>0</v>
      </c>
      <c r="N79" s="397">
        <f>IF(AND($G26="Lineair",N$77&gt;=$F26), ($C26-SUM($C55:M55))*$E26, 0)</f>
        <v>0</v>
      </c>
      <c r="O79" s="397">
        <f>IF(AND($G26="Lineair",O$77&gt;=$F26), ($C26-SUM($C55:N55))*$E26, 0)</f>
        <v>0</v>
      </c>
      <c r="P79" s="397">
        <f>IF(AND($G26="Lineair",P$77&gt;=$F26), ($C26-SUM($C55:O55))*$E26, 0)</f>
        <v>0</v>
      </c>
      <c r="Q79" s="397">
        <f>IF(AND($G26="Lineair",Q$77&gt;=$F26), ($C26-SUM($C55:P55))*$E26, 0)</f>
        <v>0</v>
      </c>
      <c r="R79" s="397">
        <f>IF(AND($G26="Lineair",R$77&gt;=$F26), ($C26-SUM($C55:Q55))*$E26, 0)</f>
        <v>0</v>
      </c>
      <c r="S79" s="397">
        <f>IF(AND($G26="Lineair",S$77&gt;=$F26), ($C26-SUM($C55:R55))*$E26, 0)</f>
        <v>0</v>
      </c>
      <c r="T79" s="397">
        <f>IF(AND($G26="Lineair",T$77&gt;=$F26), ($C26-SUM($C55:S55))*$E26, 0)</f>
        <v>0</v>
      </c>
      <c r="U79" s="397">
        <f>IF(AND($G26="Lineair",U$77&gt;=$F26), ($C26-SUM($C55:T55))*$E26, 0)</f>
        <v>0</v>
      </c>
      <c r="V79" s="397">
        <f>IF(AND($G26="Lineair",V$77&gt;=$F26), ($C26-SUM($C55:U55))*$E26, 0)</f>
        <v>0</v>
      </c>
      <c r="W79" s="397">
        <f>IF(AND($G26="Lineair",W$77&gt;=$F26), ($C26-SUM($C55:V55))*$E26, 0)</f>
        <v>0</v>
      </c>
      <c r="X79" s="397">
        <f>IF(AND($G26="Lineair",X$77&gt;=$F26), ($C26-SUM($C55:W55))*$E26, 0)</f>
        <v>0</v>
      </c>
      <c r="Y79" s="397">
        <f>IF(AND($G26="Lineair",Y$77&gt;=$F26), ($C26-SUM($C55:X55))*$E26, 0)</f>
        <v>0</v>
      </c>
      <c r="Z79" s="397">
        <f>IF(AND($G26="Lineair",Z$77&gt;=$F26), ($C26-SUM($C55:Y55))*$E26, 0)</f>
        <v>0</v>
      </c>
      <c r="AA79" s="397">
        <f>IF(AND($G26="Lineair",AA$77&gt;=$F26), ($C26-SUM($C55:Z55))*$E26, 0)</f>
        <v>0</v>
      </c>
      <c r="AB79" s="397">
        <f>IF(AND($G26="Lineair",AB$77&gt;=$F26), ($C26-SUM($C55:AA55))*$E26, 0)</f>
        <v>0</v>
      </c>
      <c r="AC79" s="397">
        <f>IF(AND($G26="Lineair",AC$77&gt;=$F26), ($C26-SUM($C55:AB55))*$E26, 0)</f>
        <v>0</v>
      </c>
      <c r="AD79" s="397">
        <f>IF(AND($G26="Lineair",AD$77&gt;=$F26), ($C26-SUM($C55:AC55))*$E26, 0)</f>
        <v>0</v>
      </c>
      <c r="AE79" s="397">
        <f>IF(AND($G26="Lineair",AE$77&gt;=$F26), ($C26-SUM($C55:AD55))*$E26, 0)</f>
        <v>0</v>
      </c>
      <c r="AF79" s="397">
        <f>IF(AND($G26="Lineair",AF$77&gt;=$F26), ($C26-SUM($C55:AE55))*$E26, 0)</f>
        <v>0</v>
      </c>
      <c r="AG79" s="397">
        <f>IF(AND($G26="Lineair",AG$77&gt;=$F26), ($C26-SUM($C55:AF55))*$E26, 0)</f>
        <v>0</v>
      </c>
      <c r="AH79" s="397">
        <f>IF(AND($G26="Lineair",AH$77&gt;=$F26), ($C26-SUM($C55:AG55))*$E26, 0)</f>
        <v>0</v>
      </c>
      <c r="AI79" s="397">
        <f>IF(AND($G26="Lineair",AI$77&gt;=$F26), ($C26-SUM($C55:AH55))*$E26, 0)</f>
        <v>0</v>
      </c>
      <c r="AJ79" s="397">
        <f>IF(AND($G26="Lineair",AJ$77&gt;=$F26), ($C26-SUM($C55:AI55))*$E26, 0)</f>
        <v>0</v>
      </c>
      <c r="AK79" s="397">
        <f>IF(AND($G26="Lineair",AK$77&gt;=$F26), ($C26-SUM($C55:AJ55))*$E26, 0)</f>
        <v>0</v>
      </c>
      <c r="AL79" s="397">
        <f>IF(AND($G26="Lineair",AL$77&gt;=$F26), ($C26-SUM($C55:AK55))*$E26, 0)</f>
        <v>0</v>
      </c>
      <c r="AM79" s="397">
        <f>IF(AND($G26="Lineair",AM$77&gt;=$F26), ($C26-SUM($C55:AL55))*$E26, 0)</f>
        <v>0</v>
      </c>
      <c r="AN79" s="397">
        <f>IF(AND($G26="Lineair",AN$77&gt;=$F26), ($C26-SUM($C55:AM55))*$E26, 0)</f>
        <v>0</v>
      </c>
    </row>
    <row r="80" spans="2:40" hidden="1" outlineLevel="1" x14ac:dyDescent="0.25">
      <c r="B80" s="396">
        <f t="shared" si="61"/>
        <v>0</v>
      </c>
      <c r="C80" s="396"/>
      <c r="D80" s="397">
        <f>IF(AND($G27="Lineair",D$77&gt;=$F27), ($C27-SUM($C56:C56))*$E27, 0)</f>
        <v>0</v>
      </c>
      <c r="E80" s="397">
        <f>IF(AND($G27="Lineair",E$77&gt;=$F27), ($C27-SUM($C56:D56))*$E27, 0)</f>
        <v>0</v>
      </c>
      <c r="F80" s="397">
        <f>IF(AND($G27="Lineair",F$77&gt;=$F27), ($C27-SUM($C56:E56))*$E27, 0)</f>
        <v>0</v>
      </c>
      <c r="G80" s="397">
        <f>IF(AND($G27="Lineair",G$77&gt;=$F27), ($C27-SUM($C56:F56))*$E27, 0)</f>
        <v>0</v>
      </c>
      <c r="H80" s="397">
        <f>IF(AND($G27="Lineair",H$77&gt;=$F27), ($C27-SUM($C56:G56))*$E27, 0)</f>
        <v>0</v>
      </c>
      <c r="I80" s="397">
        <f>IF(AND($G27="Lineair",I$77&gt;=$F27), ($C27-SUM($C56:H56))*$E27, 0)</f>
        <v>0</v>
      </c>
      <c r="J80" s="397">
        <f>IF(AND($G27="Lineair",J$77&gt;=$F27), ($C27-SUM($C56:I56))*$E27, 0)</f>
        <v>0</v>
      </c>
      <c r="M80" s="397">
        <f>IF(AND($G27="Lineair",M$77&gt;=$F27), ($C27-SUM($C56:J56))*$E27, 0)</f>
        <v>0</v>
      </c>
      <c r="N80" s="397">
        <f>IF(AND($G27="Lineair",N$77&gt;=$F27), ($C27-SUM($C56:M56))*$E27, 0)</f>
        <v>0</v>
      </c>
      <c r="O80" s="397">
        <f>IF(AND($G27="Lineair",O$77&gt;=$F27), ($C27-SUM($C56:N56))*$E27, 0)</f>
        <v>0</v>
      </c>
      <c r="P80" s="397">
        <f>IF(AND($G27="Lineair",P$77&gt;=$F27), ($C27-SUM($C56:O56))*$E27, 0)</f>
        <v>0</v>
      </c>
      <c r="Q80" s="397">
        <f>IF(AND($G27="Lineair",Q$77&gt;=$F27), ($C27-SUM($C56:P56))*$E27, 0)</f>
        <v>0</v>
      </c>
      <c r="R80" s="397">
        <f>IF(AND($G27="Lineair",R$77&gt;=$F27), ($C27-SUM($C56:Q56))*$E27, 0)</f>
        <v>0</v>
      </c>
      <c r="S80" s="397">
        <f>IF(AND($G27="Lineair",S$77&gt;=$F27), ($C27-SUM($C56:R56))*$E27, 0)</f>
        <v>0</v>
      </c>
      <c r="T80" s="397">
        <f>IF(AND($G27="Lineair",T$77&gt;=$F27), ($C27-SUM($C56:S56))*$E27, 0)</f>
        <v>0</v>
      </c>
      <c r="U80" s="397">
        <f>IF(AND($G27="Lineair",U$77&gt;=$F27), ($C27-SUM($C56:T56))*$E27, 0)</f>
        <v>0</v>
      </c>
      <c r="V80" s="397">
        <f>IF(AND($G27="Lineair",V$77&gt;=$F27), ($C27-SUM($C56:U56))*$E27, 0)</f>
        <v>0</v>
      </c>
      <c r="W80" s="397">
        <f>IF(AND($G27="Lineair",W$77&gt;=$F27), ($C27-SUM($C56:V56))*$E27, 0)</f>
        <v>0</v>
      </c>
      <c r="X80" s="397">
        <f>IF(AND($G27="Lineair",X$77&gt;=$F27), ($C27-SUM($C56:W56))*$E27, 0)</f>
        <v>0</v>
      </c>
      <c r="Y80" s="397">
        <f>IF(AND($G27="Lineair",Y$77&gt;=$F27), ($C27-SUM($C56:X56))*$E27, 0)</f>
        <v>0</v>
      </c>
      <c r="Z80" s="397">
        <f>IF(AND($G27="Lineair",Z$77&gt;=$F27), ($C27-SUM($C56:Y56))*$E27, 0)</f>
        <v>0</v>
      </c>
      <c r="AA80" s="397">
        <f>IF(AND($G27="Lineair",AA$77&gt;=$F27), ($C27-SUM($C56:Z56))*$E27, 0)</f>
        <v>0</v>
      </c>
      <c r="AB80" s="397">
        <f>IF(AND($G27="Lineair",AB$77&gt;=$F27), ($C27-SUM($C56:AA56))*$E27, 0)</f>
        <v>0</v>
      </c>
      <c r="AC80" s="397">
        <f>IF(AND($G27="Lineair",AC$77&gt;=$F27), ($C27-SUM($C56:AB56))*$E27, 0)</f>
        <v>0</v>
      </c>
      <c r="AD80" s="397">
        <f>IF(AND($G27="Lineair",AD$77&gt;=$F27), ($C27-SUM($C56:AC56))*$E27, 0)</f>
        <v>0</v>
      </c>
      <c r="AE80" s="397">
        <f>IF(AND($G27="Lineair",AE$77&gt;=$F27), ($C27-SUM($C56:AD56))*$E27, 0)</f>
        <v>0</v>
      </c>
      <c r="AF80" s="397">
        <f>IF(AND($G27="Lineair",AF$77&gt;=$F27), ($C27-SUM($C56:AE56))*$E27, 0)</f>
        <v>0</v>
      </c>
      <c r="AG80" s="397">
        <f>IF(AND($G27="Lineair",AG$77&gt;=$F27), ($C27-SUM($C56:AF56))*$E27, 0)</f>
        <v>0</v>
      </c>
      <c r="AH80" s="397">
        <f>IF(AND($G27="Lineair",AH$77&gt;=$F27), ($C27-SUM($C56:AG56))*$E27, 0)</f>
        <v>0</v>
      </c>
      <c r="AI80" s="397">
        <f>IF(AND($G27="Lineair",AI$77&gt;=$F27), ($C27-SUM($C56:AH56))*$E27, 0)</f>
        <v>0</v>
      </c>
      <c r="AJ80" s="397">
        <f>IF(AND($G27="Lineair",AJ$77&gt;=$F27), ($C27-SUM($C56:AI56))*$E27, 0)</f>
        <v>0</v>
      </c>
      <c r="AK80" s="397">
        <f>IF(AND($G27="Lineair",AK$77&gt;=$F27), ($C27-SUM($C56:AJ56))*$E27, 0)</f>
        <v>0</v>
      </c>
      <c r="AL80" s="397">
        <f>IF(AND($G27="Lineair",AL$77&gt;=$F27), ($C27-SUM($C56:AK56))*$E27, 0)</f>
        <v>0</v>
      </c>
      <c r="AM80" s="397">
        <f>IF(AND($G27="Lineair",AM$77&gt;=$F27), ($C27-SUM($C56:AL56))*$E27, 0)</f>
        <v>0</v>
      </c>
      <c r="AN80" s="397">
        <f>IF(AND($G27="Lineair",AN$77&gt;=$F27), ($C27-SUM($C56:AM56))*$E27, 0)</f>
        <v>0</v>
      </c>
    </row>
    <row r="81" spans="2:40" hidden="1" outlineLevel="1" x14ac:dyDescent="0.25">
      <c r="B81" s="396">
        <f t="shared" si="61"/>
        <v>0</v>
      </c>
      <c r="C81" s="396"/>
      <c r="D81" s="397">
        <f>IF(AND($G28="Lineair",D$77&gt;=$F28), ($C28-SUM($C57:C57))*$E28, 0)</f>
        <v>0</v>
      </c>
      <c r="E81" s="397">
        <f>IF(AND($G28="Lineair",E$77&gt;=$F28), ($C28-SUM($C57:D57))*$E28, 0)</f>
        <v>0</v>
      </c>
      <c r="F81" s="397">
        <f>IF(AND($G28="Lineair",F$77&gt;=$F28), ($C28-SUM($C57:E57))*$E28, 0)</f>
        <v>0</v>
      </c>
      <c r="G81" s="397">
        <f>IF(AND($G28="Lineair",G$77&gt;=$F28), ($C28-SUM($C57:F57))*$E28, 0)</f>
        <v>0</v>
      </c>
      <c r="H81" s="397">
        <f>IF(AND($G28="Lineair",H$77&gt;=$F28), ($C28-SUM($C57:G57))*$E28, 0)</f>
        <v>0</v>
      </c>
      <c r="I81" s="397">
        <f>IF(AND($G28="Lineair",I$77&gt;=$F28), ($C28-SUM($C57:H57))*$E28, 0)</f>
        <v>0</v>
      </c>
      <c r="J81" s="397">
        <f>IF(AND($G28="Lineair",J$77&gt;=$F28), ($C28-SUM($C57:I57))*$E28, 0)</f>
        <v>0</v>
      </c>
      <c r="M81" s="397">
        <f>IF(AND($G28="Lineair",M$77&gt;=$F28), ($C28-SUM($C57:J57))*$E28, 0)</f>
        <v>0</v>
      </c>
      <c r="N81" s="397">
        <f>IF(AND($G28="Lineair",N$77&gt;=$F28), ($C28-SUM($C57:M57))*$E28, 0)</f>
        <v>0</v>
      </c>
      <c r="O81" s="397">
        <f>IF(AND($G28="Lineair",O$77&gt;=$F28), ($C28-SUM($C57:N57))*$E28, 0)</f>
        <v>0</v>
      </c>
      <c r="P81" s="397">
        <f>IF(AND($G28="Lineair",P$77&gt;=$F28), ($C28-SUM($C57:O57))*$E28, 0)</f>
        <v>0</v>
      </c>
      <c r="Q81" s="397">
        <f>IF(AND($G28="Lineair",Q$77&gt;=$F28), ($C28-SUM($C57:P57))*$E28, 0)</f>
        <v>0</v>
      </c>
      <c r="R81" s="397">
        <f>IF(AND($G28="Lineair",R$77&gt;=$F28), ($C28-SUM($C57:Q57))*$E28, 0)</f>
        <v>0</v>
      </c>
      <c r="S81" s="397">
        <f>IF(AND($G28="Lineair",S$77&gt;=$F28), ($C28-SUM($C57:R57))*$E28, 0)</f>
        <v>0</v>
      </c>
      <c r="T81" s="397">
        <f>IF(AND($G28="Lineair",T$77&gt;=$F28), ($C28-SUM($C57:S57))*$E28, 0)</f>
        <v>0</v>
      </c>
      <c r="U81" s="397">
        <f>IF(AND($G28="Lineair",U$77&gt;=$F28), ($C28-SUM($C57:T57))*$E28, 0)</f>
        <v>0</v>
      </c>
      <c r="V81" s="397">
        <f>IF(AND($G28="Lineair",V$77&gt;=$F28), ($C28-SUM($C57:U57))*$E28, 0)</f>
        <v>0</v>
      </c>
      <c r="W81" s="397">
        <f>IF(AND($G28="Lineair",W$77&gt;=$F28), ($C28-SUM($C57:V57))*$E28, 0)</f>
        <v>0</v>
      </c>
      <c r="X81" s="397">
        <f>IF(AND($G28="Lineair",X$77&gt;=$F28), ($C28-SUM($C57:W57))*$E28, 0)</f>
        <v>0</v>
      </c>
      <c r="Y81" s="397">
        <f>IF(AND($G28="Lineair",Y$77&gt;=$F28), ($C28-SUM($C57:X57))*$E28, 0)</f>
        <v>0</v>
      </c>
      <c r="Z81" s="397">
        <f>IF(AND($G28="Lineair",Z$77&gt;=$F28), ($C28-SUM($C57:Y57))*$E28, 0)</f>
        <v>0</v>
      </c>
      <c r="AA81" s="397">
        <f>IF(AND($G28="Lineair",AA$77&gt;=$F28), ($C28-SUM($C57:Z57))*$E28, 0)</f>
        <v>0</v>
      </c>
      <c r="AB81" s="397">
        <f>IF(AND($G28="Lineair",AB$77&gt;=$F28), ($C28-SUM($C57:AA57))*$E28, 0)</f>
        <v>0</v>
      </c>
      <c r="AC81" s="397">
        <f>IF(AND($G28="Lineair",AC$77&gt;=$F28), ($C28-SUM($C57:AB57))*$E28, 0)</f>
        <v>0</v>
      </c>
      <c r="AD81" s="397">
        <f>IF(AND($G28="Lineair",AD$77&gt;=$F28), ($C28-SUM($C57:AC57))*$E28, 0)</f>
        <v>0</v>
      </c>
      <c r="AE81" s="397">
        <f>IF(AND($G28="Lineair",AE$77&gt;=$F28), ($C28-SUM($C57:AD57))*$E28, 0)</f>
        <v>0</v>
      </c>
      <c r="AF81" s="397">
        <f>IF(AND($G28="Lineair",AF$77&gt;=$F28), ($C28-SUM($C57:AE57))*$E28, 0)</f>
        <v>0</v>
      </c>
      <c r="AG81" s="397">
        <f>IF(AND($G28="Lineair",AG$77&gt;=$F28), ($C28-SUM($C57:AF57))*$E28, 0)</f>
        <v>0</v>
      </c>
      <c r="AH81" s="397">
        <f>IF(AND($G28="Lineair",AH$77&gt;=$F28), ($C28-SUM($C57:AG57))*$E28, 0)</f>
        <v>0</v>
      </c>
      <c r="AI81" s="397">
        <f>IF(AND($G28="Lineair",AI$77&gt;=$F28), ($C28-SUM($C57:AH57))*$E28, 0)</f>
        <v>0</v>
      </c>
      <c r="AJ81" s="397">
        <f>IF(AND($G28="Lineair",AJ$77&gt;=$F28), ($C28-SUM($C57:AI57))*$E28, 0)</f>
        <v>0</v>
      </c>
      <c r="AK81" s="397">
        <f>IF(AND($G28="Lineair",AK$77&gt;=$F28), ($C28-SUM($C57:AJ57))*$E28, 0)</f>
        <v>0</v>
      </c>
      <c r="AL81" s="397">
        <f>IF(AND($G28="Lineair",AL$77&gt;=$F28), ($C28-SUM($C57:AK57))*$E28, 0)</f>
        <v>0</v>
      </c>
      <c r="AM81" s="397">
        <f>IF(AND($G28="Lineair",AM$77&gt;=$F28), ($C28-SUM($C57:AL57))*$E28, 0)</f>
        <v>0</v>
      </c>
      <c r="AN81" s="397">
        <f>IF(AND($G28="Lineair",AN$77&gt;=$F28), ($C28-SUM($C57:AM57))*$E28, 0)</f>
        <v>0</v>
      </c>
    </row>
    <row r="82" spans="2:40" hidden="1" outlineLevel="1" x14ac:dyDescent="0.25">
      <c r="B82" s="396">
        <f t="shared" si="61"/>
        <v>0</v>
      </c>
      <c r="C82" s="396"/>
      <c r="D82" s="397">
        <f>IF(AND($G29="Lineair",D$77&gt;=$F29), ($C29-SUM($C58:C58))*$E29, 0)</f>
        <v>0</v>
      </c>
      <c r="E82" s="397">
        <f>IF(AND($G29="Lineair",E$77&gt;=$F29), ($C29-SUM($C58:D58))*$E29, 0)</f>
        <v>0</v>
      </c>
      <c r="F82" s="397">
        <f>IF(AND($G29="Lineair",F$77&gt;=$F29), ($C29-SUM($C58:E58))*$E29, 0)</f>
        <v>0</v>
      </c>
      <c r="G82" s="397">
        <f>IF(AND($G29="Lineair",G$77&gt;=$F29), ($C29-SUM($C58:F58))*$E29, 0)</f>
        <v>0</v>
      </c>
      <c r="H82" s="397">
        <f>IF(AND($G29="Lineair",H$77&gt;=$F29), ($C29-SUM($C58:G58))*$E29, 0)</f>
        <v>0</v>
      </c>
      <c r="I82" s="397">
        <f>IF(AND($G29="Lineair",I$77&gt;=$F29), ($C29-SUM($C58:H58))*$E29, 0)</f>
        <v>0</v>
      </c>
      <c r="J82" s="397">
        <f>IF(AND($G29="Lineair",J$77&gt;=$F29), ($C29-SUM($C58:I58))*$E29, 0)</f>
        <v>0</v>
      </c>
      <c r="M82" s="397">
        <f>IF(AND($G29="Lineair",M$77&gt;=$F29), ($C29-SUM($C58:J58))*$E29, 0)</f>
        <v>0</v>
      </c>
      <c r="N82" s="397">
        <f>IF(AND($G29="Lineair",N$77&gt;=$F29), ($C29-SUM($C58:M58))*$E29, 0)</f>
        <v>0</v>
      </c>
      <c r="O82" s="397">
        <f>IF(AND($G29="Lineair",O$77&gt;=$F29), ($C29-SUM($C58:N58))*$E29, 0)</f>
        <v>0</v>
      </c>
      <c r="P82" s="397">
        <f>IF(AND($G29="Lineair",P$77&gt;=$F29), ($C29-SUM($C58:O58))*$E29, 0)</f>
        <v>0</v>
      </c>
      <c r="Q82" s="397">
        <f>IF(AND($G29="Lineair",Q$77&gt;=$F29), ($C29-SUM($C58:P58))*$E29, 0)</f>
        <v>0</v>
      </c>
      <c r="R82" s="397">
        <f>IF(AND($G29="Lineair",R$77&gt;=$F29), ($C29-SUM($C58:Q58))*$E29, 0)</f>
        <v>0</v>
      </c>
      <c r="S82" s="397">
        <f>IF(AND($G29="Lineair",S$77&gt;=$F29), ($C29-SUM($C58:R58))*$E29, 0)</f>
        <v>0</v>
      </c>
      <c r="T82" s="397">
        <f>IF(AND($G29="Lineair",T$77&gt;=$F29), ($C29-SUM($C58:S58))*$E29, 0)</f>
        <v>0</v>
      </c>
      <c r="U82" s="397">
        <f>IF(AND($G29="Lineair",U$77&gt;=$F29), ($C29-SUM($C58:T58))*$E29, 0)</f>
        <v>0</v>
      </c>
      <c r="V82" s="397">
        <f>IF(AND($G29="Lineair",V$77&gt;=$F29), ($C29-SUM($C58:U58))*$E29, 0)</f>
        <v>0</v>
      </c>
      <c r="W82" s="397">
        <f>IF(AND($G29="Lineair",W$77&gt;=$F29), ($C29-SUM($C58:V58))*$E29, 0)</f>
        <v>0</v>
      </c>
      <c r="X82" s="397">
        <f>IF(AND($G29="Lineair",X$77&gt;=$F29), ($C29-SUM($C58:W58))*$E29, 0)</f>
        <v>0</v>
      </c>
      <c r="Y82" s="397">
        <f>IF(AND($G29="Lineair",Y$77&gt;=$F29), ($C29-SUM($C58:X58))*$E29, 0)</f>
        <v>0</v>
      </c>
      <c r="Z82" s="397">
        <f>IF(AND($G29="Lineair",Z$77&gt;=$F29), ($C29-SUM($C58:Y58))*$E29, 0)</f>
        <v>0</v>
      </c>
      <c r="AA82" s="397">
        <f>IF(AND($G29="Lineair",AA$77&gt;=$F29), ($C29-SUM($C58:Z58))*$E29, 0)</f>
        <v>0</v>
      </c>
      <c r="AB82" s="397">
        <f>IF(AND($G29="Lineair",AB$77&gt;=$F29), ($C29-SUM($C58:AA58))*$E29, 0)</f>
        <v>0</v>
      </c>
      <c r="AC82" s="397">
        <f>IF(AND($G29="Lineair",AC$77&gt;=$F29), ($C29-SUM($C58:AB58))*$E29, 0)</f>
        <v>0</v>
      </c>
      <c r="AD82" s="397">
        <f>IF(AND($G29="Lineair",AD$77&gt;=$F29), ($C29-SUM($C58:AC58))*$E29, 0)</f>
        <v>0</v>
      </c>
      <c r="AE82" s="397">
        <f>IF(AND($G29="Lineair",AE$77&gt;=$F29), ($C29-SUM($C58:AD58))*$E29, 0)</f>
        <v>0</v>
      </c>
      <c r="AF82" s="397">
        <f>IF(AND($G29="Lineair",AF$77&gt;=$F29), ($C29-SUM($C58:AE58))*$E29, 0)</f>
        <v>0</v>
      </c>
      <c r="AG82" s="397">
        <f>IF(AND($G29="Lineair",AG$77&gt;=$F29), ($C29-SUM($C58:AF58))*$E29, 0)</f>
        <v>0</v>
      </c>
      <c r="AH82" s="397">
        <f>IF(AND($G29="Lineair",AH$77&gt;=$F29), ($C29-SUM($C58:AG58))*$E29, 0)</f>
        <v>0</v>
      </c>
      <c r="AI82" s="397">
        <f>IF(AND($G29="Lineair",AI$77&gt;=$F29), ($C29-SUM($C58:AH58))*$E29, 0)</f>
        <v>0</v>
      </c>
      <c r="AJ82" s="397">
        <f>IF(AND($G29="Lineair",AJ$77&gt;=$F29), ($C29-SUM($C58:AI58))*$E29, 0)</f>
        <v>0</v>
      </c>
      <c r="AK82" s="397">
        <f>IF(AND($G29="Lineair",AK$77&gt;=$F29), ($C29-SUM($C58:AJ58))*$E29, 0)</f>
        <v>0</v>
      </c>
      <c r="AL82" s="397">
        <f>IF(AND($G29="Lineair",AL$77&gt;=$F29), ($C29-SUM($C58:AK58))*$E29, 0)</f>
        <v>0</v>
      </c>
      <c r="AM82" s="397">
        <f>IF(AND($G29="Lineair",AM$77&gt;=$F29), ($C29-SUM($C58:AL58))*$E29, 0)</f>
        <v>0</v>
      </c>
      <c r="AN82" s="397">
        <f>IF(AND($G29="Lineair",AN$77&gt;=$F29), ($C29-SUM($C58:AM58))*$E29, 0)</f>
        <v>0</v>
      </c>
    </row>
    <row r="83" spans="2:40" hidden="1" outlineLevel="1" x14ac:dyDescent="0.25">
      <c r="B83" s="396">
        <f t="shared" si="61"/>
        <v>0</v>
      </c>
      <c r="C83" s="396"/>
      <c r="D83" s="397">
        <f>IF(AND($G30="Lineair",D$77&gt;=$F30), ($C30-SUM($C59:C59))*$E30, 0)</f>
        <v>0</v>
      </c>
      <c r="E83" s="397">
        <f>IF(AND($G30="Lineair",E$77&gt;=$F30), ($C30-SUM($C59:D59))*$E30, 0)</f>
        <v>0</v>
      </c>
      <c r="F83" s="397">
        <f>IF(AND($G30="Lineair",F$77&gt;=$F30), ($C30-SUM($C59:E59))*$E30, 0)</f>
        <v>0</v>
      </c>
      <c r="G83" s="397">
        <f>IF(AND($G30="Lineair",G$77&gt;=$F30), ($C30-SUM($C59:F59))*$E30, 0)</f>
        <v>0</v>
      </c>
      <c r="H83" s="397">
        <f>IF(AND($G30="Lineair",H$77&gt;=$F30), ($C30-SUM($C59:G59))*$E30, 0)</f>
        <v>0</v>
      </c>
      <c r="I83" s="397">
        <f>IF(AND($G30="Lineair",I$77&gt;=$F30), ($C30-SUM($C59:H59))*$E30, 0)</f>
        <v>0</v>
      </c>
      <c r="J83" s="397">
        <f>IF(AND($G30="Lineair",J$77&gt;=$F30), ($C30-SUM($C59:I59))*$E30, 0)</f>
        <v>0</v>
      </c>
      <c r="M83" s="397">
        <f>IF(AND($G30="Lineair",M$77&gt;=$F30), ($C30-SUM($C59:J59))*$E30, 0)</f>
        <v>0</v>
      </c>
      <c r="N83" s="397">
        <f>IF(AND($G30="Lineair",N$77&gt;=$F30), ($C30-SUM($C59:M59))*$E30, 0)</f>
        <v>0</v>
      </c>
      <c r="O83" s="397">
        <f>IF(AND($G30="Lineair",O$77&gt;=$F30), ($C30-SUM($C59:N59))*$E30, 0)</f>
        <v>0</v>
      </c>
      <c r="P83" s="397">
        <f>IF(AND($G30="Lineair",P$77&gt;=$F30), ($C30-SUM($C59:O59))*$E30, 0)</f>
        <v>0</v>
      </c>
      <c r="Q83" s="397">
        <f>IF(AND($G30="Lineair",Q$77&gt;=$F30), ($C30-SUM($C59:P59))*$E30, 0)</f>
        <v>0</v>
      </c>
      <c r="R83" s="397">
        <f>IF(AND($G30="Lineair",R$77&gt;=$F30), ($C30-SUM($C59:Q59))*$E30, 0)</f>
        <v>0</v>
      </c>
      <c r="S83" s="397">
        <f>IF(AND($G30="Lineair",S$77&gt;=$F30), ($C30-SUM($C59:R59))*$E30, 0)</f>
        <v>0</v>
      </c>
      <c r="T83" s="397">
        <f>IF(AND($G30="Lineair",T$77&gt;=$F30), ($C30-SUM($C59:S59))*$E30, 0)</f>
        <v>0</v>
      </c>
      <c r="U83" s="397">
        <f>IF(AND($G30="Lineair",U$77&gt;=$F30), ($C30-SUM($C59:T59))*$E30, 0)</f>
        <v>0</v>
      </c>
      <c r="V83" s="397">
        <f>IF(AND($G30="Lineair",V$77&gt;=$F30), ($C30-SUM($C59:U59))*$E30, 0)</f>
        <v>0</v>
      </c>
      <c r="W83" s="397">
        <f>IF(AND($G30="Lineair",W$77&gt;=$F30), ($C30-SUM($C59:V59))*$E30, 0)</f>
        <v>0</v>
      </c>
      <c r="X83" s="397">
        <f>IF(AND($G30="Lineair",X$77&gt;=$F30), ($C30-SUM($C59:W59))*$E30, 0)</f>
        <v>0</v>
      </c>
      <c r="Y83" s="397">
        <f>IF(AND($G30="Lineair",Y$77&gt;=$F30), ($C30-SUM($C59:X59))*$E30, 0)</f>
        <v>0</v>
      </c>
      <c r="Z83" s="397">
        <f>IF(AND($G30="Lineair",Z$77&gt;=$F30), ($C30-SUM($C59:Y59))*$E30, 0)</f>
        <v>0</v>
      </c>
      <c r="AA83" s="397">
        <f>IF(AND($G30="Lineair",AA$77&gt;=$F30), ($C30-SUM($C59:Z59))*$E30, 0)</f>
        <v>0</v>
      </c>
      <c r="AB83" s="397">
        <f>IF(AND($G30="Lineair",AB$77&gt;=$F30), ($C30-SUM($C59:AA59))*$E30, 0)</f>
        <v>0</v>
      </c>
      <c r="AC83" s="397">
        <f>IF(AND($G30="Lineair",AC$77&gt;=$F30), ($C30-SUM($C59:AB59))*$E30, 0)</f>
        <v>0</v>
      </c>
      <c r="AD83" s="397">
        <f>IF(AND($G30="Lineair",AD$77&gt;=$F30), ($C30-SUM($C59:AC59))*$E30, 0)</f>
        <v>0</v>
      </c>
      <c r="AE83" s="397">
        <f>IF(AND($G30="Lineair",AE$77&gt;=$F30), ($C30-SUM($C59:AD59))*$E30, 0)</f>
        <v>0</v>
      </c>
      <c r="AF83" s="397">
        <f>IF(AND($G30="Lineair",AF$77&gt;=$F30), ($C30-SUM($C59:AE59))*$E30, 0)</f>
        <v>0</v>
      </c>
      <c r="AG83" s="397">
        <f>IF(AND($G30="Lineair",AG$77&gt;=$F30), ($C30-SUM($C59:AF59))*$E30, 0)</f>
        <v>0</v>
      </c>
      <c r="AH83" s="397">
        <f>IF(AND($G30="Lineair",AH$77&gt;=$F30), ($C30-SUM($C59:AG59))*$E30, 0)</f>
        <v>0</v>
      </c>
      <c r="AI83" s="397">
        <f>IF(AND($G30="Lineair",AI$77&gt;=$F30), ($C30-SUM($C59:AH59))*$E30, 0)</f>
        <v>0</v>
      </c>
      <c r="AJ83" s="397">
        <f>IF(AND($G30="Lineair",AJ$77&gt;=$F30), ($C30-SUM($C59:AI59))*$E30, 0)</f>
        <v>0</v>
      </c>
      <c r="AK83" s="397">
        <f>IF(AND($G30="Lineair",AK$77&gt;=$F30), ($C30-SUM($C59:AJ59))*$E30, 0)</f>
        <v>0</v>
      </c>
      <c r="AL83" s="397">
        <f>IF(AND($G30="Lineair",AL$77&gt;=$F30), ($C30-SUM($C59:AK59))*$E30, 0)</f>
        <v>0</v>
      </c>
      <c r="AM83" s="397">
        <f>IF(AND($G30="Lineair",AM$77&gt;=$F30), ($C30-SUM($C59:AL59))*$E30, 0)</f>
        <v>0</v>
      </c>
      <c r="AN83" s="397">
        <f>IF(AND($G30="Lineair",AN$77&gt;=$F30), ($C30-SUM($C59:AM59))*$E30, 0)</f>
        <v>0</v>
      </c>
    </row>
    <row r="84" spans="2:40" hidden="1" outlineLevel="1" x14ac:dyDescent="0.25">
      <c r="B84" s="396">
        <f t="shared" si="61"/>
        <v>0</v>
      </c>
      <c r="C84" s="396"/>
      <c r="D84" s="397">
        <f>IF(AND($G31="Lineair",D$77&gt;=$F31), ($C31-SUM($C60:C60))*$E31, 0)</f>
        <v>0</v>
      </c>
      <c r="E84" s="397">
        <f>IF(AND($G31="Lineair",E$77&gt;=$F31), ($C31-SUM($C60:D60))*$E31, 0)</f>
        <v>0</v>
      </c>
      <c r="F84" s="397">
        <f>IF(AND($G31="Lineair",F$77&gt;=$F31), ($C31-SUM($C60:E60))*$E31, 0)</f>
        <v>0</v>
      </c>
      <c r="G84" s="397">
        <f>IF(AND($G31="Lineair",G$77&gt;=$F31), ($C31-SUM($C60:F60))*$E31, 0)</f>
        <v>0</v>
      </c>
      <c r="H84" s="397">
        <f>IF(AND($G31="Lineair",H$77&gt;=$F31), ($C31-SUM($C60:G60))*$E31, 0)</f>
        <v>0</v>
      </c>
      <c r="I84" s="397">
        <f>IF(AND($G31="Lineair",I$77&gt;=$F31), ($C31-SUM($C60:H60))*$E31, 0)</f>
        <v>0</v>
      </c>
      <c r="J84" s="397">
        <f>IF(AND($G31="Lineair",J$77&gt;=$F31), ($C31-SUM($C60:I60))*$E31, 0)</f>
        <v>0</v>
      </c>
      <c r="M84" s="397">
        <f>IF(AND($G31="Lineair",M$77&gt;=$F31), ($C31-SUM($C60:J60))*$E31, 0)</f>
        <v>0</v>
      </c>
      <c r="N84" s="397">
        <f>IF(AND($G31="Lineair",N$77&gt;=$F31), ($C31-SUM($C60:M60))*$E31, 0)</f>
        <v>0</v>
      </c>
      <c r="O84" s="397">
        <f>IF(AND($G31="Lineair",O$77&gt;=$F31), ($C31-SUM($C60:N60))*$E31, 0)</f>
        <v>0</v>
      </c>
      <c r="P84" s="397">
        <f>IF(AND($G31="Lineair",P$77&gt;=$F31), ($C31-SUM($C60:O60))*$E31, 0)</f>
        <v>0</v>
      </c>
      <c r="Q84" s="397">
        <f>IF(AND($G31="Lineair",Q$77&gt;=$F31), ($C31-SUM($C60:P60))*$E31, 0)</f>
        <v>0</v>
      </c>
      <c r="R84" s="397">
        <f>IF(AND($G31="Lineair",R$77&gt;=$F31), ($C31-SUM($C60:Q60))*$E31, 0)</f>
        <v>0</v>
      </c>
      <c r="S84" s="397">
        <f>IF(AND($G31="Lineair",S$77&gt;=$F31), ($C31-SUM($C60:R60))*$E31, 0)</f>
        <v>0</v>
      </c>
      <c r="T84" s="397">
        <f>IF(AND($G31="Lineair",T$77&gt;=$F31), ($C31-SUM($C60:S60))*$E31, 0)</f>
        <v>0</v>
      </c>
      <c r="U84" s="397">
        <f>IF(AND($G31="Lineair",U$77&gt;=$F31), ($C31-SUM($C60:T60))*$E31, 0)</f>
        <v>0</v>
      </c>
      <c r="V84" s="397">
        <f>IF(AND($G31="Lineair",V$77&gt;=$F31), ($C31-SUM($C60:U60))*$E31, 0)</f>
        <v>0</v>
      </c>
      <c r="W84" s="397">
        <f>IF(AND($G31="Lineair",W$77&gt;=$F31), ($C31-SUM($C60:V60))*$E31, 0)</f>
        <v>0</v>
      </c>
      <c r="X84" s="397">
        <f>IF(AND($G31="Lineair",X$77&gt;=$F31), ($C31-SUM($C60:W60))*$E31, 0)</f>
        <v>0</v>
      </c>
      <c r="Y84" s="397">
        <f>IF(AND($G31="Lineair",Y$77&gt;=$F31), ($C31-SUM($C60:X60))*$E31, 0)</f>
        <v>0</v>
      </c>
      <c r="Z84" s="397">
        <f>IF(AND($G31="Lineair",Z$77&gt;=$F31), ($C31-SUM($C60:Y60))*$E31, 0)</f>
        <v>0</v>
      </c>
      <c r="AA84" s="397">
        <f>IF(AND($G31="Lineair",AA$77&gt;=$F31), ($C31-SUM($C60:Z60))*$E31, 0)</f>
        <v>0</v>
      </c>
      <c r="AB84" s="397">
        <f>IF(AND($G31="Lineair",AB$77&gt;=$F31), ($C31-SUM($C60:AA60))*$E31, 0)</f>
        <v>0</v>
      </c>
      <c r="AC84" s="397">
        <f>IF(AND($G31="Lineair",AC$77&gt;=$F31), ($C31-SUM($C60:AB60))*$E31, 0)</f>
        <v>0</v>
      </c>
      <c r="AD84" s="397">
        <f>IF(AND($G31="Lineair",AD$77&gt;=$F31), ($C31-SUM($C60:AC60))*$E31, 0)</f>
        <v>0</v>
      </c>
      <c r="AE84" s="397">
        <f>IF(AND($G31="Lineair",AE$77&gt;=$F31), ($C31-SUM($C60:AD60))*$E31, 0)</f>
        <v>0</v>
      </c>
      <c r="AF84" s="397">
        <f>IF(AND($G31="Lineair",AF$77&gt;=$F31), ($C31-SUM($C60:AE60))*$E31, 0)</f>
        <v>0</v>
      </c>
      <c r="AG84" s="397">
        <f>IF(AND($G31="Lineair",AG$77&gt;=$F31), ($C31-SUM($C60:AF60))*$E31, 0)</f>
        <v>0</v>
      </c>
      <c r="AH84" s="397">
        <f>IF(AND($G31="Lineair",AH$77&gt;=$F31), ($C31-SUM($C60:AG60))*$E31, 0)</f>
        <v>0</v>
      </c>
      <c r="AI84" s="397">
        <f>IF(AND($G31="Lineair",AI$77&gt;=$F31), ($C31-SUM($C60:AH60))*$E31, 0)</f>
        <v>0</v>
      </c>
      <c r="AJ84" s="397">
        <f>IF(AND($G31="Lineair",AJ$77&gt;=$F31), ($C31-SUM($C60:AI60))*$E31, 0)</f>
        <v>0</v>
      </c>
      <c r="AK84" s="397">
        <f>IF(AND($G31="Lineair",AK$77&gt;=$F31), ($C31-SUM($C60:AJ60))*$E31, 0)</f>
        <v>0</v>
      </c>
      <c r="AL84" s="397">
        <f>IF(AND($G31="Lineair",AL$77&gt;=$F31), ($C31-SUM($C60:AK60))*$E31, 0)</f>
        <v>0</v>
      </c>
      <c r="AM84" s="397">
        <f>IF(AND($G31="Lineair",AM$77&gt;=$F31), ($C31-SUM($C60:AL60))*$E31, 0)</f>
        <v>0</v>
      </c>
      <c r="AN84" s="397">
        <f>IF(AND($G31="Lineair",AN$77&gt;=$F31), ($C31-SUM($C60:AM60))*$E31, 0)</f>
        <v>0</v>
      </c>
    </row>
    <row r="85" spans="2:40" hidden="1" outlineLevel="1" x14ac:dyDescent="0.25">
      <c r="B85" s="396">
        <f t="shared" si="61"/>
        <v>0</v>
      </c>
      <c r="C85" s="396"/>
      <c r="D85" s="397">
        <f>IF(AND($G32="Lineair",D$77&gt;=$F32), ($C32-SUM($C61:C61))*$E32, 0)</f>
        <v>0</v>
      </c>
      <c r="E85" s="397">
        <f>IF(AND($G32="Lineair",E$77&gt;=$F32), ($C32-SUM($C61:D61))*$E32, 0)</f>
        <v>0</v>
      </c>
      <c r="F85" s="397">
        <f>IF(AND($G32="Lineair",F$77&gt;=$F32), ($C32-SUM($C61:E61))*$E32, 0)</f>
        <v>0</v>
      </c>
      <c r="G85" s="397">
        <f>IF(AND($G32="Lineair",G$77&gt;=$F32), ($C32-SUM($C61:F61))*$E32, 0)</f>
        <v>0</v>
      </c>
      <c r="H85" s="397">
        <f>IF(AND($G32="Lineair",H$77&gt;=$F32), ($C32-SUM($C61:G61))*$E32, 0)</f>
        <v>0</v>
      </c>
      <c r="I85" s="397">
        <f>IF(AND($G32="Lineair",I$77&gt;=$F32), ($C32-SUM($C61:H61))*$E32, 0)</f>
        <v>0</v>
      </c>
      <c r="J85" s="397">
        <f>IF(AND($G32="Lineair",J$77&gt;=$F32), ($C32-SUM($C61:I61))*$E32, 0)</f>
        <v>0</v>
      </c>
      <c r="M85" s="397">
        <f>IF(AND($G32="Lineair",M$77&gt;=$F32), ($C32-SUM($C61:J61))*$E32, 0)</f>
        <v>0</v>
      </c>
      <c r="N85" s="397">
        <f>IF(AND($G32="Lineair",N$77&gt;=$F32), ($C32-SUM($C61:M61))*$E32, 0)</f>
        <v>0</v>
      </c>
      <c r="O85" s="397">
        <f>IF(AND($G32="Lineair",O$77&gt;=$F32), ($C32-SUM($C61:N61))*$E32, 0)</f>
        <v>0</v>
      </c>
      <c r="P85" s="397">
        <f>IF(AND($G32="Lineair",P$77&gt;=$F32), ($C32-SUM($C61:O61))*$E32, 0)</f>
        <v>0</v>
      </c>
      <c r="Q85" s="397">
        <f>IF(AND($G32="Lineair",Q$77&gt;=$F32), ($C32-SUM($C61:P61))*$E32, 0)</f>
        <v>0</v>
      </c>
      <c r="R85" s="397">
        <f>IF(AND($G32="Lineair",R$77&gt;=$F32), ($C32-SUM($C61:Q61))*$E32, 0)</f>
        <v>0</v>
      </c>
      <c r="S85" s="397">
        <f>IF(AND($G32="Lineair",S$77&gt;=$F32), ($C32-SUM($C61:R61))*$E32, 0)</f>
        <v>0</v>
      </c>
      <c r="T85" s="397">
        <f>IF(AND($G32="Lineair",T$77&gt;=$F32), ($C32-SUM($C61:S61))*$E32, 0)</f>
        <v>0</v>
      </c>
      <c r="U85" s="397">
        <f>IF(AND($G32="Lineair",U$77&gt;=$F32), ($C32-SUM($C61:T61))*$E32, 0)</f>
        <v>0</v>
      </c>
      <c r="V85" s="397">
        <f>IF(AND($G32="Lineair",V$77&gt;=$F32), ($C32-SUM($C61:U61))*$E32, 0)</f>
        <v>0</v>
      </c>
      <c r="W85" s="397">
        <f>IF(AND($G32="Lineair",W$77&gt;=$F32), ($C32-SUM($C61:V61))*$E32, 0)</f>
        <v>0</v>
      </c>
      <c r="X85" s="397">
        <f>IF(AND($G32="Lineair",X$77&gt;=$F32), ($C32-SUM($C61:W61))*$E32, 0)</f>
        <v>0</v>
      </c>
      <c r="Y85" s="397">
        <f>IF(AND($G32="Lineair",Y$77&gt;=$F32), ($C32-SUM($C61:X61))*$E32, 0)</f>
        <v>0</v>
      </c>
      <c r="Z85" s="397">
        <f>IF(AND($G32="Lineair",Z$77&gt;=$F32), ($C32-SUM($C61:Y61))*$E32, 0)</f>
        <v>0</v>
      </c>
      <c r="AA85" s="397">
        <f>IF(AND($G32="Lineair",AA$77&gt;=$F32), ($C32-SUM($C61:Z61))*$E32, 0)</f>
        <v>0</v>
      </c>
      <c r="AB85" s="397">
        <f>IF(AND($G32="Lineair",AB$77&gt;=$F32), ($C32-SUM($C61:AA61))*$E32, 0)</f>
        <v>0</v>
      </c>
      <c r="AC85" s="397">
        <f>IF(AND($G32="Lineair",AC$77&gt;=$F32), ($C32-SUM($C61:AB61))*$E32, 0)</f>
        <v>0</v>
      </c>
      <c r="AD85" s="397">
        <f>IF(AND($G32="Lineair",AD$77&gt;=$F32), ($C32-SUM($C61:AC61))*$E32, 0)</f>
        <v>0</v>
      </c>
      <c r="AE85" s="397">
        <f>IF(AND($G32="Lineair",AE$77&gt;=$F32), ($C32-SUM($C61:AD61))*$E32, 0)</f>
        <v>0</v>
      </c>
      <c r="AF85" s="397">
        <f>IF(AND($G32="Lineair",AF$77&gt;=$F32), ($C32-SUM($C61:AE61))*$E32, 0)</f>
        <v>0</v>
      </c>
      <c r="AG85" s="397">
        <f>IF(AND($G32="Lineair",AG$77&gt;=$F32), ($C32-SUM($C61:AF61))*$E32, 0)</f>
        <v>0</v>
      </c>
      <c r="AH85" s="397">
        <f>IF(AND($G32="Lineair",AH$77&gt;=$F32), ($C32-SUM($C61:AG61))*$E32, 0)</f>
        <v>0</v>
      </c>
      <c r="AI85" s="397">
        <f>IF(AND($G32="Lineair",AI$77&gt;=$F32), ($C32-SUM($C61:AH61))*$E32, 0)</f>
        <v>0</v>
      </c>
      <c r="AJ85" s="397">
        <f>IF(AND($G32="Lineair",AJ$77&gt;=$F32), ($C32-SUM($C61:AI61))*$E32, 0)</f>
        <v>0</v>
      </c>
      <c r="AK85" s="397">
        <f>IF(AND($G32="Lineair",AK$77&gt;=$F32), ($C32-SUM($C61:AJ61))*$E32, 0)</f>
        <v>0</v>
      </c>
      <c r="AL85" s="397">
        <f>IF(AND($G32="Lineair",AL$77&gt;=$F32), ($C32-SUM($C61:AK61))*$E32, 0)</f>
        <v>0</v>
      </c>
      <c r="AM85" s="397">
        <f>IF(AND($G32="Lineair",AM$77&gt;=$F32), ($C32-SUM($C61:AL61))*$E32, 0)</f>
        <v>0</v>
      </c>
      <c r="AN85" s="397">
        <f>IF(AND($G32="Lineair",AN$77&gt;=$F32), ($C32-SUM($C61:AM61))*$E32, 0)</f>
        <v>0</v>
      </c>
    </row>
    <row r="86" spans="2:40" hidden="1" outlineLevel="1" x14ac:dyDescent="0.25">
      <c r="B86" s="396"/>
      <c r="C86" s="396"/>
      <c r="D86" s="397"/>
      <c r="E86" s="397"/>
      <c r="F86" s="397"/>
      <c r="G86" s="397"/>
      <c r="H86" s="397"/>
      <c r="I86" s="397"/>
      <c r="J86" s="397"/>
      <c r="M86" s="397"/>
      <c r="N86" s="397"/>
      <c r="O86" s="397"/>
      <c r="P86" s="397"/>
      <c r="Q86" s="397"/>
      <c r="R86" s="397"/>
      <c r="S86" s="397"/>
      <c r="T86" s="397"/>
      <c r="U86" s="397"/>
      <c r="V86" s="397"/>
      <c r="W86" s="397"/>
      <c r="X86" s="397"/>
      <c r="Y86" s="397"/>
      <c r="Z86" s="397"/>
      <c r="AA86" s="397"/>
      <c r="AB86" s="397"/>
      <c r="AC86" s="397"/>
      <c r="AD86" s="397"/>
      <c r="AE86" s="397"/>
      <c r="AF86" s="397"/>
      <c r="AG86" s="397"/>
      <c r="AH86" s="397"/>
      <c r="AI86" s="397"/>
      <c r="AJ86" s="397"/>
      <c r="AK86" s="397"/>
      <c r="AL86" s="397"/>
      <c r="AM86" s="397"/>
      <c r="AN86" s="397"/>
    </row>
    <row r="87" spans="2:40" hidden="1" outlineLevel="1" x14ac:dyDescent="0.25">
      <c r="B87" s="399" t="s">
        <v>363</v>
      </c>
      <c r="C87" s="399"/>
      <c r="D87" s="400">
        <f t="shared" ref="D87:AN87" si="62">SUM(D67:D74) + SUM(D78:D85)</f>
        <v>0</v>
      </c>
      <c r="E87" s="400">
        <f t="shared" si="62"/>
        <v>0</v>
      </c>
      <c r="F87" s="400">
        <f t="shared" si="62"/>
        <v>0</v>
      </c>
      <c r="G87" s="400">
        <f t="shared" si="62"/>
        <v>0</v>
      </c>
      <c r="H87" s="400">
        <f t="shared" si="62"/>
        <v>0</v>
      </c>
      <c r="I87" s="400">
        <f t="shared" si="62"/>
        <v>0</v>
      </c>
      <c r="J87" s="400">
        <f t="shared" si="62"/>
        <v>0</v>
      </c>
      <c r="K87" s="833"/>
      <c r="L87" s="833"/>
      <c r="M87" s="400">
        <f t="shared" si="62"/>
        <v>0</v>
      </c>
      <c r="N87" s="400">
        <f t="shared" si="62"/>
        <v>0</v>
      </c>
      <c r="O87" s="400">
        <f t="shared" si="62"/>
        <v>0</v>
      </c>
      <c r="P87" s="400">
        <f t="shared" si="62"/>
        <v>0</v>
      </c>
      <c r="Q87" s="400">
        <f t="shared" si="62"/>
        <v>0</v>
      </c>
      <c r="R87" s="400">
        <f t="shared" si="62"/>
        <v>0</v>
      </c>
      <c r="S87" s="400">
        <f t="shared" si="62"/>
        <v>0</v>
      </c>
      <c r="T87" s="730">
        <f t="shared" si="62"/>
        <v>0</v>
      </c>
      <c r="U87" s="400">
        <f t="shared" si="62"/>
        <v>0</v>
      </c>
      <c r="V87" s="400">
        <f t="shared" si="62"/>
        <v>0</v>
      </c>
      <c r="W87" s="400">
        <f t="shared" si="62"/>
        <v>0</v>
      </c>
      <c r="X87" s="400">
        <f t="shared" si="62"/>
        <v>0</v>
      </c>
      <c r="Y87" s="400">
        <f t="shared" si="62"/>
        <v>0</v>
      </c>
      <c r="Z87" s="400">
        <f t="shared" si="62"/>
        <v>0</v>
      </c>
      <c r="AA87" s="400">
        <f t="shared" si="62"/>
        <v>0</v>
      </c>
      <c r="AB87" s="400">
        <f t="shared" si="62"/>
        <v>0</v>
      </c>
      <c r="AC87" s="400">
        <f t="shared" si="62"/>
        <v>0</v>
      </c>
      <c r="AD87" s="400">
        <f t="shared" si="62"/>
        <v>0</v>
      </c>
      <c r="AE87" s="400">
        <f t="shared" si="62"/>
        <v>0</v>
      </c>
      <c r="AF87" s="400">
        <f t="shared" si="62"/>
        <v>0</v>
      </c>
      <c r="AG87" s="400">
        <f t="shared" si="62"/>
        <v>0</v>
      </c>
      <c r="AH87" s="400">
        <f t="shared" si="62"/>
        <v>0</v>
      </c>
      <c r="AI87" s="400">
        <f t="shared" si="62"/>
        <v>0</v>
      </c>
      <c r="AJ87" s="400">
        <f t="shared" si="62"/>
        <v>0</v>
      </c>
      <c r="AK87" s="400">
        <f t="shared" si="62"/>
        <v>0</v>
      </c>
      <c r="AL87" s="400">
        <f t="shared" si="62"/>
        <v>0</v>
      </c>
      <c r="AM87" s="400">
        <f t="shared" si="62"/>
        <v>0</v>
      </c>
      <c r="AN87" s="400">
        <f t="shared" si="62"/>
        <v>0</v>
      </c>
    </row>
    <row r="88" spans="2:40" hidden="1" outlineLevel="1" x14ac:dyDescent="0.25"/>
    <row r="89" spans="2:40" hidden="1" outlineLevel="1" x14ac:dyDescent="0.25"/>
    <row r="90" spans="2:40" hidden="1" outlineLevel="1" x14ac:dyDescent="0.25">
      <c r="B90" s="30" t="s">
        <v>364</v>
      </c>
      <c r="D90" s="299">
        <f>YEAR(Startdatum)</f>
        <v>1900</v>
      </c>
      <c r="E90" s="298">
        <f t="shared" ref="E90" si="63" xml:space="preserve"> D90 + 1</f>
        <v>1901</v>
      </c>
      <c r="F90" s="298">
        <f t="shared" ref="F90" si="64" xml:space="preserve"> E90 + 1</f>
        <v>1902</v>
      </c>
      <c r="G90" s="298">
        <f t="shared" ref="G90" si="65" xml:space="preserve"> F90 + 1</f>
        <v>1903</v>
      </c>
      <c r="H90" s="298">
        <f t="shared" ref="H90" si="66" xml:space="preserve"> G90 + 1</f>
        <v>1904</v>
      </c>
      <c r="I90" s="298">
        <f t="shared" ref="I90" si="67" xml:space="preserve"> H90 + 1</f>
        <v>1905</v>
      </c>
      <c r="J90" s="299">
        <f xml:space="preserve"> I90 + 1</f>
        <v>1906</v>
      </c>
      <c r="K90" s="831"/>
      <c r="L90" s="831"/>
      <c r="M90" s="298">
        <f xml:space="preserve"> J90 + 1</f>
        <v>1907</v>
      </c>
      <c r="N90" s="298">
        <f t="shared" ref="N90" si="68" xml:space="preserve"> M90 + 1</f>
        <v>1908</v>
      </c>
      <c r="O90" s="298">
        <f t="shared" ref="O90" si="69" xml:space="preserve"> N90 + 1</f>
        <v>1909</v>
      </c>
      <c r="P90" s="298">
        <f xml:space="preserve"> O90 + 1</f>
        <v>1910</v>
      </c>
      <c r="Q90" s="298">
        <f t="shared" ref="Q90" si="70" xml:space="preserve"> P90 + 1</f>
        <v>1911</v>
      </c>
      <c r="R90" s="298">
        <f t="shared" ref="R90" si="71" xml:space="preserve"> Q90 + 1</f>
        <v>1912</v>
      </c>
      <c r="S90" s="298">
        <f t="shared" ref="S90" si="72" xml:space="preserve"> R90 + 1</f>
        <v>1913</v>
      </c>
      <c r="T90" s="298">
        <f t="shared" ref="T90" si="73" xml:space="preserve"> S90 + 1</f>
        <v>1914</v>
      </c>
      <c r="U90" s="298">
        <f t="shared" ref="U90" si="74" xml:space="preserve"> T90 + 1</f>
        <v>1915</v>
      </c>
      <c r="V90" s="299">
        <f t="shared" ref="V90" si="75" xml:space="preserve"> U90 + 1</f>
        <v>1916</v>
      </c>
      <c r="W90" s="298">
        <f t="shared" ref="W90" si="76" xml:space="preserve"> V90 + 1</f>
        <v>1917</v>
      </c>
      <c r="X90" s="298">
        <f t="shared" ref="X90" si="77" xml:space="preserve"> W90 + 1</f>
        <v>1918</v>
      </c>
      <c r="Y90" s="298">
        <f t="shared" ref="Y90" si="78" xml:space="preserve"> X90 + 1</f>
        <v>1919</v>
      </c>
      <c r="Z90" s="298">
        <f t="shared" ref="Z90" si="79" xml:space="preserve"> Y90 + 1</f>
        <v>1920</v>
      </c>
      <c r="AA90" s="298">
        <f t="shared" ref="AA90" si="80" xml:space="preserve"> Z90 + 1</f>
        <v>1921</v>
      </c>
      <c r="AB90" s="298">
        <f t="shared" ref="AB90" si="81" xml:space="preserve"> AA90 + 1</f>
        <v>1922</v>
      </c>
      <c r="AC90" s="298">
        <f t="shared" ref="AC90" si="82" xml:space="preserve"> AB90 + 1</f>
        <v>1923</v>
      </c>
      <c r="AD90" s="298">
        <f t="shared" ref="AD90" si="83" xml:space="preserve"> AC90 + 1</f>
        <v>1924</v>
      </c>
      <c r="AE90" s="298">
        <f t="shared" ref="AE90" si="84" xml:space="preserve"> AD90 + 1</f>
        <v>1925</v>
      </c>
      <c r="AF90" s="298">
        <f t="shared" ref="AF90" si="85" xml:space="preserve"> AE90 + 1</f>
        <v>1926</v>
      </c>
      <c r="AG90" s="298">
        <f t="shared" ref="AG90" si="86" xml:space="preserve"> AF90 + 1</f>
        <v>1927</v>
      </c>
      <c r="AH90" s="298">
        <f t="shared" ref="AH90" si="87" xml:space="preserve"> AG90 + 1</f>
        <v>1928</v>
      </c>
      <c r="AI90" s="298">
        <f t="shared" ref="AI90" si="88" xml:space="preserve"> AH90 + 1</f>
        <v>1929</v>
      </c>
      <c r="AJ90" s="298">
        <f t="shared" ref="AJ90" si="89" xml:space="preserve"> AI90 + 1</f>
        <v>1930</v>
      </c>
      <c r="AK90" s="298">
        <f t="shared" ref="AK90" si="90" xml:space="preserve"> AJ90 + 1</f>
        <v>1931</v>
      </c>
      <c r="AL90" s="298">
        <f t="shared" ref="AL90" si="91" xml:space="preserve"> AK90 + 1</f>
        <v>1932</v>
      </c>
      <c r="AM90" s="298">
        <f t="shared" ref="AM90" si="92" xml:space="preserve"> AL90 + 1</f>
        <v>1933</v>
      </c>
      <c r="AN90" s="298">
        <f t="shared" ref="AN90" si="93" xml:space="preserve"> AM90 + 1</f>
        <v>1934</v>
      </c>
    </row>
    <row r="91" spans="2:40" hidden="1" outlineLevel="1" x14ac:dyDescent="0.25">
      <c r="B91" s="725">
        <f>B78</f>
        <v>0</v>
      </c>
      <c r="D91" s="398">
        <f t="shared" ref="D91:J98" si="94">IF(AND($D25="Eigen vermogen",D$90=$F25),$C25,0)</f>
        <v>0</v>
      </c>
      <c r="E91" s="398">
        <f t="shared" si="94"/>
        <v>0</v>
      </c>
      <c r="F91" s="398">
        <f t="shared" si="94"/>
        <v>0</v>
      </c>
      <c r="G91" s="398">
        <f t="shared" si="94"/>
        <v>0</v>
      </c>
      <c r="H91" s="398">
        <f t="shared" si="94"/>
        <v>0</v>
      </c>
      <c r="I91" s="398">
        <f t="shared" si="94"/>
        <v>0</v>
      </c>
      <c r="J91" s="398">
        <f t="shared" si="94"/>
        <v>0</v>
      </c>
      <c r="K91" s="832"/>
      <c r="L91" s="832"/>
      <c r="M91" s="398">
        <f t="shared" ref="M91:AN91" si="95">IF(AND($D25="Eigen vermogen",M$90=$F25),$C25,0)</f>
        <v>0</v>
      </c>
      <c r="N91" s="398">
        <f t="shared" si="95"/>
        <v>0</v>
      </c>
      <c r="O91" s="398">
        <f t="shared" si="95"/>
        <v>0</v>
      </c>
      <c r="P91" s="398">
        <f t="shared" si="95"/>
        <v>0</v>
      </c>
      <c r="Q91" s="398">
        <f t="shared" si="95"/>
        <v>0</v>
      </c>
      <c r="R91" s="398">
        <f t="shared" si="95"/>
        <v>0</v>
      </c>
      <c r="S91" s="398">
        <f t="shared" si="95"/>
        <v>0</v>
      </c>
      <c r="T91" s="398">
        <f t="shared" si="95"/>
        <v>0</v>
      </c>
      <c r="U91" s="398">
        <f t="shared" si="95"/>
        <v>0</v>
      </c>
      <c r="V91" s="398">
        <f t="shared" si="95"/>
        <v>0</v>
      </c>
      <c r="W91" s="398">
        <f t="shared" si="95"/>
        <v>0</v>
      </c>
      <c r="X91" s="398">
        <f t="shared" si="95"/>
        <v>0</v>
      </c>
      <c r="Y91" s="398">
        <f t="shared" si="95"/>
        <v>0</v>
      </c>
      <c r="Z91" s="398">
        <f t="shared" si="95"/>
        <v>0</v>
      </c>
      <c r="AA91" s="398">
        <f t="shared" si="95"/>
        <v>0</v>
      </c>
      <c r="AB91" s="398">
        <f t="shared" si="95"/>
        <v>0</v>
      </c>
      <c r="AC91" s="398">
        <f t="shared" si="95"/>
        <v>0</v>
      </c>
      <c r="AD91" s="398">
        <f t="shared" si="95"/>
        <v>0</v>
      </c>
      <c r="AE91" s="398">
        <f t="shared" si="95"/>
        <v>0</v>
      </c>
      <c r="AF91" s="398">
        <f t="shared" si="95"/>
        <v>0</v>
      </c>
      <c r="AG91" s="398">
        <f t="shared" si="95"/>
        <v>0</v>
      </c>
      <c r="AH91" s="398">
        <f t="shared" si="95"/>
        <v>0</v>
      </c>
      <c r="AI91" s="398">
        <f t="shared" si="95"/>
        <v>0</v>
      </c>
      <c r="AJ91" s="398">
        <f t="shared" si="95"/>
        <v>0</v>
      </c>
      <c r="AK91" s="398">
        <f t="shared" si="95"/>
        <v>0</v>
      </c>
      <c r="AL91" s="398">
        <f t="shared" si="95"/>
        <v>0</v>
      </c>
      <c r="AM91" s="398">
        <f t="shared" si="95"/>
        <v>0</v>
      </c>
      <c r="AN91" s="398">
        <f t="shared" si="95"/>
        <v>0</v>
      </c>
    </row>
    <row r="92" spans="2:40" hidden="1" outlineLevel="1" x14ac:dyDescent="0.25">
      <c r="B92" s="725">
        <f t="shared" ref="B92:B98" si="96">B79</f>
        <v>0</v>
      </c>
      <c r="D92" s="398">
        <f t="shared" si="94"/>
        <v>0</v>
      </c>
      <c r="E92" s="398">
        <f t="shared" si="94"/>
        <v>0</v>
      </c>
      <c r="F92" s="398">
        <f t="shared" si="94"/>
        <v>0</v>
      </c>
      <c r="G92" s="398">
        <f t="shared" si="94"/>
        <v>0</v>
      </c>
      <c r="H92" s="398">
        <f t="shared" si="94"/>
        <v>0</v>
      </c>
      <c r="I92" s="398">
        <f t="shared" si="94"/>
        <v>0</v>
      </c>
      <c r="J92" s="398">
        <f t="shared" si="94"/>
        <v>0</v>
      </c>
      <c r="K92" s="832"/>
      <c r="L92" s="832"/>
      <c r="M92" s="398">
        <f t="shared" ref="M92:AN92" si="97">IF(AND($D26="Eigen vermogen",M$90=$F26),$C26,0)</f>
        <v>0</v>
      </c>
      <c r="N92" s="398">
        <f t="shared" si="97"/>
        <v>0</v>
      </c>
      <c r="O92" s="398">
        <f t="shared" si="97"/>
        <v>0</v>
      </c>
      <c r="P92" s="398">
        <f t="shared" si="97"/>
        <v>0</v>
      </c>
      <c r="Q92" s="398">
        <f t="shared" si="97"/>
        <v>0</v>
      </c>
      <c r="R92" s="398">
        <f t="shared" si="97"/>
        <v>0</v>
      </c>
      <c r="S92" s="398">
        <f t="shared" si="97"/>
        <v>0</v>
      </c>
      <c r="T92" s="398">
        <f t="shared" si="97"/>
        <v>0</v>
      </c>
      <c r="U92" s="398">
        <f t="shared" si="97"/>
        <v>0</v>
      </c>
      <c r="V92" s="398">
        <f t="shared" si="97"/>
        <v>0</v>
      </c>
      <c r="W92" s="398">
        <f t="shared" si="97"/>
        <v>0</v>
      </c>
      <c r="X92" s="398">
        <f t="shared" si="97"/>
        <v>0</v>
      </c>
      <c r="Y92" s="398">
        <f t="shared" si="97"/>
        <v>0</v>
      </c>
      <c r="Z92" s="398">
        <f t="shared" si="97"/>
        <v>0</v>
      </c>
      <c r="AA92" s="398">
        <f t="shared" si="97"/>
        <v>0</v>
      </c>
      <c r="AB92" s="398">
        <f t="shared" si="97"/>
        <v>0</v>
      </c>
      <c r="AC92" s="398">
        <f t="shared" si="97"/>
        <v>0</v>
      </c>
      <c r="AD92" s="398">
        <f t="shared" si="97"/>
        <v>0</v>
      </c>
      <c r="AE92" s="398">
        <f t="shared" si="97"/>
        <v>0</v>
      </c>
      <c r="AF92" s="398">
        <f t="shared" si="97"/>
        <v>0</v>
      </c>
      <c r="AG92" s="398">
        <f t="shared" si="97"/>
        <v>0</v>
      </c>
      <c r="AH92" s="398">
        <f t="shared" si="97"/>
        <v>0</v>
      </c>
      <c r="AI92" s="398">
        <f t="shared" si="97"/>
        <v>0</v>
      </c>
      <c r="AJ92" s="398">
        <f t="shared" si="97"/>
        <v>0</v>
      </c>
      <c r="AK92" s="398">
        <f t="shared" si="97"/>
        <v>0</v>
      </c>
      <c r="AL92" s="398">
        <f t="shared" si="97"/>
        <v>0</v>
      </c>
      <c r="AM92" s="398">
        <f t="shared" si="97"/>
        <v>0</v>
      </c>
      <c r="AN92" s="398">
        <f t="shared" si="97"/>
        <v>0</v>
      </c>
    </row>
    <row r="93" spans="2:40" hidden="1" outlineLevel="1" x14ac:dyDescent="0.25">
      <c r="B93" s="725">
        <f t="shared" si="96"/>
        <v>0</v>
      </c>
      <c r="D93" s="398">
        <f t="shared" si="94"/>
        <v>0</v>
      </c>
      <c r="E93" s="398">
        <f t="shared" si="94"/>
        <v>0</v>
      </c>
      <c r="F93" s="398">
        <f t="shared" si="94"/>
        <v>0</v>
      </c>
      <c r="G93" s="398">
        <f t="shared" si="94"/>
        <v>0</v>
      </c>
      <c r="H93" s="398">
        <f t="shared" si="94"/>
        <v>0</v>
      </c>
      <c r="I93" s="398">
        <f t="shared" si="94"/>
        <v>0</v>
      </c>
      <c r="J93" s="398">
        <f t="shared" si="94"/>
        <v>0</v>
      </c>
      <c r="K93" s="832"/>
      <c r="L93" s="832"/>
      <c r="M93" s="398">
        <f t="shared" ref="M93:AN93" si="98">IF(AND($D27="Eigen vermogen",M$90=$F27),$C27,0)</f>
        <v>0</v>
      </c>
      <c r="N93" s="398">
        <f t="shared" si="98"/>
        <v>0</v>
      </c>
      <c r="O93" s="398">
        <f t="shared" si="98"/>
        <v>0</v>
      </c>
      <c r="P93" s="398">
        <f t="shared" si="98"/>
        <v>0</v>
      </c>
      <c r="Q93" s="398">
        <f t="shared" si="98"/>
        <v>0</v>
      </c>
      <c r="R93" s="398">
        <f t="shared" si="98"/>
        <v>0</v>
      </c>
      <c r="S93" s="398">
        <f t="shared" si="98"/>
        <v>0</v>
      </c>
      <c r="T93" s="398">
        <f t="shared" si="98"/>
        <v>0</v>
      </c>
      <c r="U93" s="398">
        <f t="shared" si="98"/>
        <v>0</v>
      </c>
      <c r="V93" s="398">
        <f t="shared" si="98"/>
        <v>0</v>
      </c>
      <c r="W93" s="398">
        <f t="shared" si="98"/>
        <v>0</v>
      </c>
      <c r="X93" s="398">
        <f t="shared" si="98"/>
        <v>0</v>
      </c>
      <c r="Y93" s="398">
        <f t="shared" si="98"/>
        <v>0</v>
      </c>
      <c r="Z93" s="398">
        <f t="shared" si="98"/>
        <v>0</v>
      </c>
      <c r="AA93" s="398">
        <f t="shared" si="98"/>
        <v>0</v>
      </c>
      <c r="AB93" s="398">
        <f t="shared" si="98"/>
        <v>0</v>
      </c>
      <c r="AC93" s="398">
        <f t="shared" si="98"/>
        <v>0</v>
      </c>
      <c r="AD93" s="398">
        <f t="shared" si="98"/>
        <v>0</v>
      </c>
      <c r="AE93" s="398">
        <f t="shared" si="98"/>
        <v>0</v>
      </c>
      <c r="AF93" s="398">
        <f t="shared" si="98"/>
        <v>0</v>
      </c>
      <c r="AG93" s="398">
        <f t="shared" si="98"/>
        <v>0</v>
      </c>
      <c r="AH93" s="398">
        <f t="shared" si="98"/>
        <v>0</v>
      </c>
      <c r="AI93" s="398">
        <f t="shared" si="98"/>
        <v>0</v>
      </c>
      <c r="AJ93" s="398">
        <f t="shared" si="98"/>
        <v>0</v>
      </c>
      <c r="AK93" s="398">
        <f t="shared" si="98"/>
        <v>0</v>
      </c>
      <c r="AL93" s="398">
        <f t="shared" si="98"/>
        <v>0</v>
      </c>
      <c r="AM93" s="398">
        <f t="shared" si="98"/>
        <v>0</v>
      </c>
      <c r="AN93" s="398">
        <f t="shared" si="98"/>
        <v>0</v>
      </c>
    </row>
    <row r="94" spans="2:40" hidden="1" outlineLevel="1" x14ac:dyDescent="0.25">
      <c r="B94" s="725">
        <f t="shared" si="96"/>
        <v>0</v>
      </c>
      <c r="D94" s="398">
        <f t="shared" si="94"/>
        <v>0</v>
      </c>
      <c r="E94" s="398">
        <f t="shared" si="94"/>
        <v>0</v>
      </c>
      <c r="F94" s="398">
        <f t="shared" si="94"/>
        <v>0</v>
      </c>
      <c r="G94" s="398">
        <f t="shared" si="94"/>
        <v>0</v>
      </c>
      <c r="H94" s="398">
        <f t="shared" si="94"/>
        <v>0</v>
      </c>
      <c r="I94" s="398">
        <f t="shared" si="94"/>
        <v>0</v>
      </c>
      <c r="J94" s="398">
        <f t="shared" si="94"/>
        <v>0</v>
      </c>
      <c r="K94" s="832"/>
      <c r="L94" s="832"/>
      <c r="M94" s="398">
        <f t="shared" ref="M94:AN94" si="99">IF(AND($D28="Eigen vermogen",M$90=$F28),$C28,0)</f>
        <v>0</v>
      </c>
      <c r="N94" s="398">
        <f t="shared" si="99"/>
        <v>0</v>
      </c>
      <c r="O94" s="398">
        <f t="shared" si="99"/>
        <v>0</v>
      </c>
      <c r="P94" s="398">
        <f t="shared" si="99"/>
        <v>0</v>
      </c>
      <c r="Q94" s="398">
        <f t="shared" si="99"/>
        <v>0</v>
      </c>
      <c r="R94" s="398">
        <f t="shared" si="99"/>
        <v>0</v>
      </c>
      <c r="S94" s="398">
        <f t="shared" si="99"/>
        <v>0</v>
      </c>
      <c r="T94" s="398">
        <f t="shared" si="99"/>
        <v>0</v>
      </c>
      <c r="U94" s="398">
        <f t="shared" si="99"/>
        <v>0</v>
      </c>
      <c r="V94" s="398">
        <f t="shared" si="99"/>
        <v>0</v>
      </c>
      <c r="W94" s="398">
        <f t="shared" si="99"/>
        <v>0</v>
      </c>
      <c r="X94" s="398">
        <f t="shared" si="99"/>
        <v>0</v>
      </c>
      <c r="Y94" s="398">
        <f t="shared" si="99"/>
        <v>0</v>
      </c>
      <c r="Z94" s="398">
        <f t="shared" si="99"/>
        <v>0</v>
      </c>
      <c r="AA94" s="398">
        <f t="shared" si="99"/>
        <v>0</v>
      </c>
      <c r="AB94" s="398">
        <f t="shared" si="99"/>
        <v>0</v>
      </c>
      <c r="AC94" s="398">
        <f t="shared" si="99"/>
        <v>0</v>
      </c>
      <c r="AD94" s="398">
        <f t="shared" si="99"/>
        <v>0</v>
      </c>
      <c r="AE94" s="398">
        <f t="shared" si="99"/>
        <v>0</v>
      </c>
      <c r="AF94" s="398">
        <f t="shared" si="99"/>
        <v>0</v>
      </c>
      <c r="AG94" s="398">
        <f t="shared" si="99"/>
        <v>0</v>
      </c>
      <c r="AH94" s="398">
        <f t="shared" si="99"/>
        <v>0</v>
      </c>
      <c r="AI94" s="398">
        <f t="shared" si="99"/>
        <v>0</v>
      </c>
      <c r="AJ94" s="398">
        <f t="shared" si="99"/>
        <v>0</v>
      </c>
      <c r="AK94" s="398">
        <f t="shared" si="99"/>
        <v>0</v>
      </c>
      <c r="AL94" s="398">
        <f t="shared" si="99"/>
        <v>0</v>
      </c>
      <c r="AM94" s="398">
        <f t="shared" si="99"/>
        <v>0</v>
      </c>
      <c r="AN94" s="398">
        <f t="shared" si="99"/>
        <v>0</v>
      </c>
    </row>
    <row r="95" spans="2:40" hidden="1" outlineLevel="1" x14ac:dyDescent="0.25">
      <c r="B95" s="725">
        <f t="shared" si="96"/>
        <v>0</v>
      </c>
      <c r="D95" s="398">
        <f t="shared" si="94"/>
        <v>0</v>
      </c>
      <c r="E95" s="398">
        <f t="shared" si="94"/>
        <v>0</v>
      </c>
      <c r="F95" s="398">
        <f t="shared" si="94"/>
        <v>0</v>
      </c>
      <c r="G95" s="398">
        <f t="shared" si="94"/>
        <v>0</v>
      </c>
      <c r="H95" s="398">
        <f t="shared" si="94"/>
        <v>0</v>
      </c>
      <c r="I95" s="398">
        <f t="shared" si="94"/>
        <v>0</v>
      </c>
      <c r="J95" s="398">
        <f t="shared" si="94"/>
        <v>0</v>
      </c>
      <c r="K95" s="832"/>
      <c r="L95" s="832"/>
      <c r="M95" s="398">
        <f t="shared" ref="M95:AN95" si="100">IF(AND($D29="Eigen vermogen",M$90=$F29),$C29,0)</f>
        <v>0</v>
      </c>
      <c r="N95" s="398">
        <f t="shared" si="100"/>
        <v>0</v>
      </c>
      <c r="O95" s="398">
        <f t="shared" si="100"/>
        <v>0</v>
      </c>
      <c r="P95" s="398">
        <f t="shared" si="100"/>
        <v>0</v>
      </c>
      <c r="Q95" s="398">
        <f t="shared" si="100"/>
        <v>0</v>
      </c>
      <c r="R95" s="398">
        <f t="shared" si="100"/>
        <v>0</v>
      </c>
      <c r="S95" s="398">
        <f t="shared" si="100"/>
        <v>0</v>
      </c>
      <c r="T95" s="398">
        <f t="shared" si="100"/>
        <v>0</v>
      </c>
      <c r="U95" s="398">
        <f t="shared" si="100"/>
        <v>0</v>
      </c>
      <c r="V95" s="398">
        <f t="shared" si="100"/>
        <v>0</v>
      </c>
      <c r="W95" s="398">
        <f t="shared" si="100"/>
        <v>0</v>
      </c>
      <c r="X95" s="398">
        <f t="shared" si="100"/>
        <v>0</v>
      </c>
      <c r="Y95" s="398">
        <f t="shared" si="100"/>
        <v>0</v>
      </c>
      <c r="Z95" s="398">
        <f t="shared" si="100"/>
        <v>0</v>
      </c>
      <c r="AA95" s="398">
        <f t="shared" si="100"/>
        <v>0</v>
      </c>
      <c r="AB95" s="398">
        <f t="shared" si="100"/>
        <v>0</v>
      </c>
      <c r="AC95" s="398">
        <f t="shared" si="100"/>
        <v>0</v>
      </c>
      <c r="AD95" s="398">
        <f t="shared" si="100"/>
        <v>0</v>
      </c>
      <c r="AE95" s="398">
        <f t="shared" si="100"/>
        <v>0</v>
      </c>
      <c r="AF95" s="398">
        <f t="shared" si="100"/>
        <v>0</v>
      </c>
      <c r="AG95" s="398">
        <f t="shared" si="100"/>
        <v>0</v>
      </c>
      <c r="AH95" s="398">
        <f t="shared" si="100"/>
        <v>0</v>
      </c>
      <c r="AI95" s="398">
        <f t="shared" si="100"/>
        <v>0</v>
      </c>
      <c r="AJ95" s="398">
        <f t="shared" si="100"/>
        <v>0</v>
      </c>
      <c r="AK95" s="398">
        <f t="shared" si="100"/>
        <v>0</v>
      </c>
      <c r="AL95" s="398">
        <f t="shared" si="100"/>
        <v>0</v>
      </c>
      <c r="AM95" s="398">
        <f t="shared" si="100"/>
        <v>0</v>
      </c>
      <c r="AN95" s="398">
        <f t="shared" si="100"/>
        <v>0</v>
      </c>
    </row>
    <row r="96" spans="2:40" hidden="1" outlineLevel="1" x14ac:dyDescent="0.25">
      <c r="B96" s="725">
        <f t="shared" si="96"/>
        <v>0</v>
      </c>
      <c r="D96" s="398">
        <f t="shared" si="94"/>
        <v>0</v>
      </c>
      <c r="E96" s="398">
        <f t="shared" si="94"/>
        <v>0</v>
      </c>
      <c r="F96" s="398">
        <f t="shared" si="94"/>
        <v>0</v>
      </c>
      <c r="G96" s="398">
        <f t="shared" si="94"/>
        <v>0</v>
      </c>
      <c r="H96" s="398">
        <f t="shared" si="94"/>
        <v>0</v>
      </c>
      <c r="I96" s="398">
        <f t="shared" si="94"/>
        <v>0</v>
      </c>
      <c r="J96" s="398">
        <f t="shared" si="94"/>
        <v>0</v>
      </c>
      <c r="K96" s="832"/>
      <c r="L96" s="832"/>
      <c r="M96" s="398">
        <f t="shared" ref="M96:AN96" si="101">IF(AND($D30="Eigen vermogen",M$90=$F30),$C30,0)</f>
        <v>0</v>
      </c>
      <c r="N96" s="398">
        <f t="shared" si="101"/>
        <v>0</v>
      </c>
      <c r="O96" s="398">
        <f t="shared" si="101"/>
        <v>0</v>
      </c>
      <c r="P96" s="398">
        <f t="shared" si="101"/>
        <v>0</v>
      </c>
      <c r="Q96" s="398">
        <f t="shared" si="101"/>
        <v>0</v>
      </c>
      <c r="R96" s="398">
        <f t="shared" si="101"/>
        <v>0</v>
      </c>
      <c r="S96" s="398">
        <f t="shared" si="101"/>
        <v>0</v>
      </c>
      <c r="T96" s="398">
        <f t="shared" si="101"/>
        <v>0</v>
      </c>
      <c r="U96" s="398">
        <f t="shared" si="101"/>
        <v>0</v>
      </c>
      <c r="V96" s="398">
        <f t="shared" si="101"/>
        <v>0</v>
      </c>
      <c r="W96" s="398">
        <f t="shared" si="101"/>
        <v>0</v>
      </c>
      <c r="X96" s="398">
        <f t="shared" si="101"/>
        <v>0</v>
      </c>
      <c r="Y96" s="398">
        <f t="shared" si="101"/>
        <v>0</v>
      </c>
      <c r="Z96" s="398">
        <f t="shared" si="101"/>
        <v>0</v>
      </c>
      <c r="AA96" s="398">
        <f t="shared" si="101"/>
        <v>0</v>
      </c>
      <c r="AB96" s="398">
        <f t="shared" si="101"/>
        <v>0</v>
      </c>
      <c r="AC96" s="398">
        <f t="shared" si="101"/>
        <v>0</v>
      </c>
      <c r="AD96" s="398">
        <f t="shared" si="101"/>
        <v>0</v>
      </c>
      <c r="AE96" s="398">
        <f t="shared" si="101"/>
        <v>0</v>
      </c>
      <c r="AF96" s="398">
        <f t="shared" si="101"/>
        <v>0</v>
      </c>
      <c r="AG96" s="398">
        <f t="shared" si="101"/>
        <v>0</v>
      </c>
      <c r="AH96" s="398">
        <f t="shared" si="101"/>
        <v>0</v>
      </c>
      <c r="AI96" s="398">
        <f t="shared" si="101"/>
        <v>0</v>
      </c>
      <c r="AJ96" s="398">
        <f t="shared" si="101"/>
        <v>0</v>
      </c>
      <c r="AK96" s="398">
        <f t="shared" si="101"/>
        <v>0</v>
      </c>
      <c r="AL96" s="398">
        <f t="shared" si="101"/>
        <v>0</v>
      </c>
      <c r="AM96" s="398">
        <f t="shared" si="101"/>
        <v>0</v>
      </c>
      <c r="AN96" s="398">
        <f t="shared" si="101"/>
        <v>0</v>
      </c>
    </row>
    <row r="97" spans="2:40" hidden="1" outlineLevel="1" x14ac:dyDescent="0.25">
      <c r="B97" s="725">
        <f t="shared" si="96"/>
        <v>0</v>
      </c>
      <c r="D97" s="398">
        <f t="shared" si="94"/>
        <v>0</v>
      </c>
      <c r="E97" s="398">
        <f t="shared" si="94"/>
        <v>0</v>
      </c>
      <c r="F97" s="398">
        <f>IF(AND($D31="Eigen vermogen",F$90=$F31),$C31,0)</f>
        <v>0</v>
      </c>
      <c r="G97" s="398">
        <f t="shared" si="94"/>
        <v>0</v>
      </c>
      <c r="H97" s="398">
        <f t="shared" si="94"/>
        <v>0</v>
      </c>
      <c r="I97" s="398">
        <f t="shared" si="94"/>
        <v>0</v>
      </c>
      <c r="J97" s="398">
        <f t="shared" si="94"/>
        <v>0</v>
      </c>
      <c r="K97" s="832"/>
      <c r="L97" s="832"/>
      <c r="M97" s="398">
        <f t="shared" ref="M97:AN97" si="102">IF(AND($D31="Eigen vermogen",M$90=$F31),$C31,0)</f>
        <v>0</v>
      </c>
      <c r="N97" s="398">
        <f t="shared" si="102"/>
        <v>0</v>
      </c>
      <c r="O97" s="398">
        <f t="shared" si="102"/>
        <v>0</v>
      </c>
      <c r="P97" s="398">
        <f t="shared" si="102"/>
        <v>0</v>
      </c>
      <c r="Q97" s="398">
        <f t="shared" si="102"/>
        <v>0</v>
      </c>
      <c r="R97" s="398">
        <f t="shared" si="102"/>
        <v>0</v>
      </c>
      <c r="S97" s="398">
        <f t="shared" si="102"/>
        <v>0</v>
      </c>
      <c r="T97" s="398">
        <f t="shared" si="102"/>
        <v>0</v>
      </c>
      <c r="U97" s="398">
        <f t="shared" si="102"/>
        <v>0</v>
      </c>
      <c r="V97" s="398">
        <f t="shared" si="102"/>
        <v>0</v>
      </c>
      <c r="W97" s="398">
        <f t="shared" si="102"/>
        <v>0</v>
      </c>
      <c r="X97" s="398">
        <f t="shared" si="102"/>
        <v>0</v>
      </c>
      <c r="Y97" s="398">
        <f t="shared" si="102"/>
        <v>0</v>
      </c>
      <c r="Z97" s="398">
        <f t="shared" si="102"/>
        <v>0</v>
      </c>
      <c r="AA97" s="398">
        <f t="shared" si="102"/>
        <v>0</v>
      </c>
      <c r="AB97" s="398">
        <f t="shared" si="102"/>
        <v>0</v>
      </c>
      <c r="AC97" s="398">
        <f t="shared" si="102"/>
        <v>0</v>
      </c>
      <c r="AD97" s="398">
        <f t="shared" si="102"/>
        <v>0</v>
      </c>
      <c r="AE97" s="398">
        <f t="shared" si="102"/>
        <v>0</v>
      </c>
      <c r="AF97" s="398">
        <f t="shared" si="102"/>
        <v>0</v>
      </c>
      <c r="AG97" s="398">
        <f t="shared" si="102"/>
        <v>0</v>
      </c>
      <c r="AH97" s="398">
        <f t="shared" si="102"/>
        <v>0</v>
      </c>
      <c r="AI97" s="398">
        <f t="shared" si="102"/>
        <v>0</v>
      </c>
      <c r="AJ97" s="398">
        <f t="shared" si="102"/>
        <v>0</v>
      </c>
      <c r="AK97" s="398">
        <f t="shared" si="102"/>
        <v>0</v>
      </c>
      <c r="AL97" s="398">
        <f t="shared" si="102"/>
        <v>0</v>
      </c>
      <c r="AM97" s="398">
        <f t="shared" si="102"/>
        <v>0</v>
      </c>
      <c r="AN97" s="398">
        <f t="shared" si="102"/>
        <v>0</v>
      </c>
    </row>
    <row r="98" spans="2:40" hidden="1" outlineLevel="1" x14ac:dyDescent="0.25">
      <c r="B98" s="725">
        <f t="shared" si="96"/>
        <v>0</v>
      </c>
      <c r="D98" s="398">
        <f t="shared" si="94"/>
        <v>0</v>
      </c>
      <c r="E98" s="398">
        <f t="shared" si="94"/>
        <v>0</v>
      </c>
      <c r="F98" s="398">
        <f t="shared" si="94"/>
        <v>0</v>
      </c>
      <c r="G98" s="398">
        <f t="shared" si="94"/>
        <v>0</v>
      </c>
      <c r="H98" s="398">
        <f t="shared" si="94"/>
        <v>0</v>
      </c>
      <c r="I98" s="398">
        <f t="shared" si="94"/>
        <v>0</v>
      </c>
      <c r="J98" s="398">
        <f t="shared" si="94"/>
        <v>0</v>
      </c>
      <c r="K98" s="832"/>
      <c r="L98" s="832"/>
      <c r="M98" s="398">
        <f t="shared" ref="M98:AN98" si="103">IF(AND($D32="Eigen vermogen",M$90=$F32),$C32,0)</f>
        <v>0</v>
      </c>
      <c r="N98" s="398">
        <f t="shared" si="103"/>
        <v>0</v>
      </c>
      <c r="O98" s="398">
        <f t="shared" si="103"/>
        <v>0</v>
      </c>
      <c r="P98" s="398">
        <f t="shared" si="103"/>
        <v>0</v>
      </c>
      <c r="Q98" s="398">
        <f t="shared" si="103"/>
        <v>0</v>
      </c>
      <c r="R98" s="398">
        <f t="shared" si="103"/>
        <v>0</v>
      </c>
      <c r="S98" s="398">
        <f t="shared" si="103"/>
        <v>0</v>
      </c>
      <c r="T98" s="398">
        <f t="shared" si="103"/>
        <v>0</v>
      </c>
      <c r="U98" s="398">
        <f t="shared" si="103"/>
        <v>0</v>
      </c>
      <c r="V98" s="398">
        <f t="shared" si="103"/>
        <v>0</v>
      </c>
      <c r="W98" s="398">
        <f t="shared" si="103"/>
        <v>0</v>
      </c>
      <c r="X98" s="398">
        <f t="shared" si="103"/>
        <v>0</v>
      </c>
      <c r="Y98" s="398">
        <f t="shared" si="103"/>
        <v>0</v>
      </c>
      <c r="Z98" s="398">
        <f t="shared" si="103"/>
        <v>0</v>
      </c>
      <c r="AA98" s="398">
        <f t="shared" si="103"/>
        <v>0</v>
      </c>
      <c r="AB98" s="398">
        <f t="shared" si="103"/>
        <v>0</v>
      </c>
      <c r="AC98" s="398">
        <f t="shared" si="103"/>
        <v>0</v>
      </c>
      <c r="AD98" s="398">
        <f t="shared" si="103"/>
        <v>0</v>
      </c>
      <c r="AE98" s="398">
        <f t="shared" si="103"/>
        <v>0</v>
      </c>
      <c r="AF98" s="398">
        <f t="shared" si="103"/>
        <v>0</v>
      </c>
      <c r="AG98" s="398">
        <f t="shared" si="103"/>
        <v>0</v>
      </c>
      <c r="AH98" s="398">
        <f t="shared" si="103"/>
        <v>0</v>
      </c>
      <c r="AI98" s="398">
        <f t="shared" si="103"/>
        <v>0</v>
      </c>
      <c r="AJ98" s="398">
        <f t="shared" si="103"/>
        <v>0</v>
      </c>
      <c r="AK98" s="398">
        <f t="shared" si="103"/>
        <v>0</v>
      </c>
      <c r="AL98" s="398">
        <f t="shared" si="103"/>
        <v>0</v>
      </c>
      <c r="AM98" s="398">
        <f t="shared" si="103"/>
        <v>0</v>
      </c>
      <c r="AN98" s="398">
        <f t="shared" si="103"/>
        <v>0</v>
      </c>
    </row>
    <row r="99" spans="2:40" hidden="1" outlineLevel="1" x14ac:dyDescent="0.25">
      <c r="B99" s="725"/>
      <c r="D99" s="398"/>
      <c r="E99" s="398"/>
      <c r="F99" s="398"/>
      <c r="G99" s="398"/>
      <c r="H99" s="398"/>
      <c r="I99" s="398"/>
      <c r="J99" s="398"/>
      <c r="K99" s="832"/>
      <c r="L99" s="832"/>
      <c r="M99" s="398"/>
      <c r="N99" s="398"/>
      <c r="O99" s="398"/>
      <c r="P99" s="398"/>
      <c r="Q99" s="398"/>
      <c r="R99" s="398"/>
      <c r="S99" s="398"/>
      <c r="T99" s="398"/>
      <c r="U99" s="398"/>
      <c r="V99" s="398"/>
      <c r="W99" s="398"/>
      <c r="X99" s="398"/>
      <c r="Y99" s="398"/>
      <c r="Z99" s="398"/>
      <c r="AA99" s="398"/>
      <c r="AB99" s="398"/>
      <c r="AC99" s="398"/>
      <c r="AD99" s="398"/>
      <c r="AE99" s="398"/>
      <c r="AF99" s="398"/>
      <c r="AG99" s="398"/>
      <c r="AH99" s="398"/>
      <c r="AI99" s="398"/>
      <c r="AJ99" s="398"/>
      <c r="AK99" s="398"/>
      <c r="AL99" s="398"/>
      <c r="AM99" s="398"/>
      <c r="AN99" s="398"/>
    </row>
    <row r="100" spans="2:40" hidden="1" outlineLevel="1" x14ac:dyDescent="0.25">
      <c r="B100" s="726" t="s">
        <v>365</v>
      </c>
      <c r="D100" s="398">
        <f>SUM(D91:D98)</f>
        <v>0</v>
      </c>
      <c r="E100" s="398">
        <f t="shared" ref="E100:AN100" si="104">SUM(E91:E98)</f>
        <v>0</v>
      </c>
      <c r="F100" s="398">
        <f t="shared" si="104"/>
        <v>0</v>
      </c>
      <c r="G100" s="398">
        <f t="shared" si="104"/>
        <v>0</v>
      </c>
      <c r="H100" s="398">
        <f t="shared" si="104"/>
        <v>0</v>
      </c>
      <c r="I100" s="398">
        <f t="shared" si="104"/>
        <v>0</v>
      </c>
      <c r="J100" s="398">
        <f t="shared" si="104"/>
        <v>0</v>
      </c>
      <c r="K100" s="832"/>
      <c r="L100" s="832"/>
      <c r="M100" s="398">
        <f t="shared" si="104"/>
        <v>0</v>
      </c>
      <c r="N100" s="398">
        <f t="shared" si="104"/>
        <v>0</v>
      </c>
      <c r="O100" s="398">
        <f t="shared" si="104"/>
        <v>0</v>
      </c>
      <c r="P100" s="398">
        <f t="shared" si="104"/>
        <v>0</v>
      </c>
      <c r="Q100" s="398">
        <f t="shared" si="104"/>
        <v>0</v>
      </c>
      <c r="R100" s="398">
        <f t="shared" si="104"/>
        <v>0</v>
      </c>
      <c r="S100" s="398">
        <f t="shared" si="104"/>
        <v>0</v>
      </c>
      <c r="T100" s="398">
        <f t="shared" si="104"/>
        <v>0</v>
      </c>
      <c r="U100" s="398">
        <f t="shared" si="104"/>
        <v>0</v>
      </c>
      <c r="V100" s="398">
        <f t="shared" si="104"/>
        <v>0</v>
      </c>
      <c r="W100" s="398">
        <f t="shared" si="104"/>
        <v>0</v>
      </c>
      <c r="X100" s="398">
        <f t="shared" si="104"/>
        <v>0</v>
      </c>
      <c r="Y100" s="398">
        <f t="shared" si="104"/>
        <v>0</v>
      </c>
      <c r="Z100" s="398">
        <f t="shared" si="104"/>
        <v>0</v>
      </c>
      <c r="AA100" s="398">
        <f t="shared" si="104"/>
        <v>0</v>
      </c>
      <c r="AB100" s="398">
        <f t="shared" si="104"/>
        <v>0</v>
      </c>
      <c r="AC100" s="398">
        <f t="shared" si="104"/>
        <v>0</v>
      </c>
      <c r="AD100" s="398">
        <f t="shared" si="104"/>
        <v>0</v>
      </c>
      <c r="AE100" s="398">
        <f t="shared" si="104"/>
        <v>0</v>
      </c>
      <c r="AF100" s="398">
        <f t="shared" si="104"/>
        <v>0</v>
      </c>
      <c r="AG100" s="398">
        <f t="shared" si="104"/>
        <v>0</v>
      </c>
      <c r="AH100" s="398">
        <f t="shared" si="104"/>
        <v>0</v>
      </c>
      <c r="AI100" s="398">
        <f t="shared" si="104"/>
        <v>0</v>
      </c>
      <c r="AJ100" s="398">
        <f t="shared" si="104"/>
        <v>0</v>
      </c>
      <c r="AK100" s="398">
        <f t="shared" si="104"/>
        <v>0</v>
      </c>
      <c r="AL100" s="398">
        <f t="shared" si="104"/>
        <v>0</v>
      </c>
      <c r="AM100" s="398">
        <f t="shared" si="104"/>
        <v>0</v>
      </c>
      <c r="AN100" s="398">
        <f t="shared" si="104"/>
        <v>0</v>
      </c>
    </row>
    <row r="101" spans="2:40" collapsed="1" x14ac:dyDescent="0.25">
      <c r="B101" s="725"/>
    </row>
    <row r="102" spans="2:40" x14ac:dyDescent="0.25">
      <c r="B102" s="725"/>
    </row>
    <row r="103" spans="2:40" x14ac:dyDescent="0.25">
      <c r="B103" s="725"/>
    </row>
  </sheetData>
  <sheetProtection algorithmName="SHA-512" hashValue="GRTzp4E3OGTLpKBPlP4z0WQWcSxahvw94ELfG/zfYMSxU7WIcplvQ01XK7qxXNVpj82aqq7FhnPo3xl2MT8RRw==" saltValue="66NkOxGHQua9yzez/4tm1g==" spinCount="100000" sheet="1" formatColumns="0" formatRows="0"/>
  <dataConsolidate/>
  <mergeCells count="3">
    <mergeCell ref="M21:Q21"/>
    <mergeCell ref="B17:J17"/>
    <mergeCell ref="B38:J38"/>
  </mergeCells>
  <conditionalFormatting sqref="D13">
    <cfRule type="expression" dxfId="5" priority="1">
      <formula>OR($C$13&gt;0)</formula>
    </cfRule>
  </conditionalFormatting>
  <dataValidations count="1">
    <dataValidation type="whole" errorStyle="warning" allowBlank="1" showInputMessage="1" showErrorMessage="1" error="Let op, de aflossing dient te starten in of na het ingangsjaar en voor het einde looptijd lening" sqref="I25:I32" xr:uid="{714EE16C-B1E8-4443-82C0-CD9131E49676}">
      <formula1>F25</formula1>
      <formula2>F25+H25</formula2>
    </dataValidation>
  </dataValidations>
  <pageMargins left="0.19685039370078741" right="0.19685039370078741" top="0.39370078740157483" bottom="0.39370078740157483" header="0.51181102362204722" footer="0.51181102362204722"/>
  <pageSetup paperSize="9" scale="72"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8" id="{4A51495F-2B97-4916-A3F8-605B5AEF3AAE}">
            <xm:f>OR($D25=Lijsten!$G$4)</xm:f>
            <x14:dxf>
              <font>
                <color rgb="FFFF0000"/>
              </font>
              <fill>
                <patternFill>
                  <bgColor theme="0" tint="-4.9989318521683403E-2"/>
                </patternFill>
              </fill>
            </x14:dxf>
          </x14:cfRule>
          <xm:sqref>G25:I32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CE623F1E-7635-4BD5-A1AE-4EE32BE27ACC}">
          <x14:formula1>
            <xm:f>Lijsten!$G$3:$G$5</xm:f>
          </x14:formula1>
          <xm:sqref>D25:D32</xm:sqref>
        </x14:dataValidation>
        <x14:dataValidation type="list" allowBlank="1" showInputMessage="1" showErrorMessage="1" xr:uid="{720B3927-6ABF-479D-B38D-755EA26484D1}">
          <x14:formula1>
            <xm:f>Lijsten!$H$3:$H$5</xm:f>
          </x14:formula1>
          <xm:sqref>G25:G32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42F5-4E57-4DE0-88EC-99AE2BDB5BF1}">
  <sheetPr>
    <tabColor rgb="FFFFFFCC"/>
  </sheetPr>
  <dimension ref="A1:BY1195"/>
  <sheetViews>
    <sheetView showGridLines="0" tabSelected="1" topLeftCell="A8" zoomScale="90" zoomScaleNormal="90" zoomScaleSheetLayoutView="100" workbookViewId="0">
      <selection activeCell="R40" sqref="R40"/>
    </sheetView>
  </sheetViews>
  <sheetFormatPr defaultColWidth="8.81640625" defaultRowHeight="11.5" zeroHeight="1" outlineLevelRow="1" x14ac:dyDescent="0.25"/>
  <cols>
    <col min="1" max="1" width="2.81640625" style="280" customWidth="1"/>
    <col min="2" max="2" width="42.1796875" style="280" customWidth="1"/>
    <col min="3" max="3" width="31.54296875" style="280" customWidth="1"/>
    <col min="4" max="4" width="21.1796875" style="280" customWidth="1"/>
    <col min="5" max="5" width="10.7265625" style="280" customWidth="1"/>
    <col min="6" max="10" width="13.26953125" style="280" customWidth="1"/>
    <col min="11" max="11" width="2.1796875" style="280" customWidth="1"/>
    <col min="12" max="17" width="13.453125" style="280" customWidth="1"/>
    <col min="18" max="23" width="13.453125" style="292" customWidth="1"/>
    <col min="24" max="26" width="13.453125" style="374" customWidth="1"/>
    <col min="27" max="27" width="13.453125" style="376" customWidth="1"/>
    <col min="28" max="46" width="13.453125" style="280" customWidth="1"/>
    <col min="47" max="64" width="13.81640625" style="280" customWidth="1"/>
    <col min="65" max="65" width="8.81640625" style="280" customWidth="1"/>
    <col min="66" max="111" width="0" style="280" hidden="1" customWidth="1"/>
    <col min="112" max="16384" width="8.81640625" style="280"/>
  </cols>
  <sheetData>
    <row r="1" spans="1:74" x14ac:dyDescent="0.25">
      <c r="B1" s="281"/>
      <c r="C1" s="281"/>
      <c r="D1" s="281"/>
      <c r="E1" s="281"/>
      <c r="F1" s="281"/>
      <c r="G1" s="281"/>
      <c r="H1" s="281"/>
      <c r="I1" s="281"/>
      <c r="J1" s="281"/>
      <c r="K1" s="281"/>
      <c r="L1" s="281"/>
      <c r="M1" s="281"/>
      <c r="N1" s="281"/>
      <c r="O1" s="281"/>
      <c r="P1" s="281"/>
      <c r="Q1" s="281"/>
      <c r="R1" s="282"/>
      <c r="S1" s="282"/>
      <c r="T1" s="282"/>
      <c r="U1" s="282"/>
      <c r="V1" s="282"/>
      <c r="W1" s="282"/>
      <c r="X1" s="281"/>
      <c r="Y1" s="281"/>
      <c r="Z1" s="281"/>
      <c r="AA1" s="281"/>
      <c r="AB1" s="283"/>
      <c r="AC1" s="283"/>
    </row>
    <row r="2" spans="1:74" s="295" customFormat="1" ht="23.5" customHeight="1" x14ac:dyDescent="0.25">
      <c r="B2" s="601" t="s">
        <v>366</v>
      </c>
      <c r="C2" s="602"/>
      <c r="D2" s="509"/>
      <c r="E2" s="509"/>
      <c r="F2" s="509"/>
      <c r="G2" s="509"/>
      <c r="H2" s="509"/>
      <c r="I2" s="509"/>
      <c r="J2" s="509"/>
      <c r="K2" s="509"/>
      <c r="L2" s="509"/>
      <c r="M2" s="509"/>
      <c r="N2" s="509"/>
      <c r="O2" s="509"/>
      <c r="P2" s="509"/>
      <c r="Q2" s="509"/>
      <c r="R2" s="509"/>
      <c r="S2" s="509"/>
      <c r="T2" s="509"/>
      <c r="U2" s="509"/>
      <c r="V2" s="509"/>
      <c r="W2" s="509"/>
      <c r="X2" s="509"/>
      <c r="Y2" s="509"/>
      <c r="Z2" s="509"/>
      <c r="AA2" s="509"/>
      <c r="AB2" s="509"/>
      <c r="AC2" s="509"/>
      <c r="AD2" s="509"/>
      <c r="AE2" s="509"/>
      <c r="AF2" s="509"/>
      <c r="AG2" s="509"/>
      <c r="AH2" s="509"/>
      <c r="AI2" s="509"/>
      <c r="AJ2" s="509"/>
      <c r="AK2" s="509"/>
      <c r="AL2" s="509"/>
      <c r="AM2" s="509"/>
      <c r="AN2" s="509"/>
      <c r="AO2" s="509"/>
      <c r="AP2" s="509"/>
      <c r="AQ2" s="509"/>
      <c r="AR2" s="509"/>
      <c r="AS2" s="509"/>
      <c r="AT2" s="509"/>
    </row>
    <row r="3" spans="1:74" x14ac:dyDescent="0.25">
      <c r="B3" s="283"/>
      <c r="C3" s="283"/>
      <c r="D3" s="283"/>
      <c r="E3" s="283"/>
      <c r="F3" s="283"/>
      <c r="G3" s="283"/>
      <c r="H3" s="283"/>
      <c r="I3" s="283"/>
      <c r="J3" s="283"/>
      <c r="K3" s="283"/>
      <c r="L3" s="283"/>
      <c r="M3" s="283"/>
      <c r="N3" s="283"/>
      <c r="O3" s="283"/>
      <c r="P3" s="283"/>
      <c r="Q3" s="283"/>
      <c r="R3" s="284"/>
      <c r="S3" s="284"/>
      <c r="T3" s="284"/>
      <c r="U3" s="284"/>
      <c r="V3" s="284"/>
      <c r="W3" s="284"/>
      <c r="X3" s="283"/>
      <c r="Y3" s="283"/>
      <c r="Z3" s="283"/>
      <c r="AA3" s="283"/>
      <c r="AB3" s="283"/>
      <c r="AC3" s="283"/>
    </row>
    <row r="4" spans="1:74" s="285" customFormat="1" ht="15" customHeight="1" x14ac:dyDescent="0.25">
      <c r="B4" s="286" t="s">
        <v>367</v>
      </c>
      <c r="C4" s="286"/>
      <c r="D4" s="287"/>
      <c r="E4" s="287"/>
      <c r="F4" s="287"/>
      <c r="G4" s="287"/>
      <c r="H4" s="287"/>
      <c r="I4" s="287"/>
      <c r="J4" s="287"/>
      <c r="K4" s="287"/>
      <c r="L4" s="287"/>
      <c r="M4" s="287"/>
      <c r="N4" s="287"/>
      <c r="O4" s="287"/>
      <c r="P4" s="287"/>
      <c r="Q4" s="287"/>
      <c r="R4" s="287"/>
      <c r="S4" s="287"/>
      <c r="T4" s="287"/>
      <c r="U4" s="287"/>
      <c r="V4" s="287"/>
      <c r="W4" s="287"/>
      <c r="X4" s="287"/>
      <c r="Y4" s="287"/>
      <c r="Z4" s="287"/>
      <c r="AA4" s="287"/>
      <c r="AB4" s="288"/>
      <c r="AC4" s="289"/>
      <c r="AD4" s="289"/>
      <c r="AE4" s="289"/>
      <c r="AF4" s="289"/>
      <c r="AG4" s="289"/>
      <c r="AH4" s="289"/>
      <c r="AI4" s="289"/>
      <c r="AJ4" s="289"/>
      <c r="AK4" s="289"/>
      <c r="AL4" s="289"/>
      <c r="AM4" s="289"/>
      <c r="AN4" s="289"/>
      <c r="AO4" s="289"/>
      <c r="AP4" s="289"/>
      <c r="AQ4" s="289"/>
      <c r="AR4" s="289"/>
      <c r="AS4" s="289"/>
      <c r="AT4" s="289"/>
    </row>
    <row r="5" spans="1:74" ht="15" customHeight="1" x14ac:dyDescent="0.25">
      <c r="B5" s="280" t="s">
        <v>368</v>
      </c>
      <c r="D5" s="290">
        <f>YEAR(Startdatum)</f>
        <v>1900</v>
      </c>
      <c r="E5" s="280" t="s">
        <v>369</v>
      </c>
      <c r="G5" s="283"/>
      <c r="H5" s="283"/>
      <c r="I5" s="283"/>
      <c r="J5" s="283"/>
      <c r="K5" s="283"/>
      <c r="L5" s="283"/>
      <c r="M5" s="283"/>
      <c r="N5" s="283"/>
      <c r="O5" s="283"/>
      <c r="P5" s="283"/>
      <c r="Q5" s="283"/>
      <c r="R5" s="284"/>
      <c r="S5" s="284"/>
      <c r="T5" s="284"/>
      <c r="U5" s="284"/>
      <c r="V5" s="284"/>
      <c r="W5" s="284"/>
      <c r="X5" s="283"/>
      <c r="Y5" s="283"/>
      <c r="Z5" s="283"/>
      <c r="AA5" s="283"/>
      <c r="AB5" s="283"/>
    </row>
    <row r="6" spans="1:74" ht="15" customHeight="1" x14ac:dyDescent="0.25">
      <c r="B6" s="280" t="s">
        <v>370</v>
      </c>
      <c r="D6" s="290">
        <f>Looptijd</f>
        <v>30</v>
      </c>
      <c r="E6" s="280" t="s">
        <v>371</v>
      </c>
      <c r="G6" s="291"/>
      <c r="H6" s="291"/>
      <c r="I6" s="291"/>
      <c r="J6" s="291"/>
      <c r="K6" s="283"/>
      <c r="L6" s="283"/>
      <c r="M6" s="292"/>
      <c r="R6" s="280"/>
      <c r="S6" s="280"/>
      <c r="T6" s="280"/>
      <c r="U6" s="280"/>
      <c r="V6" s="280"/>
      <c r="W6" s="280"/>
      <c r="X6" s="280"/>
      <c r="Y6" s="280"/>
      <c r="Z6" s="280"/>
      <c r="AA6" s="283"/>
      <c r="AB6" s="283"/>
    </row>
    <row r="7" spans="1:74" s="293" customFormat="1" ht="15" customHeight="1" x14ac:dyDescent="0.25">
      <c r="D7" s="294"/>
      <c r="K7" s="294"/>
      <c r="L7" s="294"/>
      <c r="AA7" s="294"/>
      <c r="AB7" s="294"/>
    </row>
    <row r="8" spans="1:74" s="300" customFormat="1" ht="15" customHeight="1" x14ac:dyDescent="0.25">
      <c r="A8" s="283"/>
      <c r="B8" s="296" t="s">
        <v>372</v>
      </c>
      <c r="C8" s="297"/>
      <c r="D8" s="301"/>
      <c r="E8" s="301"/>
      <c r="F8" s="301"/>
      <c r="G8" s="301"/>
      <c r="H8" s="287"/>
      <c r="I8" s="287"/>
      <c r="J8" s="287"/>
      <c r="K8" s="287"/>
      <c r="L8" s="299">
        <f>$D$5</f>
        <v>1900</v>
      </c>
      <c r="M8" s="298">
        <f t="shared" ref="M8:AT8" si="0" xml:space="preserve"> L8 + 1</f>
        <v>1901</v>
      </c>
      <c r="N8" s="298">
        <f t="shared" si="0"/>
        <v>1902</v>
      </c>
      <c r="O8" s="298">
        <f t="shared" si="0"/>
        <v>1903</v>
      </c>
      <c r="P8" s="298">
        <f t="shared" si="0"/>
        <v>1904</v>
      </c>
      <c r="Q8" s="298">
        <f t="shared" si="0"/>
        <v>1905</v>
      </c>
      <c r="R8" s="299">
        <f t="shared" si="0"/>
        <v>1906</v>
      </c>
      <c r="S8" s="298">
        <f t="shared" si="0"/>
        <v>1907</v>
      </c>
      <c r="T8" s="298">
        <f t="shared" si="0"/>
        <v>1908</v>
      </c>
      <c r="U8" s="298">
        <f t="shared" si="0"/>
        <v>1909</v>
      </c>
      <c r="V8" s="298">
        <f t="shared" si="0"/>
        <v>1910</v>
      </c>
      <c r="W8" s="298">
        <f t="shared" si="0"/>
        <v>1911</v>
      </c>
      <c r="X8" s="298">
        <f t="shared" si="0"/>
        <v>1912</v>
      </c>
      <c r="Y8" s="298">
        <f t="shared" si="0"/>
        <v>1913</v>
      </c>
      <c r="Z8" s="298">
        <f t="shared" si="0"/>
        <v>1914</v>
      </c>
      <c r="AA8" s="962">
        <f t="shared" si="0"/>
        <v>1915</v>
      </c>
      <c r="AB8" s="299">
        <f t="shared" si="0"/>
        <v>1916</v>
      </c>
      <c r="AC8" s="298">
        <f t="shared" si="0"/>
        <v>1917</v>
      </c>
      <c r="AD8" s="298">
        <f t="shared" si="0"/>
        <v>1918</v>
      </c>
      <c r="AE8" s="298">
        <f t="shared" si="0"/>
        <v>1919</v>
      </c>
      <c r="AF8" s="298">
        <f t="shared" si="0"/>
        <v>1920</v>
      </c>
      <c r="AG8" s="298">
        <f t="shared" si="0"/>
        <v>1921</v>
      </c>
      <c r="AH8" s="298">
        <f t="shared" si="0"/>
        <v>1922</v>
      </c>
      <c r="AI8" s="298">
        <f t="shared" si="0"/>
        <v>1923</v>
      </c>
      <c r="AJ8" s="298">
        <f t="shared" si="0"/>
        <v>1924</v>
      </c>
      <c r="AK8" s="298">
        <f t="shared" si="0"/>
        <v>1925</v>
      </c>
      <c r="AL8" s="298">
        <f t="shared" si="0"/>
        <v>1926</v>
      </c>
      <c r="AM8" s="298">
        <f t="shared" si="0"/>
        <v>1927</v>
      </c>
      <c r="AN8" s="298">
        <f t="shared" si="0"/>
        <v>1928</v>
      </c>
      <c r="AO8" s="298">
        <f t="shared" si="0"/>
        <v>1929</v>
      </c>
      <c r="AP8" s="298">
        <f t="shared" si="0"/>
        <v>1930</v>
      </c>
      <c r="AQ8" s="298">
        <f t="shared" si="0"/>
        <v>1931</v>
      </c>
      <c r="AR8" s="298">
        <f t="shared" si="0"/>
        <v>1932</v>
      </c>
      <c r="AS8" s="298">
        <f t="shared" si="0"/>
        <v>1933</v>
      </c>
      <c r="AT8" s="298">
        <f t="shared" si="0"/>
        <v>1934</v>
      </c>
      <c r="AU8" s="283"/>
      <c r="AV8" s="283"/>
      <c r="AW8" s="280"/>
      <c r="AX8" s="280"/>
      <c r="AY8" s="280"/>
      <c r="AZ8" s="280"/>
      <c r="BA8" s="280"/>
      <c r="BB8" s="280"/>
      <c r="BC8" s="280"/>
      <c r="BD8" s="280"/>
      <c r="BE8" s="280"/>
      <c r="BF8" s="280"/>
      <c r="BG8" s="280"/>
      <c r="BH8" s="280"/>
      <c r="BI8" s="280"/>
      <c r="BJ8" s="280"/>
      <c r="BK8" s="280"/>
      <c r="BL8" s="280"/>
      <c r="BM8" s="280"/>
      <c r="BN8" s="280"/>
      <c r="BO8" s="280"/>
      <c r="BP8" s="280"/>
      <c r="BQ8" s="280"/>
      <c r="BR8" s="280"/>
      <c r="BS8" s="280"/>
      <c r="BT8" s="280"/>
      <c r="BU8" s="280"/>
      <c r="BV8" s="280"/>
    </row>
    <row r="9" spans="1:74" s="300" customFormat="1" ht="15" customHeight="1" x14ac:dyDescent="0.25">
      <c r="A9" s="283"/>
      <c r="B9" s="694" t="s">
        <v>373</v>
      </c>
      <c r="C9" s="695"/>
      <c r="D9" s="695"/>
      <c r="E9" s="695"/>
      <c r="F9" s="695"/>
      <c r="G9" s="695"/>
      <c r="H9" s="695"/>
      <c r="I9" s="695"/>
      <c r="J9" s="695"/>
      <c r="K9" s="695"/>
      <c r="L9" s="695">
        <v>1</v>
      </c>
      <c r="M9" s="695">
        <v>2</v>
      </c>
      <c r="N9" s="695">
        <v>3</v>
      </c>
      <c r="O9" s="695">
        <v>4</v>
      </c>
      <c r="P9" s="695">
        <v>5</v>
      </c>
      <c r="Q9" s="695">
        <v>6</v>
      </c>
      <c r="R9" s="695">
        <v>7</v>
      </c>
      <c r="S9" s="695">
        <v>8</v>
      </c>
      <c r="T9" s="695">
        <v>9</v>
      </c>
      <c r="U9" s="695">
        <v>10</v>
      </c>
      <c r="V9" s="695">
        <v>11</v>
      </c>
      <c r="W9" s="695">
        <v>12</v>
      </c>
      <c r="X9" s="695">
        <v>13</v>
      </c>
      <c r="Y9" s="695">
        <v>14</v>
      </c>
      <c r="Z9" s="695">
        <v>15</v>
      </c>
      <c r="AA9" s="683">
        <v>16</v>
      </c>
      <c r="AB9" s="695">
        <v>17</v>
      </c>
      <c r="AC9" s="695">
        <v>18</v>
      </c>
      <c r="AD9" s="695">
        <v>19</v>
      </c>
      <c r="AE9" s="695">
        <v>20</v>
      </c>
      <c r="AF9" s="695">
        <v>21</v>
      </c>
      <c r="AG9" s="695">
        <v>22</v>
      </c>
      <c r="AH9" s="695">
        <v>23</v>
      </c>
      <c r="AI9" s="695">
        <v>24</v>
      </c>
      <c r="AJ9" s="695">
        <v>25</v>
      </c>
      <c r="AK9" s="695">
        <v>26</v>
      </c>
      <c r="AL9" s="695">
        <v>27</v>
      </c>
      <c r="AM9" s="695">
        <v>28</v>
      </c>
      <c r="AN9" s="695">
        <v>29</v>
      </c>
      <c r="AO9" s="695">
        <v>30</v>
      </c>
      <c r="AP9" s="695">
        <v>31</v>
      </c>
      <c r="AQ9" s="695">
        <v>32</v>
      </c>
      <c r="AR9" s="695">
        <v>33</v>
      </c>
      <c r="AS9" s="695">
        <v>34</v>
      </c>
      <c r="AT9" s="696">
        <v>35</v>
      </c>
      <c r="AU9" s="283"/>
      <c r="AV9" s="283"/>
      <c r="AW9" s="280"/>
      <c r="AX9" s="280"/>
      <c r="AY9" s="280"/>
      <c r="AZ9" s="280"/>
      <c r="BA9" s="280"/>
      <c r="BB9" s="280"/>
      <c r="BC9" s="280"/>
      <c r="BD9" s="280"/>
      <c r="BE9" s="280"/>
      <c r="BF9" s="280"/>
      <c r="BG9" s="280"/>
      <c r="BH9" s="280"/>
      <c r="BI9" s="280"/>
      <c r="BJ9" s="280"/>
      <c r="BK9" s="280"/>
      <c r="BL9" s="280"/>
      <c r="BM9" s="280"/>
      <c r="BN9" s="280"/>
      <c r="BO9" s="280"/>
      <c r="BP9" s="280"/>
      <c r="BQ9" s="280"/>
      <c r="BR9" s="280"/>
      <c r="BS9" s="280"/>
      <c r="BT9" s="280"/>
      <c r="BU9" s="280"/>
      <c r="BV9" s="280"/>
    </row>
    <row r="10" spans="1:74" s="300" customFormat="1" ht="15" customHeight="1" x14ac:dyDescent="0.25">
      <c r="A10" s="283"/>
      <c r="B10" s="682" t="s">
        <v>374</v>
      </c>
      <c r="C10" s="683"/>
      <c r="D10" s="683"/>
      <c r="E10" s="683"/>
      <c r="F10" s="683"/>
      <c r="G10" s="683"/>
      <c r="H10" s="683"/>
      <c r="I10" s="683"/>
      <c r="J10" s="683"/>
      <c r="K10" s="683"/>
      <c r="L10" s="683">
        <f t="shared" ref="L10:AT10" si="1">(L$8&gt;=$D$5)*(L$8&lt;=$D$5+$D$6)*1</f>
        <v>1</v>
      </c>
      <c r="M10" s="683">
        <f t="shared" si="1"/>
        <v>1</v>
      </c>
      <c r="N10" s="683">
        <f t="shared" si="1"/>
        <v>1</v>
      </c>
      <c r="O10" s="683">
        <f t="shared" si="1"/>
        <v>1</v>
      </c>
      <c r="P10" s="683">
        <f t="shared" si="1"/>
        <v>1</v>
      </c>
      <c r="Q10" s="683">
        <f t="shared" si="1"/>
        <v>1</v>
      </c>
      <c r="R10" s="683">
        <f t="shared" si="1"/>
        <v>1</v>
      </c>
      <c r="S10" s="683">
        <f t="shared" si="1"/>
        <v>1</v>
      </c>
      <c r="T10" s="683">
        <f t="shared" si="1"/>
        <v>1</v>
      </c>
      <c r="U10" s="683">
        <f t="shared" si="1"/>
        <v>1</v>
      </c>
      <c r="V10" s="683">
        <f t="shared" si="1"/>
        <v>1</v>
      </c>
      <c r="W10" s="683">
        <f t="shared" si="1"/>
        <v>1</v>
      </c>
      <c r="X10" s="683">
        <f t="shared" si="1"/>
        <v>1</v>
      </c>
      <c r="Y10" s="683">
        <f t="shared" si="1"/>
        <v>1</v>
      </c>
      <c r="Z10" s="683">
        <f t="shared" si="1"/>
        <v>1</v>
      </c>
      <c r="AA10" s="683">
        <f t="shared" si="1"/>
        <v>1</v>
      </c>
      <c r="AB10" s="683">
        <f t="shared" si="1"/>
        <v>1</v>
      </c>
      <c r="AC10" s="683">
        <f t="shared" si="1"/>
        <v>1</v>
      </c>
      <c r="AD10" s="683">
        <f t="shared" si="1"/>
        <v>1</v>
      </c>
      <c r="AE10" s="683">
        <f t="shared" si="1"/>
        <v>1</v>
      </c>
      <c r="AF10" s="683">
        <f t="shared" si="1"/>
        <v>1</v>
      </c>
      <c r="AG10" s="683">
        <f t="shared" si="1"/>
        <v>1</v>
      </c>
      <c r="AH10" s="683">
        <f t="shared" si="1"/>
        <v>1</v>
      </c>
      <c r="AI10" s="683">
        <f t="shared" si="1"/>
        <v>1</v>
      </c>
      <c r="AJ10" s="683">
        <f t="shared" si="1"/>
        <v>1</v>
      </c>
      <c r="AK10" s="683">
        <f t="shared" si="1"/>
        <v>1</v>
      </c>
      <c r="AL10" s="683">
        <f t="shared" si="1"/>
        <v>1</v>
      </c>
      <c r="AM10" s="683">
        <f t="shared" si="1"/>
        <v>1</v>
      </c>
      <c r="AN10" s="683">
        <f t="shared" si="1"/>
        <v>1</v>
      </c>
      <c r="AO10" s="683">
        <f t="shared" si="1"/>
        <v>1</v>
      </c>
      <c r="AP10" s="683">
        <f>(AP$8&gt;=$D$5)*(AP$8&lt;=$D$5+$D$6)*1</f>
        <v>1</v>
      </c>
      <c r="AQ10" s="683">
        <f t="shared" si="1"/>
        <v>0</v>
      </c>
      <c r="AR10" s="683">
        <f t="shared" si="1"/>
        <v>0</v>
      </c>
      <c r="AS10" s="683">
        <f t="shared" si="1"/>
        <v>0</v>
      </c>
      <c r="AT10" s="684">
        <f t="shared" si="1"/>
        <v>0</v>
      </c>
      <c r="AU10" s="283"/>
      <c r="AV10" s="283"/>
      <c r="AW10" s="280"/>
      <c r="AX10" s="280"/>
      <c r="AY10" s="280"/>
      <c r="AZ10" s="280"/>
      <c r="BA10" s="280"/>
      <c r="BB10" s="280"/>
      <c r="BC10" s="280"/>
      <c r="BD10" s="280"/>
      <c r="BE10" s="280"/>
      <c r="BF10" s="280"/>
      <c r="BG10" s="280"/>
      <c r="BH10" s="280"/>
      <c r="BI10" s="280"/>
      <c r="BJ10" s="280"/>
      <c r="BK10" s="280"/>
      <c r="BL10" s="280"/>
      <c r="BM10" s="280"/>
      <c r="BN10" s="280"/>
      <c r="BO10" s="280"/>
      <c r="BP10" s="280"/>
      <c r="BQ10" s="280"/>
      <c r="BR10" s="280"/>
      <c r="BS10" s="280"/>
      <c r="BT10" s="280"/>
      <c r="BU10" s="280"/>
      <c r="BV10" s="280"/>
    </row>
    <row r="11" spans="1:74" s="300" customFormat="1" ht="15" customHeight="1" x14ac:dyDescent="0.25">
      <c r="A11" s="283"/>
      <c r="B11" s="682" t="s">
        <v>375</v>
      </c>
      <c r="C11" s="683"/>
      <c r="D11" s="703">
        <v>-3.5000000000000001E-3</v>
      </c>
      <c r="E11" s="683" t="s">
        <v>376</v>
      </c>
      <c r="F11" s="683"/>
      <c r="G11" s="683"/>
      <c r="H11" s="683"/>
      <c r="I11" s="683"/>
      <c r="J11" s="683"/>
      <c r="K11" s="683"/>
      <c r="L11" s="692">
        <f xml:space="preserve"> ( 1 + $D$11) ^ (L9 - 1)</f>
        <v>1</v>
      </c>
      <c r="M11" s="692">
        <f t="shared" ref="M11:AT11" si="2" xml:space="preserve"> ( 1 + $D$11) ^ (M9 - 1)</f>
        <v>0.99650000000000005</v>
      </c>
      <c r="N11" s="692">
        <f t="shared" si="2"/>
        <v>0.99301225000000015</v>
      </c>
      <c r="O11" s="692">
        <f t="shared" si="2"/>
        <v>0.98953670712500019</v>
      </c>
      <c r="P11" s="692">
        <f t="shared" si="2"/>
        <v>0.98607332865006281</v>
      </c>
      <c r="Q11" s="692">
        <f t="shared" si="2"/>
        <v>0.98262207199978768</v>
      </c>
      <c r="R11" s="692">
        <f t="shared" si="2"/>
        <v>0.97918289474778852</v>
      </c>
      <c r="S11" s="692">
        <f t="shared" si="2"/>
        <v>0.97575575461617126</v>
      </c>
      <c r="T11" s="692">
        <f t="shared" si="2"/>
        <v>0.97234060947501477</v>
      </c>
      <c r="U11" s="692">
        <f t="shared" si="2"/>
        <v>0.96893741734185224</v>
      </c>
      <c r="V11" s="692">
        <f t="shared" si="2"/>
        <v>0.96554613638115594</v>
      </c>
      <c r="W11" s="692">
        <f t="shared" si="2"/>
        <v>0.96216672490382193</v>
      </c>
      <c r="X11" s="692">
        <f t="shared" si="2"/>
        <v>0.95879914136665867</v>
      </c>
      <c r="Y11" s="692">
        <f t="shared" si="2"/>
        <v>0.95544334437187539</v>
      </c>
      <c r="Z11" s="692">
        <f t="shared" si="2"/>
        <v>0.95209929266657389</v>
      </c>
      <c r="AA11" s="692">
        <f t="shared" si="2"/>
        <v>0.94876694514224091</v>
      </c>
      <c r="AB11" s="692">
        <f t="shared" si="2"/>
        <v>0.94544626083424321</v>
      </c>
      <c r="AC11" s="692">
        <f t="shared" si="2"/>
        <v>0.94213719892132342</v>
      </c>
      <c r="AD11" s="692">
        <f t="shared" si="2"/>
        <v>0.93883971872509886</v>
      </c>
      <c r="AE11" s="692">
        <f t="shared" si="2"/>
        <v>0.93555377970956111</v>
      </c>
      <c r="AF11" s="692">
        <f t="shared" si="2"/>
        <v>0.93227934148057767</v>
      </c>
      <c r="AG11" s="692">
        <f t="shared" si="2"/>
        <v>0.92901636378539576</v>
      </c>
      <c r="AH11" s="692">
        <f t="shared" si="2"/>
        <v>0.92576480651214699</v>
      </c>
      <c r="AI11" s="692">
        <f t="shared" si="2"/>
        <v>0.92252462968935445</v>
      </c>
      <c r="AJ11" s="692">
        <f t="shared" si="2"/>
        <v>0.91929579348544188</v>
      </c>
      <c r="AK11" s="692">
        <f t="shared" si="2"/>
        <v>0.91607825820824285</v>
      </c>
      <c r="AL11" s="692">
        <f t="shared" si="2"/>
        <v>0.91287198430451411</v>
      </c>
      <c r="AM11" s="692">
        <f t="shared" si="2"/>
        <v>0.90967693235944835</v>
      </c>
      <c r="AN11" s="692">
        <f t="shared" si="2"/>
        <v>0.90649306309619038</v>
      </c>
      <c r="AO11" s="692">
        <f t="shared" si="2"/>
        <v>0.90332033737535378</v>
      </c>
      <c r="AP11" s="692">
        <f t="shared" si="2"/>
        <v>0.90015871619454013</v>
      </c>
      <c r="AQ11" s="692">
        <f t="shared" si="2"/>
        <v>0.89700816068785927</v>
      </c>
      <c r="AR11" s="692">
        <f t="shared" si="2"/>
        <v>0.89386863212545187</v>
      </c>
      <c r="AS11" s="692">
        <f t="shared" si="2"/>
        <v>0.89074009191301284</v>
      </c>
      <c r="AT11" s="693">
        <f t="shared" si="2"/>
        <v>0.88762250159131739</v>
      </c>
      <c r="AU11" s="283"/>
      <c r="AV11" s="283"/>
      <c r="AW11" s="280"/>
      <c r="AX11" s="280"/>
      <c r="AY11" s="280"/>
      <c r="AZ11" s="280"/>
      <c r="BA11" s="280"/>
      <c r="BB11" s="280"/>
      <c r="BC11" s="280"/>
      <c r="BD11" s="280"/>
      <c r="BE11" s="280"/>
      <c r="BF11" s="280"/>
      <c r="BG11" s="280"/>
      <c r="BH11" s="280"/>
      <c r="BI11" s="280"/>
      <c r="BJ11" s="280"/>
      <c r="BK11" s="280"/>
      <c r="BL11" s="280"/>
      <c r="BM11" s="280"/>
      <c r="BN11" s="280"/>
      <c r="BO11" s="280"/>
      <c r="BP11" s="280"/>
      <c r="BQ11" s="280"/>
      <c r="BR11" s="280"/>
      <c r="BS11" s="280"/>
      <c r="BT11" s="280"/>
      <c r="BU11" s="280"/>
      <c r="BV11" s="280"/>
    </row>
    <row r="12" spans="1:74" s="300" customFormat="1" ht="15" customHeight="1" x14ac:dyDescent="0.25">
      <c r="A12" s="283"/>
      <c r="B12" s="691" t="s">
        <v>377</v>
      </c>
      <c r="C12" s="688"/>
      <c r="D12" s="304">
        <f>inflatie</f>
        <v>0.02</v>
      </c>
      <c r="E12" s="688" t="s">
        <v>376</v>
      </c>
      <c r="F12" s="688"/>
      <c r="G12" s="688"/>
      <c r="H12" s="688"/>
      <c r="I12" s="688"/>
      <c r="J12" s="688"/>
      <c r="K12" s="688"/>
      <c r="L12" s="689">
        <f xml:space="preserve"> ( 1 + $D$12) ^ (L9 - 1)</f>
        <v>1</v>
      </c>
      <c r="M12" s="689">
        <f t="shared" ref="M12:AT12" si="3" xml:space="preserve"> ( 1 + $D$12) ^ (M9 - 1)</f>
        <v>1.02</v>
      </c>
      <c r="N12" s="689">
        <f xml:space="preserve"> ( 1 + $D$12) ^ (N9 - 1)</f>
        <v>1.0404</v>
      </c>
      <c r="O12" s="689">
        <f t="shared" si="3"/>
        <v>1.0612079999999999</v>
      </c>
      <c r="P12" s="689">
        <f t="shared" si="3"/>
        <v>1.08243216</v>
      </c>
      <c r="Q12" s="689">
        <f t="shared" si="3"/>
        <v>1.1040808032</v>
      </c>
      <c r="R12" s="689">
        <f t="shared" si="3"/>
        <v>1.1261624192640001</v>
      </c>
      <c r="S12" s="689">
        <f t="shared" si="3"/>
        <v>1.1486856676492798</v>
      </c>
      <c r="T12" s="689">
        <f t="shared" si="3"/>
        <v>1.1716593810022655</v>
      </c>
      <c r="U12" s="689">
        <f t="shared" si="3"/>
        <v>1.1950925686223108</v>
      </c>
      <c r="V12" s="689">
        <f t="shared" si="3"/>
        <v>1.2189944199947571</v>
      </c>
      <c r="W12" s="689">
        <f t="shared" si="3"/>
        <v>1.243374308394652</v>
      </c>
      <c r="X12" s="689">
        <f t="shared" si="3"/>
        <v>1.2682417945625453</v>
      </c>
      <c r="Y12" s="689">
        <f t="shared" si="3"/>
        <v>1.2936066304537961</v>
      </c>
      <c r="Z12" s="689">
        <f t="shared" si="3"/>
        <v>1.3194787630628722</v>
      </c>
      <c r="AA12" s="689">
        <f t="shared" si="3"/>
        <v>1.3458683383241292</v>
      </c>
      <c r="AB12" s="689">
        <f t="shared" si="3"/>
        <v>1.372785705090612</v>
      </c>
      <c r="AC12" s="689">
        <f t="shared" si="3"/>
        <v>1.4002414191924244</v>
      </c>
      <c r="AD12" s="689">
        <f t="shared" si="3"/>
        <v>1.4282462475762727</v>
      </c>
      <c r="AE12" s="689">
        <f t="shared" si="3"/>
        <v>1.4568111725277981</v>
      </c>
      <c r="AF12" s="689">
        <f t="shared" si="3"/>
        <v>1.4859473959783542</v>
      </c>
      <c r="AG12" s="689">
        <f t="shared" si="3"/>
        <v>1.5156663438979212</v>
      </c>
      <c r="AH12" s="689">
        <f t="shared" si="3"/>
        <v>1.5459796707758797</v>
      </c>
      <c r="AI12" s="689">
        <f t="shared" si="3"/>
        <v>1.576899264191397</v>
      </c>
      <c r="AJ12" s="689">
        <f t="shared" si="3"/>
        <v>1.608437249475225</v>
      </c>
      <c r="AK12" s="689">
        <f t="shared" si="3"/>
        <v>1.6406059944647295</v>
      </c>
      <c r="AL12" s="689">
        <f t="shared" si="3"/>
        <v>1.6734181143540243</v>
      </c>
      <c r="AM12" s="689">
        <f t="shared" si="3"/>
        <v>1.7068864766411045</v>
      </c>
      <c r="AN12" s="689">
        <f t="shared" si="3"/>
        <v>1.7410242061739269</v>
      </c>
      <c r="AO12" s="689">
        <f t="shared" si="3"/>
        <v>1.7758446902974052</v>
      </c>
      <c r="AP12" s="689">
        <f t="shared" si="3"/>
        <v>1.8113615841033535</v>
      </c>
      <c r="AQ12" s="689">
        <f t="shared" si="3"/>
        <v>1.8475888157854201</v>
      </c>
      <c r="AR12" s="689">
        <f t="shared" si="3"/>
        <v>1.8845405921011289</v>
      </c>
      <c r="AS12" s="689">
        <f t="shared" si="3"/>
        <v>1.9222314039431516</v>
      </c>
      <c r="AT12" s="690">
        <f t="shared" si="3"/>
        <v>1.9606760320220145</v>
      </c>
      <c r="AU12" s="283"/>
      <c r="AV12" s="283"/>
      <c r="AW12" s="280"/>
      <c r="AX12" s="280"/>
      <c r="AY12" s="280"/>
      <c r="AZ12" s="280"/>
      <c r="BA12" s="280"/>
      <c r="BB12" s="280"/>
      <c r="BC12" s="280"/>
      <c r="BD12" s="280"/>
      <c r="BE12" s="280"/>
      <c r="BF12" s="280"/>
      <c r="BG12" s="280"/>
      <c r="BH12" s="280"/>
      <c r="BI12" s="280"/>
      <c r="BJ12" s="280"/>
      <c r="BK12" s="280"/>
      <c r="BL12" s="280"/>
      <c r="BM12" s="280"/>
      <c r="BN12" s="280"/>
      <c r="BO12" s="280"/>
      <c r="BP12" s="280"/>
      <c r="BQ12" s="280"/>
      <c r="BR12" s="280"/>
      <c r="BS12" s="280"/>
      <c r="BT12" s="280"/>
      <c r="BU12" s="280"/>
      <c r="BV12" s="280"/>
    </row>
    <row r="13" spans="1:74" s="300" customFormat="1" ht="15" customHeight="1" x14ac:dyDescent="0.25">
      <c r="A13" s="283"/>
      <c r="B13" s="283"/>
      <c r="C13" s="283"/>
      <c r="D13" s="283"/>
      <c r="E13" s="283"/>
      <c r="F13" s="283"/>
      <c r="G13" s="283"/>
      <c r="H13" s="283"/>
      <c r="I13" s="283"/>
      <c r="J13" s="283"/>
      <c r="K13" s="283"/>
      <c r="L13" s="281"/>
      <c r="M13" s="283"/>
      <c r="N13" s="283"/>
      <c r="O13" s="283"/>
      <c r="P13" s="283"/>
      <c r="Q13" s="283"/>
      <c r="R13" s="283"/>
      <c r="S13" s="283"/>
      <c r="T13" s="283"/>
      <c r="U13" s="283"/>
      <c r="V13" s="283"/>
      <c r="W13" s="283"/>
      <c r="X13" s="283"/>
      <c r="Y13" s="283"/>
      <c r="Z13" s="283"/>
      <c r="AA13" s="283"/>
      <c r="AB13" s="281"/>
      <c r="AC13" s="283"/>
      <c r="AD13" s="283"/>
      <c r="AE13" s="283"/>
      <c r="AF13" s="283"/>
      <c r="AG13" s="283"/>
      <c r="AH13" s="283"/>
      <c r="AI13" s="283"/>
      <c r="AJ13" s="283"/>
      <c r="AK13" s="283"/>
      <c r="AL13" s="283"/>
      <c r="AM13" s="283"/>
      <c r="AN13" s="283"/>
      <c r="AO13" s="283"/>
      <c r="AP13" s="283"/>
      <c r="AQ13" s="283"/>
      <c r="AR13" s="283"/>
      <c r="AS13" s="283"/>
      <c r="AT13" s="283"/>
      <c r="AU13" s="283"/>
      <c r="AV13" s="283"/>
      <c r="AW13" s="280"/>
      <c r="AX13" s="280"/>
      <c r="AY13" s="280"/>
      <c r="AZ13" s="280"/>
      <c r="BA13" s="280"/>
      <c r="BB13" s="280"/>
      <c r="BC13" s="280"/>
      <c r="BD13" s="280"/>
      <c r="BE13" s="280"/>
      <c r="BF13" s="280"/>
      <c r="BG13" s="280"/>
      <c r="BH13" s="280"/>
      <c r="BI13" s="280"/>
      <c r="BJ13" s="280"/>
      <c r="BK13" s="280"/>
      <c r="BL13" s="280"/>
      <c r="BM13" s="280"/>
      <c r="BN13" s="280"/>
      <c r="BO13" s="280"/>
      <c r="BP13" s="280"/>
      <c r="BQ13" s="280"/>
      <c r="BR13" s="280"/>
      <c r="BS13" s="280"/>
      <c r="BT13" s="280"/>
      <c r="BU13" s="280"/>
      <c r="BV13" s="280"/>
    </row>
    <row r="14" spans="1:74" s="295" customFormat="1" ht="15" customHeight="1" x14ac:dyDescent="0.25">
      <c r="B14" s="286" t="s">
        <v>378</v>
      </c>
      <c r="C14" s="286"/>
      <c r="D14" s="286"/>
      <c r="E14" s="286"/>
      <c r="F14" s="286"/>
      <c r="G14" s="286"/>
      <c r="H14" s="286"/>
      <c r="I14" s="286"/>
      <c r="J14" s="286"/>
      <c r="K14" s="286"/>
      <c r="L14" s="298">
        <f>$D$5</f>
        <v>1900</v>
      </c>
      <c r="M14" s="298">
        <f t="shared" ref="M14" si="4" xml:space="preserve"> L14 + 1</f>
        <v>1901</v>
      </c>
      <c r="N14" s="298">
        <f t="shared" ref="N14" si="5" xml:space="preserve"> M14 + 1</f>
        <v>1902</v>
      </c>
      <c r="O14" s="298">
        <f t="shared" ref="O14" si="6" xml:space="preserve"> N14 + 1</f>
        <v>1903</v>
      </c>
      <c r="P14" s="298">
        <f t="shared" ref="P14" si="7" xml:space="preserve"> O14 + 1</f>
        <v>1904</v>
      </c>
      <c r="Q14" s="298">
        <f t="shared" ref="Q14" si="8" xml:space="preserve"> P14 + 1</f>
        <v>1905</v>
      </c>
      <c r="R14" s="299">
        <f t="shared" ref="R14" si="9" xml:space="preserve"> Q14 + 1</f>
        <v>1906</v>
      </c>
      <c r="S14" s="298">
        <f t="shared" ref="S14" si="10" xml:space="preserve"> R14 + 1</f>
        <v>1907</v>
      </c>
      <c r="T14" s="298">
        <f t="shared" ref="T14" si="11" xml:space="preserve"> S14 + 1</f>
        <v>1908</v>
      </c>
      <c r="U14" s="298">
        <f t="shared" ref="U14" si="12" xml:space="preserve"> T14 + 1</f>
        <v>1909</v>
      </c>
      <c r="V14" s="298">
        <f t="shared" ref="V14" si="13" xml:space="preserve"> U14 + 1</f>
        <v>1910</v>
      </c>
      <c r="W14" s="298">
        <f t="shared" ref="W14" si="14" xml:space="preserve"> V14 + 1</f>
        <v>1911</v>
      </c>
      <c r="X14" s="298">
        <f t="shared" ref="X14" si="15" xml:space="preserve"> W14 + 1</f>
        <v>1912</v>
      </c>
      <c r="Y14" s="298">
        <f t="shared" ref="Y14" si="16" xml:space="preserve"> X14 + 1</f>
        <v>1913</v>
      </c>
      <c r="Z14" s="298">
        <f t="shared" ref="Z14" si="17" xml:space="preserve"> Y14 + 1</f>
        <v>1914</v>
      </c>
      <c r="AA14" s="298">
        <f t="shared" ref="AA14" si="18" xml:space="preserve"> Z14 + 1</f>
        <v>1915</v>
      </c>
      <c r="AB14" s="298">
        <f t="shared" ref="AB14" si="19" xml:space="preserve"> AA14 + 1</f>
        <v>1916</v>
      </c>
      <c r="AC14" s="298">
        <f t="shared" ref="AC14" si="20" xml:space="preserve"> AB14 + 1</f>
        <v>1917</v>
      </c>
      <c r="AD14" s="299"/>
      <c r="AE14" s="299"/>
      <c r="AF14" s="299"/>
      <c r="AG14" s="299"/>
      <c r="AH14" s="299"/>
      <c r="AI14" s="299"/>
      <c r="AJ14" s="299"/>
      <c r="AK14" s="299"/>
      <c r="AL14" s="299"/>
      <c r="AM14" s="299"/>
      <c r="AN14" s="299"/>
      <c r="AO14" s="299"/>
      <c r="AP14" s="299"/>
      <c r="AQ14" s="299"/>
      <c r="AR14" s="299"/>
      <c r="AS14" s="299"/>
      <c r="AT14" s="299"/>
    </row>
    <row r="15" spans="1:74" s="293" customFormat="1" ht="15" customHeight="1" x14ac:dyDescent="0.25">
      <c r="B15" s="387" t="s">
        <v>379</v>
      </c>
      <c r="C15" s="385"/>
      <c r="D15" s="385"/>
      <c r="E15" s="385"/>
      <c r="F15" s="385"/>
      <c r="G15" s="385"/>
      <c r="H15" s="385"/>
      <c r="I15" s="385"/>
      <c r="J15" s="385"/>
      <c r="K15" s="385"/>
      <c r="L15" s="386"/>
      <c r="M15" s="386"/>
      <c r="N15" s="386"/>
      <c r="O15" s="386"/>
      <c r="P15" s="386"/>
      <c r="Q15" s="386"/>
      <c r="R15" s="386"/>
      <c r="S15" s="386"/>
      <c r="T15" s="386"/>
      <c r="U15" s="386"/>
      <c r="V15" s="386"/>
      <c r="W15" s="386"/>
      <c r="X15" s="386"/>
      <c r="Y15" s="386"/>
      <c r="Z15" s="386"/>
      <c r="AA15" s="386"/>
      <c r="AB15" s="386"/>
      <c r="AC15" s="386"/>
      <c r="AD15" s="386"/>
      <c r="AE15" s="386"/>
      <c r="AF15" s="386"/>
      <c r="AG15" s="386"/>
      <c r="AH15" s="386"/>
      <c r="AI15" s="386"/>
      <c r="AJ15" s="386"/>
      <c r="AK15" s="386"/>
      <c r="AL15" s="386"/>
      <c r="AM15" s="386"/>
      <c r="AN15" s="386"/>
      <c r="AO15" s="386"/>
      <c r="AP15" s="386"/>
      <c r="AQ15" s="386"/>
      <c r="AR15" s="386"/>
      <c r="AS15" s="386"/>
      <c r="AT15" s="386"/>
    </row>
    <row r="16" spans="1:74" s="293" customFormat="1" ht="15" customHeight="1" x14ac:dyDescent="0.25">
      <c r="B16" s="387" t="s">
        <v>380</v>
      </c>
      <c r="C16" s="385"/>
      <c r="D16" s="385"/>
      <c r="E16" s="385"/>
      <c r="F16" s="385"/>
      <c r="G16" s="385"/>
      <c r="H16" s="385"/>
      <c r="I16" s="385"/>
      <c r="J16" s="385"/>
      <c r="K16" s="385"/>
      <c r="L16" s="386"/>
      <c r="M16" s="386"/>
      <c r="N16" s="386"/>
      <c r="O16" s="386"/>
      <c r="P16" s="386"/>
      <c r="Q16" s="386"/>
      <c r="R16" s="386"/>
      <c r="S16" s="386"/>
      <c r="T16" s="386"/>
      <c r="U16" s="386"/>
      <c r="V16" s="386"/>
      <c r="W16" s="386"/>
      <c r="X16" s="386"/>
      <c r="Y16" s="386"/>
      <c r="Z16" s="386"/>
      <c r="AA16" s="386"/>
      <c r="AB16" s="386"/>
      <c r="AC16" s="386"/>
      <c r="AD16" s="386"/>
      <c r="AE16" s="386"/>
      <c r="AF16" s="386"/>
      <c r="AG16" s="386"/>
      <c r="AH16" s="386"/>
      <c r="AI16" s="386"/>
      <c r="AJ16" s="386"/>
      <c r="AK16" s="386"/>
      <c r="AL16" s="386"/>
      <c r="AM16" s="386"/>
      <c r="AN16" s="386"/>
      <c r="AO16" s="386"/>
      <c r="AP16" s="386"/>
      <c r="AQ16" s="386"/>
      <c r="AR16" s="386"/>
      <c r="AS16" s="386"/>
      <c r="AT16" s="386"/>
    </row>
    <row r="17" spans="1:54" s="293" customFormat="1" ht="15" customHeight="1" x14ac:dyDescent="0.25">
      <c r="B17" s="387" t="s">
        <v>381</v>
      </c>
      <c r="C17" s="385"/>
      <c r="D17" s="385"/>
      <c r="E17" s="385"/>
      <c r="F17" s="385"/>
      <c r="G17" s="385"/>
      <c r="H17" s="385"/>
      <c r="I17" s="385"/>
      <c r="J17" s="385"/>
      <c r="K17" s="385"/>
      <c r="L17" s="386"/>
      <c r="M17" s="386"/>
      <c r="N17" s="386"/>
      <c r="O17" s="386"/>
      <c r="P17" s="386"/>
      <c r="Q17" s="386"/>
      <c r="R17" s="386"/>
      <c r="S17" s="386"/>
      <c r="T17" s="386"/>
      <c r="U17" s="386"/>
      <c r="V17" s="386"/>
      <c r="W17" s="386"/>
      <c r="X17" s="386"/>
      <c r="Y17" s="386"/>
      <c r="Z17" s="386"/>
      <c r="AA17" s="386"/>
      <c r="AB17" s="386"/>
      <c r="AC17" s="386"/>
      <c r="AD17" s="386"/>
      <c r="AE17" s="386"/>
      <c r="AF17" s="386"/>
      <c r="AG17" s="386"/>
      <c r="AH17" s="386"/>
      <c r="AI17" s="386"/>
      <c r="AJ17" s="386"/>
      <c r="AK17" s="386"/>
      <c r="AL17" s="386"/>
      <c r="AM17" s="386"/>
      <c r="AN17" s="386"/>
      <c r="AO17" s="386"/>
      <c r="AP17" s="386"/>
      <c r="AQ17" s="386"/>
      <c r="AR17" s="386"/>
      <c r="AS17" s="386"/>
      <c r="AT17" s="386"/>
    </row>
    <row r="18" spans="1:54" s="293" customFormat="1" ht="15" customHeight="1" x14ac:dyDescent="0.25">
      <c r="B18" s="775" t="s">
        <v>382</v>
      </c>
      <c r="C18" s="385"/>
      <c r="D18" s="385"/>
      <c r="E18" s="385"/>
      <c r="F18" s="385"/>
      <c r="G18" s="385"/>
      <c r="H18" s="385"/>
      <c r="I18" s="385"/>
      <c r="J18" s="385"/>
      <c r="K18" s="697"/>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386"/>
    </row>
    <row r="19" spans="1:54" s="381" customFormat="1" ht="43.5" customHeight="1" x14ac:dyDescent="0.25">
      <c r="A19" s="380"/>
      <c r="B19" s="713" t="str">
        <f>Mijlpalenbegroting!E102</f>
        <v>Beschrijving aansluitingen</v>
      </c>
      <c r="C19" s="704" t="str">
        <f>Mijlpalenbegroting!E102</f>
        <v>Beschrijving aansluitingen</v>
      </c>
      <c r="D19" s="704" t="s">
        <v>221</v>
      </c>
      <c r="E19" s="705" t="s">
        <v>383</v>
      </c>
      <c r="F19" s="705" t="s">
        <v>384</v>
      </c>
      <c r="G19" s="705" t="s">
        <v>385</v>
      </c>
      <c r="H19" s="705" t="s">
        <v>386</v>
      </c>
      <c r="I19" s="705" t="s">
        <v>387</v>
      </c>
      <c r="J19" s="706" t="s">
        <v>388</v>
      </c>
      <c r="K19" s="698"/>
      <c r="L19" s="707" t="s">
        <v>389</v>
      </c>
      <c r="M19" s="708"/>
      <c r="N19" s="709"/>
      <c r="O19" s="709"/>
      <c r="P19" s="709"/>
      <c r="Q19" s="709"/>
      <c r="R19" s="709"/>
      <c r="S19" s="709"/>
      <c r="T19" s="709"/>
      <c r="U19" s="710"/>
      <c r="V19" s="710"/>
      <c r="W19" s="708"/>
      <c r="X19" s="708"/>
      <c r="Y19" s="711"/>
      <c r="Z19" s="711"/>
      <c r="AA19" s="711"/>
      <c r="AB19" s="711"/>
      <c r="AC19" s="711"/>
      <c r="AD19" s="711"/>
      <c r="AE19" s="711"/>
      <c r="AF19" s="711"/>
      <c r="AG19" s="711"/>
      <c r="AH19" s="711"/>
      <c r="AI19" s="711"/>
      <c r="AJ19" s="711"/>
      <c r="AK19" s="711"/>
      <c r="AL19" s="711"/>
      <c r="AM19" s="711"/>
      <c r="AN19" s="711"/>
      <c r="AO19" s="711"/>
      <c r="AP19" s="711"/>
      <c r="AQ19" s="711"/>
      <c r="AR19" s="711"/>
      <c r="AS19" s="711"/>
      <c r="AT19" s="712"/>
      <c r="AU19" s="382"/>
      <c r="AV19" s="382"/>
      <c r="AW19" s="382"/>
      <c r="AX19" s="382"/>
      <c r="AY19" s="382"/>
      <c r="AZ19" s="382"/>
    </row>
    <row r="20" spans="1:54" s="381" customFormat="1" ht="15" customHeight="1" x14ac:dyDescent="0.25">
      <c r="A20" s="380"/>
      <c r="B20" s="714">
        <f>Mijlpalenbegroting!E103</f>
        <v>0</v>
      </c>
      <c r="C20" s="715">
        <f>Mijlpalenbegroting!H103</f>
        <v>0</v>
      </c>
      <c r="D20" s="716">
        <f>Mijlpalenbegroting!B103</f>
        <v>0</v>
      </c>
      <c r="E20" s="717">
        <f>Mijlpalenbegroting!D103</f>
        <v>0</v>
      </c>
      <c r="F20" s="419"/>
      <c r="G20" s="419"/>
      <c r="H20" s="420"/>
      <c r="I20" s="420"/>
      <c r="J20" s="699"/>
      <c r="K20" s="353"/>
      <c r="L20" s="701" cm="1">
        <f t="array" ref="L20">IF($D20&gt;0,INDEX(Mijlpalenplanning!$C$169:$J$183,$D20,COUNTA($L$14:L$14))*Mijlpalenbegroting!$D103,0)+K20</f>
        <v>0</v>
      </c>
      <c r="M20" s="410" cm="1">
        <f t="array" ref="M20">IF($D20&gt;0,INDEX(Mijlpalenplanning!$C$169:$J$183,$D20,COUNTA($L$14:M$14))*Mijlpalenbegroting!$D103,0)+L20</f>
        <v>0</v>
      </c>
      <c r="N20" s="410" cm="1">
        <f t="array" ref="N20">IF($D20&gt;0,INDEX(Mijlpalenplanning!$C$169:$J$183,$D20,COUNTA($L$14:N$14))*Mijlpalenbegroting!$D103,0)+M20</f>
        <v>0</v>
      </c>
      <c r="O20" s="410" cm="1">
        <f t="array" ref="O20">IF($D20&gt;0,INDEX(Mijlpalenplanning!$C$169:$J$183,$D20,COUNTA($L$14:O$14))*Mijlpalenbegroting!$D103,0)+N20</f>
        <v>0</v>
      </c>
      <c r="P20" s="410" cm="1">
        <f t="array" ref="P20">IF($D20&gt;0,INDEX(Mijlpalenplanning!$C$169:$J$183,$D20,COUNTA($L$14:P$14))*Mijlpalenbegroting!$D103,0)+O20</f>
        <v>0</v>
      </c>
      <c r="Q20" s="410" cm="1">
        <f t="array" ref="Q20">IF($D20&gt;0,INDEX(Mijlpalenplanning!$C$169:$J$183,$D20,COUNTA($L$14:Q$14))*Mijlpalenbegroting!$D103,0)+P20</f>
        <v>0</v>
      </c>
      <c r="R20" s="410" cm="1">
        <f t="array" ref="R20">IF($D20&gt;0,INDEX(Mijlpalenplanning!$C$169:$J$183,$D20,COUNTA($L$14:R$14))*Mijlpalenbegroting!$D103,0)+Q20</f>
        <v>0</v>
      </c>
      <c r="S20" s="410" cm="1">
        <f t="array" ref="S20">IF($D20&gt;0,INDEX(Mijlpalenplanning!$C$169:$J$183,$D20,COUNTA($L$14:S$14))*Mijlpalenbegroting!$D103,0)+R20</f>
        <v>0</v>
      </c>
      <c r="T20" s="410">
        <f>S20</f>
        <v>0</v>
      </c>
      <c r="U20" s="410">
        <f t="shared" ref="U20:Y20" si="21">T20</f>
        <v>0</v>
      </c>
      <c r="V20" s="410">
        <f t="shared" si="21"/>
        <v>0</v>
      </c>
      <c r="W20" s="410">
        <f t="shared" si="21"/>
        <v>0</v>
      </c>
      <c r="X20" s="410">
        <f t="shared" si="21"/>
        <v>0</v>
      </c>
      <c r="Y20" s="410">
        <f t="shared" si="21"/>
        <v>0</v>
      </c>
      <c r="Z20" s="410">
        <f>MAX(Y20-IF(OR($C20=Lijsten!$D$8),K20,0),0)</f>
        <v>0</v>
      </c>
      <c r="AA20" s="410">
        <f>MAX(Z20-IF(OR($C20=Lijsten!$D$8),L20,0),0)</f>
        <v>0</v>
      </c>
      <c r="AB20" s="410">
        <f>MAX(AA20-IF(OR($C20=Lijsten!$D$8),M20,0),0)</f>
        <v>0</v>
      </c>
      <c r="AC20" s="410">
        <f>MAX(AB20-IF(OR($C20=Lijsten!$D$8),N20,0),0)</f>
        <v>0</v>
      </c>
      <c r="AD20" s="410">
        <f>MAX(AC20-IF(OR($C20=Lijsten!$D$8),O20,0),0)</f>
        <v>0</v>
      </c>
      <c r="AE20" s="410">
        <f>MAX(AD20-IF(OR($C20=Lijsten!$D$8),P20,0),0)</f>
        <v>0</v>
      </c>
      <c r="AF20" s="410">
        <f>MAX(AE20-IF(OR($C20=Lijsten!$D$8),Q20,0),0)</f>
        <v>0</v>
      </c>
      <c r="AG20" s="410">
        <f>MAX(AF20-IF(OR($C20=Lijsten!$D$8),R20,0),0)</f>
        <v>0</v>
      </c>
      <c r="AH20" s="410">
        <f>MAX(AG20-IF(OR($C20=Lijsten!$D$8),S20,0),0)</f>
        <v>0</v>
      </c>
      <c r="AI20" s="410">
        <f>MAX(AH20-IF(OR($C20=Lijsten!$D$8),T20,0),0)</f>
        <v>0</v>
      </c>
      <c r="AJ20" s="410">
        <f>MAX(AI20-IF(OR($C20=Lijsten!$D$8),U20,0),0)</f>
        <v>0</v>
      </c>
      <c r="AK20" s="410">
        <f>MAX(AJ20-IF(OR($C20=Lijsten!$D$8),V20,0),0)</f>
        <v>0</v>
      </c>
      <c r="AL20" s="410">
        <f>MAX(AK20-IF(OR($C20=Lijsten!$D$8),W20,0),0)</f>
        <v>0</v>
      </c>
      <c r="AM20" s="410">
        <f>MAX(AL20-IF(OR($C20=Lijsten!$D$8),X20,0),0)</f>
        <v>0</v>
      </c>
      <c r="AN20" s="410">
        <f>MAX(AM20-IF(OR($C20=Lijsten!$D$8),Y20,0),0)</f>
        <v>0</v>
      </c>
      <c r="AO20" s="410">
        <f>MAX(AN20-IF(OR($C20=Lijsten!$D$8),Z20,0),0)</f>
        <v>0</v>
      </c>
      <c r="AP20" s="410">
        <f>MAX(AO20-IF(OR($C20=Lijsten!$D$8),AA20,0),0)</f>
        <v>0</v>
      </c>
      <c r="AQ20" s="410">
        <f>MAX(AP20-IF(OR($C20=Lijsten!$D$8),AB20,0),0)</f>
        <v>0</v>
      </c>
      <c r="AR20" s="410">
        <f>MAX(AQ20-IF(OR($C20=Lijsten!$D$8),AC20,0),0)</f>
        <v>0</v>
      </c>
      <c r="AS20" s="410">
        <f>MAX(AR20-IF(OR($C20=Lijsten!$D$8),AD20,0),0)</f>
        <v>0</v>
      </c>
      <c r="AT20" s="411">
        <f>MAX(AS20-IF(OR($C20=Lijsten!$D$8),AE20,0),0)</f>
        <v>0</v>
      </c>
      <c r="AU20" s="380"/>
      <c r="AV20" s="380"/>
      <c r="AW20" s="380"/>
      <c r="AX20" s="380"/>
      <c r="AY20" s="380"/>
      <c r="AZ20" s="380"/>
      <c r="BA20" s="380"/>
      <c r="BB20" s="380"/>
    </row>
    <row r="21" spans="1:54" s="381" customFormat="1" ht="15" customHeight="1" x14ac:dyDescent="0.25">
      <c r="A21" s="380"/>
      <c r="B21" s="714">
        <f>Mijlpalenbegroting!E104</f>
        <v>0</v>
      </c>
      <c r="C21" s="715">
        <f>Mijlpalenbegroting!H104</f>
        <v>0</v>
      </c>
      <c r="D21" s="716">
        <f>Mijlpalenbegroting!B104</f>
        <v>0</v>
      </c>
      <c r="E21" s="717">
        <f>Mijlpalenbegroting!D104</f>
        <v>0</v>
      </c>
      <c r="F21" s="419"/>
      <c r="G21" s="419"/>
      <c r="H21" s="420"/>
      <c r="I21" s="420"/>
      <c r="J21" s="699"/>
      <c r="K21" s="353"/>
      <c r="L21" s="701" cm="1">
        <f t="array" ref="L21">IF($D21&gt;0,INDEX(Mijlpalenplanning!$C$169:$J$183,$D21,COUNTA($L$14:L$14))*Mijlpalenbegroting!$D104,0)+K21</f>
        <v>0</v>
      </c>
      <c r="M21" s="410" cm="1">
        <f t="array" ref="M21">IF($D21&gt;0,INDEX(Mijlpalenplanning!$C$169:$J$183,$D21,COUNTA($L$14:M$14))*Mijlpalenbegroting!$D104,0)+L21</f>
        <v>0</v>
      </c>
      <c r="N21" s="410" cm="1">
        <f t="array" ref="N21">IF($D21&gt;0,INDEX(Mijlpalenplanning!$C$169:$J$183,$D21,COUNTA($L$14:N$14))*Mijlpalenbegroting!$D104,0)+M21</f>
        <v>0</v>
      </c>
      <c r="O21" s="410" cm="1">
        <f t="array" ref="O21">IF($D21&gt;0,INDEX(Mijlpalenplanning!$C$169:$J$183,$D21,COUNTA($L$14:O$14))*Mijlpalenbegroting!$D104,0)+N21</f>
        <v>0</v>
      </c>
      <c r="P21" s="410" cm="1">
        <f t="array" ref="P21">IF($D21&gt;0,INDEX(Mijlpalenplanning!$C$169:$J$183,$D21,COUNTA($L$14:P$14))*Mijlpalenbegroting!$D104,0)+O21</f>
        <v>0</v>
      </c>
      <c r="Q21" s="410" cm="1">
        <f t="array" ref="Q21">IF($D21&gt;0,INDEX(Mijlpalenplanning!$C$169:$J$183,$D21,COUNTA($L$14:Q$14))*Mijlpalenbegroting!$D104,0)+P21</f>
        <v>0</v>
      </c>
      <c r="R21" s="410" cm="1">
        <f t="array" ref="R21">IF($D21&gt;0,INDEX(Mijlpalenplanning!$C$169:$J$183,$D21,COUNTA($L$14:R$14))*Mijlpalenbegroting!$D104,0)+Q21</f>
        <v>0</v>
      </c>
      <c r="S21" s="410" cm="1">
        <f t="array" ref="S21">IF($D21&gt;0,INDEX(Mijlpalenplanning!$C$169:$J$183,$D21,COUNTA($L$14:S$14))*Mijlpalenbegroting!$D104,0)+R21</f>
        <v>0</v>
      </c>
      <c r="T21" s="410">
        <f t="shared" ref="T21:Y21" si="22">S21</f>
        <v>0</v>
      </c>
      <c r="U21" s="410">
        <f t="shared" si="22"/>
        <v>0</v>
      </c>
      <c r="V21" s="410">
        <f t="shared" si="22"/>
        <v>0</v>
      </c>
      <c r="W21" s="410">
        <f t="shared" si="22"/>
        <v>0</v>
      </c>
      <c r="X21" s="410">
        <f t="shared" si="22"/>
        <v>0</v>
      </c>
      <c r="Y21" s="410">
        <f t="shared" si="22"/>
        <v>0</v>
      </c>
      <c r="Z21" s="410">
        <f>MAX(Y21-IF(OR($C21=Lijsten!$D$8),K21,0),0)</f>
        <v>0</v>
      </c>
      <c r="AA21" s="410">
        <f>MAX(Z21-IF(OR($C21=Lijsten!$D$8),L21,0),0)</f>
        <v>0</v>
      </c>
      <c r="AB21" s="410">
        <f>MAX(AA21-IF(OR($C21=Lijsten!$D$8),M21,0),0)</f>
        <v>0</v>
      </c>
      <c r="AC21" s="410">
        <f>MAX(AB21-IF(OR($C21=Lijsten!$D$8),N21,0),0)</f>
        <v>0</v>
      </c>
      <c r="AD21" s="410">
        <f>MAX(AC21-IF(OR($C21=Lijsten!$D$8),O21,0),0)</f>
        <v>0</v>
      </c>
      <c r="AE21" s="410">
        <f>MAX(AD21-IF(OR($C21=Lijsten!$D$8),P21,0),0)</f>
        <v>0</v>
      </c>
      <c r="AF21" s="410">
        <f>MAX(AE21-IF(OR($C21=Lijsten!$D$8),Q21,0),0)</f>
        <v>0</v>
      </c>
      <c r="AG21" s="410">
        <f>MAX(AF21-IF(OR($C21=Lijsten!$D$8),R21,0),0)</f>
        <v>0</v>
      </c>
      <c r="AH21" s="410">
        <f>MAX(AG21-IF(OR($C21=Lijsten!$D$8),S21,0),0)</f>
        <v>0</v>
      </c>
      <c r="AI21" s="410">
        <f>MAX(AH21-IF(OR($C21=Lijsten!$D$8),T21,0),0)</f>
        <v>0</v>
      </c>
      <c r="AJ21" s="410">
        <f>MAX(AI21-IF(OR($C21=Lijsten!$D$8),U21,0),0)</f>
        <v>0</v>
      </c>
      <c r="AK21" s="410">
        <f>MAX(AJ21-IF(OR($C21=Lijsten!$D$8),V21,0),0)</f>
        <v>0</v>
      </c>
      <c r="AL21" s="410">
        <f>MAX(AK21-IF(OR($C21=Lijsten!$D$8),W21,0),0)</f>
        <v>0</v>
      </c>
      <c r="AM21" s="410">
        <f>MAX(AL21-IF(OR($C21=Lijsten!$D$8),X21,0),0)</f>
        <v>0</v>
      </c>
      <c r="AN21" s="410">
        <f>MAX(AM21-IF(OR($C21=Lijsten!$D$8),Y21,0),0)</f>
        <v>0</v>
      </c>
      <c r="AO21" s="410">
        <f>MAX(AN21-IF(OR($C21=Lijsten!$D$8),Z21,0),0)</f>
        <v>0</v>
      </c>
      <c r="AP21" s="410">
        <f>MAX(AO21-IF(OR($C21=Lijsten!$D$8),AA21,0),0)</f>
        <v>0</v>
      </c>
      <c r="AQ21" s="410">
        <f>MAX(AP21-IF(OR($C21=Lijsten!$D$8),AB21,0),0)</f>
        <v>0</v>
      </c>
      <c r="AR21" s="410">
        <f>MAX(AQ21-IF(OR($C21=Lijsten!$D$8),AC21,0),0)</f>
        <v>0</v>
      </c>
      <c r="AS21" s="410">
        <f>MAX(AR21-IF(OR($C21=Lijsten!$D$8),AD21,0),0)</f>
        <v>0</v>
      </c>
      <c r="AT21" s="411">
        <f>MAX(AS21-IF(OR($C21=Lijsten!$D$8),AE21,0),0)</f>
        <v>0</v>
      </c>
      <c r="AU21" s="380"/>
      <c r="AV21" s="380"/>
      <c r="AW21" s="380"/>
      <c r="AX21" s="380"/>
      <c r="AY21" s="380"/>
      <c r="AZ21" s="380"/>
      <c r="BA21" s="380"/>
      <c r="BB21" s="380"/>
    </row>
    <row r="22" spans="1:54" s="381" customFormat="1" ht="15" customHeight="1" x14ac:dyDescent="0.25">
      <c r="A22" s="380"/>
      <c r="B22" s="714">
        <f>Mijlpalenbegroting!E105</f>
        <v>0</v>
      </c>
      <c r="C22" s="715">
        <f>Mijlpalenbegroting!H105</f>
        <v>0</v>
      </c>
      <c r="D22" s="716">
        <f>Mijlpalenbegroting!B105</f>
        <v>0</v>
      </c>
      <c r="E22" s="717">
        <f>Mijlpalenbegroting!D105</f>
        <v>0</v>
      </c>
      <c r="F22" s="419"/>
      <c r="G22" s="419"/>
      <c r="H22" s="420"/>
      <c r="I22" s="420"/>
      <c r="J22" s="699"/>
      <c r="K22" s="353"/>
      <c r="L22" s="701" cm="1">
        <f t="array" ref="L22">IF($D22&gt;0,INDEX(Mijlpalenplanning!$C$169:$J$183,$D22,COUNTA($L$14:L$14))*Mijlpalenbegroting!$D105,0)+K22</f>
        <v>0</v>
      </c>
      <c r="M22" s="410" cm="1">
        <f t="array" ref="M22">IF($D22&gt;0,INDEX(Mijlpalenplanning!$C$169:$J$183,$D22,COUNTA($L$14:M$14))*Mijlpalenbegroting!$D105,0)+L22</f>
        <v>0</v>
      </c>
      <c r="N22" s="410" cm="1">
        <f t="array" ref="N22">IF($D22&gt;0,INDEX(Mijlpalenplanning!$C$169:$J$183,$D22,COUNTA($L$14:N$14))*Mijlpalenbegroting!$D105,0)+M22</f>
        <v>0</v>
      </c>
      <c r="O22" s="410" cm="1">
        <f t="array" ref="O22">IF($D22&gt;0,INDEX(Mijlpalenplanning!$C$169:$J$183,$D22,COUNTA($L$14:O$14))*Mijlpalenbegroting!$D105,0)+N22</f>
        <v>0</v>
      </c>
      <c r="P22" s="410" cm="1">
        <f t="array" ref="P22">IF($D22&gt;0,INDEX(Mijlpalenplanning!$C$169:$J$183,$D22,COUNTA($L$14:P$14))*Mijlpalenbegroting!$D105,0)+O22</f>
        <v>0</v>
      </c>
      <c r="Q22" s="410" cm="1">
        <f t="array" ref="Q22">IF($D22&gt;0,INDEX(Mijlpalenplanning!$C$169:$J$183,$D22,COUNTA($L$14:Q$14))*Mijlpalenbegroting!$D105,0)+P22</f>
        <v>0</v>
      </c>
      <c r="R22" s="410" cm="1">
        <f t="array" ref="R22">IF($D22&gt;0,INDEX(Mijlpalenplanning!$C$169:$J$183,$D22,COUNTA($L$14:R$14))*Mijlpalenbegroting!$D105,0)+Q22</f>
        <v>0</v>
      </c>
      <c r="S22" s="410" cm="1">
        <f t="array" ref="S22">IF($D22&gt;0,INDEX(Mijlpalenplanning!$C$169:$J$183,$D22,COUNTA($L$14:S$14))*Mijlpalenbegroting!$D105,0)+R22</f>
        <v>0</v>
      </c>
      <c r="T22" s="410">
        <f t="shared" ref="T22:Y22" si="23">S22</f>
        <v>0</v>
      </c>
      <c r="U22" s="410">
        <f t="shared" si="23"/>
        <v>0</v>
      </c>
      <c r="V22" s="410">
        <f t="shared" si="23"/>
        <v>0</v>
      </c>
      <c r="W22" s="410">
        <f t="shared" si="23"/>
        <v>0</v>
      </c>
      <c r="X22" s="410">
        <f t="shared" si="23"/>
        <v>0</v>
      </c>
      <c r="Y22" s="410">
        <f t="shared" si="23"/>
        <v>0</v>
      </c>
      <c r="Z22" s="410">
        <f>MAX(Y22-IF(OR($C22=Lijsten!$D$8),K22,0),0)</f>
        <v>0</v>
      </c>
      <c r="AA22" s="410">
        <f>MAX(Z22-IF(OR($C22=Lijsten!$D$8),L22,0),0)</f>
        <v>0</v>
      </c>
      <c r="AB22" s="410">
        <f>MAX(AA22-IF(OR($C22=Lijsten!$D$8),M22,0),0)</f>
        <v>0</v>
      </c>
      <c r="AC22" s="410">
        <f>MAX(AB22-IF(OR($C22=Lijsten!$D$8),N22,0),0)</f>
        <v>0</v>
      </c>
      <c r="AD22" s="410">
        <f>MAX(AC22-IF(OR($C22=Lijsten!$D$8),O22,0),0)</f>
        <v>0</v>
      </c>
      <c r="AE22" s="410">
        <f>MAX(AD22-IF(OR($C22=Lijsten!$D$8),P22,0),0)</f>
        <v>0</v>
      </c>
      <c r="AF22" s="410">
        <f>MAX(AE22-IF(OR($C22=Lijsten!$D$8),Q22,0),0)</f>
        <v>0</v>
      </c>
      <c r="AG22" s="410">
        <f>MAX(AF22-IF(OR($C22=Lijsten!$D$8),R22,0),0)</f>
        <v>0</v>
      </c>
      <c r="AH22" s="410">
        <f>MAX(AG22-IF(OR($C22=Lijsten!$D$8),S22,0),0)</f>
        <v>0</v>
      </c>
      <c r="AI22" s="410">
        <f>MAX(AH22-IF(OR($C22=Lijsten!$D$8),T22,0),0)</f>
        <v>0</v>
      </c>
      <c r="AJ22" s="410">
        <f>MAX(AI22-IF(OR($C22=Lijsten!$D$8),U22,0),0)</f>
        <v>0</v>
      </c>
      <c r="AK22" s="410">
        <f>MAX(AJ22-IF(OR($C22=Lijsten!$D$8),V22,0),0)</f>
        <v>0</v>
      </c>
      <c r="AL22" s="410">
        <f>MAX(AK22-IF(OR($C22=Lijsten!$D$8),W22,0),0)</f>
        <v>0</v>
      </c>
      <c r="AM22" s="410">
        <f>MAX(AL22-IF(OR($C22=Lijsten!$D$8),X22,0),0)</f>
        <v>0</v>
      </c>
      <c r="AN22" s="410">
        <f>MAX(AM22-IF(OR($C22=Lijsten!$D$8),Y22,0),0)</f>
        <v>0</v>
      </c>
      <c r="AO22" s="410">
        <f>MAX(AN22-IF(OR($C22=Lijsten!$D$8),Z22,0),0)</f>
        <v>0</v>
      </c>
      <c r="AP22" s="410">
        <f>MAX(AO22-IF(OR($C22=Lijsten!$D$8),AA22,0),0)</f>
        <v>0</v>
      </c>
      <c r="AQ22" s="410">
        <f>MAX(AP22-IF(OR($C22=Lijsten!$D$8),AB22,0),0)</f>
        <v>0</v>
      </c>
      <c r="AR22" s="410">
        <f>MAX(AQ22-IF(OR($C22=Lijsten!$D$8),AC22,0),0)</f>
        <v>0</v>
      </c>
      <c r="AS22" s="410">
        <f>MAX(AR22-IF(OR($C22=Lijsten!$D$8),AD22,0),0)</f>
        <v>0</v>
      </c>
      <c r="AT22" s="411">
        <f>MAX(AS22-IF(OR($C22=Lijsten!$D$8),AE22,0),0)</f>
        <v>0</v>
      </c>
      <c r="AU22" s="380"/>
      <c r="AV22" s="380"/>
      <c r="AW22" s="380"/>
      <c r="AX22" s="380"/>
      <c r="AY22" s="380"/>
      <c r="AZ22" s="380"/>
      <c r="BA22" s="380"/>
      <c r="BB22" s="380"/>
    </row>
    <row r="23" spans="1:54" s="381" customFormat="1" ht="15" customHeight="1" x14ac:dyDescent="0.25">
      <c r="A23" s="380"/>
      <c r="B23" s="714">
        <f>Mijlpalenbegroting!E106</f>
        <v>0</v>
      </c>
      <c r="C23" s="715">
        <f>Mijlpalenbegroting!H106</f>
        <v>0</v>
      </c>
      <c r="D23" s="716">
        <f>Mijlpalenbegroting!B106</f>
        <v>0</v>
      </c>
      <c r="E23" s="717">
        <f>Mijlpalenbegroting!D106</f>
        <v>0</v>
      </c>
      <c r="F23" s="419"/>
      <c r="G23" s="419"/>
      <c r="H23" s="420"/>
      <c r="I23" s="420"/>
      <c r="J23" s="699"/>
      <c r="K23" s="353"/>
      <c r="L23" s="701" cm="1">
        <f t="array" ref="L23">IF($D23&gt;0,INDEX(Mijlpalenplanning!$C$169:$J$183,$D23,COUNTA($L$14:L$14))*Mijlpalenbegroting!$D106,0)+K23</f>
        <v>0</v>
      </c>
      <c r="M23" s="410" cm="1">
        <f t="array" ref="M23">IF($D23&gt;0,INDEX(Mijlpalenplanning!$C$169:$J$183,$D23,COUNTA($L$14:M$14))*Mijlpalenbegroting!$D106,0)+L23</f>
        <v>0</v>
      </c>
      <c r="N23" s="410" cm="1">
        <f t="array" ref="N23">IF($D23&gt;0,INDEX(Mijlpalenplanning!$C$169:$J$183,$D23,COUNTA($L$14:N$14))*Mijlpalenbegroting!$D106,0)+M23</f>
        <v>0</v>
      </c>
      <c r="O23" s="410" cm="1">
        <f t="array" ref="O23">IF($D23&gt;0,INDEX(Mijlpalenplanning!$C$169:$J$183,$D23,COUNTA($L$14:O$14))*Mijlpalenbegroting!$D106,0)+N23</f>
        <v>0</v>
      </c>
      <c r="P23" s="410" cm="1">
        <f t="array" ref="P23">IF($D23&gt;0,INDEX(Mijlpalenplanning!$C$169:$J$183,$D23,COUNTA($L$14:P$14))*Mijlpalenbegroting!$D106,0)+O23</f>
        <v>0</v>
      </c>
      <c r="Q23" s="410" cm="1">
        <f t="array" ref="Q23">IF($D23&gt;0,INDEX(Mijlpalenplanning!$C$169:$J$183,$D23,COUNTA($L$14:Q$14))*Mijlpalenbegroting!$D106,0)+P23</f>
        <v>0</v>
      </c>
      <c r="R23" s="410" cm="1">
        <f t="array" ref="R23">IF($D23&gt;0,INDEX(Mijlpalenplanning!$C$169:$J$183,$D23,COUNTA($L$14:R$14))*Mijlpalenbegroting!$D106,0)+Q23</f>
        <v>0</v>
      </c>
      <c r="S23" s="410" cm="1">
        <f t="array" ref="S23">IF($D23&gt;0,INDEX(Mijlpalenplanning!$C$169:$J$183,$D23,COUNTA($L$14:S$14))*Mijlpalenbegroting!$D106,0)+R23</f>
        <v>0</v>
      </c>
      <c r="T23" s="410">
        <f t="shared" ref="T23:Y23" si="24">S23</f>
        <v>0</v>
      </c>
      <c r="U23" s="410">
        <f t="shared" si="24"/>
        <v>0</v>
      </c>
      <c r="V23" s="410">
        <f t="shared" si="24"/>
        <v>0</v>
      </c>
      <c r="W23" s="410">
        <f t="shared" si="24"/>
        <v>0</v>
      </c>
      <c r="X23" s="410">
        <f t="shared" si="24"/>
        <v>0</v>
      </c>
      <c r="Y23" s="410">
        <f t="shared" si="24"/>
        <v>0</v>
      </c>
      <c r="Z23" s="410">
        <f>MAX(Y23-IF(OR($C23=Lijsten!$D$8),K23,0),0)</f>
        <v>0</v>
      </c>
      <c r="AA23" s="410">
        <f>MAX(Z23-IF(OR($C23=Lijsten!$D$8),L23,0),0)</f>
        <v>0</v>
      </c>
      <c r="AB23" s="410">
        <f>MAX(AA23-IF(OR($C23=Lijsten!$D$8),M23,0),0)</f>
        <v>0</v>
      </c>
      <c r="AC23" s="410">
        <f>MAX(AB23-IF(OR($C23=Lijsten!$D$8),N23,0),0)</f>
        <v>0</v>
      </c>
      <c r="AD23" s="410">
        <f>MAX(AC23-IF(OR($C23=Lijsten!$D$8),O23,0),0)</f>
        <v>0</v>
      </c>
      <c r="AE23" s="410">
        <f>MAX(AD23-IF(OR($C23=Lijsten!$D$8),P23,0),0)</f>
        <v>0</v>
      </c>
      <c r="AF23" s="410">
        <f>MAX(AE23-IF(OR($C23=Lijsten!$D$8),Q23,0),0)</f>
        <v>0</v>
      </c>
      <c r="AG23" s="410">
        <f>MAX(AF23-IF(OR($C23=Lijsten!$D$8),R23,0),0)</f>
        <v>0</v>
      </c>
      <c r="AH23" s="410">
        <f>MAX(AG23-IF(OR($C23=Lijsten!$D$8),S23,0),0)</f>
        <v>0</v>
      </c>
      <c r="AI23" s="410">
        <f>MAX(AH23-IF(OR($C23=Lijsten!$D$8),T23,0),0)</f>
        <v>0</v>
      </c>
      <c r="AJ23" s="410">
        <f>MAX(AI23-IF(OR($C23=Lijsten!$D$8),U23,0),0)</f>
        <v>0</v>
      </c>
      <c r="AK23" s="410">
        <f>MAX(AJ23-IF(OR($C23=Lijsten!$D$8),V23,0),0)</f>
        <v>0</v>
      </c>
      <c r="AL23" s="410">
        <f>MAX(AK23-IF(OR($C23=Lijsten!$D$8),W23,0),0)</f>
        <v>0</v>
      </c>
      <c r="AM23" s="410">
        <f>MAX(AL23-IF(OR($C23=Lijsten!$D$8),X23,0),0)</f>
        <v>0</v>
      </c>
      <c r="AN23" s="410">
        <f>MAX(AM23-IF(OR($C23=Lijsten!$D$8),Y23,0),0)</f>
        <v>0</v>
      </c>
      <c r="AO23" s="410">
        <f>MAX(AN23-IF(OR($C23=Lijsten!$D$8),Z23,0),0)</f>
        <v>0</v>
      </c>
      <c r="AP23" s="410">
        <f>MAX(AO23-IF(OR($C23=Lijsten!$D$8),AA23,0),0)</f>
        <v>0</v>
      </c>
      <c r="AQ23" s="410">
        <f>MAX(AP23-IF(OR($C23=Lijsten!$D$8),AB23,0),0)</f>
        <v>0</v>
      </c>
      <c r="AR23" s="410">
        <f>MAX(AQ23-IF(OR($C23=Lijsten!$D$8),AC23,0),0)</f>
        <v>0</v>
      </c>
      <c r="AS23" s="410">
        <f>MAX(AR23-IF(OR($C23=Lijsten!$D$8),AD23,0),0)</f>
        <v>0</v>
      </c>
      <c r="AT23" s="411">
        <f>MAX(AS23-IF(OR($C23=Lijsten!$D$8),AE23,0),0)</f>
        <v>0</v>
      </c>
      <c r="AU23" s="380"/>
      <c r="AV23" s="380"/>
      <c r="AW23" s="380"/>
      <c r="AX23" s="380"/>
      <c r="AY23" s="380"/>
      <c r="AZ23" s="380"/>
      <c r="BA23" s="380"/>
      <c r="BB23" s="380"/>
    </row>
    <row r="24" spans="1:54" s="381" customFormat="1" ht="15" customHeight="1" x14ac:dyDescent="0.25">
      <c r="A24" s="380"/>
      <c r="B24" s="714">
        <f>Mijlpalenbegroting!E107</f>
        <v>0</v>
      </c>
      <c r="C24" s="715">
        <f>Mijlpalenbegroting!H107</f>
        <v>0</v>
      </c>
      <c r="D24" s="716">
        <f>Mijlpalenbegroting!B107</f>
        <v>0</v>
      </c>
      <c r="E24" s="717">
        <f>Mijlpalenbegroting!D107</f>
        <v>0</v>
      </c>
      <c r="F24" s="419"/>
      <c r="G24" s="419"/>
      <c r="H24" s="420"/>
      <c r="I24" s="420"/>
      <c r="J24" s="699"/>
      <c r="K24" s="353"/>
      <c r="L24" s="701" cm="1">
        <f t="array" ref="L24">IF($D24&gt;0,INDEX(Mijlpalenplanning!$C$169:$J$183,$D24,COUNTA($L$14:L$14))*Mijlpalenbegroting!$D107,0)+K24</f>
        <v>0</v>
      </c>
      <c r="M24" s="410" cm="1">
        <f t="array" ref="M24">IF($D24&gt;0,INDEX(Mijlpalenplanning!$C$169:$J$183,$D24,COUNTA($L$14:M$14))*Mijlpalenbegroting!$D107,0)+L24</f>
        <v>0</v>
      </c>
      <c r="N24" s="410" cm="1">
        <f t="array" ref="N24">IF($D24&gt;0,INDEX(Mijlpalenplanning!$C$169:$J$183,$D24,COUNTA($L$14:N$14))*Mijlpalenbegroting!$D107,0)+M24</f>
        <v>0</v>
      </c>
      <c r="O24" s="410" cm="1">
        <f t="array" ref="O24">IF($D24&gt;0,INDEX(Mijlpalenplanning!$C$169:$J$183,$D24,COUNTA($L$14:O$14))*Mijlpalenbegroting!$D107,0)+N24</f>
        <v>0</v>
      </c>
      <c r="P24" s="410" cm="1">
        <f t="array" ref="P24">IF($D24&gt;0,INDEX(Mijlpalenplanning!$C$169:$J$183,$D24,COUNTA($L$14:P$14))*Mijlpalenbegroting!$D107,0)+O24</f>
        <v>0</v>
      </c>
      <c r="Q24" s="410" cm="1">
        <f t="array" ref="Q24">IF($D24&gt;0,INDEX(Mijlpalenplanning!$C$169:$J$183,$D24,COUNTA($L$14:Q$14))*Mijlpalenbegroting!$D107,0)+P24</f>
        <v>0</v>
      </c>
      <c r="R24" s="410" cm="1">
        <f t="array" ref="R24">IF($D24&gt;0,INDEX(Mijlpalenplanning!$C$169:$J$183,$D24,COUNTA($L$14:R$14))*Mijlpalenbegroting!$D107,0)+Q24</f>
        <v>0</v>
      </c>
      <c r="S24" s="410" cm="1">
        <f t="array" ref="S24">IF($D24&gt;0,INDEX(Mijlpalenplanning!$C$169:$J$183,$D24,COUNTA($L$14:S$14))*Mijlpalenbegroting!$D107,0)+R24</f>
        <v>0</v>
      </c>
      <c r="T24" s="410">
        <f t="shared" ref="T24:Y24" si="25">S24</f>
        <v>0</v>
      </c>
      <c r="U24" s="410">
        <f t="shared" si="25"/>
        <v>0</v>
      </c>
      <c r="V24" s="410">
        <f t="shared" si="25"/>
        <v>0</v>
      </c>
      <c r="W24" s="410">
        <f t="shared" si="25"/>
        <v>0</v>
      </c>
      <c r="X24" s="410">
        <f t="shared" si="25"/>
        <v>0</v>
      </c>
      <c r="Y24" s="410">
        <f t="shared" si="25"/>
        <v>0</v>
      </c>
      <c r="Z24" s="410">
        <f>MAX(Y24-IF(OR($C24=Lijsten!$D$8),K24,0),0)</f>
        <v>0</v>
      </c>
      <c r="AA24" s="410">
        <f>MAX(Z24-IF(OR($C24=Lijsten!$D$8),L24,0),0)</f>
        <v>0</v>
      </c>
      <c r="AB24" s="410">
        <f>MAX(AA24-IF(OR($C24=Lijsten!$D$8),M24,0),0)</f>
        <v>0</v>
      </c>
      <c r="AC24" s="410">
        <f>MAX(AB24-IF(OR($C24=Lijsten!$D$8),N24,0),0)</f>
        <v>0</v>
      </c>
      <c r="AD24" s="410">
        <f>MAX(AC24-IF(OR($C24=Lijsten!$D$8),O24,0),0)</f>
        <v>0</v>
      </c>
      <c r="AE24" s="410">
        <f>MAX(AD24-IF(OR($C24=Lijsten!$D$8),P24,0),0)</f>
        <v>0</v>
      </c>
      <c r="AF24" s="410">
        <f>MAX(AE24-IF(OR($C24=Lijsten!$D$8),Q24,0),0)</f>
        <v>0</v>
      </c>
      <c r="AG24" s="410">
        <f>MAX(AF24-IF(OR($C24=Lijsten!$D$8),R24,0),0)</f>
        <v>0</v>
      </c>
      <c r="AH24" s="410">
        <f>MAX(AG24-IF(OR($C24=Lijsten!$D$8),S24,0),0)</f>
        <v>0</v>
      </c>
      <c r="AI24" s="410">
        <f>MAX(AH24-IF(OR($C24=Lijsten!$D$8),T24,0),0)</f>
        <v>0</v>
      </c>
      <c r="AJ24" s="410">
        <f>MAX(AI24-IF(OR($C24=Lijsten!$D$8),U24,0),0)</f>
        <v>0</v>
      </c>
      <c r="AK24" s="410">
        <f>MAX(AJ24-IF(OR($C24=Lijsten!$D$8),V24,0),0)</f>
        <v>0</v>
      </c>
      <c r="AL24" s="410">
        <f>MAX(AK24-IF(OR($C24=Lijsten!$D$8),W24,0),0)</f>
        <v>0</v>
      </c>
      <c r="AM24" s="410">
        <f>MAX(AL24-IF(OR($C24=Lijsten!$D$8),X24,0),0)</f>
        <v>0</v>
      </c>
      <c r="AN24" s="410">
        <f>MAX(AM24-IF(OR($C24=Lijsten!$D$8),Y24,0),0)</f>
        <v>0</v>
      </c>
      <c r="AO24" s="410">
        <f>MAX(AN24-IF(OR($C24=Lijsten!$D$8),Z24,0),0)</f>
        <v>0</v>
      </c>
      <c r="AP24" s="410">
        <f>MAX(AO24-IF(OR($C24=Lijsten!$D$8),AA24,0),0)</f>
        <v>0</v>
      </c>
      <c r="AQ24" s="410">
        <f>MAX(AP24-IF(OR($C24=Lijsten!$D$8),AB24,0),0)</f>
        <v>0</v>
      </c>
      <c r="AR24" s="410">
        <f>MAX(AQ24-IF(OR($C24=Lijsten!$D$8),AC24,0),0)</f>
        <v>0</v>
      </c>
      <c r="AS24" s="410">
        <f>MAX(AR24-IF(OR($C24=Lijsten!$D$8),AD24,0),0)</f>
        <v>0</v>
      </c>
      <c r="AT24" s="411">
        <f>MAX(AS24-IF(OR($C24=Lijsten!$D$8),AE24,0),0)</f>
        <v>0</v>
      </c>
      <c r="AU24" s="380"/>
      <c r="AV24" s="380"/>
      <c r="AW24" s="380"/>
      <c r="AX24" s="380"/>
      <c r="AY24" s="380"/>
      <c r="AZ24" s="380"/>
      <c r="BA24" s="380"/>
      <c r="BB24" s="380"/>
    </row>
    <row r="25" spans="1:54" s="381" customFormat="1" ht="15" customHeight="1" x14ac:dyDescent="0.25">
      <c r="A25" s="380"/>
      <c r="B25" s="714">
        <f>Mijlpalenbegroting!E108</f>
        <v>0</v>
      </c>
      <c r="C25" s="715">
        <f>Mijlpalenbegroting!H108</f>
        <v>0</v>
      </c>
      <c r="D25" s="716">
        <f>Mijlpalenbegroting!B108</f>
        <v>0</v>
      </c>
      <c r="E25" s="717">
        <f>Mijlpalenbegroting!D108</f>
        <v>0</v>
      </c>
      <c r="F25" s="419"/>
      <c r="G25" s="419"/>
      <c r="H25" s="420"/>
      <c r="I25" s="420"/>
      <c r="J25" s="699"/>
      <c r="K25" s="353"/>
      <c r="L25" s="701" cm="1">
        <f t="array" ref="L25">IF($D25&gt;0,INDEX(Mijlpalenplanning!$C$169:$J$183,$D25,COUNTA($L$14:L$14))*Mijlpalenbegroting!$D108,0)+K25</f>
        <v>0</v>
      </c>
      <c r="M25" s="410" cm="1">
        <f t="array" ref="M25">IF($D25&gt;0,INDEX(Mijlpalenplanning!$C$169:$J$183,$D25,COUNTA($L$14:M$14))*Mijlpalenbegroting!$D108,0)+L25</f>
        <v>0</v>
      </c>
      <c r="N25" s="410" cm="1">
        <f t="array" ref="N25">IF($D25&gt;0,INDEX(Mijlpalenplanning!$C$169:$J$183,$D25,COUNTA($L$14:N$14))*Mijlpalenbegroting!$D108,0)+M25</f>
        <v>0</v>
      </c>
      <c r="O25" s="410" cm="1">
        <f t="array" ref="O25">IF($D25&gt;0,INDEX(Mijlpalenplanning!$C$169:$J$183,$D25,COUNTA($L$14:O$14))*Mijlpalenbegroting!$D108,0)+N25</f>
        <v>0</v>
      </c>
      <c r="P25" s="410" cm="1">
        <f t="array" ref="P25">IF($D25&gt;0,INDEX(Mijlpalenplanning!$C$169:$J$183,$D25,COUNTA($L$14:P$14))*Mijlpalenbegroting!$D108,0)+O25</f>
        <v>0</v>
      </c>
      <c r="Q25" s="410" cm="1">
        <f t="array" ref="Q25">IF($D25&gt;0,INDEX(Mijlpalenplanning!$C$169:$J$183,$D25,COUNTA($L$14:Q$14))*Mijlpalenbegroting!$D108,0)+P25</f>
        <v>0</v>
      </c>
      <c r="R25" s="410" cm="1">
        <f t="array" ref="R25">IF($D25&gt;0,INDEX(Mijlpalenplanning!$C$169:$J$183,$D25,COUNTA($L$14:R$14))*Mijlpalenbegroting!$D108,0)+Q25</f>
        <v>0</v>
      </c>
      <c r="S25" s="410" cm="1">
        <f t="array" ref="S25">IF($D25&gt;0,INDEX(Mijlpalenplanning!$C$169:$J$183,$D25,COUNTA($L$14:S$14))*Mijlpalenbegroting!$D108,0)+R25</f>
        <v>0</v>
      </c>
      <c r="T25" s="410">
        <f t="shared" ref="T25:Y25" si="26">S25</f>
        <v>0</v>
      </c>
      <c r="U25" s="410">
        <f t="shared" si="26"/>
        <v>0</v>
      </c>
      <c r="V25" s="410">
        <f t="shared" si="26"/>
        <v>0</v>
      </c>
      <c r="W25" s="410">
        <f t="shared" si="26"/>
        <v>0</v>
      </c>
      <c r="X25" s="410">
        <f t="shared" si="26"/>
        <v>0</v>
      </c>
      <c r="Y25" s="410">
        <f t="shared" si="26"/>
        <v>0</v>
      </c>
      <c r="Z25" s="410">
        <f>MAX(Y25-IF(OR($C25=Lijsten!$D$8),K25,0),0)</f>
        <v>0</v>
      </c>
      <c r="AA25" s="410">
        <f>MAX(Z25-IF(OR($C25=Lijsten!$D$8),L25,0),0)</f>
        <v>0</v>
      </c>
      <c r="AB25" s="410">
        <f>MAX(AA25-IF(OR($C25=Lijsten!$D$8),M25,0),0)</f>
        <v>0</v>
      </c>
      <c r="AC25" s="410">
        <f>MAX(AB25-IF(OR($C25=Lijsten!$D$8),N25,0),0)</f>
        <v>0</v>
      </c>
      <c r="AD25" s="410">
        <f>MAX(AC25-IF(OR($C25=Lijsten!$D$8),O25,0),0)</f>
        <v>0</v>
      </c>
      <c r="AE25" s="410">
        <f>MAX(AD25-IF(OR($C25=Lijsten!$D$8),P25,0),0)</f>
        <v>0</v>
      </c>
      <c r="AF25" s="410">
        <f>MAX(AE25-IF(OR($C25=Lijsten!$D$8),Q25,0),0)</f>
        <v>0</v>
      </c>
      <c r="AG25" s="410">
        <f>MAX(AF25-IF(OR($C25=Lijsten!$D$8),R25,0),0)</f>
        <v>0</v>
      </c>
      <c r="AH25" s="410">
        <f>MAX(AG25-IF(OR($C25=Lijsten!$D$8),S25,0),0)</f>
        <v>0</v>
      </c>
      <c r="AI25" s="410">
        <f>MAX(AH25-IF(OR($C25=Lijsten!$D$8),T25,0),0)</f>
        <v>0</v>
      </c>
      <c r="AJ25" s="410">
        <f>MAX(AI25-IF(OR($C25=Lijsten!$D$8),U25,0),0)</f>
        <v>0</v>
      </c>
      <c r="AK25" s="410">
        <f>MAX(AJ25-IF(OR($C25=Lijsten!$D$8),V25,0),0)</f>
        <v>0</v>
      </c>
      <c r="AL25" s="410">
        <f>MAX(AK25-IF(OR($C25=Lijsten!$D$8),W25,0),0)</f>
        <v>0</v>
      </c>
      <c r="AM25" s="410">
        <f>MAX(AL25-IF(OR($C25=Lijsten!$D$8),X25,0),0)</f>
        <v>0</v>
      </c>
      <c r="AN25" s="410">
        <f>MAX(AM25-IF(OR($C25=Lijsten!$D$8),Y25,0),0)</f>
        <v>0</v>
      </c>
      <c r="AO25" s="410">
        <f>MAX(AN25-IF(OR($C25=Lijsten!$D$8),Z25,0),0)</f>
        <v>0</v>
      </c>
      <c r="AP25" s="410">
        <f>MAX(AO25-IF(OR($C25=Lijsten!$D$8),AA25,0),0)</f>
        <v>0</v>
      </c>
      <c r="AQ25" s="410">
        <f>MAX(AP25-IF(OR($C25=Lijsten!$D$8),AB25,0),0)</f>
        <v>0</v>
      </c>
      <c r="AR25" s="410">
        <f>MAX(AQ25-IF(OR($C25=Lijsten!$D$8),AC25,0),0)</f>
        <v>0</v>
      </c>
      <c r="AS25" s="410">
        <f>MAX(AR25-IF(OR($C25=Lijsten!$D$8),AD25,0),0)</f>
        <v>0</v>
      </c>
      <c r="AT25" s="411">
        <f>MAX(AS25-IF(OR($C25=Lijsten!$D$8),AE25,0),0)</f>
        <v>0</v>
      </c>
      <c r="AU25" s="380"/>
      <c r="AV25" s="380"/>
      <c r="AW25" s="380"/>
      <c r="AX25" s="380"/>
      <c r="AY25" s="380"/>
      <c r="AZ25" s="380"/>
      <c r="BA25" s="380"/>
      <c r="BB25" s="380"/>
    </row>
    <row r="26" spans="1:54" s="381" customFormat="1" ht="15" customHeight="1" x14ac:dyDescent="0.25">
      <c r="A26" s="380"/>
      <c r="B26" s="714">
        <f>Mijlpalenbegroting!E109</f>
        <v>0</v>
      </c>
      <c r="C26" s="715">
        <f>Mijlpalenbegroting!H109</f>
        <v>0</v>
      </c>
      <c r="D26" s="716">
        <f>Mijlpalenbegroting!B109</f>
        <v>0</v>
      </c>
      <c r="E26" s="717">
        <f>Mijlpalenbegroting!D109</f>
        <v>0</v>
      </c>
      <c r="F26" s="419"/>
      <c r="G26" s="419"/>
      <c r="H26" s="420"/>
      <c r="I26" s="420"/>
      <c r="J26" s="699"/>
      <c r="K26" s="353"/>
      <c r="L26" s="701" cm="1">
        <f t="array" ref="L26">IF($D26&gt;0,INDEX(Mijlpalenplanning!$C$169:$J$183,$D26,COUNTA($L$14:L$14))*Mijlpalenbegroting!$D109,0)+K26</f>
        <v>0</v>
      </c>
      <c r="M26" s="410" cm="1">
        <f t="array" ref="M26">IF($D26&gt;0,INDEX(Mijlpalenplanning!$C$169:$J$183,$D26,COUNTA($L$14:M$14))*Mijlpalenbegroting!$D109,0)+L26</f>
        <v>0</v>
      </c>
      <c r="N26" s="410" cm="1">
        <f t="array" ref="N26">IF($D26&gt;0,INDEX(Mijlpalenplanning!$C$169:$J$183,$D26,COUNTA($L$14:N$14))*Mijlpalenbegroting!$D109,0)+M26</f>
        <v>0</v>
      </c>
      <c r="O26" s="410" cm="1">
        <f t="array" ref="O26">IF($D26&gt;0,INDEX(Mijlpalenplanning!$C$169:$J$183,$D26,COUNTA($L$14:O$14))*Mijlpalenbegroting!$D109,0)+N26</f>
        <v>0</v>
      </c>
      <c r="P26" s="410" cm="1">
        <f t="array" ref="P26">IF($D26&gt;0,INDEX(Mijlpalenplanning!$C$169:$J$183,$D26,COUNTA($L$14:P$14))*Mijlpalenbegroting!$D109,0)+O26</f>
        <v>0</v>
      </c>
      <c r="Q26" s="410" cm="1">
        <f t="array" ref="Q26">IF($D26&gt;0,INDEX(Mijlpalenplanning!$C$169:$J$183,$D26,COUNTA($L$14:Q$14))*Mijlpalenbegroting!$D109,0)+P26</f>
        <v>0</v>
      </c>
      <c r="R26" s="410" cm="1">
        <f t="array" ref="R26">IF($D26&gt;0,INDEX(Mijlpalenplanning!$C$169:$J$183,$D26,COUNTA($L$14:R$14))*Mijlpalenbegroting!$D109,0)+Q26</f>
        <v>0</v>
      </c>
      <c r="S26" s="410" cm="1">
        <f t="array" ref="S26">IF($D26&gt;0,INDEX(Mijlpalenplanning!$C$169:$J$183,$D26,COUNTA($L$14:S$14))*Mijlpalenbegroting!$D109,0)+R26</f>
        <v>0</v>
      </c>
      <c r="T26" s="410">
        <f t="shared" ref="T26:Y26" si="27">S26</f>
        <v>0</v>
      </c>
      <c r="U26" s="410">
        <f t="shared" si="27"/>
        <v>0</v>
      </c>
      <c r="V26" s="410">
        <f t="shared" si="27"/>
        <v>0</v>
      </c>
      <c r="W26" s="410">
        <f t="shared" si="27"/>
        <v>0</v>
      </c>
      <c r="X26" s="410">
        <f t="shared" si="27"/>
        <v>0</v>
      </c>
      <c r="Y26" s="410">
        <f t="shared" si="27"/>
        <v>0</v>
      </c>
      <c r="Z26" s="410">
        <f>MAX(Y26-IF(OR($C26=Lijsten!$D$8),K26,0),0)</f>
        <v>0</v>
      </c>
      <c r="AA26" s="410">
        <f>MAX(Z26-IF(OR($C26=Lijsten!$D$8),L26,0),0)</f>
        <v>0</v>
      </c>
      <c r="AB26" s="410">
        <f>MAX(AA26-IF(OR($C26=Lijsten!$D$8),M26,0),0)</f>
        <v>0</v>
      </c>
      <c r="AC26" s="410">
        <f>MAX(AB26-IF(OR($C26=Lijsten!$D$8),N26,0),0)</f>
        <v>0</v>
      </c>
      <c r="AD26" s="410">
        <f>MAX(AC26-IF(OR($C26=Lijsten!$D$8),O26,0),0)</f>
        <v>0</v>
      </c>
      <c r="AE26" s="410">
        <f>MAX(AD26-IF(OR($C26=Lijsten!$D$8),P26,0),0)</f>
        <v>0</v>
      </c>
      <c r="AF26" s="410">
        <f>MAX(AE26-IF(OR($C26=Lijsten!$D$8),Q26,0),0)</f>
        <v>0</v>
      </c>
      <c r="AG26" s="410">
        <f>MAX(AF26-IF(OR($C26=Lijsten!$D$8),R26,0),0)</f>
        <v>0</v>
      </c>
      <c r="AH26" s="410">
        <f>MAX(AG26-IF(OR($C26=Lijsten!$D$8),S26,0),0)</f>
        <v>0</v>
      </c>
      <c r="AI26" s="410">
        <f>MAX(AH26-IF(OR($C26=Lijsten!$D$8),T26,0),0)</f>
        <v>0</v>
      </c>
      <c r="AJ26" s="410">
        <f>MAX(AI26-IF(OR($C26=Lijsten!$D$8),U26,0),0)</f>
        <v>0</v>
      </c>
      <c r="AK26" s="410">
        <f>MAX(AJ26-IF(OR($C26=Lijsten!$D$8),V26,0),0)</f>
        <v>0</v>
      </c>
      <c r="AL26" s="410">
        <f>MAX(AK26-IF(OR($C26=Lijsten!$D$8),W26,0),0)</f>
        <v>0</v>
      </c>
      <c r="AM26" s="410">
        <f>MAX(AL26-IF(OR($C26=Lijsten!$D$8),X26,0),0)</f>
        <v>0</v>
      </c>
      <c r="AN26" s="410">
        <f>MAX(AM26-IF(OR($C26=Lijsten!$D$8),Y26,0),0)</f>
        <v>0</v>
      </c>
      <c r="AO26" s="410">
        <f>MAX(AN26-IF(OR($C26=Lijsten!$D$8),Z26,0),0)</f>
        <v>0</v>
      </c>
      <c r="AP26" s="410">
        <f>MAX(AO26-IF(OR($C26=Lijsten!$D$8),AA26,0),0)</f>
        <v>0</v>
      </c>
      <c r="AQ26" s="410">
        <f>MAX(AP26-IF(OR($C26=Lijsten!$D$8),AB26,0),0)</f>
        <v>0</v>
      </c>
      <c r="AR26" s="410">
        <f>MAX(AQ26-IF(OR($C26=Lijsten!$D$8),AC26,0),0)</f>
        <v>0</v>
      </c>
      <c r="AS26" s="410">
        <f>MAX(AR26-IF(OR($C26=Lijsten!$D$8),AD26,0),0)</f>
        <v>0</v>
      </c>
      <c r="AT26" s="411">
        <f>MAX(AS26-IF(OR($C26=Lijsten!$D$8),AE26,0),0)</f>
        <v>0</v>
      </c>
      <c r="AU26" s="380"/>
      <c r="AV26" s="380"/>
      <c r="AW26" s="380"/>
      <c r="AX26" s="380"/>
      <c r="AY26" s="380"/>
      <c r="AZ26" s="380"/>
      <c r="BA26" s="380"/>
      <c r="BB26" s="380"/>
    </row>
    <row r="27" spans="1:54" s="381" customFormat="1" ht="15" customHeight="1" x14ac:dyDescent="0.25">
      <c r="A27" s="380"/>
      <c r="B27" s="714">
        <f>Mijlpalenbegroting!E110</f>
        <v>0</v>
      </c>
      <c r="C27" s="715">
        <f>Mijlpalenbegroting!H110</f>
        <v>0</v>
      </c>
      <c r="D27" s="716">
        <f>Mijlpalenbegroting!B110</f>
        <v>0</v>
      </c>
      <c r="E27" s="717">
        <f>Mijlpalenbegroting!D110</f>
        <v>0</v>
      </c>
      <c r="F27" s="419"/>
      <c r="G27" s="419"/>
      <c r="H27" s="420"/>
      <c r="I27" s="420"/>
      <c r="J27" s="699"/>
      <c r="K27" s="353"/>
      <c r="L27" s="701" cm="1">
        <f t="array" ref="L27">IF($D27&gt;0,INDEX(Mijlpalenplanning!$C$169:$J$183,$D27,COUNTA($L$14:L$14))*Mijlpalenbegroting!$D110,0)+K27</f>
        <v>0</v>
      </c>
      <c r="M27" s="410" cm="1">
        <f t="array" ref="M27">IF($D27&gt;0,INDEX(Mijlpalenplanning!$C$169:$J$183,$D27,COUNTA($L$14:M$14))*Mijlpalenbegroting!$D110,0)+L27</f>
        <v>0</v>
      </c>
      <c r="N27" s="410" cm="1">
        <f t="array" ref="N27">IF($D27&gt;0,INDEX(Mijlpalenplanning!$C$169:$J$183,$D27,COUNTA($L$14:N$14))*Mijlpalenbegroting!$D110,0)+M27</f>
        <v>0</v>
      </c>
      <c r="O27" s="410" cm="1">
        <f t="array" ref="O27">IF($D27&gt;0,INDEX(Mijlpalenplanning!$C$169:$J$183,$D27,COUNTA($L$14:O$14))*Mijlpalenbegroting!$D110,0)+N27</f>
        <v>0</v>
      </c>
      <c r="P27" s="410" cm="1">
        <f t="array" ref="P27">IF($D27&gt;0,INDEX(Mijlpalenplanning!$C$169:$J$183,$D27,COUNTA($L$14:P$14))*Mijlpalenbegroting!$D110,0)+O27</f>
        <v>0</v>
      </c>
      <c r="Q27" s="410" cm="1">
        <f t="array" ref="Q27">IF($D27&gt;0,INDEX(Mijlpalenplanning!$C$169:$J$183,$D27,COUNTA($L$14:Q$14))*Mijlpalenbegroting!$D110,0)+P27</f>
        <v>0</v>
      </c>
      <c r="R27" s="410" cm="1">
        <f t="array" ref="R27">IF($D27&gt;0,INDEX(Mijlpalenplanning!$C$169:$J$183,$D27,COUNTA($L$14:R$14))*Mijlpalenbegroting!$D110,0)+Q27</f>
        <v>0</v>
      </c>
      <c r="S27" s="410" cm="1">
        <f t="array" ref="S27">IF($D27&gt;0,INDEX(Mijlpalenplanning!$C$169:$J$183,$D27,COUNTA($L$14:S$14))*Mijlpalenbegroting!$D110,0)+R27</f>
        <v>0</v>
      </c>
      <c r="T27" s="410">
        <f t="shared" ref="T27:Y27" si="28">S27</f>
        <v>0</v>
      </c>
      <c r="U27" s="410">
        <f t="shared" si="28"/>
        <v>0</v>
      </c>
      <c r="V27" s="410">
        <f t="shared" si="28"/>
        <v>0</v>
      </c>
      <c r="W27" s="410">
        <f t="shared" si="28"/>
        <v>0</v>
      </c>
      <c r="X27" s="410">
        <f t="shared" si="28"/>
        <v>0</v>
      </c>
      <c r="Y27" s="410">
        <f t="shared" si="28"/>
        <v>0</v>
      </c>
      <c r="Z27" s="410">
        <f>MAX(Y27-IF(OR($C27=Lijsten!$D$8),K27,0),0)</f>
        <v>0</v>
      </c>
      <c r="AA27" s="410">
        <f>MAX(Z27-IF(OR($C27=Lijsten!$D$8),L27,0),0)</f>
        <v>0</v>
      </c>
      <c r="AB27" s="410">
        <f>MAX(AA27-IF(OR($C27=Lijsten!$D$8),M27,0),0)</f>
        <v>0</v>
      </c>
      <c r="AC27" s="410">
        <f>MAX(AB27-IF(OR($C27=Lijsten!$D$8),N27,0),0)</f>
        <v>0</v>
      </c>
      <c r="AD27" s="410">
        <f>MAX(AC27-IF(OR($C27=Lijsten!$D$8),O27,0),0)</f>
        <v>0</v>
      </c>
      <c r="AE27" s="410">
        <f>MAX(AD27-IF(OR($C27=Lijsten!$D$8),P27,0),0)</f>
        <v>0</v>
      </c>
      <c r="AF27" s="410">
        <f>MAX(AE27-IF(OR($C27=Lijsten!$D$8),Q27,0),0)</f>
        <v>0</v>
      </c>
      <c r="AG27" s="410">
        <f>MAX(AF27-IF(OR($C27=Lijsten!$D$8),R27,0),0)</f>
        <v>0</v>
      </c>
      <c r="AH27" s="410">
        <f>MAX(AG27-IF(OR($C27=Lijsten!$D$8),S27,0),0)</f>
        <v>0</v>
      </c>
      <c r="AI27" s="410">
        <f>MAX(AH27-IF(OR($C27=Lijsten!$D$8),T27,0),0)</f>
        <v>0</v>
      </c>
      <c r="AJ27" s="410">
        <f>MAX(AI27-IF(OR($C27=Lijsten!$D$8),U27,0),0)</f>
        <v>0</v>
      </c>
      <c r="AK27" s="410">
        <f>MAX(AJ27-IF(OR($C27=Lijsten!$D$8),V27,0),0)</f>
        <v>0</v>
      </c>
      <c r="AL27" s="410">
        <f>MAX(AK27-IF(OR($C27=Lijsten!$D$8),W27,0),0)</f>
        <v>0</v>
      </c>
      <c r="AM27" s="410">
        <f>MAX(AL27-IF(OR($C27=Lijsten!$D$8),X27,0),0)</f>
        <v>0</v>
      </c>
      <c r="AN27" s="410">
        <f>MAX(AM27-IF(OR($C27=Lijsten!$D$8),Y27,0),0)</f>
        <v>0</v>
      </c>
      <c r="AO27" s="410">
        <f>MAX(AN27-IF(OR($C27=Lijsten!$D$8),Z27,0),0)</f>
        <v>0</v>
      </c>
      <c r="AP27" s="410">
        <f>MAX(AO27-IF(OR($C27=Lijsten!$D$8),AA27,0),0)</f>
        <v>0</v>
      </c>
      <c r="AQ27" s="410">
        <f>MAX(AP27-IF(OR($C27=Lijsten!$D$8),AB27,0),0)</f>
        <v>0</v>
      </c>
      <c r="AR27" s="410">
        <f>MAX(AQ27-IF(OR($C27=Lijsten!$D$8),AC27,0),0)</f>
        <v>0</v>
      </c>
      <c r="AS27" s="410">
        <f>MAX(AR27-IF(OR($C27=Lijsten!$D$8),AD27,0),0)</f>
        <v>0</v>
      </c>
      <c r="AT27" s="411">
        <f>MAX(AS27-IF(OR($C27=Lijsten!$D$8),AE27,0),0)</f>
        <v>0</v>
      </c>
      <c r="AU27" s="380"/>
      <c r="AV27" s="380"/>
      <c r="AW27" s="380"/>
      <c r="AX27" s="380"/>
      <c r="AY27" s="380"/>
      <c r="AZ27" s="380"/>
      <c r="BA27" s="380"/>
      <c r="BB27" s="380"/>
    </row>
    <row r="28" spans="1:54" s="381" customFormat="1" ht="15" customHeight="1" x14ac:dyDescent="0.25">
      <c r="A28" s="380"/>
      <c r="B28" s="714">
        <f>Mijlpalenbegroting!E111</f>
        <v>0</v>
      </c>
      <c r="C28" s="715">
        <f>Mijlpalenbegroting!H111</f>
        <v>0</v>
      </c>
      <c r="D28" s="716">
        <f>Mijlpalenbegroting!B111</f>
        <v>0</v>
      </c>
      <c r="E28" s="717">
        <f>Mijlpalenbegroting!D111</f>
        <v>0</v>
      </c>
      <c r="F28" s="419"/>
      <c r="G28" s="419"/>
      <c r="H28" s="420"/>
      <c r="I28" s="420"/>
      <c r="J28" s="699"/>
      <c r="K28" s="353"/>
      <c r="L28" s="701" cm="1">
        <f t="array" ref="L28">IF($D28&gt;0,INDEX(Mijlpalenplanning!$C$169:$J$183,$D28,COUNTA($L$14:L$14))*Mijlpalenbegroting!$D111,0)+K28</f>
        <v>0</v>
      </c>
      <c r="M28" s="410" cm="1">
        <f t="array" ref="M28">IF($D28&gt;0,INDEX(Mijlpalenplanning!$C$169:$J$183,$D28,COUNTA($L$14:M$14))*Mijlpalenbegroting!$D111,0)+L28</f>
        <v>0</v>
      </c>
      <c r="N28" s="410" cm="1">
        <f t="array" ref="N28">IF($D28&gt;0,INDEX(Mijlpalenplanning!$C$169:$J$183,$D28,COUNTA($L$14:N$14))*Mijlpalenbegroting!$D111,0)+M28</f>
        <v>0</v>
      </c>
      <c r="O28" s="410" cm="1">
        <f t="array" ref="O28">IF($D28&gt;0,INDEX(Mijlpalenplanning!$C$169:$J$183,$D28,COUNTA($L$14:O$14))*Mijlpalenbegroting!$D111,0)+N28</f>
        <v>0</v>
      </c>
      <c r="P28" s="410" cm="1">
        <f t="array" ref="P28">IF($D28&gt;0,INDEX(Mijlpalenplanning!$C$169:$J$183,$D28,COUNTA($L$14:P$14))*Mijlpalenbegroting!$D111,0)+O28</f>
        <v>0</v>
      </c>
      <c r="Q28" s="410" cm="1">
        <f t="array" ref="Q28">IF($D28&gt;0,INDEX(Mijlpalenplanning!$C$169:$J$183,$D28,COUNTA($L$14:Q$14))*Mijlpalenbegroting!$D111,0)+P28</f>
        <v>0</v>
      </c>
      <c r="R28" s="410" cm="1">
        <f t="array" ref="R28">IF($D28&gt;0,INDEX(Mijlpalenplanning!$C$169:$J$183,$D28,COUNTA($L$14:R$14))*Mijlpalenbegroting!$D111,0)+Q28</f>
        <v>0</v>
      </c>
      <c r="S28" s="410" cm="1">
        <f t="array" ref="S28">IF($D28&gt;0,INDEX(Mijlpalenplanning!$C$169:$J$183,$D28,COUNTA($L$14:S$14))*Mijlpalenbegroting!$D111,0)+R28</f>
        <v>0</v>
      </c>
      <c r="T28" s="410">
        <f t="shared" ref="T28:Y28" si="29">S28</f>
        <v>0</v>
      </c>
      <c r="U28" s="410">
        <f t="shared" si="29"/>
        <v>0</v>
      </c>
      <c r="V28" s="410">
        <f t="shared" si="29"/>
        <v>0</v>
      </c>
      <c r="W28" s="410">
        <f t="shared" si="29"/>
        <v>0</v>
      </c>
      <c r="X28" s="410">
        <f t="shared" si="29"/>
        <v>0</v>
      </c>
      <c r="Y28" s="410">
        <f t="shared" si="29"/>
        <v>0</v>
      </c>
      <c r="Z28" s="410">
        <f>MAX(Y28-IF(OR($C28=Lijsten!$D$8),K28,0),0)</f>
        <v>0</v>
      </c>
      <c r="AA28" s="410">
        <f>MAX(Z28-IF(OR($C28=Lijsten!$D$8),L28,0),0)</f>
        <v>0</v>
      </c>
      <c r="AB28" s="410">
        <f>MAX(AA28-IF(OR($C28=Lijsten!$D$8),M28,0),0)</f>
        <v>0</v>
      </c>
      <c r="AC28" s="410">
        <f>MAX(AB28-IF(OR($C28=Lijsten!$D$8),N28,0),0)</f>
        <v>0</v>
      </c>
      <c r="AD28" s="410">
        <f>MAX(AC28-IF(OR($C28=Lijsten!$D$8),O28,0),0)</f>
        <v>0</v>
      </c>
      <c r="AE28" s="410">
        <f>MAX(AD28-IF(OR($C28=Lijsten!$D$8),P28,0),0)</f>
        <v>0</v>
      </c>
      <c r="AF28" s="410">
        <f>MAX(AE28-IF(OR($C28=Lijsten!$D$8),Q28,0),0)</f>
        <v>0</v>
      </c>
      <c r="AG28" s="410">
        <f>MAX(AF28-IF(OR($C28=Lijsten!$D$8),R28,0),0)</f>
        <v>0</v>
      </c>
      <c r="AH28" s="410">
        <f>MAX(AG28-IF(OR($C28=Lijsten!$D$8),S28,0),0)</f>
        <v>0</v>
      </c>
      <c r="AI28" s="410">
        <f>MAX(AH28-IF(OR($C28=Lijsten!$D$8),T28,0),0)</f>
        <v>0</v>
      </c>
      <c r="AJ28" s="410">
        <f>MAX(AI28-IF(OR($C28=Lijsten!$D$8),U28,0),0)</f>
        <v>0</v>
      </c>
      <c r="AK28" s="410">
        <f>MAX(AJ28-IF(OR($C28=Lijsten!$D$8),V28,0),0)</f>
        <v>0</v>
      </c>
      <c r="AL28" s="410">
        <f>MAX(AK28-IF(OR($C28=Lijsten!$D$8),W28,0),0)</f>
        <v>0</v>
      </c>
      <c r="AM28" s="410">
        <f>MAX(AL28-IF(OR($C28=Lijsten!$D$8),X28,0),0)</f>
        <v>0</v>
      </c>
      <c r="AN28" s="410">
        <f>MAX(AM28-IF(OR($C28=Lijsten!$D$8),Y28,0),0)</f>
        <v>0</v>
      </c>
      <c r="AO28" s="410">
        <f>MAX(AN28-IF(OR($C28=Lijsten!$D$8),Z28,0),0)</f>
        <v>0</v>
      </c>
      <c r="AP28" s="410">
        <f>MAX(AO28-IF(OR($C28=Lijsten!$D$8),AA28,0),0)</f>
        <v>0</v>
      </c>
      <c r="AQ28" s="410">
        <f>MAX(AP28-IF(OR($C28=Lijsten!$D$8),AB28,0),0)</f>
        <v>0</v>
      </c>
      <c r="AR28" s="410">
        <f>MAX(AQ28-IF(OR($C28=Lijsten!$D$8),AC28,0),0)</f>
        <v>0</v>
      </c>
      <c r="AS28" s="410">
        <f>MAX(AR28-IF(OR($C28=Lijsten!$D$8),AD28,0),0)</f>
        <v>0</v>
      </c>
      <c r="AT28" s="411">
        <f>MAX(AS28-IF(OR($C28=Lijsten!$D$8),AE28,0),0)</f>
        <v>0</v>
      </c>
      <c r="AU28" s="380"/>
      <c r="AV28" s="380"/>
      <c r="AW28" s="380"/>
      <c r="AX28" s="380"/>
      <c r="AY28" s="380"/>
      <c r="AZ28" s="380"/>
      <c r="BA28" s="380"/>
      <c r="BB28" s="380"/>
    </row>
    <row r="29" spans="1:54" s="381" customFormat="1" ht="15" customHeight="1" x14ac:dyDescent="0.25">
      <c r="A29" s="380"/>
      <c r="B29" s="714">
        <f>Mijlpalenbegroting!E112</f>
        <v>0</v>
      </c>
      <c r="C29" s="715">
        <f>Mijlpalenbegroting!H112</f>
        <v>0</v>
      </c>
      <c r="D29" s="716">
        <f>Mijlpalenbegroting!B112</f>
        <v>0</v>
      </c>
      <c r="E29" s="717">
        <f>Mijlpalenbegroting!D112</f>
        <v>0</v>
      </c>
      <c r="F29" s="419"/>
      <c r="G29" s="419"/>
      <c r="H29" s="420"/>
      <c r="I29" s="420"/>
      <c r="J29" s="699"/>
      <c r="K29" s="353"/>
      <c r="L29" s="701" cm="1">
        <f t="array" ref="L29">IF($D29&gt;0,INDEX(Mijlpalenplanning!$C$169:$J$183,$D29,COUNTA($L$14:L$14))*Mijlpalenbegroting!$D112,0)+K29</f>
        <v>0</v>
      </c>
      <c r="M29" s="410" cm="1">
        <f t="array" ref="M29">IF($D29&gt;0,INDEX(Mijlpalenplanning!$C$169:$J$183,$D29,COUNTA($L$14:M$14))*Mijlpalenbegroting!$D112,0)+L29</f>
        <v>0</v>
      </c>
      <c r="N29" s="410" cm="1">
        <f t="array" ref="N29">IF($D29&gt;0,INDEX(Mijlpalenplanning!$C$169:$J$183,$D29,COUNTA($L$14:N$14))*Mijlpalenbegroting!$D112,0)+M29</f>
        <v>0</v>
      </c>
      <c r="O29" s="410" cm="1">
        <f t="array" ref="O29">IF($D29&gt;0,INDEX(Mijlpalenplanning!$C$169:$J$183,$D29,COUNTA($L$14:O$14))*Mijlpalenbegroting!$D112,0)+N29</f>
        <v>0</v>
      </c>
      <c r="P29" s="410" cm="1">
        <f t="array" ref="P29">IF($D29&gt;0,INDEX(Mijlpalenplanning!$C$169:$J$183,$D29,COUNTA($L$14:P$14))*Mijlpalenbegroting!$D112,0)+O29</f>
        <v>0</v>
      </c>
      <c r="Q29" s="410" cm="1">
        <f t="array" ref="Q29">IF($D29&gt;0,INDEX(Mijlpalenplanning!$C$169:$J$183,$D29,COUNTA($L$14:Q$14))*Mijlpalenbegroting!$D112,0)+P29</f>
        <v>0</v>
      </c>
      <c r="R29" s="410" cm="1">
        <f t="array" ref="R29">IF($D29&gt;0,INDEX(Mijlpalenplanning!$C$169:$J$183,$D29,COUNTA($L$14:R$14))*Mijlpalenbegroting!$D112,0)+Q29</f>
        <v>0</v>
      </c>
      <c r="S29" s="410" cm="1">
        <f t="array" ref="S29">IF($D29&gt;0,INDEX(Mijlpalenplanning!$C$169:$J$183,$D29,COUNTA($L$14:S$14))*Mijlpalenbegroting!$D112,0)+R29</f>
        <v>0</v>
      </c>
      <c r="T29" s="410">
        <f t="shared" ref="T29:Y29" si="30">S29</f>
        <v>0</v>
      </c>
      <c r="U29" s="410">
        <f t="shared" si="30"/>
        <v>0</v>
      </c>
      <c r="V29" s="410">
        <f t="shared" si="30"/>
        <v>0</v>
      </c>
      <c r="W29" s="410">
        <f t="shared" si="30"/>
        <v>0</v>
      </c>
      <c r="X29" s="410">
        <f t="shared" si="30"/>
        <v>0</v>
      </c>
      <c r="Y29" s="410">
        <f t="shared" si="30"/>
        <v>0</v>
      </c>
      <c r="Z29" s="410">
        <f>MAX(Y29-IF(OR($C29=Lijsten!$D$8),K29,0),0)</f>
        <v>0</v>
      </c>
      <c r="AA29" s="410">
        <f>MAX(Z29-IF(OR($C29=Lijsten!$D$8),L29,0),0)</f>
        <v>0</v>
      </c>
      <c r="AB29" s="410">
        <f>MAX(AA29-IF(OR($C29=Lijsten!$D$8),M29,0),0)</f>
        <v>0</v>
      </c>
      <c r="AC29" s="410">
        <f>MAX(AB29-IF(OR($C29=Lijsten!$D$8),N29,0),0)</f>
        <v>0</v>
      </c>
      <c r="AD29" s="410">
        <f>MAX(AC29-IF(OR($C29=Lijsten!$D$8),O29,0),0)</f>
        <v>0</v>
      </c>
      <c r="AE29" s="410">
        <f>MAX(AD29-IF(OR($C29=Lijsten!$D$8),P29,0),0)</f>
        <v>0</v>
      </c>
      <c r="AF29" s="410">
        <f>MAX(AE29-IF(OR($C29=Lijsten!$D$8),Q29,0),0)</f>
        <v>0</v>
      </c>
      <c r="AG29" s="410">
        <f>MAX(AF29-IF(OR($C29=Lijsten!$D$8),R29,0),0)</f>
        <v>0</v>
      </c>
      <c r="AH29" s="410">
        <f>MAX(AG29-IF(OR($C29=Lijsten!$D$8),S29,0),0)</f>
        <v>0</v>
      </c>
      <c r="AI29" s="410">
        <f>MAX(AH29-IF(OR($C29=Lijsten!$D$8),T29,0),0)</f>
        <v>0</v>
      </c>
      <c r="AJ29" s="410">
        <f>MAX(AI29-IF(OR($C29=Lijsten!$D$8),U29,0),0)</f>
        <v>0</v>
      </c>
      <c r="AK29" s="410">
        <f>MAX(AJ29-IF(OR($C29=Lijsten!$D$8),V29,0),0)</f>
        <v>0</v>
      </c>
      <c r="AL29" s="410">
        <f>MAX(AK29-IF(OR($C29=Lijsten!$D$8),W29,0),0)</f>
        <v>0</v>
      </c>
      <c r="AM29" s="410">
        <f>MAX(AL29-IF(OR($C29=Lijsten!$D$8),X29,0),0)</f>
        <v>0</v>
      </c>
      <c r="AN29" s="410">
        <f>MAX(AM29-IF(OR($C29=Lijsten!$D$8),Y29,0),0)</f>
        <v>0</v>
      </c>
      <c r="AO29" s="410">
        <f>MAX(AN29-IF(OR($C29=Lijsten!$D$8),Z29,0),0)</f>
        <v>0</v>
      </c>
      <c r="AP29" s="410">
        <f>MAX(AO29-IF(OR($C29=Lijsten!$D$8),AA29,0),0)</f>
        <v>0</v>
      </c>
      <c r="AQ29" s="410">
        <f>MAX(AP29-IF(OR($C29=Lijsten!$D$8),AB29,0),0)</f>
        <v>0</v>
      </c>
      <c r="AR29" s="410">
        <f>MAX(AQ29-IF(OR($C29=Lijsten!$D$8),AC29,0),0)</f>
        <v>0</v>
      </c>
      <c r="AS29" s="410">
        <f>MAX(AR29-IF(OR($C29=Lijsten!$D$8),AD29,0),0)</f>
        <v>0</v>
      </c>
      <c r="AT29" s="411">
        <f>MAX(AS29-IF(OR($C29=Lijsten!$D$8),AE29,0),0)</f>
        <v>0</v>
      </c>
      <c r="AU29" s="380"/>
      <c r="AV29" s="380"/>
      <c r="AW29" s="380"/>
      <c r="AX29" s="380"/>
      <c r="AY29" s="380"/>
      <c r="AZ29" s="380"/>
      <c r="BA29" s="380"/>
      <c r="BB29" s="380"/>
    </row>
    <row r="30" spans="1:54" s="381" customFormat="1" ht="15" customHeight="1" x14ac:dyDescent="0.25">
      <c r="A30" s="380"/>
      <c r="B30" s="714">
        <f>Mijlpalenbegroting!E113</f>
        <v>0</v>
      </c>
      <c r="C30" s="715">
        <f>Mijlpalenbegroting!H113</f>
        <v>0</v>
      </c>
      <c r="D30" s="716">
        <f>Mijlpalenbegroting!B113</f>
        <v>0</v>
      </c>
      <c r="E30" s="717">
        <f>Mijlpalenbegroting!D113</f>
        <v>0</v>
      </c>
      <c r="F30" s="419"/>
      <c r="G30" s="419"/>
      <c r="H30" s="420"/>
      <c r="I30" s="420"/>
      <c r="J30" s="699"/>
      <c r="K30" s="353"/>
      <c r="L30" s="701" cm="1">
        <f t="array" ref="L30">IF($D30&gt;0,INDEX(Mijlpalenplanning!$C$169:$J$183,$D30,COUNTA($L$14:L$14))*Mijlpalenbegroting!$D113,0)+K30</f>
        <v>0</v>
      </c>
      <c r="M30" s="410" cm="1">
        <f t="array" ref="M30">IF($D30&gt;0,INDEX(Mijlpalenplanning!$C$169:$J$183,$D30,COUNTA($L$14:M$14))*Mijlpalenbegroting!$D113,0)+L30</f>
        <v>0</v>
      </c>
      <c r="N30" s="410" cm="1">
        <f t="array" ref="N30">IF($D30&gt;0,INDEX(Mijlpalenplanning!$C$169:$J$183,$D30,COUNTA($L$14:N$14))*Mijlpalenbegroting!$D113,0)+M30</f>
        <v>0</v>
      </c>
      <c r="O30" s="410" cm="1">
        <f t="array" ref="O30">IF($D30&gt;0,INDEX(Mijlpalenplanning!$C$169:$J$183,$D30,COUNTA($L$14:O$14))*Mijlpalenbegroting!$D113,0)+N30</f>
        <v>0</v>
      </c>
      <c r="P30" s="410" cm="1">
        <f t="array" ref="P30">IF($D30&gt;0,INDEX(Mijlpalenplanning!$C$169:$J$183,$D30,COUNTA($L$14:P$14))*Mijlpalenbegroting!$D113,0)+O30</f>
        <v>0</v>
      </c>
      <c r="Q30" s="410" cm="1">
        <f t="array" ref="Q30">IF($D30&gt;0,INDEX(Mijlpalenplanning!$C$169:$J$183,$D30,COUNTA($L$14:Q$14))*Mijlpalenbegroting!$D113,0)+P30</f>
        <v>0</v>
      </c>
      <c r="R30" s="410" cm="1">
        <f t="array" ref="R30">IF($D30&gt;0,INDEX(Mijlpalenplanning!$C$169:$J$183,$D30,COUNTA($L$14:R$14))*Mijlpalenbegroting!$D113,0)+Q30</f>
        <v>0</v>
      </c>
      <c r="S30" s="410" cm="1">
        <f t="array" ref="S30">IF($D30&gt;0,INDEX(Mijlpalenplanning!$C$169:$J$183,$D30,COUNTA($L$14:S$14))*Mijlpalenbegroting!$D113,0)+R30</f>
        <v>0</v>
      </c>
      <c r="T30" s="410">
        <f t="shared" ref="T30:Y30" si="31">S30</f>
        <v>0</v>
      </c>
      <c r="U30" s="410">
        <f t="shared" si="31"/>
        <v>0</v>
      </c>
      <c r="V30" s="410">
        <f t="shared" si="31"/>
        <v>0</v>
      </c>
      <c r="W30" s="410">
        <f t="shared" si="31"/>
        <v>0</v>
      </c>
      <c r="X30" s="410">
        <f t="shared" si="31"/>
        <v>0</v>
      </c>
      <c r="Y30" s="410">
        <f t="shared" si="31"/>
        <v>0</v>
      </c>
      <c r="Z30" s="410">
        <f>MAX(Y30-IF(OR($C30=Lijsten!$D$8),K30,0),0)</f>
        <v>0</v>
      </c>
      <c r="AA30" s="410">
        <f>MAX(Z30-IF(OR($C30=Lijsten!$D$8),L30,0),0)</f>
        <v>0</v>
      </c>
      <c r="AB30" s="410">
        <f>MAX(AA30-IF(OR($C30=Lijsten!$D$8),M30,0),0)</f>
        <v>0</v>
      </c>
      <c r="AC30" s="410">
        <f>MAX(AB30-IF(OR($C30=Lijsten!$D$8),N30,0),0)</f>
        <v>0</v>
      </c>
      <c r="AD30" s="410">
        <f>MAX(AC30-IF(OR($C30=Lijsten!$D$8),O30,0),0)</f>
        <v>0</v>
      </c>
      <c r="AE30" s="410">
        <f>MAX(AD30-IF(OR($C30=Lijsten!$D$8),P30,0),0)</f>
        <v>0</v>
      </c>
      <c r="AF30" s="410">
        <f>MAX(AE30-IF(OR($C30=Lijsten!$D$8),Q30,0),0)</f>
        <v>0</v>
      </c>
      <c r="AG30" s="410">
        <f>MAX(AF30-IF(OR($C30=Lijsten!$D$8),R30,0),0)</f>
        <v>0</v>
      </c>
      <c r="AH30" s="410">
        <f>MAX(AG30-IF(OR($C30=Lijsten!$D$8),S30,0),0)</f>
        <v>0</v>
      </c>
      <c r="AI30" s="410">
        <f>MAX(AH30-IF(OR($C30=Lijsten!$D$8),T30,0),0)</f>
        <v>0</v>
      </c>
      <c r="AJ30" s="410">
        <f>MAX(AI30-IF(OR($C30=Lijsten!$D$8),U30,0),0)</f>
        <v>0</v>
      </c>
      <c r="AK30" s="410">
        <f>MAX(AJ30-IF(OR($C30=Lijsten!$D$8),V30,0),0)</f>
        <v>0</v>
      </c>
      <c r="AL30" s="410">
        <f>MAX(AK30-IF(OR($C30=Lijsten!$D$8),W30,0),0)</f>
        <v>0</v>
      </c>
      <c r="AM30" s="410">
        <f>MAX(AL30-IF(OR($C30=Lijsten!$D$8),X30,0),0)</f>
        <v>0</v>
      </c>
      <c r="AN30" s="410">
        <f>MAX(AM30-IF(OR($C30=Lijsten!$D$8),Y30,0),0)</f>
        <v>0</v>
      </c>
      <c r="AO30" s="410">
        <f>MAX(AN30-IF(OR($C30=Lijsten!$D$8),Z30,0),0)</f>
        <v>0</v>
      </c>
      <c r="AP30" s="410">
        <f>MAX(AO30-IF(OR($C30=Lijsten!$D$8),AA30,0),0)</f>
        <v>0</v>
      </c>
      <c r="AQ30" s="410">
        <f>MAX(AP30-IF(OR($C30=Lijsten!$D$8),AB30,0),0)</f>
        <v>0</v>
      </c>
      <c r="AR30" s="410">
        <f>MAX(AQ30-IF(OR($C30=Lijsten!$D$8),AC30,0),0)</f>
        <v>0</v>
      </c>
      <c r="AS30" s="410">
        <f>MAX(AR30-IF(OR($C30=Lijsten!$D$8),AD30,0),0)</f>
        <v>0</v>
      </c>
      <c r="AT30" s="411">
        <f>MAX(AS30-IF(OR($C30=Lijsten!$D$8),AE30,0),0)</f>
        <v>0</v>
      </c>
      <c r="AU30" s="380"/>
      <c r="AV30" s="380"/>
      <c r="AW30" s="380"/>
      <c r="AX30" s="380"/>
      <c r="AY30" s="380"/>
      <c r="AZ30" s="380"/>
      <c r="BA30" s="380"/>
      <c r="BB30" s="380"/>
    </row>
    <row r="31" spans="1:54" s="381" customFormat="1" ht="15" customHeight="1" x14ac:dyDescent="0.25">
      <c r="A31" s="380"/>
      <c r="B31" s="714">
        <f>Mijlpalenbegroting!E114</f>
        <v>0</v>
      </c>
      <c r="C31" s="715">
        <f>Mijlpalenbegroting!H114</f>
        <v>0</v>
      </c>
      <c r="D31" s="716">
        <f>Mijlpalenbegroting!B114</f>
        <v>0</v>
      </c>
      <c r="E31" s="717">
        <f>Mijlpalenbegroting!D114</f>
        <v>0</v>
      </c>
      <c r="F31" s="419"/>
      <c r="G31" s="419"/>
      <c r="H31" s="420"/>
      <c r="I31" s="420"/>
      <c r="J31" s="699"/>
      <c r="K31" s="353"/>
      <c r="L31" s="701" cm="1">
        <f t="array" ref="L31">IF($D31&gt;0,INDEX(Mijlpalenplanning!$C$169:$J$183,$D31,COUNTA($L$14:L$14))*Mijlpalenbegroting!$D114,0)+K31</f>
        <v>0</v>
      </c>
      <c r="M31" s="410" cm="1">
        <f t="array" ref="M31">IF($D31&gt;0,INDEX(Mijlpalenplanning!$C$169:$J$183,$D31,COUNTA($L$14:M$14))*Mijlpalenbegroting!$D114,0)+L31</f>
        <v>0</v>
      </c>
      <c r="N31" s="410" cm="1">
        <f t="array" ref="N31">IF($D31&gt;0,INDEX(Mijlpalenplanning!$C$169:$J$183,$D31,COUNTA($L$14:N$14))*Mijlpalenbegroting!$D114,0)+M31</f>
        <v>0</v>
      </c>
      <c r="O31" s="410" cm="1">
        <f t="array" ref="O31">IF($D31&gt;0,INDEX(Mijlpalenplanning!$C$169:$J$183,$D31,COUNTA($L$14:O$14))*Mijlpalenbegroting!$D114,0)+N31</f>
        <v>0</v>
      </c>
      <c r="P31" s="410" cm="1">
        <f t="array" ref="P31">IF($D31&gt;0,INDEX(Mijlpalenplanning!$C$169:$J$183,$D31,COUNTA($L$14:P$14))*Mijlpalenbegroting!$D114,0)+O31</f>
        <v>0</v>
      </c>
      <c r="Q31" s="410" cm="1">
        <f t="array" ref="Q31">IF($D31&gt;0,INDEX(Mijlpalenplanning!$C$169:$J$183,$D31,COUNTA($L$14:Q$14))*Mijlpalenbegroting!$D114,0)+P31</f>
        <v>0</v>
      </c>
      <c r="R31" s="410" cm="1">
        <f t="array" ref="R31">IF($D31&gt;0,INDEX(Mijlpalenplanning!$C$169:$J$183,$D31,COUNTA($L$14:R$14))*Mijlpalenbegroting!$D114,0)+Q31</f>
        <v>0</v>
      </c>
      <c r="S31" s="410" cm="1">
        <f t="array" ref="S31">IF($D31&gt;0,INDEX(Mijlpalenplanning!$C$169:$J$183,$D31,COUNTA($L$14:S$14))*Mijlpalenbegroting!$D114,0)+R31</f>
        <v>0</v>
      </c>
      <c r="T31" s="410">
        <f t="shared" ref="T31:Y31" si="32">S31</f>
        <v>0</v>
      </c>
      <c r="U31" s="410">
        <f t="shared" si="32"/>
        <v>0</v>
      </c>
      <c r="V31" s="410">
        <f t="shared" si="32"/>
        <v>0</v>
      </c>
      <c r="W31" s="410">
        <f t="shared" si="32"/>
        <v>0</v>
      </c>
      <c r="X31" s="410">
        <f t="shared" si="32"/>
        <v>0</v>
      </c>
      <c r="Y31" s="410">
        <f t="shared" si="32"/>
        <v>0</v>
      </c>
      <c r="Z31" s="410">
        <f>MAX(Y31-IF(OR($C31=Lijsten!$D$8),K31,0),0)</f>
        <v>0</v>
      </c>
      <c r="AA31" s="410">
        <f>MAX(Z31-IF(OR($C31=Lijsten!$D$8),L31,0),0)</f>
        <v>0</v>
      </c>
      <c r="AB31" s="410">
        <f>MAX(AA31-IF(OR($C31=Lijsten!$D$8),M31,0),0)</f>
        <v>0</v>
      </c>
      <c r="AC31" s="410">
        <f>MAX(AB31-IF(OR($C31=Lijsten!$D$8),N31,0),0)</f>
        <v>0</v>
      </c>
      <c r="AD31" s="410">
        <f>MAX(AC31-IF(OR($C31=Lijsten!$D$8),O31,0),0)</f>
        <v>0</v>
      </c>
      <c r="AE31" s="410">
        <f>MAX(AD31-IF(OR($C31=Lijsten!$D$8),P31,0),0)</f>
        <v>0</v>
      </c>
      <c r="AF31" s="410">
        <f>MAX(AE31-IF(OR($C31=Lijsten!$D$8),Q31,0),0)</f>
        <v>0</v>
      </c>
      <c r="AG31" s="410">
        <f>MAX(AF31-IF(OR($C31=Lijsten!$D$8),R31,0),0)</f>
        <v>0</v>
      </c>
      <c r="AH31" s="410">
        <f>MAX(AG31-IF(OR($C31=Lijsten!$D$8),S31,0),0)</f>
        <v>0</v>
      </c>
      <c r="AI31" s="410">
        <f>MAX(AH31-IF(OR($C31=Lijsten!$D$8),T31,0),0)</f>
        <v>0</v>
      </c>
      <c r="AJ31" s="410">
        <f>MAX(AI31-IF(OR($C31=Lijsten!$D$8),U31,0),0)</f>
        <v>0</v>
      </c>
      <c r="AK31" s="410">
        <f>MAX(AJ31-IF(OR($C31=Lijsten!$D$8),V31,0),0)</f>
        <v>0</v>
      </c>
      <c r="AL31" s="410">
        <f>MAX(AK31-IF(OR($C31=Lijsten!$D$8),W31,0),0)</f>
        <v>0</v>
      </c>
      <c r="AM31" s="410">
        <f>MAX(AL31-IF(OR($C31=Lijsten!$D$8),X31,0),0)</f>
        <v>0</v>
      </c>
      <c r="AN31" s="410">
        <f>MAX(AM31-IF(OR($C31=Lijsten!$D$8),Y31,0),0)</f>
        <v>0</v>
      </c>
      <c r="AO31" s="410">
        <f>MAX(AN31-IF(OR($C31=Lijsten!$D$8),Z31,0),0)</f>
        <v>0</v>
      </c>
      <c r="AP31" s="410">
        <f>MAX(AO31-IF(OR($C31=Lijsten!$D$8),AA31,0),0)</f>
        <v>0</v>
      </c>
      <c r="AQ31" s="410">
        <f>MAX(AP31-IF(OR($C31=Lijsten!$D$8),AB31,0),0)</f>
        <v>0</v>
      </c>
      <c r="AR31" s="410">
        <f>MAX(AQ31-IF(OR($C31=Lijsten!$D$8),AC31,0),0)</f>
        <v>0</v>
      </c>
      <c r="AS31" s="410">
        <f>MAX(AR31-IF(OR($C31=Lijsten!$D$8),AD31,0),0)</f>
        <v>0</v>
      </c>
      <c r="AT31" s="411">
        <f>MAX(AS31-IF(OR($C31=Lijsten!$D$8),AE31,0),0)</f>
        <v>0</v>
      </c>
      <c r="AU31" s="380"/>
      <c r="AV31" s="380"/>
      <c r="AW31" s="380"/>
      <c r="AX31" s="380"/>
      <c r="AY31" s="380"/>
      <c r="AZ31" s="380"/>
      <c r="BA31" s="380"/>
      <c r="BB31" s="380"/>
    </row>
    <row r="32" spans="1:54" s="381" customFormat="1" ht="15" customHeight="1" x14ac:dyDescent="0.25">
      <c r="A32" s="380"/>
      <c r="B32" s="714">
        <f>Mijlpalenbegroting!E115</f>
        <v>0</v>
      </c>
      <c r="C32" s="715">
        <f>Mijlpalenbegroting!H115</f>
        <v>0</v>
      </c>
      <c r="D32" s="716">
        <f>Mijlpalenbegroting!B115</f>
        <v>0</v>
      </c>
      <c r="E32" s="717">
        <f>Mijlpalenbegroting!D115</f>
        <v>0</v>
      </c>
      <c r="F32" s="419"/>
      <c r="G32" s="419"/>
      <c r="H32" s="420"/>
      <c r="I32" s="420"/>
      <c r="J32" s="699"/>
      <c r="K32" s="353"/>
      <c r="L32" s="701" cm="1">
        <f t="array" ref="L32">IF($D32&gt;0,INDEX(Mijlpalenplanning!$C$169:$J$183,$D32,COUNTA($L$14:L$14))*Mijlpalenbegroting!$D115,0)+K32</f>
        <v>0</v>
      </c>
      <c r="M32" s="410" cm="1">
        <f t="array" ref="M32">IF($D32&gt;0,INDEX(Mijlpalenplanning!$C$169:$J$183,$D32,COUNTA($L$14:M$14))*Mijlpalenbegroting!$D115,0)+L32</f>
        <v>0</v>
      </c>
      <c r="N32" s="410" cm="1">
        <f t="array" ref="N32">IF($D32&gt;0,INDEX(Mijlpalenplanning!$C$169:$J$183,$D32,COUNTA($L$14:N$14))*Mijlpalenbegroting!$D115,0)+M32</f>
        <v>0</v>
      </c>
      <c r="O32" s="410" cm="1">
        <f t="array" ref="O32">IF($D32&gt;0,INDEX(Mijlpalenplanning!$C$169:$J$183,$D32,COUNTA($L$14:O$14))*Mijlpalenbegroting!$D115,0)+N32</f>
        <v>0</v>
      </c>
      <c r="P32" s="410" cm="1">
        <f t="array" ref="P32">IF($D32&gt;0,INDEX(Mijlpalenplanning!$C$169:$J$183,$D32,COUNTA($L$14:P$14))*Mijlpalenbegroting!$D115,0)+O32</f>
        <v>0</v>
      </c>
      <c r="Q32" s="410" cm="1">
        <f t="array" ref="Q32">IF($D32&gt;0,INDEX(Mijlpalenplanning!$C$169:$J$183,$D32,COUNTA($L$14:Q$14))*Mijlpalenbegroting!$D115,0)+P32</f>
        <v>0</v>
      </c>
      <c r="R32" s="410" cm="1">
        <f t="array" ref="R32">IF($D32&gt;0,INDEX(Mijlpalenplanning!$C$169:$J$183,$D32,COUNTA($L$14:R$14))*Mijlpalenbegroting!$D115,0)+Q32</f>
        <v>0</v>
      </c>
      <c r="S32" s="410" cm="1">
        <f t="array" ref="S32">IF($D32&gt;0,INDEX(Mijlpalenplanning!$C$169:$J$183,$D32,COUNTA($L$14:S$14))*Mijlpalenbegroting!$D115,0)+R32</f>
        <v>0</v>
      </c>
      <c r="T32" s="410">
        <f t="shared" ref="T32:Y32" si="33">S32</f>
        <v>0</v>
      </c>
      <c r="U32" s="410">
        <f t="shared" si="33"/>
        <v>0</v>
      </c>
      <c r="V32" s="410">
        <f t="shared" si="33"/>
        <v>0</v>
      </c>
      <c r="W32" s="410">
        <f t="shared" si="33"/>
        <v>0</v>
      </c>
      <c r="X32" s="410">
        <f t="shared" si="33"/>
        <v>0</v>
      </c>
      <c r="Y32" s="410">
        <f t="shared" si="33"/>
        <v>0</v>
      </c>
      <c r="Z32" s="410">
        <f>MAX(Y32-IF(OR($C32=Lijsten!$D$8),K32,0),0)</f>
        <v>0</v>
      </c>
      <c r="AA32" s="410">
        <f>MAX(Z32-IF(OR($C32=Lijsten!$D$8),L32,0),0)</f>
        <v>0</v>
      </c>
      <c r="AB32" s="410">
        <f>MAX(AA32-IF(OR($C32=Lijsten!$D$8),M32,0),0)</f>
        <v>0</v>
      </c>
      <c r="AC32" s="410">
        <f>MAX(AB32-IF(OR($C32=Lijsten!$D$8),N32,0),0)</f>
        <v>0</v>
      </c>
      <c r="AD32" s="410">
        <f>MAX(AC32-IF(OR($C32=Lijsten!$D$8),O32,0),0)</f>
        <v>0</v>
      </c>
      <c r="AE32" s="410">
        <f>MAX(AD32-IF(OR($C32=Lijsten!$D$8),P32,0),0)</f>
        <v>0</v>
      </c>
      <c r="AF32" s="410">
        <f>MAX(AE32-IF(OR($C32=Lijsten!$D$8),Q32,0),0)</f>
        <v>0</v>
      </c>
      <c r="AG32" s="410">
        <f>MAX(AF32-IF(OR($C32=Lijsten!$D$8),R32,0),0)</f>
        <v>0</v>
      </c>
      <c r="AH32" s="410">
        <f>MAX(AG32-IF(OR($C32=Lijsten!$D$8),S32,0),0)</f>
        <v>0</v>
      </c>
      <c r="AI32" s="410">
        <f>MAX(AH32-IF(OR($C32=Lijsten!$D$8),T32,0),0)</f>
        <v>0</v>
      </c>
      <c r="AJ32" s="410">
        <f>MAX(AI32-IF(OR($C32=Lijsten!$D$8),U32,0),0)</f>
        <v>0</v>
      </c>
      <c r="AK32" s="410">
        <f>MAX(AJ32-IF(OR($C32=Lijsten!$D$8),V32,0),0)</f>
        <v>0</v>
      </c>
      <c r="AL32" s="410">
        <f>MAX(AK32-IF(OR($C32=Lijsten!$D$8),W32,0),0)</f>
        <v>0</v>
      </c>
      <c r="AM32" s="410">
        <f>MAX(AL32-IF(OR($C32=Lijsten!$D$8),X32,0),0)</f>
        <v>0</v>
      </c>
      <c r="AN32" s="410">
        <f>MAX(AM32-IF(OR($C32=Lijsten!$D$8),Y32,0),0)</f>
        <v>0</v>
      </c>
      <c r="AO32" s="410">
        <f>MAX(AN32-IF(OR($C32=Lijsten!$D$8),Z32,0),0)</f>
        <v>0</v>
      </c>
      <c r="AP32" s="410">
        <f>MAX(AO32-IF(OR($C32=Lijsten!$D$8),AA32,0),0)</f>
        <v>0</v>
      </c>
      <c r="AQ32" s="410">
        <f>MAX(AP32-IF(OR($C32=Lijsten!$D$8),AB32,0),0)</f>
        <v>0</v>
      </c>
      <c r="AR32" s="410">
        <f>MAX(AQ32-IF(OR($C32=Lijsten!$D$8),AC32,0),0)</f>
        <v>0</v>
      </c>
      <c r="AS32" s="410">
        <f>MAX(AR32-IF(OR($C32=Lijsten!$D$8),AD32,0),0)</f>
        <v>0</v>
      </c>
      <c r="AT32" s="411">
        <f>MAX(AS32-IF(OR($C32=Lijsten!$D$8),AE32,0),0)</f>
        <v>0</v>
      </c>
      <c r="AU32" s="380"/>
      <c r="AV32" s="380"/>
      <c r="AW32" s="380"/>
      <c r="AX32" s="380"/>
      <c r="AY32" s="380"/>
      <c r="AZ32" s="380"/>
      <c r="BA32" s="380"/>
      <c r="BB32" s="380"/>
    </row>
    <row r="33" spans="1:54" s="381" customFormat="1" ht="15" customHeight="1" x14ac:dyDescent="0.25">
      <c r="A33" s="380"/>
      <c r="B33" s="714">
        <f>Mijlpalenbegroting!E116</f>
        <v>0</v>
      </c>
      <c r="C33" s="715">
        <f>Mijlpalenbegroting!H116</f>
        <v>0</v>
      </c>
      <c r="D33" s="716">
        <f>Mijlpalenbegroting!B116</f>
        <v>0</v>
      </c>
      <c r="E33" s="717">
        <f>Mijlpalenbegroting!D116</f>
        <v>0</v>
      </c>
      <c r="F33" s="419"/>
      <c r="G33" s="419"/>
      <c r="H33" s="420"/>
      <c r="I33" s="420"/>
      <c r="J33" s="699"/>
      <c r="K33" s="353"/>
      <c r="L33" s="701" cm="1">
        <f t="array" ref="L33">IF($D33&gt;0,INDEX(Mijlpalenplanning!$C$169:$J$183,$D33,COUNTA($L$14:L$14))*Mijlpalenbegroting!$D116,0)+K33</f>
        <v>0</v>
      </c>
      <c r="M33" s="410" cm="1">
        <f t="array" ref="M33">IF($D33&gt;0,INDEX(Mijlpalenplanning!$C$169:$J$183,$D33,COUNTA($L$14:M$14))*Mijlpalenbegroting!$D116,0)+L33</f>
        <v>0</v>
      </c>
      <c r="N33" s="410" cm="1">
        <f t="array" ref="N33">IF($D33&gt;0,INDEX(Mijlpalenplanning!$C$169:$J$183,$D33,COUNTA($L$14:N$14))*Mijlpalenbegroting!$D116,0)+M33</f>
        <v>0</v>
      </c>
      <c r="O33" s="410" cm="1">
        <f t="array" ref="O33">IF($D33&gt;0,INDEX(Mijlpalenplanning!$C$169:$J$183,$D33,COUNTA($L$14:O$14))*Mijlpalenbegroting!$D116,0)+N33</f>
        <v>0</v>
      </c>
      <c r="P33" s="410" cm="1">
        <f t="array" ref="P33">IF($D33&gt;0,INDEX(Mijlpalenplanning!$C$169:$J$183,$D33,COUNTA($L$14:P$14))*Mijlpalenbegroting!$D116,0)+O33</f>
        <v>0</v>
      </c>
      <c r="Q33" s="410" cm="1">
        <f t="array" ref="Q33">IF($D33&gt;0,INDEX(Mijlpalenplanning!$C$169:$J$183,$D33,COUNTA($L$14:Q$14))*Mijlpalenbegroting!$D116,0)+P33</f>
        <v>0</v>
      </c>
      <c r="R33" s="410" cm="1">
        <f t="array" ref="R33">IF($D33&gt;0,INDEX(Mijlpalenplanning!$C$169:$J$183,$D33,COUNTA($L$14:R$14))*Mijlpalenbegroting!$D116,0)+Q33</f>
        <v>0</v>
      </c>
      <c r="S33" s="410" cm="1">
        <f t="array" ref="S33">IF($D33&gt;0,INDEX(Mijlpalenplanning!$C$169:$J$183,$D33,COUNTA($L$14:S$14))*Mijlpalenbegroting!$D116,0)+R33</f>
        <v>0</v>
      </c>
      <c r="T33" s="410">
        <f t="shared" ref="T33:Y33" si="34">S33</f>
        <v>0</v>
      </c>
      <c r="U33" s="410">
        <f t="shared" si="34"/>
        <v>0</v>
      </c>
      <c r="V33" s="410">
        <f t="shared" si="34"/>
        <v>0</v>
      </c>
      <c r="W33" s="410">
        <f t="shared" si="34"/>
        <v>0</v>
      </c>
      <c r="X33" s="410">
        <f t="shared" si="34"/>
        <v>0</v>
      </c>
      <c r="Y33" s="410">
        <f t="shared" si="34"/>
        <v>0</v>
      </c>
      <c r="Z33" s="410">
        <f>MAX(Y33-IF(OR($C33=Lijsten!$D$8),K33,0),0)</f>
        <v>0</v>
      </c>
      <c r="AA33" s="410">
        <f>MAX(Z33-IF(OR($C33=Lijsten!$D$8),L33,0),0)</f>
        <v>0</v>
      </c>
      <c r="AB33" s="410">
        <f>MAX(AA33-IF(OR($C33=Lijsten!$D$8),M33,0),0)</f>
        <v>0</v>
      </c>
      <c r="AC33" s="410">
        <f>MAX(AB33-IF(OR($C33=Lijsten!$D$8),N33,0),0)</f>
        <v>0</v>
      </c>
      <c r="AD33" s="410">
        <f>MAX(AC33-IF(OR($C33=Lijsten!$D$8),O33,0),0)</f>
        <v>0</v>
      </c>
      <c r="AE33" s="410">
        <f>MAX(AD33-IF(OR($C33=Lijsten!$D$8),P33,0),0)</f>
        <v>0</v>
      </c>
      <c r="AF33" s="410">
        <f>MAX(AE33-IF(OR($C33=Lijsten!$D$8),Q33,0),0)</f>
        <v>0</v>
      </c>
      <c r="AG33" s="410">
        <f>MAX(AF33-IF(OR($C33=Lijsten!$D$8),R33,0),0)</f>
        <v>0</v>
      </c>
      <c r="AH33" s="410">
        <f>MAX(AG33-IF(OR($C33=Lijsten!$D$8),S33,0),0)</f>
        <v>0</v>
      </c>
      <c r="AI33" s="410">
        <f>MAX(AH33-IF(OR($C33=Lijsten!$D$8),T33,0),0)</f>
        <v>0</v>
      </c>
      <c r="AJ33" s="410">
        <f>MAX(AI33-IF(OR($C33=Lijsten!$D$8),U33,0),0)</f>
        <v>0</v>
      </c>
      <c r="AK33" s="410">
        <f>MAX(AJ33-IF(OR($C33=Lijsten!$D$8),V33,0),0)</f>
        <v>0</v>
      </c>
      <c r="AL33" s="410">
        <f>MAX(AK33-IF(OR($C33=Lijsten!$D$8),W33,0),0)</f>
        <v>0</v>
      </c>
      <c r="AM33" s="410">
        <f>MAX(AL33-IF(OR($C33=Lijsten!$D$8),X33,0),0)</f>
        <v>0</v>
      </c>
      <c r="AN33" s="410">
        <f>MAX(AM33-IF(OR($C33=Lijsten!$D$8),Y33,0),0)</f>
        <v>0</v>
      </c>
      <c r="AO33" s="410">
        <f>MAX(AN33-IF(OR($C33=Lijsten!$D$8),Z33,0),0)</f>
        <v>0</v>
      </c>
      <c r="AP33" s="410">
        <f>MAX(AO33-IF(OR($C33=Lijsten!$D$8),AA33,0),0)</f>
        <v>0</v>
      </c>
      <c r="AQ33" s="410">
        <f>MAX(AP33-IF(OR($C33=Lijsten!$D$8),AB33,0),0)</f>
        <v>0</v>
      </c>
      <c r="AR33" s="410">
        <f>MAX(AQ33-IF(OR($C33=Lijsten!$D$8),AC33,0),0)</f>
        <v>0</v>
      </c>
      <c r="AS33" s="410">
        <f>MAX(AR33-IF(OR($C33=Lijsten!$D$8),AD33,0),0)</f>
        <v>0</v>
      </c>
      <c r="AT33" s="411">
        <f>MAX(AS33-IF(OR($C33=Lijsten!$D$8),AE33,0),0)</f>
        <v>0</v>
      </c>
      <c r="AU33" s="380"/>
      <c r="AV33" s="380"/>
      <c r="AW33" s="380"/>
      <c r="AX33" s="380"/>
      <c r="AY33" s="380"/>
      <c r="AZ33" s="380"/>
      <c r="BA33" s="380"/>
      <c r="BB33" s="380"/>
    </row>
    <row r="34" spans="1:54" s="381" customFormat="1" ht="15" customHeight="1" x14ac:dyDescent="0.25">
      <c r="A34" s="380"/>
      <c r="B34" s="714">
        <f>Mijlpalenbegroting!E117</f>
        <v>0</v>
      </c>
      <c r="C34" s="715">
        <f>Mijlpalenbegroting!H117</f>
        <v>0</v>
      </c>
      <c r="D34" s="716">
        <f>Mijlpalenbegroting!B117</f>
        <v>0</v>
      </c>
      <c r="E34" s="717">
        <f>Mijlpalenbegroting!D117</f>
        <v>0</v>
      </c>
      <c r="F34" s="419"/>
      <c r="G34" s="419"/>
      <c r="H34" s="420"/>
      <c r="I34" s="420"/>
      <c r="J34" s="699"/>
      <c r="K34" s="353"/>
      <c r="L34" s="701" cm="1">
        <f t="array" ref="L34">IF($D34&gt;0,INDEX(Mijlpalenplanning!$C$169:$J$183,$D34,COUNTA($L$14:L$14))*Mijlpalenbegroting!$D117,0)+K34</f>
        <v>0</v>
      </c>
      <c r="M34" s="410" cm="1">
        <f t="array" ref="M34">IF($D34&gt;0,INDEX(Mijlpalenplanning!$C$169:$J$183,$D34,COUNTA($L$14:M$14))*Mijlpalenbegroting!$D117,0)+L34</f>
        <v>0</v>
      </c>
      <c r="N34" s="410" cm="1">
        <f t="array" ref="N34">IF($D34&gt;0,INDEX(Mijlpalenplanning!$C$169:$J$183,$D34,COUNTA($L$14:N$14))*Mijlpalenbegroting!$D117,0)+M34</f>
        <v>0</v>
      </c>
      <c r="O34" s="410" cm="1">
        <f t="array" ref="O34">IF($D34&gt;0,INDEX(Mijlpalenplanning!$C$169:$J$183,$D34,COUNTA($L$14:O$14))*Mijlpalenbegroting!$D117,0)+N34</f>
        <v>0</v>
      </c>
      <c r="P34" s="410" cm="1">
        <f t="array" ref="P34">IF($D34&gt;0,INDEX(Mijlpalenplanning!$C$169:$J$183,$D34,COUNTA($L$14:P$14))*Mijlpalenbegroting!$D117,0)+O34</f>
        <v>0</v>
      </c>
      <c r="Q34" s="410" cm="1">
        <f t="array" ref="Q34">IF($D34&gt;0,INDEX(Mijlpalenplanning!$C$169:$J$183,$D34,COUNTA($L$14:Q$14))*Mijlpalenbegroting!$D117,0)+P34</f>
        <v>0</v>
      </c>
      <c r="R34" s="410" cm="1">
        <f t="array" ref="R34">IF($D34&gt;0,INDEX(Mijlpalenplanning!$C$169:$J$183,$D34,COUNTA($L$14:R$14))*Mijlpalenbegroting!$D117,0)+Q34</f>
        <v>0</v>
      </c>
      <c r="S34" s="410" cm="1">
        <f t="array" ref="S34">IF($D34&gt;0,INDEX(Mijlpalenplanning!$C$169:$J$183,$D34,COUNTA($L$14:S$14))*Mijlpalenbegroting!$D117,0)+R34</f>
        <v>0</v>
      </c>
      <c r="T34" s="410">
        <f t="shared" ref="T34:Y34" si="35">S34</f>
        <v>0</v>
      </c>
      <c r="U34" s="410">
        <f t="shared" si="35"/>
        <v>0</v>
      </c>
      <c r="V34" s="410">
        <f t="shared" si="35"/>
        <v>0</v>
      </c>
      <c r="W34" s="410">
        <f t="shared" si="35"/>
        <v>0</v>
      </c>
      <c r="X34" s="410">
        <f t="shared" si="35"/>
        <v>0</v>
      </c>
      <c r="Y34" s="410">
        <f t="shared" si="35"/>
        <v>0</v>
      </c>
      <c r="Z34" s="410">
        <f>MAX(Y34-IF(OR($C34=Lijsten!$D$8),K34,0),0)</f>
        <v>0</v>
      </c>
      <c r="AA34" s="410">
        <f>MAX(Z34-IF(OR($C34=Lijsten!$D$8),L34,0),0)</f>
        <v>0</v>
      </c>
      <c r="AB34" s="410">
        <f>MAX(AA34-IF(OR($C34=Lijsten!$D$8),M34,0),0)</f>
        <v>0</v>
      </c>
      <c r="AC34" s="410">
        <f>MAX(AB34-IF(OR($C34=Lijsten!$D$8),N34,0),0)</f>
        <v>0</v>
      </c>
      <c r="AD34" s="410">
        <f>MAX(AC34-IF(OR($C34=Lijsten!$D$8),O34,0),0)</f>
        <v>0</v>
      </c>
      <c r="AE34" s="410">
        <f>MAX(AD34-IF(OR($C34=Lijsten!$D$8),P34,0),0)</f>
        <v>0</v>
      </c>
      <c r="AF34" s="410">
        <f>MAX(AE34-IF(OR($C34=Lijsten!$D$8),Q34,0),0)</f>
        <v>0</v>
      </c>
      <c r="AG34" s="410">
        <f>MAX(AF34-IF(OR($C34=Lijsten!$D$8),R34,0),0)</f>
        <v>0</v>
      </c>
      <c r="AH34" s="410">
        <f>MAX(AG34-IF(OR($C34=Lijsten!$D$8),S34,0),0)</f>
        <v>0</v>
      </c>
      <c r="AI34" s="410">
        <f>MAX(AH34-IF(OR($C34=Lijsten!$D$8),T34,0),0)</f>
        <v>0</v>
      </c>
      <c r="AJ34" s="410">
        <f>MAX(AI34-IF(OR($C34=Lijsten!$D$8),U34,0),0)</f>
        <v>0</v>
      </c>
      <c r="AK34" s="410">
        <f>MAX(AJ34-IF(OR($C34=Lijsten!$D$8),V34,0),0)</f>
        <v>0</v>
      </c>
      <c r="AL34" s="410">
        <f>MAX(AK34-IF(OR($C34=Lijsten!$D$8),W34,0),0)</f>
        <v>0</v>
      </c>
      <c r="AM34" s="410">
        <f>MAX(AL34-IF(OR($C34=Lijsten!$D$8),X34,0),0)</f>
        <v>0</v>
      </c>
      <c r="AN34" s="410">
        <f>MAX(AM34-IF(OR($C34=Lijsten!$D$8),Y34,0),0)</f>
        <v>0</v>
      </c>
      <c r="AO34" s="410">
        <f>MAX(AN34-IF(OR($C34=Lijsten!$D$8),Z34,0),0)</f>
        <v>0</v>
      </c>
      <c r="AP34" s="410">
        <f>MAX(AO34-IF(OR($C34=Lijsten!$D$8),AA34,0),0)</f>
        <v>0</v>
      </c>
      <c r="AQ34" s="410">
        <f>MAX(AP34-IF(OR($C34=Lijsten!$D$8),AB34,0),0)</f>
        <v>0</v>
      </c>
      <c r="AR34" s="410">
        <f>MAX(AQ34-IF(OR($C34=Lijsten!$D$8),AC34,0),0)</f>
        <v>0</v>
      </c>
      <c r="AS34" s="410">
        <f>MAX(AR34-IF(OR($C34=Lijsten!$D$8),AD34,0),0)</f>
        <v>0</v>
      </c>
      <c r="AT34" s="411">
        <f>MAX(AS34-IF(OR($C34=Lijsten!$D$8),AE34,0),0)</f>
        <v>0</v>
      </c>
      <c r="AU34" s="380"/>
      <c r="AV34" s="380"/>
      <c r="AW34" s="380"/>
      <c r="AX34" s="380"/>
      <c r="AY34" s="380"/>
      <c r="AZ34" s="380"/>
      <c r="BA34" s="380"/>
      <c r="BB34" s="380"/>
    </row>
    <row r="35" spans="1:54" s="381" customFormat="1" ht="15" customHeight="1" x14ac:dyDescent="0.25">
      <c r="A35" s="380"/>
      <c r="B35" s="714">
        <f>Mijlpalenbegroting!E118</f>
        <v>0</v>
      </c>
      <c r="C35" s="715">
        <f>Mijlpalenbegroting!H118</f>
        <v>0</v>
      </c>
      <c r="D35" s="716">
        <f>Mijlpalenbegroting!B118</f>
        <v>0</v>
      </c>
      <c r="E35" s="717">
        <f>Mijlpalenbegroting!D118</f>
        <v>0</v>
      </c>
      <c r="F35" s="419"/>
      <c r="G35" s="419"/>
      <c r="H35" s="420"/>
      <c r="I35" s="420"/>
      <c r="J35" s="699"/>
      <c r="K35" s="353"/>
      <c r="L35" s="701" cm="1">
        <f t="array" ref="L35">IF($D35&gt;0,INDEX(Mijlpalenplanning!$C$169:$J$183,$D35,COUNTA($L$14:L$14))*Mijlpalenbegroting!$D118,0)+K35</f>
        <v>0</v>
      </c>
      <c r="M35" s="410" cm="1">
        <f t="array" ref="M35">IF($D35&gt;0,INDEX(Mijlpalenplanning!$C$169:$J$183,$D35,COUNTA($L$14:M$14))*Mijlpalenbegroting!$D118,0)+L35</f>
        <v>0</v>
      </c>
      <c r="N35" s="410" cm="1">
        <f t="array" ref="N35">IF($D35&gt;0,INDEX(Mijlpalenplanning!$C$169:$J$183,$D35,COUNTA($L$14:N$14))*Mijlpalenbegroting!$D118,0)+M35</f>
        <v>0</v>
      </c>
      <c r="O35" s="410" cm="1">
        <f t="array" ref="O35">IF($D35&gt;0,INDEX(Mijlpalenplanning!$C$169:$J$183,$D35,COUNTA($L$14:O$14))*Mijlpalenbegroting!$D118,0)+N35</f>
        <v>0</v>
      </c>
      <c r="P35" s="410" cm="1">
        <f t="array" ref="P35">IF($D35&gt;0,INDEX(Mijlpalenplanning!$C$169:$J$183,$D35,COUNTA($L$14:P$14))*Mijlpalenbegroting!$D118,0)+O35</f>
        <v>0</v>
      </c>
      <c r="Q35" s="410" cm="1">
        <f t="array" ref="Q35">IF($D35&gt;0,INDEX(Mijlpalenplanning!$C$169:$J$183,$D35,COUNTA($L$14:Q$14))*Mijlpalenbegroting!$D118,0)+P35</f>
        <v>0</v>
      </c>
      <c r="R35" s="410" cm="1">
        <f t="array" ref="R35">IF($D35&gt;0,INDEX(Mijlpalenplanning!$C$169:$J$183,$D35,COUNTA($L$14:R$14))*Mijlpalenbegroting!$D118,0)+Q35</f>
        <v>0</v>
      </c>
      <c r="S35" s="410" cm="1">
        <f t="array" ref="S35">IF($D35&gt;0,INDEX(Mijlpalenplanning!$C$169:$J$183,$D35,COUNTA($L$14:S$14))*Mijlpalenbegroting!$D118,0)+R35</f>
        <v>0</v>
      </c>
      <c r="T35" s="410">
        <f t="shared" ref="T35:Y35" si="36">S35</f>
        <v>0</v>
      </c>
      <c r="U35" s="410">
        <f t="shared" si="36"/>
        <v>0</v>
      </c>
      <c r="V35" s="410">
        <f t="shared" si="36"/>
        <v>0</v>
      </c>
      <c r="W35" s="410">
        <f t="shared" si="36"/>
        <v>0</v>
      </c>
      <c r="X35" s="410">
        <f t="shared" si="36"/>
        <v>0</v>
      </c>
      <c r="Y35" s="410">
        <f t="shared" si="36"/>
        <v>0</v>
      </c>
      <c r="Z35" s="410">
        <f>MAX(Y35-IF(OR($C35=Lijsten!$D$8),K35,0),0)</f>
        <v>0</v>
      </c>
      <c r="AA35" s="410">
        <f>MAX(Z35-IF(OR($C35=Lijsten!$D$8),L35,0),0)</f>
        <v>0</v>
      </c>
      <c r="AB35" s="410">
        <f>MAX(AA35-IF(OR($C35=Lijsten!$D$8),M35,0),0)</f>
        <v>0</v>
      </c>
      <c r="AC35" s="410">
        <f>MAX(AB35-IF(OR($C35=Lijsten!$D$8),N35,0),0)</f>
        <v>0</v>
      </c>
      <c r="AD35" s="410">
        <f>MAX(AC35-IF(OR($C35=Lijsten!$D$8),O35,0),0)</f>
        <v>0</v>
      </c>
      <c r="AE35" s="410">
        <f>MAX(AD35-IF(OR($C35=Lijsten!$D$8),P35,0),0)</f>
        <v>0</v>
      </c>
      <c r="AF35" s="410">
        <f>MAX(AE35-IF(OR($C35=Lijsten!$D$8),Q35,0),0)</f>
        <v>0</v>
      </c>
      <c r="AG35" s="410">
        <f>MAX(AF35-IF(OR($C35=Lijsten!$D$8),R35,0),0)</f>
        <v>0</v>
      </c>
      <c r="AH35" s="410">
        <f>MAX(AG35-IF(OR($C35=Lijsten!$D$8),S35,0),0)</f>
        <v>0</v>
      </c>
      <c r="AI35" s="410">
        <f>MAX(AH35-IF(OR($C35=Lijsten!$D$8),T35,0),0)</f>
        <v>0</v>
      </c>
      <c r="AJ35" s="410">
        <f>MAX(AI35-IF(OR($C35=Lijsten!$D$8),U35,0),0)</f>
        <v>0</v>
      </c>
      <c r="AK35" s="410">
        <f>MAX(AJ35-IF(OR($C35=Lijsten!$D$8),V35,0),0)</f>
        <v>0</v>
      </c>
      <c r="AL35" s="410">
        <f>MAX(AK35-IF(OR($C35=Lijsten!$D$8),W35,0),0)</f>
        <v>0</v>
      </c>
      <c r="AM35" s="410">
        <f>MAX(AL35-IF(OR($C35=Lijsten!$D$8),X35,0),0)</f>
        <v>0</v>
      </c>
      <c r="AN35" s="410">
        <f>MAX(AM35-IF(OR($C35=Lijsten!$D$8),Y35,0),0)</f>
        <v>0</v>
      </c>
      <c r="AO35" s="410">
        <f>MAX(AN35-IF(OR($C35=Lijsten!$D$8),Z35,0),0)</f>
        <v>0</v>
      </c>
      <c r="AP35" s="410">
        <f>MAX(AO35-IF(OR($C35=Lijsten!$D$8),AA35,0),0)</f>
        <v>0</v>
      </c>
      <c r="AQ35" s="410">
        <f>MAX(AP35-IF(OR($C35=Lijsten!$D$8),AB35,0),0)</f>
        <v>0</v>
      </c>
      <c r="AR35" s="410">
        <f>MAX(AQ35-IF(OR($C35=Lijsten!$D$8),AC35,0),0)</f>
        <v>0</v>
      </c>
      <c r="AS35" s="410">
        <f>MAX(AR35-IF(OR($C35=Lijsten!$D$8),AD35,0),0)</f>
        <v>0</v>
      </c>
      <c r="AT35" s="411">
        <f>MAX(AS35-IF(OR($C35=Lijsten!$D$8),AE35,0),0)</f>
        <v>0</v>
      </c>
      <c r="AU35" s="380"/>
      <c r="AV35" s="380"/>
      <c r="AW35" s="380"/>
      <c r="AX35" s="380"/>
      <c r="AY35" s="380"/>
      <c r="AZ35" s="380"/>
      <c r="BA35" s="380"/>
      <c r="BB35" s="380"/>
    </row>
    <row r="36" spans="1:54" s="381" customFormat="1" ht="15" customHeight="1" x14ac:dyDescent="0.25">
      <c r="A36" s="380"/>
      <c r="B36" s="714">
        <f>Mijlpalenbegroting!E119</f>
        <v>0</v>
      </c>
      <c r="C36" s="715">
        <f>Mijlpalenbegroting!H119</f>
        <v>0</v>
      </c>
      <c r="D36" s="716">
        <f>Mijlpalenbegroting!B119</f>
        <v>0</v>
      </c>
      <c r="E36" s="717">
        <f>Mijlpalenbegroting!D119</f>
        <v>0</v>
      </c>
      <c r="F36" s="419"/>
      <c r="G36" s="419"/>
      <c r="H36" s="420"/>
      <c r="I36" s="420"/>
      <c r="J36" s="699"/>
      <c r="K36" s="353"/>
      <c r="L36" s="701" cm="1">
        <f t="array" ref="L36">IF($D36&gt;0,INDEX(Mijlpalenplanning!$C$169:$J$183,$D36,COUNTA($L$14:L$14))*Mijlpalenbegroting!$D119,0)+K36</f>
        <v>0</v>
      </c>
      <c r="M36" s="410" cm="1">
        <f t="array" ref="M36">IF($D36&gt;0,INDEX(Mijlpalenplanning!$C$169:$J$183,$D36,COUNTA($L$14:M$14))*Mijlpalenbegroting!$D119,0)+L36</f>
        <v>0</v>
      </c>
      <c r="N36" s="410" cm="1">
        <f t="array" ref="N36">IF($D36&gt;0,INDEX(Mijlpalenplanning!$C$169:$J$183,$D36,COUNTA($L$14:N$14))*Mijlpalenbegroting!$D119,0)+M36</f>
        <v>0</v>
      </c>
      <c r="O36" s="410" cm="1">
        <f t="array" ref="O36">IF($D36&gt;0,INDEX(Mijlpalenplanning!$C$169:$J$183,$D36,COUNTA($L$14:O$14))*Mijlpalenbegroting!$D119,0)+N36</f>
        <v>0</v>
      </c>
      <c r="P36" s="410" cm="1">
        <f t="array" ref="P36">IF($D36&gt;0,INDEX(Mijlpalenplanning!$C$169:$J$183,$D36,COUNTA($L$14:P$14))*Mijlpalenbegroting!$D119,0)+O36</f>
        <v>0</v>
      </c>
      <c r="Q36" s="410" cm="1">
        <f t="array" ref="Q36">IF($D36&gt;0,INDEX(Mijlpalenplanning!$C$169:$J$183,$D36,COUNTA($L$14:Q$14))*Mijlpalenbegroting!$D119,0)+P36</f>
        <v>0</v>
      </c>
      <c r="R36" s="410" cm="1">
        <f t="array" ref="R36">IF($D36&gt;0,INDEX(Mijlpalenplanning!$C$169:$J$183,$D36,COUNTA($L$14:R$14))*Mijlpalenbegroting!$D119,0)+Q36</f>
        <v>0</v>
      </c>
      <c r="S36" s="410" cm="1">
        <f t="array" ref="S36">IF($D36&gt;0,INDEX(Mijlpalenplanning!$C$169:$J$183,$D36,COUNTA($L$14:S$14))*Mijlpalenbegroting!$D119,0)+R36</f>
        <v>0</v>
      </c>
      <c r="T36" s="410">
        <f t="shared" ref="T36:Y36" si="37">S36</f>
        <v>0</v>
      </c>
      <c r="U36" s="410">
        <f t="shared" si="37"/>
        <v>0</v>
      </c>
      <c r="V36" s="410">
        <f t="shared" si="37"/>
        <v>0</v>
      </c>
      <c r="W36" s="410">
        <f t="shared" si="37"/>
        <v>0</v>
      </c>
      <c r="X36" s="410">
        <f t="shared" si="37"/>
        <v>0</v>
      </c>
      <c r="Y36" s="410">
        <f t="shared" si="37"/>
        <v>0</v>
      </c>
      <c r="Z36" s="410">
        <f>MAX(Y36-IF(OR($C36=Lijsten!$D$8),K36,0),0)</f>
        <v>0</v>
      </c>
      <c r="AA36" s="410">
        <f>MAX(Z36-IF(OR($C36=Lijsten!$D$8),L36,0),0)</f>
        <v>0</v>
      </c>
      <c r="AB36" s="410">
        <f>MAX(AA36-IF(OR($C36=Lijsten!$D$8),M36,0),0)</f>
        <v>0</v>
      </c>
      <c r="AC36" s="410">
        <f>MAX(AB36-IF(OR($C36=Lijsten!$D$8),N36,0),0)</f>
        <v>0</v>
      </c>
      <c r="AD36" s="410">
        <f>MAX(AC36-IF(OR($C36=Lijsten!$D$8),O36,0),0)</f>
        <v>0</v>
      </c>
      <c r="AE36" s="410">
        <f>MAX(AD36-IF(OR($C36=Lijsten!$D$8),P36,0),0)</f>
        <v>0</v>
      </c>
      <c r="AF36" s="410">
        <f>MAX(AE36-IF(OR($C36=Lijsten!$D$8),Q36,0),0)</f>
        <v>0</v>
      </c>
      <c r="AG36" s="410">
        <f>MAX(AF36-IF(OR($C36=Lijsten!$D$8),R36,0),0)</f>
        <v>0</v>
      </c>
      <c r="AH36" s="410">
        <f>MAX(AG36-IF(OR($C36=Lijsten!$D$8),S36,0),0)</f>
        <v>0</v>
      </c>
      <c r="AI36" s="410">
        <f>MAX(AH36-IF(OR($C36=Lijsten!$D$8),T36,0),0)</f>
        <v>0</v>
      </c>
      <c r="AJ36" s="410">
        <f>MAX(AI36-IF(OR($C36=Lijsten!$D$8),U36,0),0)</f>
        <v>0</v>
      </c>
      <c r="AK36" s="410">
        <f>MAX(AJ36-IF(OR($C36=Lijsten!$D$8),V36,0),0)</f>
        <v>0</v>
      </c>
      <c r="AL36" s="410">
        <f>MAX(AK36-IF(OR($C36=Lijsten!$D$8),W36,0),0)</f>
        <v>0</v>
      </c>
      <c r="AM36" s="410">
        <f>MAX(AL36-IF(OR($C36=Lijsten!$D$8),X36,0),0)</f>
        <v>0</v>
      </c>
      <c r="AN36" s="410">
        <f>MAX(AM36-IF(OR($C36=Lijsten!$D$8),Y36,0),0)</f>
        <v>0</v>
      </c>
      <c r="AO36" s="410">
        <f>MAX(AN36-IF(OR($C36=Lijsten!$D$8),Z36,0),0)</f>
        <v>0</v>
      </c>
      <c r="AP36" s="410">
        <f>MAX(AO36-IF(OR($C36=Lijsten!$D$8),AA36,0),0)</f>
        <v>0</v>
      </c>
      <c r="AQ36" s="410">
        <f>MAX(AP36-IF(OR($C36=Lijsten!$D$8),AB36,0),0)</f>
        <v>0</v>
      </c>
      <c r="AR36" s="410">
        <f>MAX(AQ36-IF(OR($C36=Lijsten!$D$8),AC36,0),0)</f>
        <v>0</v>
      </c>
      <c r="AS36" s="410">
        <f>MAX(AR36-IF(OR($C36=Lijsten!$D$8),AD36,0),0)</f>
        <v>0</v>
      </c>
      <c r="AT36" s="411">
        <f>MAX(AS36-IF(OR($C36=Lijsten!$D$8),AE36,0),0)</f>
        <v>0</v>
      </c>
      <c r="AU36" s="380"/>
      <c r="AV36" s="380"/>
      <c r="AW36" s="380"/>
      <c r="AX36" s="380"/>
      <c r="AY36" s="380"/>
      <c r="AZ36" s="380"/>
      <c r="BA36" s="380"/>
      <c r="BB36" s="380"/>
    </row>
    <row r="37" spans="1:54" s="381" customFormat="1" ht="15" customHeight="1" x14ac:dyDescent="0.25">
      <c r="A37" s="380"/>
      <c r="B37" s="714">
        <f>Mijlpalenbegroting!E120</f>
        <v>0</v>
      </c>
      <c r="C37" s="715">
        <f>Mijlpalenbegroting!H120</f>
        <v>0</v>
      </c>
      <c r="D37" s="716">
        <f>Mijlpalenbegroting!B120</f>
        <v>0</v>
      </c>
      <c r="E37" s="717">
        <f>Mijlpalenbegroting!D120</f>
        <v>0</v>
      </c>
      <c r="F37" s="419"/>
      <c r="G37" s="419"/>
      <c r="H37" s="420"/>
      <c r="I37" s="420"/>
      <c r="J37" s="699"/>
      <c r="K37" s="353"/>
      <c r="L37" s="701" cm="1">
        <f t="array" ref="L37">IF($D37&gt;0,INDEX(Mijlpalenplanning!$C$169:$J$183,$D37,COUNTA($L$14:L$14))*Mijlpalenbegroting!$D120,0)+K37</f>
        <v>0</v>
      </c>
      <c r="M37" s="410" cm="1">
        <f t="array" ref="M37">IF($D37&gt;0,INDEX(Mijlpalenplanning!$C$169:$J$183,$D37,COUNTA($L$14:M$14))*Mijlpalenbegroting!$D120,0)+L37</f>
        <v>0</v>
      </c>
      <c r="N37" s="410" cm="1">
        <f t="array" ref="N37">IF($D37&gt;0,INDEX(Mijlpalenplanning!$C$169:$J$183,$D37,COUNTA($L$14:N$14))*Mijlpalenbegroting!$D120,0)+M37</f>
        <v>0</v>
      </c>
      <c r="O37" s="410" cm="1">
        <f t="array" ref="O37">IF($D37&gt;0,INDEX(Mijlpalenplanning!$C$169:$J$183,$D37,COUNTA($L$14:O$14))*Mijlpalenbegroting!$D120,0)+N37</f>
        <v>0</v>
      </c>
      <c r="P37" s="410" cm="1">
        <f t="array" ref="P37">IF($D37&gt;0,INDEX(Mijlpalenplanning!$C$169:$J$183,$D37,COUNTA($L$14:P$14))*Mijlpalenbegroting!$D120,0)+O37</f>
        <v>0</v>
      </c>
      <c r="Q37" s="410" cm="1">
        <f t="array" ref="Q37">IF($D37&gt;0,INDEX(Mijlpalenplanning!$C$169:$J$183,$D37,COUNTA($L$14:Q$14))*Mijlpalenbegroting!$D120,0)+P37</f>
        <v>0</v>
      </c>
      <c r="R37" s="410" cm="1">
        <f t="array" ref="R37">IF($D37&gt;0,INDEX(Mijlpalenplanning!$C$169:$J$183,$D37,COUNTA($L$14:R$14))*Mijlpalenbegroting!$D120,0)+Q37</f>
        <v>0</v>
      </c>
      <c r="S37" s="410" cm="1">
        <f t="array" ref="S37">IF($D37&gt;0,INDEX(Mijlpalenplanning!$C$169:$J$183,$D37,COUNTA($L$14:S$14))*Mijlpalenbegroting!$D120,0)+R37</f>
        <v>0</v>
      </c>
      <c r="T37" s="410">
        <f t="shared" ref="T37:Y37" si="38">S37</f>
        <v>0</v>
      </c>
      <c r="U37" s="410">
        <f t="shared" si="38"/>
        <v>0</v>
      </c>
      <c r="V37" s="410">
        <f t="shared" si="38"/>
        <v>0</v>
      </c>
      <c r="W37" s="410">
        <f t="shared" si="38"/>
        <v>0</v>
      </c>
      <c r="X37" s="410">
        <f t="shared" si="38"/>
        <v>0</v>
      </c>
      <c r="Y37" s="410">
        <f t="shared" si="38"/>
        <v>0</v>
      </c>
      <c r="Z37" s="410">
        <f>MAX(Y37-IF(OR($C37=Lijsten!$D$8),K37,0),0)</f>
        <v>0</v>
      </c>
      <c r="AA37" s="410">
        <f>MAX(Z37-IF(OR($C37=Lijsten!$D$8),L37,0),0)</f>
        <v>0</v>
      </c>
      <c r="AB37" s="410">
        <f>MAX(AA37-IF(OR($C37=Lijsten!$D$8),M37,0),0)</f>
        <v>0</v>
      </c>
      <c r="AC37" s="410">
        <f>MAX(AB37-IF(OR($C37=Lijsten!$D$8),N37,0),0)</f>
        <v>0</v>
      </c>
      <c r="AD37" s="410">
        <f>MAX(AC37-IF(OR($C37=Lijsten!$D$8),O37,0),0)</f>
        <v>0</v>
      </c>
      <c r="AE37" s="410">
        <f>MAX(AD37-IF(OR($C37=Lijsten!$D$8),P37,0),0)</f>
        <v>0</v>
      </c>
      <c r="AF37" s="410">
        <f>MAX(AE37-IF(OR($C37=Lijsten!$D$8),Q37,0),0)</f>
        <v>0</v>
      </c>
      <c r="AG37" s="410">
        <f>MAX(AF37-IF(OR($C37=Lijsten!$D$8),R37,0),0)</f>
        <v>0</v>
      </c>
      <c r="AH37" s="410">
        <f>MAX(AG37-IF(OR($C37=Lijsten!$D$8),S37,0),0)</f>
        <v>0</v>
      </c>
      <c r="AI37" s="410">
        <f>MAX(AH37-IF(OR($C37=Lijsten!$D$8),T37,0),0)</f>
        <v>0</v>
      </c>
      <c r="AJ37" s="410">
        <f>MAX(AI37-IF(OR($C37=Lijsten!$D$8),U37,0),0)</f>
        <v>0</v>
      </c>
      <c r="AK37" s="410">
        <f>MAX(AJ37-IF(OR($C37=Lijsten!$D$8),V37,0),0)</f>
        <v>0</v>
      </c>
      <c r="AL37" s="410">
        <f>MAX(AK37-IF(OR($C37=Lijsten!$D$8),W37,0),0)</f>
        <v>0</v>
      </c>
      <c r="AM37" s="410">
        <f>MAX(AL37-IF(OR($C37=Lijsten!$D$8),X37,0),0)</f>
        <v>0</v>
      </c>
      <c r="AN37" s="410">
        <f>MAX(AM37-IF(OR($C37=Lijsten!$D$8),Y37,0),0)</f>
        <v>0</v>
      </c>
      <c r="AO37" s="410">
        <f>MAX(AN37-IF(OR($C37=Lijsten!$D$8),Z37,0),0)</f>
        <v>0</v>
      </c>
      <c r="AP37" s="410">
        <f>MAX(AO37-IF(OR($C37=Lijsten!$D$8),AA37,0),0)</f>
        <v>0</v>
      </c>
      <c r="AQ37" s="410">
        <f>MAX(AP37-IF(OR($C37=Lijsten!$D$8),AB37,0),0)</f>
        <v>0</v>
      </c>
      <c r="AR37" s="410">
        <f>MAX(AQ37-IF(OR($C37=Lijsten!$D$8),AC37,0),0)</f>
        <v>0</v>
      </c>
      <c r="AS37" s="410">
        <f>MAX(AR37-IF(OR($C37=Lijsten!$D$8),AD37,0),0)</f>
        <v>0</v>
      </c>
      <c r="AT37" s="411">
        <f>MAX(AS37-IF(OR($C37=Lijsten!$D$8),AE37,0),0)</f>
        <v>0</v>
      </c>
      <c r="AU37" s="380"/>
      <c r="AV37" s="380"/>
      <c r="AW37" s="380"/>
      <c r="AX37" s="380"/>
      <c r="AY37" s="380"/>
      <c r="AZ37" s="380"/>
      <c r="BA37" s="380"/>
      <c r="BB37" s="380"/>
    </row>
    <row r="38" spans="1:54" s="381" customFormat="1" ht="15" customHeight="1" x14ac:dyDescent="0.25">
      <c r="A38" s="380"/>
      <c r="B38" s="714">
        <f>Mijlpalenbegroting!E121</f>
        <v>0</v>
      </c>
      <c r="C38" s="715">
        <f>Mijlpalenbegroting!H121</f>
        <v>0</v>
      </c>
      <c r="D38" s="716">
        <f>Mijlpalenbegroting!B121</f>
        <v>0</v>
      </c>
      <c r="E38" s="717">
        <f>Mijlpalenbegroting!D121</f>
        <v>0</v>
      </c>
      <c r="F38" s="419"/>
      <c r="G38" s="419"/>
      <c r="H38" s="420"/>
      <c r="I38" s="420"/>
      <c r="J38" s="699"/>
      <c r="K38" s="353"/>
      <c r="L38" s="701" cm="1">
        <f t="array" ref="L38">IF($D38&gt;0,INDEX(Mijlpalenplanning!$C$169:$J$183,$D38,COUNTA($L$14:L$14))*Mijlpalenbegroting!$D121,0)+K38</f>
        <v>0</v>
      </c>
      <c r="M38" s="410" cm="1">
        <f t="array" ref="M38">IF($D38&gt;0,INDEX(Mijlpalenplanning!$C$169:$J$183,$D38,COUNTA($L$14:M$14))*Mijlpalenbegroting!$D121,0)+L38</f>
        <v>0</v>
      </c>
      <c r="N38" s="410" cm="1">
        <f t="array" ref="N38">IF($D38&gt;0,INDEX(Mijlpalenplanning!$C$169:$J$183,$D38,COUNTA($L$14:N$14))*Mijlpalenbegroting!$D121,0)+M38</f>
        <v>0</v>
      </c>
      <c r="O38" s="410" cm="1">
        <f t="array" ref="O38">IF($D38&gt;0,INDEX(Mijlpalenplanning!$C$169:$J$183,$D38,COUNTA($L$14:O$14))*Mijlpalenbegroting!$D121,0)+N38</f>
        <v>0</v>
      </c>
      <c r="P38" s="410" cm="1">
        <f t="array" ref="P38">IF($D38&gt;0,INDEX(Mijlpalenplanning!$C$169:$J$183,$D38,COUNTA($L$14:P$14))*Mijlpalenbegroting!$D121,0)+O38</f>
        <v>0</v>
      </c>
      <c r="Q38" s="410" cm="1">
        <f t="array" ref="Q38">IF($D38&gt;0,INDEX(Mijlpalenplanning!$C$169:$J$183,$D38,COUNTA($L$14:Q$14))*Mijlpalenbegroting!$D121,0)+P38</f>
        <v>0</v>
      </c>
      <c r="R38" s="410" cm="1">
        <f t="array" ref="R38">IF($D38&gt;0,INDEX(Mijlpalenplanning!$C$169:$J$183,$D38,COUNTA($L$14:R$14))*Mijlpalenbegroting!$D121,0)+Q38</f>
        <v>0</v>
      </c>
      <c r="S38" s="410" cm="1">
        <f t="array" ref="S38">IF($D38&gt;0,INDEX(Mijlpalenplanning!$C$169:$J$183,$D38,COUNTA($L$14:S$14))*Mijlpalenbegroting!$D121,0)+R38</f>
        <v>0</v>
      </c>
      <c r="T38" s="410">
        <f t="shared" ref="T38:Y38" si="39">S38</f>
        <v>0</v>
      </c>
      <c r="U38" s="410">
        <f t="shared" si="39"/>
        <v>0</v>
      </c>
      <c r="V38" s="410">
        <f t="shared" si="39"/>
        <v>0</v>
      </c>
      <c r="W38" s="410">
        <f t="shared" si="39"/>
        <v>0</v>
      </c>
      <c r="X38" s="410">
        <f t="shared" si="39"/>
        <v>0</v>
      </c>
      <c r="Y38" s="410">
        <f t="shared" si="39"/>
        <v>0</v>
      </c>
      <c r="Z38" s="410">
        <f>MAX(Y38-IF(OR($C38=Lijsten!$D$8),K38,0),0)</f>
        <v>0</v>
      </c>
      <c r="AA38" s="410">
        <f>MAX(Z38-IF(OR($C38=Lijsten!$D$8),L38,0),0)</f>
        <v>0</v>
      </c>
      <c r="AB38" s="410">
        <f>MAX(AA38-IF(OR($C38=Lijsten!$D$8),M38,0),0)</f>
        <v>0</v>
      </c>
      <c r="AC38" s="410">
        <f>MAX(AB38-IF(OR($C38=Lijsten!$D$8),N38,0),0)</f>
        <v>0</v>
      </c>
      <c r="AD38" s="410">
        <f>MAX(AC38-IF(OR($C38=Lijsten!$D$8),O38,0),0)</f>
        <v>0</v>
      </c>
      <c r="AE38" s="410">
        <f>MAX(AD38-IF(OR($C38=Lijsten!$D$8),P38,0),0)</f>
        <v>0</v>
      </c>
      <c r="AF38" s="410">
        <f>MAX(AE38-IF(OR($C38=Lijsten!$D$8),Q38,0),0)</f>
        <v>0</v>
      </c>
      <c r="AG38" s="410">
        <f>MAX(AF38-IF(OR($C38=Lijsten!$D$8),R38,0),0)</f>
        <v>0</v>
      </c>
      <c r="AH38" s="410">
        <f>MAX(AG38-IF(OR($C38=Lijsten!$D$8),S38,0),0)</f>
        <v>0</v>
      </c>
      <c r="AI38" s="410">
        <f>MAX(AH38-IF(OR($C38=Lijsten!$D$8),T38,0),0)</f>
        <v>0</v>
      </c>
      <c r="AJ38" s="410">
        <f>MAX(AI38-IF(OR($C38=Lijsten!$D$8),U38,0),0)</f>
        <v>0</v>
      </c>
      <c r="AK38" s="410">
        <f>MAX(AJ38-IF(OR($C38=Lijsten!$D$8),V38,0),0)</f>
        <v>0</v>
      </c>
      <c r="AL38" s="410">
        <f>MAX(AK38-IF(OR($C38=Lijsten!$D$8),W38,0),0)</f>
        <v>0</v>
      </c>
      <c r="AM38" s="410">
        <f>MAX(AL38-IF(OR($C38=Lijsten!$D$8),X38,0),0)</f>
        <v>0</v>
      </c>
      <c r="AN38" s="410">
        <f>MAX(AM38-IF(OR($C38=Lijsten!$D$8),Y38,0),0)</f>
        <v>0</v>
      </c>
      <c r="AO38" s="410">
        <f>MAX(AN38-IF(OR($C38=Lijsten!$D$8),Z38,0),0)</f>
        <v>0</v>
      </c>
      <c r="AP38" s="410">
        <f>MAX(AO38-IF(OR($C38=Lijsten!$D$8),AA38,0),0)</f>
        <v>0</v>
      </c>
      <c r="AQ38" s="410">
        <f>MAX(AP38-IF(OR($C38=Lijsten!$D$8),AB38,0),0)</f>
        <v>0</v>
      </c>
      <c r="AR38" s="410">
        <f>MAX(AQ38-IF(OR($C38=Lijsten!$D$8),AC38,0),0)</f>
        <v>0</v>
      </c>
      <c r="AS38" s="410">
        <f>MAX(AR38-IF(OR($C38=Lijsten!$D$8),AD38,0),0)</f>
        <v>0</v>
      </c>
      <c r="AT38" s="411">
        <f>MAX(AS38-IF(OR($C38=Lijsten!$D$8),AE38,0),0)</f>
        <v>0</v>
      </c>
      <c r="AU38" s="380"/>
      <c r="AV38" s="380"/>
      <c r="AW38" s="380"/>
      <c r="AX38" s="380"/>
      <c r="AY38" s="380"/>
      <c r="AZ38" s="380"/>
      <c r="BA38" s="380"/>
      <c r="BB38" s="380"/>
    </row>
    <row r="39" spans="1:54" s="381" customFormat="1" ht="15" customHeight="1" x14ac:dyDescent="0.25">
      <c r="A39" s="380"/>
      <c r="B39" s="714">
        <f>Mijlpalenbegroting!E122</f>
        <v>0</v>
      </c>
      <c r="C39" s="715">
        <f>Mijlpalenbegroting!H122</f>
        <v>0</v>
      </c>
      <c r="D39" s="716">
        <f>Mijlpalenbegroting!B122</f>
        <v>0</v>
      </c>
      <c r="E39" s="717">
        <f>Mijlpalenbegroting!D122</f>
        <v>0</v>
      </c>
      <c r="F39" s="419"/>
      <c r="G39" s="419"/>
      <c r="H39" s="420"/>
      <c r="I39" s="420"/>
      <c r="J39" s="699"/>
      <c r="K39" s="353"/>
      <c r="L39" s="701" cm="1">
        <f t="array" ref="L39">IF($D39&gt;0,INDEX(Mijlpalenplanning!$C$169:$J$183,$D39,COUNTA($L$14:L$14))*Mijlpalenbegroting!$D122,0)+K39</f>
        <v>0</v>
      </c>
      <c r="M39" s="410" cm="1">
        <f t="array" ref="M39">IF($D39&gt;0,INDEX(Mijlpalenplanning!$C$169:$J$183,$D39,COUNTA($L$14:M$14))*Mijlpalenbegroting!$D122,0)+L39</f>
        <v>0</v>
      </c>
      <c r="N39" s="410" cm="1">
        <f t="array" ref="N39">IF($D39&gt;0,INDEX(Mijlpalenplanning!$C$169:$J$183,$D39,COUNTA($L$14:N$14))*Mijlpalenbegroting!$D122,0)+M39</f>
        <v>0</v>
      </c>
      <c r="O39" s="410" cm="1">
        <f t="array" ref="O39">IF($D39&gt;0,INDEX(Mijlpalenplanning!$C$169:$J$183,$D39,COUNTA($L$14:O$14))*Mijlpalenbegroting!$D122,0)+N39</f>
        <v>0</v>
      </c>
      <c r="P39" s="410" cm="1">
        <f t="array" ref="P39">IF($D39&gt;0,INDEX(Mijlpalenplanning!$C$169:$J$183,$D39,COUNTA($L$14:P$14))*Mijlpalenbegroting!$D122,0)+O39</f>
        <v>0</v>
      </c>
      <c r="Q39" s="410" cm="1">
        <f t="array" ref="Q39">IF($D39&gt;0,INDEX(Mijlpalenplanning!$C$169:$J$183,$D39,COUNTA($L$14:Q$14))*Mijlpalenbegroting!$D122,0)+P39</f>
        <v>0</v>
      </c>
      <c r="R39" s="410" cm="1">
        <f t="array" ref="R39">IF($D39&gt;0,INDEX(Mijlpalenplanning!$C$169:$J$183,$D39,COUNTA($L$14:R$14))*Mijlpalenbegroting!$D122,0)+Q39</f>
        <v>0</v>
      </c>
      <c r="S39" s="410" cm="1">
        <f t="array" ref="S39">IF($D39&gt;0,INDEX(Mijlpalenplanning!$C$169:$J$183,$D39,COUNTA($L$14:S$14))*Mijlpalenbegroting!$D122,0)+R39</f>
        <v>0</v>
      </c>
      <c r="T39" s="410">
        <f t="shared" ref="T39:Y39" si="40">S39</f>
        <v>0</v>
      </c>
      <c r="U39" s="410">
        <f t="shared" si="40"/>
        <v>0</v>
      </c>
      <c r="V39" s="410">
        <f t="shared" si="40"/>
        <v>0</v>
      </c>
      <c r="W39" s="410">
        <f t="shared" si="40"/>
        <v>0</v>
      </c>
      <c r="X39" s="410">
        <f t="shared" si="40"/>
        <v>0</v>
      </c>
      <c r="Y39" s="410">
        <f t="shared" si="40"/>
        <v>0</v>
      </c>
      <c r="Z39" s="410">
        <f>MAX(Y39-IF(OR($C39=Lijsten!$D$8),K39,0),0)</f>
        <v>0</v>
      </c>
      <c r="AA39" s="410">
        <f>MAX(Z39-IF(OR($C39=Lijsten!$D$8),L39,0),0)</f>
        <v>0</v>
      </c>
      <c r="AB39" s="410">
        <f>MAX(AA39-IF(OR($C39=Lijsten!$D$8),M39,0),0)</f>
        <v>0</v>
      </c>
      <c r="AC39" s="410">
        <f>MAX(AB39-IF(OR($C39=Lijsten!$D$8),N39,0),0)</f>
        <v>0</v>
      </c>
      <c r="AD39" s="410">
        <f>MAX(AC39-IF(OR($C39=Lijsten!$D$8),O39,0),0)</f>
        <v>0</v>
      </c>
      <c r="AE39" s="410">
        <f>MAX(AD39-IF(OR($C39=Lijsten!$D$8),P39,0),0)</f>
        <v>0</v>
      </c>
      <c r="AF39" s="410">
        <f>MAX(AE39-IF(OR($C39=Lijsten!$D$8),Q39,0),0)</f>
        <v>0</v>
      </c>
      <c r="AG39" s="410">
        <f>MAX(AF39-IF(OR($C39=Lijsten!$D$8),R39,0),0)</f>
        <v>0</v>
      </c>
      <c r="AH39" s="410">
        <f>MAX(AG39-IF(OR($C39=Lijsten!$D$8),S39,0),0)</f>
        <v>0</v>
      </c>
      <c r="AI39" s="410">
        <f>MAX(AH39-IF(OR($C39=Lijsten!$D$8),T39,0),0)</f>
        <v>0</v>
      </c>
      <c r="AJ39" s="410">
        <f>MAX(AI39-IF(OR($C39=Lijsten!$D$8),U39,0),0)</f>
        <v>0</v>
      </c>
      <c r="AK39" s="410">
        <f>MAX(AJ39-IF(OR($C39=Lijsten!$D$8),V39,0),0)</f>
        <v>0</v>
      </c>
      <c r="AL39" s="410">
        <f>MAX(AK39-IF(OR($C39=Lijsten!$D$8),W39,0),0)</f>
        <v>0</v>
      </c>
      <c r="AM39" s="410">
        <f>MAX(AL39-IF(OR($C39=Lijsten!$D$8),X39,0),0)</f>
        <v>0</v>
      </c>
      <c r="AN39" s="410">
        <f>MAX(AM39-IF(OR($C39=Lijsten!$D$8),Y39,0),0)</f>
        <v>0</v>
      </c>
      <c r="AO39" s="410">
        <f>MAX(AN39-IF(OR($C39=Lijsten!$D$8),Z39,0),0)</f>
        <v>0</v>
      </c>
      <c r="AP39" s="410">
        <f>MAX(AO39-IF(OR($C39=Lijsten!$D$8),AA39,0),0)</f>
        <v>0</v>
      </c>
      <c r="AQ39" s="410">
        <f>MAX(AP39-IF(OR($C39=Lijsten!$D$8),AB39,0),0)</f>
        <v>0</v>
      </c>
      <c r="AR39" s="410">
        <f>MAX(AQ39-IF(OR($C39=Lijsten!$D$8),AC39,0),0)</f>
        <v>0</v>
      </c>
      <c r="AS39" s="410">
        <f>MAX(AR39-IF(OR($C39=Lijsten!$D$8),AD39,0),0)</f>
        <v>0</v>
      </c>
      <c r="AT39" s="411">
        <f>MAX(AS39-IF(OR($C39=Lijsten!$D$8),AE39,0),0)</f>
        <v>0</v>
      </c>
      <c r="AU39" s="380"/>
      <c r="AV39" s="380"/>
      <c r="AW39" s="380"/>
      <c r="AX39" s="380"/>
      <c r="AY39" s="380"/>
      <c r="AZ39" s="380"/>
      <c r="BA39" s="380"/>
      <c r="BB39" s="380"/>
    </row>
    <row r="40" spans="1:54" s="381" customFormat="1" ht="15" customHeight="1" x14ac:dyDescent="0.25">
      <c r="A40" s="380"/>
      <c r="B40" s="714">
        <f>Mijlpalenbegroting!E123</f>
        <v>0</v>
      </c>
      <c r="C40" s="715">
        <f>Mijlpalenbegroting!H123</f>
        <v>0</v>
      </c>
      <c r="D40" s="716">
        <f>Mijlpalenbegroting!B123</f>
        <v>0</v>
      </c>
      <c r="E40" s="717">
        <f>Mijlpalenbegroting!D123</f>
        <v>0</v>
      </c>
      <c r="F40" s="419"/>
      <c r="G40" s="419"/>
      <c r="H40" s="420"/>
      <c r="I40" s="420"/>
      <c r="J40" s="699"/>
      <c r="K40" s="353"/>
      <c r="L40" s="701" cm="1">
        <f t="array" ref="L40">IF($D40&gt;0,INDEX(Mijlpalenplanning!$C$169:$J$183,$D40,COUNTA($L$14:L$14))*Mijlpalenbegroting!$D123,0)+K40</f>
        <v>0</v>
      </c>
      <c r="M40" s="410" cm="1">
        <f t="array" ref="M40">IF($D40&gt;0,INDEX(Mijlpalenplanning!$C$169:$J$183,$D40,COUNTA($L$14:M$14))*Mijlpalenbegroting!$D123,0)+L40</f>
        <v>0</v>
      </c>
      <c r="N40" s="410" cm="1">
        <f t="array" ref="N40">IF($D40&gt;0,INDEX(Mijlpalenplanning!$C$169:$J$183,$D40,COUNTA($L$14:N$14))*Mijlpalenbegroting!$D123,0)+M40</f>
        <v>0</v>
      </c>
      <c r="O40" s="410" cm="1">
        <f t="array" ref="O40">IF($D40&gt;0,INDEX(Mijlpalenplanning!$C$169:$J$183,$D40,COUNTA($L$14:O$14))*Mijlpalenbegroting!$D123,0)+N40</f>
        <v>0</v>
      </c>
      <c r="P40" s="410" cm="1">
        <f t="array" ref="P40">IF($D40&gt;0,INDEX(Mijlpalenplanning!$C$169:$J$183,$D40,COUNTA($L$14:P$14))*Mijlpalenbegroting!$D123,0)+O40</f>
        <v>0</v>
      </c>
      <c r="Q40" s="410" cm="1">
        <f t="array" ref="Q40">IF($D40&gt;0,INDEX(Mijlpalenplanning!$C$169:$J$183,$D40,COUNTA($L$14:Q$14))*Mijlpalenbegroting!$D123,0)+P40</f>
        <v>0</v>
      </c>
      <c r="R40" s="410" cm="1">
        <f t="array" ref="R40">IF($D40&gt;0,INDEX(Mijlpalenplanning!$C$169:$J$183,$D40,COUNTA($L$14:R$14))*Mijlpalenbegroting!$D123,0)+Q40</f>
        <v>0</v>
      </c>
      <c r="S40" s="410" cm="1">
        <f t="array" ref="S40">IF($D40&gt;0,INDEX(Mijlpalenplanning!$C$169:$J$183,$D40,COUNTA($L$14:S$14))*Mijlpalenbegroting!$D123,0)+R40</f>
        <v>0</v>
      </c>
      <c r="T40" s="410">
        <f t="shared" ref="T40:Y40" si="41">S40</f>
        <v>0</v>
      </c>
      <c r="U40" s="410">
        <f t="shared" si="41"/>
        <v>0</v>
      </c>
      <c r="V40" s="410">
        <f t="shared" si="41"/>
        <v>0</v>
      </c>
      <c r="W40" s="410">
        <f t="shared" si="41"/>
        <v>0</v>
      </c>
      <c r="X40" s="410">
        <f t="shared" si="41"/>
        <v>0</v>
      </c>
      <c r="Y40" s="410">
        <f t="shared" si="41"/>
        <v>0</v>
      </c>
      <c r="Z40" s="410">
        <f>MAX(Y40-IF(OR($C40=Lijsten!$D$8),K40,0),0)</f>
        <v>0</v>
      </c>
      <c r="AA40" s="410">
        <f>MAX(Z40-IF(OR($C40=Lijsten!$D$8),L40,0),0)</f>
        <v>0</v>
      </c>
      <c r="AB40" s="410">
        <f>MAX(AA40-IF(OR($C40=Lijsten!$D$8),M40,0),0)</f>
        <v>0</v>
      </c>
      <c r="AC40" s="410">
        <f>MAX(AB40-IF(OR($C40=Lijsten!$D$8),N40,0),0)</f>
        <v>0</v>
      </c>
      <c r="AD40" s="410">
        <f>MAX(AC40-IF(OR($C40=Lijsten!$D$8),O40,0),0)</f>
        <v>0</v>
      </c>
      <c r="AE40" s="410">
        <f>MAX(AD40-IF(OR($C40=Lijsten!$D$8),P40,0),0)</f>
        <v>0</v>
      </c>
      <c r="AF40" s="410">
        <f>MAX(AE40-IF(OR($C40=Lijsten!$D$8),Q40,0),0)</f>
        <v>0</v>
      </c>
      <c r="AG40" s="410">
        <f>MAX(AF40-IF(OR($C40=Lijsten!$D$8),R40,0),0)</f>
        <v>0</v>
      </c>
      <c r="AH40" s="410">
        <f>MAX(AG40-IF(OR($C40=Lijsten!$D$8),S40,0),0)</f>
        <v>0</v>
      </c>
      <c r="AI40" s="410">
        <f>MAX(AH40-IF(OR($C40=Lijsten!$D$8),T40,0),0)</f>
        <v>0</v>
      </c>
      <c r="AJ40" s="410">
        <f>MAX(AI40-IF(OR($C40=Lijsten!$D$8),U40,0),0)</f>
        <v>0</v>
      </c>
      <c r="AK40" s="410">
        <f>MAX(AJ40-IF(OR($C40=Lijsten!$D$8),V40,0),0)</f>
        <v>0</v>
      </c>
      <c r="AL40" s="410">
        <f>MAX(AK40-IF(OR($C40=Lijsten!$D$8),W40,0),0)</f>
        <v>0</v>
      </c>
      <c r="AM40" s="410">
        <f>MAX(AL40-IF(OR($C40=Lijsten!$D$8),X40,0),0)</f>
        <v>0</v>
      </c>
      <c r="AN40" s="410">
        <f>MAX(AM40-IF(OR($C40=Lijsten!$D$8),Y40,0),0)</f>
        <v>0</v>
      </c>
      <c r="AO40" s="410">
        <f>MAX(AN40-IF(OR($C40=Lijsten!$D$8),Z40,0),0)</f>
        <v>0</v>
      </c>
      <c r="AP40" s="410">
        <f>MAX(AO40-IF(OR($C40=Lijsten!$D$8),AA40,0),0)</f>
        <v>0</v>
      </c>
      <c r="AQ40" s="410">
        <f>MAX(AP40-IF(OR($C40=Lijsten!$D$8),AB40,0),0)</f>
        <v>0</v>
      </c>
      <c r="AR40" s="410">
        <f>MAX(AQ40-IF(OR($C40=Lijsten!$D$8),AC40,0),0)</f>
        <v>0</v>
      </c>
      <c r="AS40" s="410">
        <f>MAX(AR40-IF(OR($C40=Lijsten!$D$8),AD40,0),0)</f>
        <v>0</v>
      </c>
      <c r="AT40" s="411">
        <f>MAX(AS40-IF(OR($C40=Lijsten!$D$8),AE40,0),0)</f>
        <v>0</v>
      </c>
      <c r="AU40" s="380"/>
      <c r="AV40" s="380"/>
      <c r="AW40" s="380"/>
      <c r="AX40" s="380"/>
      <c r="AY40" s="380"/>
      <c r="AZ40" s="380"/>
      <c r="BA40" s="380"/>
      <c r="BB40" s="380"/>
    </row>
    <row r="41" spans="1:54" s="381" customFormat="1" ht="15" customHeight="1" x14ac:dyDescent="0.25">
      <c r="A41" s="380"/>
      <c r="B41" s="714">
        <f>Mijlpalenbegroting!E124</f>
        <v>0</v>
      </c>
      <c r="C41" s="715">
        <f>Mijlpalenbegroting!H124</f>
        <v>0</v>
      </c>
      <c r="D41" s="716">
        <f>Mijlpalenbegroting!B124</f>
        <v>0</v>
      </c>
      <c r="E41" s="717">
        <f>Mijlpalenbegroting!D124</f>
        <v>0</v>
      </c>
      <c r="F41" s="419"/>
      <c r="G41" s="419"/>
      <c r="H41" s="420"/>
      <c r="I41" s="420"/>
      <c r="J41" s="699"/>
      <c r="K41" s="353"/>
      <c r="L41" s="701" cm="1">
        <f t="array" ref="L41">IF($D41&gt;0,INDEX(Mijlpalenplanning!$C$169:$J$183,$D41,COUNTA($L$14:L$14))*Mijlpalenbegroting!$D124,0)+K41</f>
        <v>0</v>
      </c>
      <c r="M41" s="410" cm="1">
        <f t="array" ref="M41">IF($D41&gt;0,INDEX(Mijlpalenplanning!$C$169:$J$183,$D41,COUNTA($L$14:M$14))*Mijlpalenbegroting!$D124,0)+L41</f>
        <v>0</v>
      </c>
      <c r="N41" s="410" cm="1">
        <f t="array" ref="N41">IF($D41&gt;0,INDEX(Mijlpalenplanning!$C$169:$J$183,$D41,COUNTA($L$14:N$14))*Mijlpalenbegroting!$D124,0)+M41</f>
        <v>0</v>
      </c>
      <c r="O41" s="410" cm="1">
        <f t="array" ref="O41">IF($D41&gt;0,INDEX(Mijlpalenplanning!$C$169:$J$183,$D41,COUNTA($L$14:O$14))*Mijlpalenbegroting!$D124,0)+N41</f>
        <v>0</v>
      </c>
      <c r="P41" s="410" cm="1">
        <f t="array" ref="P41">IF($D41&gt;0,INDEX(Mijlpalenplanning!$C$169:$J$183,$D41,COUNTA($L$14:P$14))*Mijlpalenbegroting!$D124,0)+O41</f>
        <v>0</v>
      </c>
      <c r="Q41" s="410" cm="1">
        <f t="array" ref="Q41">IF($D41&gt;0,INDEX(Mijlpalenplanning!$C$169:$J$183,$D41,COUNTA($L$14:Q$14))*Mijlpalenbegroting!$D124,0)+P41</f>
        <v>0</v>
      </c>
      <c r="R41" s="410" cm="1">
        <f t="array" ref="R41">IF($D41&gt;0,INDEX(Mijlpalenplanning!$C$169:$J$183,$D41,COUNTA($L$14:R$14))*Mijlpalenbegroting!$D124,0)+Q41</f>
        <v>0</v>
      </c>
      <c r="S41" s="410" cm="1">
        <f t="array" ref="S41">IF($D41&gt;0,INDEX(Mijlpalenplanning!$C$169:$J$183,$D41,COUNTA($L$14:S$14))*Mijlpalenbegroting!$D124,0)+R41</f>
        <v>0</v>
      </c>
      <c r="T41" s="410">
        <f t="shared" ref="T41:Y41" si="42">S41</f>
        <v>0</v>
      </c>
      <c r="U41" s="410">
        <f t="shared" si="42"/>
        <v>0</v>
      </c>
      <c r="V41" s="410">
        <f t="shared" si="42"/>
        <v>0</v>
      </c>
      <c r="W41" s="410">
        <f t="shared" si="42"/>
        <v>0</v>
      </c>
      <c r="X41" s="410">
        <f t="shared" si="42"/>
        <v>0</v>
      </c>
      <c r="Y41" s="410">
        <f t="shared" si="42"/>
        <v>0</v>
      </c>
      <c r="Z41" s="410">
        <f>MAX(Y41-IF(OR($C41=Lijsten!$D$8),K41,0),0)</f>
        <v>0</v>
      </c>
      <c r="AA41" s="410">
        <f>MAX(Z41-IF(OR($C41=Lijsten!$D$8),L41,0),0)</f>
        <v>0</v>
      </c>
      <c r="AB41" s="410">
        <f>MAX(AA41-IF(OR($C41=Lijsten!$D$8),M41,0),0)</f>
        <v>0</v>
      </c>
      <c r="AC41" s="410">
        <f>MAX(AB41-IF(OR($C41=Lijsten!$D$8),N41,0),0)</f>
        <v>0</v>
      </c>
      <c r="AD41" s="410">
        <f>MAX(AC41-IF(OR($C41=Lijsten!$D$8),O41,0),0)</f>
        <v>0</v>
      </c>
      <c r="AE41" s="410">
        <f>MAX(AD41-IF(OR($C41=Lijsten!$D$8),P41,0),0)</f>
        <v>0</v>
      </c>
      <c r="AF41" s="410">
        <f>MAX(AE41-IF(OR($C41=Lijsten!$D$8),Q41,0),0)</f>
        <v>0</v>
      </c>
      <c r="AG41" s="410">
        <f>MAX(AF41-IF(OR($C41=Lijsten!$D$8),R41,0),0)</f>
        <v>0</v>
      </c>
      <c r="AH41" s="410">
        <f>MAX(AG41-IF(OR($C41=Lijsten!$D$8),S41,0),0)</f>
        <v>0</v>
      </c>
      <c r="AI41" s="410">
        <f>MAX(AH41-IF(OR($C41=Lijsten!$D$8),T41,0),0)</f>
        <v>0</v>
      </c>
      <c r="AJ41" s="410">
        <f>MAX(AI41-IF(OR($C41=Lijsten!$D$8),U41,0),0)</f>
        <v>0</v>
      </c>
      <c r="AK41" s="410">
        <f>MAX(AJ41-IF(OR($C41=Lijsten!$D$8),V41,0),0)</f>
        <v>0</v>
      </c>
      <c r="AL41" s="410">
        <f>MAX(AK41-IF(OR($C41=Lijsten!$D$8),W41,0),0)</f>
        <v>0</v>
      </c>
      <c r="AM41" s="410">
        <f>MAX(AL41-IF(OR($C41=Lijsten!$D$8),X41,0),0)</f>
        <v>0</v>
      </c>
      <c r="AN41" s="410">
        <f>MAX(AM41-IF(OR($C41=Lijsten!$D$8),Y41,0),0)</f>
        <v>0</v>
      </c>
      <c r="AO41" s="410">
        <f>MAX(AN41-IF(OR($C41=Lijsten!$D$8),Z41,0),0)</f>
        <v>0</v>
      </c>
      <c r="AP41" s="410">
        <f>MAX(AO41-IF(OR($C41=Lijsten!$D$8),AA41,0),0)</f>
        <v>0</v>
      </c>
      <c r="AQ41" s="410">
        <f>MAX(AP41-IF(OR($C41=Lijsten!$D$8),AB41,0),0)</f>
        <v>0</v>
      </c>
      <c r="AR41" s="410">
        <f>MAX(AQ41-IF(OR($C41=Lijsten!$D$8),AC41,0),0)</f>
        <v>0</v>
      </c>
      <c r="AS41" s="410">
        <f>MAX(AR41-IF(OR($C41=Lijsten!$D$8),AD41,0),0)</f>
        <v>0</v>
      </c>
      <c r="AT41" s="411">
        <f>MAX(AS41-IF(OR($C41=Lijsten!$D$8),AE41,0),0)</f>
        <v>0</v>
      </c>
      <c r="AU41" s="380"/>
      <c r="AV41" s="380"/>
      <c r="AW41" s="380"/>
      <c r="AX41" s="380"/>
      <c r="AY41" s="380"/>
      <c r="AZ41" s="380"/>
      <c r="BA41" s="380"/>
      <c r="BB41" s="380"/>
    </row>
    <row r="42" spans="1:54" s="381" customFormat="1" ht="15" customHeight="1" x14ac:dyDescent="0.25">
      <c r="A42" s="380"/>
      <c r="B42" s="714">
        <f>Mijlpalenbegroting!E125</f>
        <v>0</v>
      </c>
      <c r="C42" s="715">
        <f>Mijlpalenbegroting!H125</f>
        <v>0</v>
      </c>
      <c r="D42" s="716">
        <f>Mijlpalenbegroting!B125</f>
        <v>0</v>
      </c>
      <c r="E42" s="717">
        <f>Mijlpalenbegroting!D125</f>
        <v>0</v>
      </c>
      <c r="F42" s="419"/>
      <c r="G42" s="419"/>
      <c r="H42" s="420"/>
      <c r="I42" s="420"/>
      <c r="J42" s="699"/>
      <c r="K42" s="353"/>
      <c r="L42" s="701" cm="1">
        <f t="array" ref="L42">IF($D42&gt;0,INDEX(Mijlpalenplanning!$C$169:$J$183,$D42,COUNTA($L$14:L$14))*Mijlpalenbegroting!$D125,0)+K42</f>
        <v>0</v>
      </c>
      <c r="M42" s="410" cm="1">
        <f t="array" ref="M42">IF($D42&gt;0,INDEX(Mijlpalenplanning!$C$169:$J$183,$D42,COUNTA($L$14:M$14))*Mijlpalenbegroting!$D125,0)+L42</f>
        <v>0</v>
      </c>
      <c r="N42" s="410" cm="1">
        <f t="array" ref="N42">IF($D42&gt;0,INDEX(Mijlpalenplanning!$C$169:$J$183,$D42,COUNTA($L$14:N$14))*Mijlpalenbegroting!$D125,0)+M42</f>
        <v>0</v>
      </c>
      <c r="O42" s="410" cm="1">
        <f t="array" ref="O42">IF($D42&gt;0,INDEX(Mijlpalenplanning!$C$169:$J$183,$D42,COUNTA($L$14:O$14))*Mijlpalenbegroting!$D125,0)+N42</f>
        <v>0</v>
      </c>
      <c r="P42" s="410" cm="1">
        <f t="array" ref="P42">IF($D42&gt;0,INDEX(Mijlpalenplanning!$C$169:$J$183,$D42,COUNTA($L$14:P$14))*Mijlpalenbegroting!$D125,0)+O42</f>
        <v>0</v>
      </c>
      <c r="Q42" s="410" cm="1">
        <f t="array" ref="Q42">IF($D42&gt;0,INDEX(Mijlpalenplanning!$C$169:$J$183,$D42,COUNTA($L$14:Q$14))*Mijlpalenbegroting!$D125,0)+P42</f>
        <v>0</v>
      </c>
      <c r="R42" s="410" cm="1">
        <f t="array" ref="R42">IF($D42&gt;0,INDEX(Mijlpalenplanning!$C$169:$J$183,$D42,COUNTA($L$14:R$14))*Mijlpalenbegroting!$D125,0)+Q42</f>
        <v>0</v>
      </c>
      <c r="S42" s="410" cm="1">
        <f t="array" ref="S42">IF($D42&gt;0,INDEX(Mijlpalenplanning!$C$169:$J$183,$D42,COUNTA($L$14:S$14))*Mijlpalenbegroting!$D125,0)+R42</f>
        <v>0</v>
      </c>
      <c r="T42" s="410">
        <f t="shared" ref="T42:Y42" si="43">S42</f>
        <v>0</v>
      </c>
      <c r="U42" s="410">
        <f t="shared" si="43"/>
        <v>0</v>
      </c>
      <c r="V42" s="410">
        <f t="shared" si="43"/>
        <v>0</v>
      </c>
      <c r="W42" s="410">
        <f t="shared" si="43"/>
        <v>0</v>
      </c>
      <c r="X42" s="410">
        <f t="shared" si="43"/>
        <v>0</v>
      </c>
      <c r="Y42" s="410">
        <f t="shared" si="43"/>
        <v>0</v>
      </c>
      <c r="Z42" s="410">
        <f>MAX(Y42-IF(OR($C42=Lijsten!$D$8),K42,0),0)</f>
        <v>0</v>
      </c>
      <c r="AA42" s="410">
        <f>MAX(Z42-IF(OR($C42=Lijsten!$D$8),L42,0),0)</f>
        <v>0</v>
      </c>
      <c r="AB42" s="410">
        <f>MAX(AA42-IF(OR($C42=Lijsten!$D$8),M42,0),0)</f>
        <v>0</v>
      </c>
      <c r="AC42" s="410">
        <f>MAX(AB42-IF(OR($C42=Lijsten!$D$8),N42,0),0)</f>
        <v>0</v>
      </c>
      <c r="AD42" s="410">
        <f>MAX(AC42-IF(OR($C42=Lijsten!$D$8),O42,0),0)</f>
        <v>0</v>
      </c>
      <c r="AE42" s="410">
        <f>MAX(AD42-IF(OR($C42=Lijsten!$D$8),P42,0),0)</f>
        <v>0</v>
      </c>
      <c r="AF42" s="410">
        <f>MAX(AE42-IF(OR($C42=Lijsten!$D$8),Q42,0),0)</f>
        <v>0</v>
      </c>
      <c r="AG42" s="410">
        <f>MAX(AF42-IF(OR($C42=Lijsten!$D$8),R42,0),0)</f>
        <v>0</v>
      </c>
      <c r="AH42" s="410">
        <f>MAX(AG42-IF(OR($C42=Lijsten!$D$8),S42,0),0)</f>
        <v>0</v>
      </c>
      <c r="AI42" s="410">
        <f>MAX(AH42-IF(OR($C42=Lijsten!$D$8),T42,0),0)</f>
        <v>0</v>
      </c>
      <c r="AJ42" s="410">
        <f>MAX(AI42-IF(OR($C42=Lijsten!$D$8),U42,0),0)</f>
        <v>0</v>
      </c>
      <c r="AK42" s="410">
        <f>MAX(AJ42-IF(OR($C42=Lijsten!$D$8),V42,0),0)</f>
        <v>0</v>
      </c>
      <c r="AL42" s="410">
        <f>MAX(AK42-IF(OR($C42=Lijsten!$D$8),W42,0),0)</f>
        <v>0</v>
      </c>
      <c r="AM42" s="410">
        <f>MAX(AL42-IF(OR($C42=Lijsten!$D$8),X42,0),0)</f>
        <v>0</v>
      </c>
      <c r="AN42" s="410">
        <f>MAX(AM42-IF(OR($C42=Lijsten!$D$8),Y42,0),0)</f>
        <v>0</v>
      </c>
      <c r="AO42" s="410">
        <f>MAX(AN42-IF(OR($C42=Lijsten!$D$8),Z42,0),0)</f>
        <v>0</v>
      </c>
      <c r="AP42" s="410">
        <f>MAX(AO42-IF(OR($C42=Lijsten!$D$8),AA42,0),0)</f>
        <v>0</v>
      </c>
      <c r="AQ42" s="410">
        <f>MAX(AP42-IF(OR($C42=Lijsten!$D$8),AB42,0),0)</f>
        <v>0</v>
      </c>
      <c r="AR42" s="410">
        <f>MAX(AQ42-IF(OR($C42=Lijsten!$D$8),AC42,0),0)</f>
        <v>0</v>
      </c>
      <c r="AS42" s="410">
        <f>MAX(AR42-IF(OR($C42=Lijsten!$D$8),AD42,0),0)</f>
        <v>0</v>
      </c>
      <c r="AT42" s="411">
        <f>MAX(AS42-IF(OR($C42=Lijsten!$D$8),AE42,0),0)</f>
        <v>0</v>
      </c>
      <c r="AU42" s="380"/>
      <c r="AV42" s="380"/>
      <c r="AW42" s="380"/>
      <c r="AX42" s="380"/>
      <c r="AY42" s="380"/>
      <c r="AZ42" s="380"/>
      <c r="BA42" s="380"/>
      <c r="BB42" s="380"/>
    </row>
    <row r="43" spans="1:54" s="381" customFormat="1" ht="15" customHeight="1" x14ac:dyDescent="0.25">
      <c r="A43" s="380"/>
      <c r="B43" s="714">
        <f>Mijlpalenbegroting!E126</f>
        <v>0</v>
      </c>
      <c r="C43" s="715">
        <f>Mijlpalenbegroting!H126</f>
        <v>0</v>
      </c>
      <c r="D43" s="716">
        <f>Mijlpalenbegroting!B126</f>
        <v>0</v>
      </c>
      <c r="E43" s="717">
        <f>Mijlpalenbegroting!D126</f>
        <v>0</v>
      </c>
      <c r="F43" s="419"/>
      <c r="G43" s="419"/>
      <c r="H43" s="420"/>
      <c r="I43" s="420"/>
      <c r="J43" s="699"/>
      <c r="K43" s="353"/>
      <c r="L43" s="701" cm="1">
        <f t="array" ref="L43">IF($D43&gt;0,INDEX(Mijlpalenplanning!$C$169:$J$183,$D43,COUNTA($L$14:L$14))*Mijlpalenbegroting!$D126,0)+K43</f>
        <v>0</v>
      </c>
      <c r="M43" s="410" cm="1">
        <f t="array" ref="M43">IF($D43&gt;0,INDEX(Mijlpalenplanning!$C$169:$J$183,$D43,COUNTA($L$14:M$14))*Mijlpalenbegroting!$D126,0)+L43</f>
        <v>0</v>
      </c>
      <c r="N43" s="410" cm="1">
        <f t="array" ref="N43">IF($D43&gt;0,INDEX(Mijlpalenplanning!$C$169:$J$183,$D43,COUNTA($L$14:N$14))*Mijlpalenbegroting!$D126,0)+M43</f>
        <v>0</v>
      </c>
      <c r="O43" s="410" cm="1">
        <f t="array" ref="O43">IF($D43&gt;0,INDEX(Mijlpalenplanning!$C$169:$J$183,$D43,COUNTA($L$14:O$14))*Mijlpalenbegroting!$D126,0)+N43</f>
        <v>0</v>
      </c>
      <c r="P43" s="410" cm="1">
        <f t="array" ref="P43">IF($D43&gt;0,INDEX(Mijlpalenplanning!$C$169:$J$183,$D43,COUNTA($L$14:P$14))*Mijlpalenbegroting!$D126,0)+O43</f>
        <v>0</v>
      </c>
      <c r="Q43" s="410" cm="1">
        <f t="array" ref="Q43">IF($D43&gt;0,INDEX(Mijlpalenplanning!$C$169:$J$183,$D43,COUNTA($L$14:Q$14))*Mijlpalenbegroting!$D126,0)+P43</f>
        <v>0</v>
      </c>
      <c r="R43" s="410" cm="1">
        <f t="array" ref="R43">IF($D43&gt;0,INDEX(Mijlpalenplanning!$C$169:$J$183,$D43,COUNTA($L$14:R$14))*Mijlpalenbegroting!$D126,0)+Q43</f>
        <v>0</v>
      </c>
      <c r="S43" s="410" cm="1">
        <f t="array" ref="S43">IF($D43&gt;0,INDEX(Mijlpalenplanning!$C$169:$J$183,$D43,COUNTA($L$14:S$14))*Mijlpalenbegroting!$D126,0)+R43</f>
        <v>0</v>
      </c>
      <c r="T43" s="410">
        <f t="shared" ref="T43:Y43" si="44">S43</f>
        <v>0</v>
      </c>
      <c r="U43" s="410">
        <f t="shared" si="44"/>
        <v>0</v>
      </c>
      <c r="V43" s="410">
        <f t="shared" si="44"/>
        <v>0</v>
      </c>
      <c r="W43" s="410">
        <f t="shared" si="44"/>
        <v>0</v>
      </c>
      <c r="X43" s="410">
        <f t="shared" si="44"/>
        <v>0</v>
      </c>
      <c r="Y43" s="410">
        <f t="shared" si="44"/>
        <v>0</v>
      </c>
      <c r="Z43" s="410">
        <f>MAX(Y43-IF(OR($C43=Lijsten!$D$8),K43,0),0)</f>
        <v>0</v>
      </c>
      <c r="AA43" s="410">
        <f>MAX(Z43-IF(OR($C43=Lijsten!$D$8),L43,0),0)</f>
        <v>0</v>
      </c>
      <c r="AB43" s="410">
        <f>MAX(AA43-IF(OR($C43=Lijsten!$D$8),M43,0),0)</f>
        <v>0</v>
      </c>
      <c r="AC43" s="410">
        <f>MAX(AB43-IF(OR($C43=Lijsten!$D$8),N43,0),0)</f>
        <v>0</v>
      </c>
      <c r="AD43" s="410">
        <f>MAX(AC43-IF(OR($C43=Lijsten!$D$8),O43,0),0)</f>
        <v>0</v>
      </c>
      <c r="AE43" s="410">
        <f>MAX(AD43-IF(OR($C43=Lijsten!$D$8),P43,0),0)</f>
        <v>0</v>
      </c>
      <c r="AF43" s="410">
        <f>MAX(AE43-IF(OR($C43=Lijsten!$D$8),Q43,0),0)</f>
        <v>0</v>
      </c>
      <c r="AG43" s="410">
        <f>MAX(AF43-IF(OR($C43=Lijsten!$D$8),R43,0),0)</f>
        <v>0</v>
      </c>
      <c r="AH43" s="410">
        <f>MAX(AG43-IF(OR($C43=Lijsten!$D$8),S43,0),0)</f>
        <v>0</v>
      </c>
      <c r="AI43" s="410">
        <f>MAX(AH43-IF(OR($C43=Lijsten!$D$8),T43,0),0)</f>
        <v>0</v>
      </c>
      <c r="AJ43" s="410">
        <f>MAX(AI43-IF(OR($C43=Lijsten!$D$8),U43,0),0)</f>
        <v>0</v>
      </c>
      <c r="AK43" s="410">
        <f>MAX(AJ43-IF(OR($C43=Lijsten!$D$8),V43,0),0)</f>
        <v>0</v>
      </c>
      <c r="AL43" s="410">
        <f>MAX(AK43-IF(OR($C43=Lijsten!$D$8),W43,0),0)</f>
        <v>0</v>
      </c>
      <c r="AM43" s="410">
        <f>MAX(AL43-IF(OR($C43=Lijsten!$D$8),X43,0),0)</f>
        <v>0</v>
      </c>
      <c r="AN43" s="410">
        <f>MAX(AM43-IF(OR($C43=Lijsten!$D$8),Y43,0),0)</f>
        <v>0</v>
      </c>
      <c r="AO43" s="410">
        <f>MAX(AN43-IF(OR($C43=Lijsten!$D$8),Z43,0),0)</f>
        <v>0</v>
      </c>
      <c r="AP43" s="410">
        <f>MAX(AO43-IF(OR($C43=Lijsten!$D$8),AA43,0),0)</f>
        <v>0</v>
      </c>
      <c r="AQ43" s="410">
        <f>MAX(AP43-IF(OR($C43=Lijsten!$D$8),AB43,0),0)</f>
        <v>0</v>
      </c>
      <c r="AR43" s="410">
        <f>MAX(AQ43-IF(OR($C43=Lijsten!$D$8),AC43,0),0)</f>
        <v>0</v>
      </c>
      <c r="AS43" s="410">
        <f>MAX(AR43-IF(OR($C43=Lijsten!$D$8),AD43,0),0)</f>
        <v>0</v>
      </c>
      <c r="AT43" s="411">
        <f>MAX(AS43-IF(OR($C43=Lijsten!$D$8),AE43,0),0)</f>
        <v>0</v>
      </c>
      <c r="AU43" s="380"/>
      <c r="AV43" s="380"/>
      <c r="AW43" s="380"/>
      <c r="AX43" s="380"/>
      <c r="AY43" s="380"/>
      <c r="AZ43" s="380"/>
      <c r="BA43" s="380"/>
      <c r="BB43" s="380"/>
    </row>
    <row r="44" spans="1:54" s="381" customFormat="1" ht="15" customHeight="1" x14ac:dyDescent="0.25">
      <c r="A44" s="380"/>
      <c r="B44" s="714">
        <f>Mijlpalenbegroting!E127</f>
        <v>0</v>
      </c>
      <c r="C44" s="715">
        <f>Mijlpalenbegroting!H127</f>
        <v>0</v>
      </c>
      <c r="D44" s="716">
        <f>Mijlpalenbegroting!B127</f>
        <v>0</v>
      </c>
      <c r="E44" s="717">
        <f>Mijlpalenbegroting!D127</f>
        <v>0</v>
      </c>
      <c r="F44" s="419"/>
      <c r="G44" s="419"/>
      <c r="H44" s="420"/>
      <c r="I44" s="420"/>
      <c r="J44" s="699"/>
      <c r="K44" s="353"/>
      <c r="L44" s="701" cm="1">
        <f t="array" ref="L44">IF($D44&gt;0,INDEX(Mijlpalenplanning!$C$169:$J$183,$D44,COUNTA($L$14:L$14))*Mijlpalenbegroting!$D127,0)+K44</f>
        <v>0</v>
      </c>
      <c r="M44" s="410" cm="1">
        <f t="array" ref="M44">IF($D44&gt;0,INDEX(Mijlpalenplanning!$C$169:$J$183,$D44,COUNTA($L$14:M$14))*Mijlpalenbegroting!$D127,0)+L44</f>
        <v>0</v>
      </c>
      <c r="N44" s="410" cm="1">
        <f t="array" ref="N44">IF($D44&gt;0,INDEX(Mijlpalenplanning!$C$169:$J$183,$D44,COUNTA($L$14:N$14))*Mijlpalenbegroting!$D127,0)+M44</f>
        <v>0</v>
      </c>
      <c r="O44" s="410" cm="1">
        <f t="array" ref="O44">IF($D44&gt;0,INDEX(Mijlpalenplanning!$C$169:$J$183,$D44,COUNTA($L$14:O$14))*Mijlpalenbegroting!$D127,0)+N44</f>
        <v>0</v>
      </c>
      <c r="P44" s="410" cm="1">
        <f t="array" ref="P44">IF($D44&gt;0,INDEX(Mijlpalenplanning!$C$169:$J$183,$D44,COUNTA($L$14:P$14))*Mijlpalenbegroting!$D127,0)+O44</f>
        <v>0</v>
      </c>
      <c r="Q44" s="410" cm="1">
        <f t="array" ref="Q44">IF($D44&gt;0,INDEX(Mijlpalenplanning!$C$169:$J$183,$D44,COUNTA($L$14:Q$14))*Mijlpalenbegroting!$D127,0)+P44</f>
        <v>0</v>
      </c>
      <c r="R44" s="410" cm="1">
        <f t="array" ref="R44">IF($D44&gt;0,INDEX(Mijlpalenplanning!$C$169:$J$183,$D44,COUNTA($L$14:R$14))*Mijlpalenbegroting!$D127,0)+Q44</f>
        <v>0</v>
      </c>
      <c r="S44" s="410" cm="1">
        <f t="array" ref="S44">IF($D44&gt;0,INDEX(Mijlpalenplanning!$C$169:$J$183,$D44,COUNTA($L$14:S$14))*Mijlpalenbegroting!$D127,0)+R44</f>
        <v>0</v>
      </c>
      <c r="T44" s="410">
        <f t="shared" ref="T44:Y44" si="45">S44</f>
        <v>0</v>
      </c>
      <c r="U44" s="410">
        <f t="shared" si="45"/>
        <v>0</v>
      </c>
      <c r="V44" s="410">
        <f t="shared" si="45"/>
        <v>0</v>
      </c>
      <c r="W44" s="410">
        <f t="shared" si="45"/>
        <v>0</v>
      </c>
      <c r="X44" s="410">
        <f t="shared" si="45"/>
        <v>0</v>
      </c>
      <c r="Y44" s="410">
        <f t="shared" si="45"/>
        <v>0</v>
      </c>
      <c r="Z44" s="410">
        <f>MAX(Y44-IF(OR($C44=Lijsten!$D$8),K44,0),0)</f>
        <v>0</v>
      </c>
      <c r="AA44" s="410">
        <f>MAX(Z44-IF(OR($C44=Lijsten!$D$8),L44,0),0)</f>
        <v>0</v>
      </c>
      <c r="AB44" s="410">
        <f>MAX(AA44-IF(OR($C44=Lijsten!$D$8),M44,0),0)</f>
        <v>0</v>
      </c>
      <c r="AC44" s="410">
        <f>MAX(AB44-IF(OR($C44=Lijsten!$D$8),N44,0),0)</f>
        <v>0</v>
      </c>
      <c r="AD44" s="410">
        <f>MAX(AC44-IF(OR($C44=Lijsten!$D$8),O44,0),0)</f>
        <v>0</v>
      </c>
      <c r="AE44" s="410">
        <f>MAX(AD44-IF(OR($C44=Lijsten!$D$8),P44,0),0)</f>
        <v>0</v>
      </c>
      <c r="AF44" s="410">
        <f>MAX(AE44-IF(OR($C44=Lijsten!$D$8),Q44,0),0)</f>
        <v>0</v>
      </c>
      <c r="AG44" s="410">
        <f>MAX(AF44-IF(OR($C44=Lijsten!$D$8),R44,0),0)</f>
        <v>0</v>
      </c>
      <c r="AH44" s="410">
        <f>MAX(AG44-IF(OR($C44=Lijsten!$D$8),S44,0),0)</f>
        <v>0</v>
      </c>
      <c r="AI44" s="410">
        <f>MAX(AH44-IF(OR($C44=Lijsten!$D$8),T44,0),0)</f>
        <v>0</v>
      </c>
      <c r="AJ44" s="410">
        <f>MAX(AI44-IF(OR($C44=Lijsten!$D$8),U44,0),0)</f>
        <v>0</v>
      </c>
      <c r="AK44" s="410">
        <f>MAX(AJ44-IF(OR($C44=Lijsten!$D$8),V44,0),0)</f>
        <v>0</v>
      </c>
      <c r="AL44" s="410">
        <f>MAX(AK44-IF(OR($C44=Lijsten!$D$8),W44,0),0)</f>
        <v>0</v>
      </c>
      <c r="AM44" s="410">
        <f>MAX(AL44-IF(OR($C44=Lijsten!$D$8),X44,0),0)</f>
        <v>0</v>
      </c>
      <c r="AN44" s="410">
        <f>MAX(AM44-IF(OR($C44=Lijsten!$D$8),Y44,0),0)</f>
        <v>0</v>
      </c>
      <c r="AO44" s="410">
        <f>MAX(AN44-IF(OR($C44=Lijsten!$D$8),Z44,0),0)</f>
        <v>0</v>
      </c>
      <c r="AP44" s="410">
        <f>MAX(AO44-IF(OR($C44=Lijsten!$D$8),AA44,0),0)</f>
        <v>0</v>
      </c>
      <c r="AQ44" s="410">
        <f>MAX(AP44-IF(OR($C44=Lijsten!$D$8),AB44,0),0)</f>
        <v>0</v>
      </c>
      <c r="AR44" s="410">
        <f>MAX(AQ44-IF(OR($C44=Lijsten!$D$8),AC44,0),0)</f>
        <v>0</v>
      </c>
      <c r="AS44" s="410">
        <f>MAX(AR44-IF(OR($C44=Lijsten!$D$8),AD44,0),0)</f>
        <v>0</v>
      </c>
      <c r="AT44" s="411">
        <f>MAX(AS44-IF(OR($C44=Lijsten!$D$8),AE44,0),0)</f>
        <v>0</v>
      </c>
      <c r="AU44" s="380"/>
      <c r="AV44" s="380"/>
      <c r="AW44" s="380"/>
      <c r="AX44" s="380"/>
      <c r="AY44" s="380"/>
      <c r="AZ44" s="380"/>
      <c r="BA44" s="380"/>
      <c r="BB44" s="380"/>
    </row>
    <row r="45" spans="1:54" s="381" customFormat="1" ht="15" customHeight="1" x14ac:dyDescent="0.25">
      <c r="A45" s="380"/>
      <c r="B45" s="714">
        <f>Mijlpalenbegroting!E128</f>
        <v>0</v>
      </c>
      <c r="C45" s="715">
        <f>Mijlpalenbegroting!H128</f>
        <v>0</v>
      </c>
      <c r="D45" s="716">
        <f>Mijlpalenbegroting!B128</f>
        <v>0</v>
      </c>
      <c r="E45" s="717">
        <f>Mijlpalenbegroting!D128</f>
        <v>0</v>
      </c>
      <c r="F45" s="419"/>
      <c r="G45" s="419"/>
      <c r="H45" s="420"/>
      <c r="I45" s="420"/>
      <c r="J45" s="699"/>
      <c r="K45" s="353"/>
      <c r="L45" s="701" cm="1">
        <f t="array" ref="L45">IF($D45&gt;0,INDEX(Mijlpalenplanning!$C$169:$J$183,$D45,COUNTA($L$14:L$14))*Mijlpalenbegroting!$D128,0)+K45</f>
        <v>0</v>
      </c>
      <c r="M45" s="410" cm="1">
        <f t="array" ref="M45">IF($D45&gt;0,INDEX(Mijlpalenplanning!$C$169:$J$183,$D45,COUNTA($L$14:M$14))*Mijlpalenbegroting!$D128,0)+L45</f>
        <v>0</v>
      </c>
      <c r="N45" s="410" cm="1">
        <f t="array" ref="N45">IF($D45&gt;0,INDEX(Mijlpalenplanning!$C$169:$J$183,$D45,COUNTA($L$14:N$14))*Mijlpalenbegroting!$D128,0)+M45</f>
        <v>0</v>
      </c>
      <c r="O45" s="410" cm="1">
        <f t="array" ref="O45">IF($D45&gt;0,INDEX(Mijlpalenplanning!$C$169:$J$183,$D45,COUNTA($L$14:O$14))*Mijlpalenbegroting!$D128,0)+N45</f>
        <v>0</v>
      </c>
      <c r="P45" s="410" cm="1">
        <f t="array" ref="P45">IF($D45&gt;0,INDEX(Mijlpalenplanning!$C$169:$J$183,$D45,COUNTA($L$14:P$14))*Mijlpalenbegroting!$D128,0)+O45</f>
        <v>0</v>
      </c>
      <c r="Q45" s="410" cm="1">
        <f t="array" ref="Q45">IF($D45&gt;0,INDEX(Mijlpalenplanning!$C$169:$J$183,$D45,COUNTA($L$14:Q$14))*Mijlpalenbegroting!$D128,0)+P45</f>
        <v>0</v>
      </c>
      <c r="R45" s="410" cm="1">
        <f t="array" ref="R45">IF($D45&gt;0,INDEX(Mijlpalenplanning!$C$169:$J$183,$D45,COUNTA($L$14:R$14))*Mijlpalenbegroting!$D128,0)+Q45</f>
        <v>0</v>
      </c>
      <c r="S45" s="410" cm="1">
        <f t="array" ref="S45">IF($D45&gt;0,INDEX(Mijlpalenplanning!$C$169:$J$183,$D45,COUNTA($L$14:S$14))*Mijlpalenbegroting!$D128,0)+R45</f>
        <v>0</v>
      </c>
      <c r="T45" s="410">
        <f t="shared" ref="T45:Y45" si="46">S45</f>
        <v>0</v>
      </c>
      <c r="U45" s="410">
        <f t="shared" si="46"/>
        <v>0</v>
      </c>
      <c r="V45" s="410">
        <f t="shared" si="46"/>
        <v>0</v>
      </c>
      <c r="W45" s="410">
        <f t="shared" si="46"/>
        <v>0</v>
      </c>
      <c r="X45" s="410">
        <f t="shared" si="46"/>
        <v>0</v>
      </c>
      <c r="Y45" s="410">
        <f t="shared" si="46"/>
        <v>0</v>
      </c>
      <c r="Z45" s="410">
        <f>MAX(Y45-IF(OR($C45=Lijsten!$D$8),K45,0),0)</f>
        <v>0</v>
      </c>
      <c r="AA45" s="410">
        <f>MAX(Z45-IF(OR($C45=Lijsten!$D$8),L45,0),0)</f>
        <v>0</v>
      </c>
      <c r="AB45" s="410">
        <f>MAX(AA45-IF(OR($C45=Lijsten!$D$8),M45,0),0)</f>
        <v>0</v>
      </c>
      <c r="AC45" s="410">
        <f>MAX(AB45-IF(OR($C45=Lijsten!$D$8),N45,0),0)</f>
        <v>0</v>
      </c>
      <c r="AD45" s="410">
        <f>MAX(AC45-IF(OR($C45=Lijsten!$D$8),O45,0),0)</f>
        <v>0</v>
      </c>
      <c r="AE45" s="410">
        <f>MAX(AD45-IF(OR($C45=Lijsten!$D$8),P45,0),0)</f>
        <v>0</v>
      </c>
      <c r="AF45" s="410">
        <f>MAX(AE45-IF(OR($C45=Lijsten!$D$8),Q45,0),0)</f>
        <v>0</v>
      </c>
      <c r="AG45" s="410">
        <f>MAX(AF45-IF(OR($C45=Lijsten!$D$8),R45,0),0)</f>
        <v>0</v>
      </c>
      <c r="AH45" s="410">
        <f>MAX(AG45-IF(OR($C45=Lijsten!$D$8),S45,0),0)</f>
        <v>0</v>
      </c>
      <c r="AI45" s="410">
        <f>MAX(AH45-IF(OR($C45=Lijsten!$D$8),T45,0),0)</f>
        <v>0</v>
      </c>
      <c r="AJ45" s="410">
        <f>MAX(AI45-IF(OR($C45=Lijsten!$D$8),U45,0),0)</f>
        <v>0</v>
      </c>
      <c r="AK45" s="410">
        <f>MAX(AJ45-IF(OR($C45=Lijsten!$D$8),V45,0),0)</f>
        <v>0</v>
      </c>
      <c r="AL45" s="410">
        <f>MAX(AK45-IF(OR($C45=Lijsten!$D$8),W45,0),0)</f>
        <v>0</v>
      </c>
      <c r="AM45" s="410">
        <f>MAX(AL45-IF(OR($C45=Lijsten!$D$8),X45,0),0)</f>
        <v>0</v>
      </c>
      <c r="AN45" s="410">
        <f>MAX(AM45-IF(OR($C45=Lijsten!$D$8),Y45,0),0)</f>
        <v>0</v>
      </c>
      <c r="AO45" s="410">
        <f>MAX(AN45-IF(OR($C45=Lijsten!$D$8),Z45,0),0)</f>
        <v>0</v>
      </c>
      <c r="AP45" s="410">
        <f>MAX(AO45-IF(OR($C45=Lijsten!$D$8),AA45,0),0)</f>
        <v>0</v>
      </c>
      <c r="AQ45" s="410">
        <f>MAX(AP45-IF(OR($C45=Lijsten!$D$8),AB45,0),0)</f>
        <v>0</v>
      </c>
      <c r="AR45" s="410">
        <f>MAX(AQ45-IF(OR($C45=Lijsten!$D$8),AC45,0),0)</f>
        <v>0</v>
      </c>
      <c r="AS45" s="410">
        <f>MAX(AR45-IF(OR($C45=Lijsten!$D$8),AD45,0),0)</f>
        <v>0</v>
      </c>
      <c r="AT45" s="411">
        <f>MAX(AS45-IF(OR($C45=Lijsten!$D$8),AE45,0),0)</f>
        <v>0</v>
      </c>
      <c r="AU45" s="380"/>
      <c r="AV45" s="380"/>
      <c r="AW45" s="380"/>
      <c r="AX45" s="380"/>
      <c r="AY45" s="380"/>
      <c r="AZ45" s="380"/>
      <c r="BA45" s="380"/>
      <c r="BB45" s="380"/>
    </row>
    <row r="46" spans="1:54" s="381" customFormat="1" ht="15" customHeight="1" x14ac:dyDescent="0.25">
      <c r="A46" s="380"/>
      <c r="B46" s="714">
        <f>Mijlpalenbegroting!E129</f>
        <v>0</v>
      </c>
      <c r="C46" s="715">
        <f>Mijlpalenbegroting!H129</f>
        <v>0</v>
      </c>
      <c r="D46" s="716">
        <f>Mijlpalenbegroting!B129</f>
        <v>0</v>
      </c>
      <c r="E46" s="717">
        <f>Mijlpalenbegroting!D129</f>
        <v>0</v>
      </c>
      <c r="F46" s="419"/>
      <c r="G46" s="419"/>
      <c r="H46" s="420"/>
      <c r="I46" s="420"/>
      <c r="J46" s="699"/>
      <c r="K46" s="353"/>
      <c r="L46" s="701" cm="1">
        <f t="array" ref="L46">IF($D46&gt;0,INDEX(Mijlpalenplanning!$C$169:$J$183,$D46,COUNTA($L$14:L$14))*Mijlpalenbegroting!$D129,0)+K46</f>
        <v>0</v>
      </c>
      <c r="M46" s="410" cm="1">
        <f t="array" ref="M46">IF($D46&gt;0,INDEX(Mijlpalenplanning!$C$169:$J$183,$D46,COUNTA($L$14:M$14))*Mijlpalenbegroting!$D129,0)+L46</f>
        <v>0</v>
      </c>
      <c r="N46" s="410" cm="1">
        <f t="array" ref="N46">IF($D46&gt;0,INDEX(Mijlpalenplanning!$C$169:$J$183,$D46,COUNTA($L$14:N$14))*Mijlpalenbegroting!$D129,0)+M46</f>
        <v>0</v>
      </c>
      <c r="O46" s="410" cm="1">
        <f t="array" ref="O46">IF($D46&gt;0,INDEX(Mijlpalenplanning!$C$169:$J$183,$D46,COUNTA($L$14:O$14))*Mijlpalenbegroting!$D129,0)+N46</f>
        <v>0</v>
      </c>
      <c r="P46" s="410" cm="1">
        <f t="array" ref="P46">IF($D46&gt;0,INDEX(Mijlpalenplanning!$C$169:$J$183,$D46,COUNTA($L$14:P$14))*Mijlpalenbegroting!$D129,0)+O46</f>
        <v>0</v>
      </c>
      <c r="Q46" s="410" cm="1">
        <f t="array" ref="Q46">IF($D46&gt;0,INDEX(Mijlpalenplanning!$C$169:$J$183,$D46,COUNTA($L$14:Q$14))*Mijlpalenbegroting!$D129,0)+P46</f>
        <v>0</v>
      </c>
      <c r="R46" s="410" cm="1">
        <f t="array" ref="R46">IF($D46&gt;0,INDEX(Mijlpalenplanning!$C$169:$J$183,$D46,COUNTA($L$14:R$14))*Mijlpalenbegroting!$D129,0)+Q46</f>
        <v>0</v>
      </c>
      <c r="S46" s="410" cm="1">
        <f t="array" ref="S46">IF($D46&gt;0,INDEX(Mijlpalenplanning!$C$169:$J$183,$D46,COUNTA($L$14:S$14))*Mijlpalenbegroting!$D129,0)+R46</f>
        <v>0</v>
      </c>
      <c r="T46" s="410">
        <f t="shared" ref="T46:Y46" si="47">S46</f>
        <v>0</v>
      </c>
      <c r="U46" s="410">
        <f t="shared" si="47"/>
        <v>0</v>
      </c>
      <c r="V46" s="410">
        <f t="shared" si="47"/>
        <v>0</v>
      </c>
      <c r="W46" s="410">
        <f t="shared" si="47"/>
        <v>0</v>
      </c>
      <c r="X46" s="410">
        <f t="shared" si="47"/>
        <v>0</v>
      </c>
      <c r="Y46" s="410">
        <f t="shared" si="47"/>
        <v>0</v>
      </c>
      <c r="Z46" s="410">
        <f>MAX(Y46-IF(OR($C46=Lijsten!$D$8),K46,0),0)</f>
        <v>0</v>
      </c>
      <c r="AA46" s="410">
        <f>MAX(Z46-IF(OR($C46=Lijsten!$D$8),L46,0),0)</f>
        <v>0</v>
      </c>
      <c r="AB46" s="410">
        <f>MAX(AA46-IF(OR($C46=Lijsten!$D$8),M46,0),0)</f>
        <v>0</v>
      </c>
      <c r="AC46" s="410">
        <f>MAX(AB46-IF(OR($C46=Lijsten!$D$8),N46,0),0)</f>
        <v>0</v>
      </c>
      <c r="AD46" s="410">
        <f>MAX(AC46-IF(OR($C46=Lijsten!$D$8),O46,0),0)</f>
        <v>0</v>
      </c>
      <c r="AE46" s="410">
        <f>MAX(AD46-IF(OR($C46=Lijsten!$D$8),P46,0),0)</f>
        <v>0</v>
      </c>
      <c r="AF46" s="410">
        <f>MAX(AE46-IF(OR($C46=Lijsten!$D$8),Q46,0),0)</f>
        <v>0</v>
      </c>
      <c r="AG46" s="410">
        <f>MAX(AF46-IF(OR($C46=Lijsten!$D$8),R46,0),0)</f>
        <v>0</v>
      </c>
      <c r="AH46" s="410">
        <f>MAX(AG46-IF(OR($C46=Lijsten!$D$8),S46,0),0)</f>
        <v>0</v>
      </c>
      <c r="AI46" s="410">
        <f>MAX(AH46-IF(OR($C46=Lijsten!$D$8),T46,0),0)</f>
        <v>0</v>
      </c>
      <c r="AJ46" s="410">
        <f>MAX(AI46-IF(OR($C46=Lijsten!$D$8),U46,0),0)</f>
        <v>0</v>
      </c>
      <c r="AK46" s="410">
        <f>MAX(AJ46-IF(OR($C46=Lijsten!$D$8),V46,0),0)</f>
        <v>0</v>
      </c>
      <c r="AL46" s="410">
        <f>MAX(AK46-IF(OR($C46=Lijsten!$D$8),W46,0),0)</f>
        <v>0</v>
      </c>
      <c r="AM46" s="410">
        <f>MAX(AL46-IF(OR($C46=Lijsten!$D$8),X46,0),0)</f>
        <v>0</v>
      </c>
      <c r="AN46" s="410">
        <f>MAX(AM46-IF(OR($C46=Lijsten!$D$8),Y46,0),0)</f>
        <v>0</v>
      </c>
      <c r="AO46" s="410">
        <f>MAX(AN46-IF(OR($C46=Lijsten!$D$8),Z46,0),0)</f>
        <v>0</v>
      </c>
      <c r="AP46" s="410">
        <f>MAX(AO46-IF(OR($C46=Lijsten!$D$8),AA46,0),0)</f>
        <v>0</v>
      </c>
      <c r="AQ46" s="410">
        <f>MAX(AP46-IF(OR($C46=Lijsten!$D$8),AB46,0),0)</f>
        <v>0</v>
      </c>
      <c r="AR46" s="410">
        <f>MAX(AQ46-IF(OR($C46=Lijsten!$D$8),AC46,0),0)</f>
        <v>0</v>
      </c>
      <c r="AS46" s="410">
        <f>MAX(AR46-IF(OR($C46=Lijsten!$D$8),AD46,0),0)</f>
        <v>0</v>
      </c>
      <c r="AT46" s="411">
        <f>MAX(AS46-IF(OR($C46=Lijsten!$D$8),AE46,0),0)</f>
        <v>0</v>
      </c>
      <c r="AU46" s="380"/>
      <c r="AV46" s="380"/>
      <c r="AW46" s="380"/>
      <c r="AX46" s="380"/>
      <c r="AY46" s="380"/>
      <c r="AZ46" s="380"/>
      <c r="BA46" s="380"/>
      <c r="BB46" s="380"/>
    </row>
    <row r="47" spans="1:54" s="381" customFormat="1" ht="15" customHeight="1" x14ac:dyDescent="0.25">
      <c r="A47" s="380"/>
      <c r="B47" s="714">
        <f>Mijlpalenbegroting!E130</f>
        <v>0</v>
      </c>
      <c r="C47" s="715">
        <f>Mijlpalenbegroting!H130</f>
        <v>0</v>
      </c>
      <c r="D47" s="716">
        <f>Mijlpalenbegroting!B130</f>
        <v>0</v>
      </c>
      <c r="E47" s="717">
        <f>Mijlpalenbegroting!D130</f>
        <v>0</v>
      </c>
      <c r="F47" s="419"/>
      <c r="G47" s="419"/>
      <c r="H47" s="420"/>
      <c r="I47" s="420"/>
      <c r="J47" s="699"/>
      <c r="K47" s="353"/>
      <c r="L47" s="701" cm="1">
        <f t="array" ref="L47">IF($D47&gt;0,INDEX(Mijlpalenplanning!$C$169:$J$183,$D47,COUNTA($L$14:L$14))*Mijlpalenbegroting!$D130,0)+K47</f>
        <v>0</v>
      </c>
      <c r="M47" s="410" cm="1">
        <f t="array" ref="M47">IF($D47&gt;0,INDEX(Mijlpalenplanning!$C$169:$J$183,$D47,COUNTA($L$14:M$14))*Mijlpalenbegroting!$D130,0)+L47</f>
        <v>0</v>
      </c>
      <c r="N47" s="410" cm="1">
        <f t="array" ref="N47">IF($D47&gt;0,INDEX(Mijlpalenplanning!$C$169:$J$183,$D47,COUNTA($L$14:N$14))*Mijlpalenbegroting!$D130,0)+M47</f>
        <v>0</v>
      </c>
      <c r="O47" s="410" cm="1">
        <f t="array" ref="O47">IF($D47&gt;0,INDEX(Mijlpalenplanning!$C$169:$J$183,$D47,COUNTA($L$14:O$14))*Mijlpalenbegroting!$D130,0)+N47</f>
        <v>0</v>
      </c>
      <c r="P47" s="410" cm="1">
        <f t="array" ref="P47">IF($D47&gt;0,INDEX(Mijlpalenplanning!$C$169:$J$183,$D47,COUNTA($L$14:P$14))*Mijlpalenbegroting!$D130,0)+O47</f>
        <v>0</v>
      </c>
      <c r="Q47" s="410" cm="1">
        <f t="array" ref="Q47">IF($D47&gt;0,INDEX(Mijlpalenplanning!$C$169:$J$183,$D47,COUNTA($L$14:Q$14))*Mijlpalenbegroting!$D130,0)+P47</f>
        <v>0</v>
      </c>
      <c r="R47" s="410" cm="1">
        <f t="array" ref="R47">IF($D47&gt;0,INDEX(Mijlpalenplanning!$C$169:$J$183,$D47,COUNTA($L$14:R$14))*Mijlpalenbegroting!$D130,0)+Q47</f>
        <v>0</v>
      </c>
      <c r="S47" s="410" cm="1">
        <f t="array" ref="S47">IF($D47&gt;0,INDEX(Mijlpalenplanning!$C$169:$J$183,$D47,COUNTA($L$14:S$14))*Mijlpalenbegroting!$D130,0)+R47</f>
        <v>0</v>
      </c>
      <c r="T47" s="410">
        <f t="shared" ref="T47:Y47" si="48">S47</f>
        <v>0</v>
      </c>
      <c r="U47" s="410">
        <f t="shared" si="48"/>
        <v>0</v>
      </c>
      <c r="V47" s="410">
        <f t="shared" si="48"/>
        <v>0</v>
      </c>
      <c r="W47" s="410">
        <f t="shared" si="48"/>
        <v>0</v>
      </c>
      <c r="X47" s="410">
        <f t="shared" si="48"/>
        <v>0</v>
      </c>
      <c r="Y47" s="410">
        <f t="shared" si="48"/>
        <v>0</v>
      </c>
      <c r="Z47" s="410">
        <f>MAX(Y47-IF(OR($C47=Lijsten!$D$8),K47,0),0)</f>
        <v>0</v>
      </c>
      <c r="AA47" s="410">
        <f>MAX(Z47-IF(OR($C47=Lijsten!$D$8),L47,0),0)</f>
        <v>0</v>
      </c>
      <c r="AB47" s="410">
        <f>MAX(AA47-IF(OR($C47=Lijsten!$D$8),M47,0),0)</f>
        <v>0</v>
      </c>
      <c r="AC47" s="410">
        <f>MAX(AB47-IF(OR($C47=Lijsten!$D$8),N47,0),0)</f>
        <v>0</v>
      </c>
      <c r="AD47" s="410">
        <f>MAX(AC47-IF(OR($C47=Lijsten!$D$8),O47,0),0)</f>
        <v>0</v>
      </c>
      <c r="AE47" s="410">
        <f>MAX(AD47-IF(OR($C47=Lijsten!$D$8),P47,0),0)</f>
        <v>0</v>
      </c>
      <c r="AF47" s="410">
        <f>MAX(AE47-IF(OR($C47=Lijsten!$D$8),Q47,0),0)</f>
        <v>0</v>
      </c>
      <c r="AG47" s="410">
        <f>MAX(AF47-IF(OR($C47=Lijsten!$D$8),R47,0),0)</f>
        <v>0</v>
      </c>
      <c r="AH47" s="410">
        <f>MAX(AG47-IF(OR($C47=Lijsten!$D$8),S47,0),0)</f>
        <v>0</v>
      </c>
      <c r="AI47" s="410">
        <f>MAX(AH47-IF(OR($C47=Lijsten!$D$8),T47,0),0)</f>
        <v>0</v>
      </c>
      <c r="AJ47" s="410">
        <f>MAX(AI47-IF(OR($C47=Lijsten!$D$8),U47,0),0)</f>
        <v>0</v>
      </c>
      <c r="AK47" s="410">
        <f>MAX(AJ47-IF(OR($C47=Lijsten!$D$8),V47,0),0)</f>
        <v>0</v>
      </c>
      <c r="AL47" s="410">
        <f>MAX(AK47-IF(OR($C47=Lijsten!$D$8),W47,0),0)</f>
        <v>0</v>
      </c>
      <c r="AM47" s="410">
        <f>MAX(AL47-IF(OR($C47=Lijsten!$D$8),X47,0),0)</f>
        <v>0</v>
      </c>
      <c r="AN47" s="410">
        <f>MAX(AM47-IF(OR($C47=Lijsten!$D$8),Y47,0),0)</f>
        <v>0</v>
      </c>
      <c r="AO47" s="410">
        <f>MAX(AN47-IF(OR($C47=Lijsten!$D$8),Z47,0),0)</f>
        <v>0</v>
      </c>
      <c r="AP47" s="410">
        <f>MAX(AO47-IF(OR($C47=Lijsten!$D$8),AA47,0),0)</f>
        <v>0</v>
      </c>
      <c r="AQ47" s="410">
        <f>MAX(AP47-IF(OR($C47=Lijsten!$D$8),AB47,0),0)</f>
        <v>0</v>
      </c>
      <c r="AR47" s="410">
        <f>MAX(AQ47-IF(OR($C47=Lijsten!$D$8),AC47,0),0)</f>
        <v>0</v>
      </c>
      <c r="AS47" s="410">
        <f>MAX(AR47-IF(OR($C47=Lijsten!$D$8),AD47,0),0)</f>
        <v>0</v>
      </c>
      <c r="AT47" s="411">
        <f>MAX(AS47-IF(OR($C47=Lijsten!$D$8),AE47,0),0)</f>
        <v>0</v>
      </c>
      <c r="AU47" s="380"/>
      <c r="AV47" s="380"/>
      <c r="AW47" s="380"/>
      <c r="AX47" s="380"/>
      <c r="AY47" s="380"/>
      <c r="AZ47" s="380"/>
      <c r="BA47" s="380"/>
      <c r="BB47" s="380"/>
    </row>
    <row r="48" spans="1:54" s="381" customFormat="1" ht="15" customHeight="1" x14ac:dyDescent="0.25">
      <c r="A48" s="380"/>
      <c r="B48" s="714">
        <f>Mijlpalenbegroting!E131</f>
        <v>0</v>
      </c>
      <c r="C48" s="715">
        <f>Mijlpalenbegroting!H131</f>
        <v>0</v>
      </c>
      <c r="D48" s="716">
        <f>Mijlpalenbegroting!B131</f>
        <v>0</v>
      </c>
      <c r="E48" s="717">
        <f>Mijlpalenbegroting!D131</f>
        <v>0</v>
      </c>
      <c r="F48" s="419"/>
      <c r="G48" s="419"/>
      <c r="H48" s="420"/>
      <c r="I48" s="420"/>
      <c r="J48" s="699"/>
      <c r="K48" s="353"/>
      <c r="L48" s="701" cm="1">
        <f t="array" ref="L48">IF($D48&gt;0,INDEX(Mijlpalenplanning!$C$169:$J$183,$D48,COUNTA($L$14:L$14))*Mijlpalenbegroting!$D131,0)+K48</f>
        <v>0</v>
      </c>
      <c r="M48" s="410" cm="1">
        <f t="array" ref="M48">IF($D48&gt;0,INDEX(Mijlpalenplanning!$C$169:$J$183,$D48,COUNTA($L$14:M$14))*Mijlpalenbegroting!$D131,0)+L48</f>
        <v>0</v>
      </c>
      <c r="N48" s="410" cm="1">
        <f t="array" ref="N48">IF($D48&gt;0,INDEX(Mijlpalenplanning!$C$169:$J$183,$D48,COUNTA($L$14:N$14))*Mijlpalenbegroting!$D131,0)+M48</f>
        <v>0</v>
      </c>
      <c r="O48" s="410" cm="1">
        <f t="array" ref="O48">IF($D48&gt;0,INDEX(Mijlpalenplanning!$C$169:$J$183,$D48,COUNTA($L$14:O$14))*Mijlpalenbegroting!$D131,0)+N48</f>
        <v>0</v>
      </c>
      <c r="P48" s="410" cm="1">
        <f t="array" ref="P48">IF($D48&gt;0,INDEX(Mijlpalenplanning!$C$169:$J$183,$D48,COUNTA($L$14:P$14))*Mijlpalenbegroting!$D131,0)+O48</f>
        <v>0</v>
      </c>
      <c r="Q48" s="410" cm="1">
        <f t="array" ref="Q48">IF($D48&gt;0,INDEX(Mijlpalenplanning!$C$169:$J$183,$D48,COUNTA($L$14:Q$14))*Mijlpalenbegroting!$D131,0)+P48</f>
        <v>0</v>
      </c>
      <c r="R48" s="410" cm="1">
        <f t="array" ref="R48">IF($D48&gt;0,INDEX(Mijlpalenplanning!$C$169:$J$183,$D48,COUNTA($L$14:R$14))*Mijlpalenbegroting!$D131,0)+Q48</f>
        <v>0</v>
      </c>
      <c r="S48" s="410" cm="1">
        <f t="array" ref="S48">IF($D48&gt;0,INDEX(Mijlpalenplanning!$C$169:$J$183,$D48,COUNTA($L$14:S$14))*Mijlpalenbegroting!$D131,0)+R48</f>
        <v>0</v>
      </c>
      <c r="T48" s="410">
        <f t="shared" ref="T48:Y48" si="49">S48</f>
        <v>0</v>
      </c>
      <c r="U48" s="410">
        <f t="shared" si="49"/>
        <v>0</v>
      </c>
      <c r="V48" s="410">
        <f t="shared" si="49"/>
        <v>0</v>
      </c>
      <c r="W48" s="410">
        <f t="shared" si="49"/>
        <v>0</v>
      </c>
      <c r="X48" s="410">
        <f t="shared" si="49"/>
        <v>0</v>
      </c>
      <c r="Y48" s="410">
        <f t="shared" si="49"/>
        <v>0</v>
      </c>
      <c r="Z48" s="410">
        <f>MAX(Y48-IF(OR($C48=Lijsten!$D$8),K48,0),0)</f>
        <v>0</v>
      </c>
      <c r="AA48" s="410">
        <f>MAX(Z48-IF(OR($C48=Lijsten!$D$8),L48,0),0)</f>
        <v>0</v>
      </c>
      <c r="AB48" s="410">
        <f>MAX(AA48-IF(OR($C48=Lijsten!$D$8),M48,0),0)</f>
        <v>0</v>
      </c>
      <c r="AC48" s="410">
        <f>MAX(AB48-IF(OR($C48=Lijsten!$D$8),N48,0),0)</f>
        <v>0</v>
      </c>
      <c r="AD48" s="410">
        <f>MAX(AC48-IF(OR($C48=Lijsten!$D$8),O48,0),0)</f>
        <v>0</v>
      </c>
      <c r="AE48" s="410">
        <f>MAX(AD48-IF(OR($C48=Lijsten!$D$8),P48,0),0)</f>
        <v>0</v>
      </c>
      <c r="AF48" s="410">
        <f>MAX(AE48-IF(OR($C48=Lijsten!$D$8),Q48,0),0)</f>
        <v>0</v>
      </c>
      <c r="AG48" s="410">
        <f>MAX(AF48-IF(OR($C48=Lijsten!$D$8),R48,0),0)</f>
        <v>0</v>
      </c>
      <c r="AH48" s="410">
        <f>MAX(AG48-IF(OR($C48=Lijsten!$D$8),S48,0),0)</f>
        <v>0</v>
      </c>
      <c r="AI48" s="410">
        <f>MAX(AH48-IF(OR($C48=Lijsten!$D$8),T48,0),0)</f>
        <v>0</v>
      </c>
      <c r="AJ48" s="410">
        <f>MAX(AI48-IF(OR($C48=Lijsten!$D$8),U48,0),0)</f>
        <v>0</v>
      </c>
      <c r="AK48" s="410">
        <f>MAX(AJ48-IF(OR($C48=Lijsten!$D$8),V48,0),0)</f>
        <v>0</v>
      </c>
      <c r="AL48" s="410">
        <f>MAX(AK48-IF(OR($C48=Lijsten!$D$8),W48,0),0)</f>
        <v>0</v>
      </c>
      <c r="AM48" s="410">
        <f>MAX(AL48-IF(OR($C48=Lijsten!$D$8),X48,0),0)</f>
        <v>0</v>
      </c>
      <c r="AN48" s="410">
        <f>MAX(AM48-IF(OR($C48=Lijsten!$D$8),Y48,0),0)</f>
        <v>0</v>
      </c>
      <c r="AO48" s="410">
        <f>MAX(AN48-IF(OR($C48=Lijsten!$D$8),Z48,0),0)</f>
        <v>0</v>
      </c>
      <c r="AP48" s="410">
        <f>MAX(AO48-IF(OR($C48=Lijsten!$D$8),AA48,0),0)</f>
        <v>0</v>
      </c>
      <c r="AQ48" s="410">
        <f>MAX(AP48-IF(OR($C48=Lijsten!$D$8),AB48,0),0)</f>
        <v>0</v>
      </c>
      <c r="AR48" s="410">
        <f>MAX(AQ48-IF(OR($C48=Lijsten!$D$8),AC48,0),0)</f>
        <v>0</v>
      </c>
      <c r="AS48" s="410">
        <f>MAX(AR48-IF(OR($C48=Lijsten!$D$8),AD48,0),0)</f>
        <v>0</v>
      </c>
      <c r="AT48" s="411">
        <f>MAX(AS48-IF(OR($C48=Lijsten!$D$8),AE48,0),0)</f>
        <v>0</v>
      </c>
      <c r="AU48" s="380"/>
      <c r="AV48" s="380"/>
      <c r="AW48" s="380"/>
      <c r="AX48" s="380"/>
      <c r="AY48" s="380"/>
      <c r="AZ48" s="380"/>
      <c r="BA48" s="380"/>
      <c r="BB48" s="380"/>
    </row>
    <row r="49" spans="1:74" s="381" customFormat="1" ht="15" customHeight="1" x14ac:dyDescent="0.25">
      <c r="A49" s="380"/>
      <c r="B49" s="718">
        <f>Mijlpalenbegroting!E132</f>
        <v>0</v>
      </c>
      <c r="C49" s="719">
        <f>Mijlpalenbegroting!H132</f>
        <v>0</v>
      </c>
      <c r="D49" s="720">
        <f>Mijlpalenbegroting!B132</f>
        <v>0</v>
      </c>
      <c r="E49" s="721">
        <f>Mijlpalenbegroting!D132</f>
        <v>0</v>
      </c>
      <c r="F49" s="421"/>
      <c r="G49" s="421"/>
      <c r="H49" s="422"/>
      <c r="I49" s="422"/>
      <c r="J49" s="700"/>
      <c r="K49" s="353"/>
      <c r="L49" s="702" cm="1">
        <f t="array" ref="L49">IF($D49&gt;0,INDEX(Mijlpalenplanning!$C$169:$J$183,$D49,COUNTA($L$14:L$14))*Mijlpalenbegroting!$D132,0)+K49</f>
        <v>0</v>
      </c>
      <c r="M49" s="412" cm="1">
        <f t="array" ref="M49">IF($D49&gt;0,INDEX(Mijlpalenplanning!$C$169:$J$183,$D49,COUNTA($L$14:M$14))*Mijlpalenbegroting!$D132,0)+L49</f>
        <v>0</v>
      </c>
      <c r="N49" s="412" cm="1">
        <f t="array" ref="N49">IF($D49&gt;0,INDEX(Mijlpalenplanning!$C$169:$J$183,$D49,COUNTA($L$14:N$14))*Mijlpalenbegroting!$D132,0)+M49</f>
        <v>0</v>
      </c>
      <c r="O49" s="412" cm="1">
        <f t="array" ref="O49">IF($D49&gt;0,INDEX(Mijlpalenplanning!$C$169:$J$183,$D49,COUNTA($L$14:O$14))*Mijlpalenbegroting!$D132,0)+N49</f>
        <v>0</v>
      </c>
      <c r="P49" s="412" cm="1">
        <f t="array" ref="P49">IF($D49&gt;0,INDEX(Mijlpalenplanning!$C$169:$J$183,$D49,COUNTA($L$14:P$14))*Mijlpalenbegroting!$D132,0)+O49</f>
        <v>0</v>
      </c>
      <c r="Q49" s="412" cm="1">
        <f t="array" ref="Q49">IF($D49&gt;0,INDEX(Mijlpalenplanning!$C$169:$J$183,$D49,COUNTA($L$14:Q$14))*Mijlpalenbegroting!$D132,0)+P49</f>
        <v>0</v>
      </c>
      <c r="R49" s="412" cm="1">
        <f t="array" ref="R49">IF($D49&gt;0,INDEX(Mijlpalenplanning!$C$169:$J$183,$D49,COUNTA($L$14:R$14))*Mijlpalenbegroting!$D132,0)+Q49</f>
        <v>0</v>
      </c>
      <c r="S49" s="412" cm="1">
        <f t="array" ref="S49">IF($D49&gt;0,INDEX(Mijlpalenplanning!$C$169:$J$183,$D49,COUNTA($L$14:S$14))*Mijlpalenbegroting!$D132,0)+R49</f>
        <v>0</v>
      </c>
      <c r="T49" s="412">
        <f t="shared" ref="T49:Y49" si="50">S49</f>
        <v>0</v>
      </c>
      <c r="U49" s="412">
        <f t="shared" si="50"/>
        <v>0</v>
      </c>
      <c r="V49" s="412">
        <f t="shared" si="50"/>
        <v>0</v>
      </c>
      <c r="W49" s="412">
        <f t="shared" si="50"/>
        <v>0</v>
      </c>
      <c r="X49" s="412">
        <f t="shared" si="50"/>
        <v>0</v>
      </c>
      <c r="Y49" s="412">
        <f t="shared" si="50"/>
        <v>0</v>
      </c>
      <c r="Z49" s="412">
        <f>MAX(Y49-IF(OR($C49=Lijsten!$D$8),K49,0),0)</f>
        <v>0</v>
      </c>
      <c r="AA49" s="412">
        <f>MAX(Z49-IF(OR($C49=Lijsten!$D$8),L49,0),0)</f>
        <v>0</v>
      </c>
      <c r="AB49" s="412">
        <f>MAX(AA49-IF(OR($C49=Lijsten!$D$8),M49,0),0)</f>
        <v>0</v>
      </c>
      <c r="AC49" s="412">
        <f>MAX(AB49-IF(OR($C49=Lijsten!$D$8),N49,0),0)</f>
        <v>0</v>
      </c>
      <c r="AD49" s="412">
        <f>MAX(AC49-IF(OR($C49=Lijsten!$D$8),O49,0),0)</f>
        <v>0</v>
      </c>
      <c r="AE49" s="412">
        <f>MAX(AD49-IF(OR($C49=Lijsten!$D$8),P49,0),0)</f>
        <v>0</v>
      </c>
      <c r="AF49" s="412">
        <f>MAX(AE49-IF(OR($C49=Lijsten!$D$8),Q49,0),0)</f>
        <v>0</v>
      </c>
      <c r="AG49" s="412">
        <f>MAX(AF49-IF(OR($C49=Lijsten!$D$8),R49,0),0)</f>
        <v>0</v>
      </c>
      <c r="AH49" s="412">
        <f>MAX(AG49-IF(OR($C49=Lijsten!$D$8),S49,0),0)</f>
        <v>0</v>
      </c>
      <c r="AI49" s="412">
        <f>MAX(AH49-IF(OR($C49=Lijsten!$D$8),T49,0),0)</f>
        <v>0</v>
      </c>
      <c r="AJ49" s="412">
        <f>MAX(AI49-IF(OR($C49=Lijsten!$D$8),U49,0),0)</f>
        <v>0</v>
      </c>
      <c r="AK49" s="412">
        <f>MAX(AJ49-IF(OR($C49=Lijsten!$D$8),V49,0),0)</f>
        <v>0</v>
      </c>
      <c r="AL49" s="412">
        <f>MAX(AK49-IF(OR($C49=Lijsten!$D$8),W49,0),0)</f>
        <v>0</v>
      </c>
      <c r="AM49" s="412">
        <f>MAX(AL49-IF(OR($C49=Lijsten!$D$8),X49,0),0)</f>
        <v>0</v>
      </c>
      <c r="AN49" s="412">
        <f>MAX(AM49-IF(OR($C49=Lijsten!$D$8),Y49,0),0)</f>
        <v>0</v>
      </c>
      <c r="AO49" s="412">
        <f>MAX(AN49-IF(OR($C49=Lijsten!$D$8),Z49,0),0)</f>
        <v>0</v>
      </c>
      <c r="AP49" s="412">
        <f>MAX(AO49-IF(OR($C49=Lijsten!$D$8),AA49,0),0)</f>
        <v>0</v>
      </c>
      <c r="AQ49" s="412">
        <f>MAX(AP49-IF(OR($C49=Lijsten!$D$8),AB49,0),0)</f>
        <v>0</v>
      </c>
      <c r="AR49" s="412">
        <f>MAX(AQ49-IF(OR($C49=Lijsten!$D$8),AC49,0),0)</f>
        <v>0</v>
      </c>
      <c r="AS49" s="412">
        <f>MAX(AR49-IF(OR($C49=Lijsten!$D$8),AD49,0),0)</f>
        <v>0</v>
      </c>
      <c r="AT49" s="413">
        <f>MAX(AS49-IF(OR($C49=Lijsten!$D$8),AE49,0),0)</f>
        <v>0</v>
      </c>
      <c r="AU49" s="380"/>
      <c r="AV49" s="380"/>
      <c r="AW49" s="380"/>
      <c r="AX49" s="380"/>
      <c r="AY49" s="380"/>
      <c r="AZ49" s="380"/>
      <c r="BA49" s="380"/>
      <c r="BB49" s="380"/>
    </row>
    <row r="50" spans="1:74" s="381" customFormat="1" ht="15" customHeight="1" x14ac:dyDescent="0.25">
      <c r="A50" s="380"/>
      <c r="B50" s="414"/>
      <c r="C50" s="353"/>
      <c r="D50" s="353"/>
      <c r="E50" s="353"/>
      <c r="F50" s="415"/>
      <c r="G50" s="415"/>
      <c r="H50" s="416"/>
      <c r="I50" s="416"/>
      <c r="J50" s="416"/>
      <c r="K50" s="353"/>
      <c r="L50" s="353"/>
      <c r="M50" s="353"/>
      <c r="N50" s="353"/>
      <c r="O50" s="353"/>
      <c r="P50" s="353"/>
      <c r="Q50" s="353"/>
      <c r="R50" s="353"/>
      <c r="S50" s="353"/>
      <c r="T50" s="353"/>
      <c r="U50" s="353"/>
      <c r="V50" s="353"/>
      <c r="W50" s="353"/>
      <c r="X50" s="353"/>
      <c r="Y50" s="353"/>
      <c r="Z50" s="353"/>
      <c r="AA50" s="353"/>
      <c r="AB50" s="353"/>
      <c r="AC50" s="353"/>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row>
    <row r="51" spans="1:74" s="305" customFormat="1" ht="15" customHeight="1" x14ac:dyDescent="0.25">
      <c r="B51" s="676" t="s">
        <v>390</v>
      </c>
      <c r="C51" s="677"/>
      <c r="D51" s="677"/>
      <c r="E51" s="677"/>
      <c r="F51" s="677"/>
      <c r="G51" s="677"/>
      <c r="H51" s="677"/>
      <c r="I51" s="677"/>
      <c r="J51" s="678"/>
      <c r="L51" s="676">
        <f t="shared" ref="L51:S51" si="51">SUM(L20:L49)</f>
        <v>0</v>
      </c>
      <c r="M51" s="677">
        <f t="shared" si="51"/>
        <v>0</v>
      </c>
      <c r="N51" s="677">
        <f t="shared" si="51"/>
        <v>0</v>
      </c>
      <c r="O51" s="677">
        <f t="shared" si="51"/>
        <v>0</v>
      </c>
      <c r="P51" s="677">
        <f t="shared" si="51"/>
        <v>0</v>
      </c>
      <c r="Q51" s="677">
        <f t="shared" si="51"/>
        <v>0</v>
      </c>
      <c r="R51" s="677">
        <f t="shared" si="51"/>
        <v>0</v>
      </c>
      <c r="S51" s="677">
        <f t="shared" si="51"/>
        <v>0</v>
      </c>
      <c r="T51" s="677">
        <f>S51</f>
        <v>0</v>
      </c>
      <c r="U51" s="677">
        <f t="shared" ref="U51:AC51" si="52">T51</f>
        <v>0</v>
      </c>
      <c r="V51" s="677">
        <f t="shared" si="52"/>
        <v>0</v>
      </c>
      <c r="W51" s="677">
        <f t="shared" si="52"/>
        <v>0</v>
      </c>
      <c r="X51" s="677">
        <f t="shared" si="52"/>
        <v>0</v>
      </c>
      <c r="Y51" s="677">
        <f t="shared" si="52"/>
        <v>0</v>
      </c>
      <c r="Z51" s="677">
        <f t="shared" si="52"/>
        <v>0</v>
      </c>
      <c r="AA51" s="677">
        <f t="shared" si="52"/>
        <v>0</v>
      </c>
      <c r="AB51" s="677">
        <f t="shared" si="52"/>
        <v>0</v>
      </c>
      <c r="AC51" s="677">
        <f t="shared" si="52"/>
        <v>0</v>
      </c>
      <c r="AD51" s="677">
        <f t="shared" ref="AD51" si="53">AC51</f>
        <v>0</v>
      </c>
      <c r="AE51" s="677">
        <f t="shared" ref="AE51" si="54">AD51</f>
        <v>0</v>
      </c>
      <c r="AF51" s="677">
        <f t="shared" ref="AF51" si="55">AE51</f>
        <v>0</v>
      </c>
      <c r="AG51" s="677">
        <f t="shared" ref="AG51" si="56">AF51</f>
        <v>0</v>
      </c>
      <c r="AH51" s="677">
        <f t="shared" ref="AH51" si="57">AG51</f>
        <v>0</v>
      </c>
      <c r="AI51" s="677">
        <f t="shared" ref="AI51" si="58">AH51</f>
        <v>0</v>
      </c>
      <c r="AJ51" s="677">
        <f t="shared" ref="AJ51" si="59">AI51</f>
        <v>0</v>
      </c>
      <c r="AK51" s="677">
        <f t="shared" ref="AK51" si="60">AJ51</f>
        <v>0</v>
      </c>
      <c r="AL51" s="677">
        <f t="shared" ref="AL51" si="61">AK51</f>
        <v>0</v>
      </c>
      <c r="AM51" s="677">
        <f t="shared" ref="AM51" si="62">AL51</f>
        <v>0</v>
      </c>
      <c r="AN51" s="677">
        <f t="shared" ref="AN51" si="63">AM51</f>
        <v>0</v>
      </c>
      <c r="AO51" s="677">
        <f t="shared" ref="AO51" si="64">AN51</f>
        <v>0</v>
      </c>
      <c r="AP51" s="677">
        <f t="shared" ref="AP51" si="65">AO51</f>
        <v>0</v>
      </c>
      <c r="AQ51" s="677">
        <f t="shared" ref="AQ51" si="66">AP51</f>
        <v>0</v>
      </c>
      <c r="AR51" s="677">
        <f t="shared" ref="AR51" si="67">AQ51</f>
        <v>0</v>
      </c>
      <c r="AS51" s="677">
        <f t="shared" ref="AS51" si="68">AR51</f>
        <v>0</v>
      </c>
      <c r="AT51" s="678">
        <f t="shared" ref="AT51" si="69">AS51</f>
        <v>0</v>
      </c>
      <c r="AW51" s="295"/>
      <c r="AX51" s="295"/>
      <c r="AY51" s="295"/>
      <c r="AZ51" s="295"/>
      <c r="BA51" s="295"/>
      <c r="BB51" s="295"/>
      <c r="BC51" s="295"/>
      <c r="BD51" s="295"/>
      <c r="BE51" s="295"/>
      <c r="BF51" s="295"/>
      <c r="BG51" s="295"/>
      <c r="BH51" s="295"/>
      <c r="BI51" s="295"/>
      <c r="BJ51" s="295"/>
      <c r="BK51" s="295"/>
      <c r="BL51" s="295"/>
      <c r="BM51" s="295"/>
      <c r="BN51" s="295"/>
      <c r="BO51" s="295"/>
      <c r="BP51" s="295"/>
      <c r="BQ51" s="295"/>
      <c r="BR51" s="295"/>
      <c r="BS51" s="295"/>
      <c r="BT51" s="295"/>
      <c r="BU51" s="295"/>
      <c r="BV51" s="295"/>
    </row>
    <row r="52" spans="1:74" s="305" customFormat="1" ht="15" customHeight="1" x14ac:dyDescent="0.25">
      <c r="B52" s="679" t="s">
        <v>391</v>
      </c>
      <c r="C52" s="680"/>
      <c r="D52" s="680"/>
      <c r="E52" s="680"/>
      <c r="F52" s="680"/>
      <c r="G52" s="680"/>
      <c r="H52" s="680"/>
      <c r="I52" s="680"/>
      <c r="J52" s="681"/>
      <c r="L52" s="679">
        <f t="shared" ref="L52:AT52" si="70">SUMPRODUCT(L20:L49,$F20:$F49)</f>
        <v>0</v>
      </c>
      <c r="M52" s="680">
        <f t="shared" si="70"/>
        <v>0</v>
      </c>
      <c r="N52" s="680">
        <f t="shared" si="70"/>
        <v>0</v>
      </c>
      <c r="O52" s="680">
        <f t="shared" si="70"/>
        <v>0</v>
      </c>
      <c r="P52" s="680">
        <f t="shared" si="70"/>
        <v>0</v>
      </c>
      <c r="Q52" s="680">
        <f t="shared" si="70"/>
        <v>0</v>
      </c>
      <c r="R52" s="680">
        <f t="shared" si="70"/>
        <v>0</v>
      </c>
      <c r="S52" s="680">
        <f t="shared" si="70"/>
        <v>0</v>
      </c>
      <c r="T52" s="680">
        <f t="shared" si="70"/>
        <v>0</v>
      </c>
      <c r="U52" s="680">
        <f t="shared" si="70"/>
        <v>0</v>
      </c>
      <c r="V52" s="680">
        <f t="shared" si="70"/>
        <v>0</v>
      </c>
      <c r="W52" s="680">
        <f t="shared" si="70"/>
        <v>0</v>
      </c>
      <c r="X52" s="680">
        <f t="shared" si="70"/>
        <v>0</v>
      </c>
      <c r="Y52" s="680">
        <f t="shared" si="70"/>
        <v>0</v>
      </c>
      <c r="Z52" s="680">
        <f t="shared" si="70"/>
        <v>0</v>
      </c>
      <c r="AA52" s="680">
        <f t="shared" si="70"/>
        <v>0</v>
      </c>
      <c r="AB52" s="680">
        <f t="shared" si="70"/>
        <v>0</v>
      </c>
      <c r="AC52" s="680">
        <f t="shared" si="70"/>
        <v>0</v>
      </c>
      <c r="AD52" s="680">
        <f t="shared" si="70"/>
        <v>0</v>
      </c>
      <c r="AE52" s="680">
        <f t="shared" si="70"/>
        <v>0</v>
      </c>
      <c r="AF52" s="680">
        <f t="shared" si="70"/>
        <v>0</v>
      </c>
      <c r="AG52" s="680">
        <f t="shared" si="70"/>
        <v>0</v>
      </c>
      <c r="AH52" s="680">
        <f t="shared" si="70"/>
        <v>0</v>
      </c>
      <c r="AI52" s="680">
        <f t="shared" si="70"/>
        <v>0</v>
      </c>
      <c r="AJ52" s="680">
        <f t="shared" si="70"/>
        <v>0</v>
      </c>
      <c r="AK52" s="680">
        <f t="shared" si="70"/>
        <v>0</v>
      </c>
      <c r="AL52" s="680">
        <f t="shared" si="70"/>
        <v>0</v>
      </c>
      <c r="AM52" s="680">
        <f t="shared" si="70"/>
        <v>0</v>
      </c>
      <c r="AN52" s="680">
        <f t="shared" si="70"/>
        <v>0</v>
      </c>
      <c r="AO52" s="680">
        <f t="shared" si="70"/>
        <v>0</v>
      </c>
      <c r="AP52" s="680">
        <f t="shared" si="70"/>
        <v>0</v>
      </c>
      <c r="AQ52" s="680">
        <f t="shared" si="70"/>
        <v>0</v>
      </c>
      <c r="AR52" s="680">
        <f t="shared" si="70"/>
        <v>0</v>
      </c>
      <c r="AS52" s="680">
        <f t="shared" si="70"/>
        <v>0</v>
      </c>
      <c r="AT52" s="681">
        <f t="shared" si="70"/>
        <v>0</v>
      </c>
      <c r="AW52" s="295"/>
      <c r="AX52" s="295"/>
      <c r="AY52" s="295"/>
      <c r="AZ52" s="295"/>
      <c r="BA52" s="295"/>
      <c r="BB52" s="295"/>
      <c r="BC52" s="295"/>
      <c r="BD52" s="295"/>
      <c r="BE52" s="295"/>
      <c r="BF52" s="295"/>
      <c r="BG52" s="295"/>
      <c r="BH52" s="295"/>
      <c r="BI52" s="295"/>
      <c r="BJ52" s="295"/>
      <c r="BK52" s="295"/>
      <c r="BL52" s="295"/>
      <c r="BM52" s="295"/>
      <c r="BN52" s="295"/>
      <c r="BO52" s="295"/>
      <c r="BP52" s="295"/>
      <c r="BQ52" s="295"/>
      <c r="BR52" s="295"/>
      <c r="BS52" s="295"/>
      <c r="BT52" s="295"/>
      <c r="BU52" s="295"/>
      <c r="BV52" s="295"/>
    </row>
    <row r="53" spans="1:74" s="305" customFormat="1" ht="15" customHeight="1" x14ac:dyDescent="0.25">
      <c r="B53" s="691" t="s">
        <v>392</v>
      </c>
      <c r="C53" s="688"/>
      <c r="D53" s="688"/>
      <c r="E53" s="688"/>
      <c r="F53" s="688"/>
      <c r="G53" s="688"/>
      <c r="H53" s="688"/>
      <c r="I53" s="688"/>
      <c r="J53" s="727"/>
      <c r="L53" s="691">
        <f t="shared" ref="L53:AT53" si="71">SUMPRODUCT(L20:L49,$G20:$G49)*L11</f>
        <v>0</v>
      </c>
      <c r="M53" s="688">
        <f t="shared" si="71"/>
        <v>0</v>
      </c>
      <c r="N53" s="688">
        <f t="shared" si="71"/>
        <v>0</v>
      </c>
      <c r="O53" s="688">
        <f t="shared" si="71"/>
        <v>0</v>
      </c>
      <c r="P53" s="688">
        <f t="shared" si="71"/>
        <v>0</v>
      </c>
      <c r="Q53" s="688">
        <f t="shared" si="71"/>
        <v>0</v>
      </c>
      <c r="R53" s="688">
        <f t="shared" si="71"/>
        <v>0</v>
      </c>
      <c r="S53" s="688">
        <f t="shared" si="71"/>
        <v>0</v>
      </c>
      <c r="T53" s="688">
        <f t="shared" si="71"/>
        <v>0</v>
      </c>
      <c r="U53" s="688">
        <f t="shared" si="71"/>
        <v>0</v>
      </c>
      <c r="V53" s="688">
        <f t="shared" si="71"/>
        <v>0</v>
      </c>
      <c r="W53" s="688">
        <f t="shared" si="71"/>
        <v>0</v>
      </c>
      <c r="X53" s="688">
        <f t="shared" si="71"/>
        <v>0</v>
      </c>
      <c r="Y53" s="688">
        <f t="shared" si="71"/>
        <v>0</v>
      </c>
      <c r="Z53" s="688">
        <f t="shared" si="71"/>
        <v>0</v>
      </c>
      <c r="AA53" s="688">
        <f t="shared" si="71"/>
        <v>0</v>
      </c>
      <c r="AB53" s="688">
        <f t="shared" si="71"/>
        <v>0</v>
      </c>
      <c r="AC53" s="688">
        <f t="shared" si="71"/>
        <v>0</v>
      </c>
      <c r="AD53" s="688">
        <f t="shared" si="71"/>
        <v>0</v>
      </c>
      <c r="AE53" s="688">
        <f t="shared" si="71"/>
        <v>0</v>
      </c>
      <c r="AF53" s="688">
        <f t="shared" si="71"/>
        <v>0</v>
      </c>
      <c r="AG53" s="688">
        <f t="shared" si="71"/>
        <v>0</v>
      </c>
      <c r="AH53" s="688">
        <f t="shared" si="71"/>
        <v>0</v>
      </c>
      <c r="AI53" s="688">
        <f t="shared" si="71"/>
        <v>0</v>
      </c>
      <c r="AJ53" s="688">
        <f t="shared" si="71"/>
        <v>0</v>
      </c>
      <c r="AK53" s="688">
        <f t="shared" si="71"/>
        <v>0</v>
      </c>
      <c r="AL53" s="688">
        <f t="shared" si="71"/>
        <v>0</v>
      </c>
      <c r="AM53" s="688">
        <f t="shared" si="71"/>
        <v>0</v>
      </c>
      <c r="AN53" s="688">
        <f t="shared" si="71"/>
        <v>0</v>
      </c>
      <c r="AO53" s="688">
        <f t="shared" si="71"/>
        <v>0</v>
      </c>
      <c r="AP53" s="688">
        <f t="shared" si="71"/>
        <v>0</v>
      </c>
      <c r="AQ53" s="688">
        <f t="shared" si="71"/>
        <v>0</v>
      </c>
      <c r="AR53" s="688">
        <f t="shared" si="71"/>
        <v>0</v>
      </c>
      <c r="AS53" s="688">
        <f t="shared" si="71"/>
        <v>0</v>
      </c>
      <c r="AT53" s="727">
        <f t="shared" si="71"/>
        <v>0</v>
      </c>
      <c r="AW53" s="295"/>
      <c r="AX53" s="295"/>
      <c r="AY53" s="295"/>
      <c r="AZ53" s="295"/>
      <c r="BA53" s="295"/>
      <c r="BB53" s="295"/>
      <c r="BC53" s="295"/>
      <c r="BD53" s="295"/>
      <c r="BE53" s="295"/>
      <c r="BF53" s="295"/>
      <c r="BG53" s="295"/>
      <c r="BH53" s="295"/>
      <c r="BI53" s="295"/>
      <c r="BJ53" s="295"/>
      <c r="BK53" s="295"/>
      <c r="BL53" s="295"/>
      <c r="BM53" s="295"/>
      <c r="BN53" s="295"/>
      <c r="BO53" s="295"/>
      <c r="BP53" s="295"/>
      <c r="BQ53" s="295"/>
      <c r="BR53" s="295"/>
      <c r="BS53" s="295"/>
      <c r="BT53" s="295"/>
      <c r="BU53" s="295"/>
      <c r="BV53" s="295"/>
    </row>
    <row r="54" spans="1:74" s="305" customFormat="1" ht="15" customHeight="1" x14ac:dyDescent="0.25"/>
    <row r="55" spans="1:74" s="305" customFormat="1" ht="15" customHeight="1" x14ac:dyDescent="0.25">
      <c r="B55" s="676" t="s">
        <v>393</v>
      </c>
      <c r="C55" s="677"/>
      <c r="D55" s="677"/>
      <c r="E55" s="677"/>
      <c r="F55" s="677"/>
      <c r="G55" s="677"/>
      <c r="H55" s="677"/>
      <c r="I55" s="677"/>
      <c r="J55" s="678"/>
      <c r="L55" s="676">
        <f>MAX(0,SUMPRODUCT(L20:L49,$J20:$J49)-SUM($K55:K55))</f>
        <v>0</v>
      </c>
      <c r="M55" s="677">
        <f>MAX(0,SUMPRODUCT(M20:M49,$J20:$J49)-SUM($K55:L55))</f>
        <v>0</v>
      </c>
      <c r="N55" s="677">
        <f>MAX(0,SUMPRODUCT(N20:N49,$J20:$J49)-SUM($K55:M55))</f>
        <v>0</v>
      </c>
      <c r="O55" s="677">
        <f>MAX(0,SUMPRODUCT(O20:O49,$J20:$J49)-SUM($K55:N55))</f>
        <v>0</v>
      </c>
      <c r="P55" s="677">
        <f>MAX(0,SUMPRODUCT(P20:P49,$J20:$J49)-SUM($K55:O55))</f>
        <v>0</v>
      </c>
      <c r="Q55" s="677">
        <f>MAX(0,SUMPRODUCT(Q20:Q49,$J20:$J49)-SUM($K55:P55))</f>
        <v>0</v>
      </c>
      <c r="R55" s="677">
        <f>MAX(0,SUMPRODUCT(R20:R49,$J20:$J49)-SUM($K55:Q55))</f>
        <v>0</v>
      </c>
      <c r="S55" s="677">
        <f>MAX(0,SUMPRODUCT(S20:S49,$J20:$J49)-SUM($K55:R55))</f>
        <v>0</v>
      </c>
      <c r="T55" s="677">
        <f>MAX(0,SUMPRODUCT(T20:T49,$J20:$J49)-SUM($K55:S55))</f>
        <v>0</v>
      </c>
      <c r="U55" s="677">
        <f>MAX(0,SUMPRODUCT(U20:U49,$J20:$J49)-SUM($K55:T55))</f>
        <v>0</v>
      </c>
      <c r="V55" s="677">
        <f>MAX(0,SUMPRODUCT(V20:V49,$J20:$J49)-SUM($K55:U55))</f>
        <v>0</v>
      </c>
      <c r="W55" s="677">
        <f>MAX(0,SUMPRODUCT(W20:W49,$J20:$J49)-SUM($K55:V55))</f>
        <v>0</v>
      </c>
      <c r="X55" s="677">
        <f>MAX(0,SUMPRODUCT(X20:X49,$J20:$J49)-SUM($K55:W55))</f>
        <v>0</v>
      </c>
      <c r="Y55" s="677">
        <f>MAX(0,SUMPRODUCT(Y20:Y49,$J20:$J49)-SUM($K55:X55))</f>
        <v>0</v>
      </c>
      <c r="Z55" s="677">
        <f>MAX(0,SUMPRODUCT(Z20:Z49,$J20:$J49)-SUM($K55:Y55))</f>
        <v>0</v>
      </c>
      <c r="AA55" s="677">
        <f>MAX(0,SUMPRODUCT(AA20:AA49,$J20:$J49)-SUM($K55:Z55))</f>
        <v>0</v>
      </c>
      <c r="AB55" s="677">
        <f>MAX(0,SUMPRODUCT(AB20:AB49,$J20:$J49)-SUM($K55:AA55))</f>
        <v>0</v>
      </c>
      <c r="AC55" s="677">
        <f>MAX(0,SUMPRODUCT(AC20:AC49,$J20:$J49)-SUM($K55:AB55))</f>
        <v>0</v>
      </c>
      <c r="AD55" s="677">
        <f>MAX(0,SUMPRODUCT(AD20:AD49,$J20:$J49)-SUM($K55:AC55))</f>
        <v>0</v>
      </c>
      <c r="AE55" s="677">
        <f>MAX(0,SUMPRODUCT(AE20:AE49,$J20:$J49)-SUM($K55:AD55))</f>
        <v>0</v>
      </c>
      <c r="AF55" s="677">
        <f>MAX(0,SUMPRODUCT(AF20:AF49,$J20:$J49)-SUM($K55:AE55))</f>
        <v>0</v>
      </c>
      <c r="AG55" s="677">
        <f>MAX(0,SUMPRODUCT(AG20:AG49,$J20:$J49)-SUM($K55:AF55))</f>
        <v>0</v>
      </c>
      <c r="AH55" s="677">
        <f>MAX(0,SUMPRODUCT(AH20:AH49,$J20:$J49)-SUM($K55:AG55))</f>
        <v>0</v>
      </c>
      <c r="AI55" s="677">
        <f>MAX(0,SUMPRODUCT(AI20:AI49,$J20:$J49)-SUM($K55:AH55))</f>
        <v>0</v>
      </c>
      <c r="AJ55" s="677">
        <f>MAX(0,SUMPRODUCT(AJ20:AJ49,$J20:$J49)-SUM($K55:AI55))</f>
        <v>0</v>
      </c>
      <c r="AK55" s="677">
        <f>MAX(0,SUMPRODUCT(AK20:AK49,$J20:$J49)-SUM($K55:AJ55))</f>
        <v>0</v>
      </c>
      <c r="AL55" s="677">
        <f>MAX(0,SUMPRODUCT(AL20:AL49,$J20:$J49)-SUM($K55:AK55))</f>
        <v>0</v>
      </c>
      <c r="AM55" s="677">
        <f>MAX(0,SUMPRODUCT(AM20:AM49,$J20:$J49)-SUM($K55:AL55))</f>
        <v>0</v>
      </c>
      <c r="AN55" s="677">
        <f>MAX(0,SUMPRODUCT(AN20:AN49,$J20:$J49)-SUM($K55:AM55))</f>
        <v>0</v>
      </c>
      <c r="AO55" s="677">
        <f>MAX(0,SUMPRODUCT(AO20:AO49,$J20:$J49)-SUM($K55:AN55))</f>
        <v>0</v>
      </c>
      <c r="AP55" s="677">
        <f>MAX(0,SUMPRODUCT(AP20:AP49,$J20:$J49)-SUM($K55:AO55))</f>
        <v>0</v>
      </c>
      <c r="AQ55" s="677">
        <f>MAX(0,SUMPRODUCT(AQ20:AQ49,$J20:$J49)-SUM($K55:AP55))</f>
        <v>0</v>
      </c>
      <c r="AR55" s="677">
        <f>MAX(0,SUMPRODUCT(AR20:AR49,$J20:$J49)-SUM($K55:AQ55))</f>
        <v>0</v>
      </c>
      <c r="AS55" s="677">
        <f>MAX(0,SUMPRODUCT(AS20:AS49,$J20:$J49)-SUM($K55:AR55))</f>
        <v>0</v>
      </c>
      <c r="AT55" s="678">
        <f>MAX(0,SUMPRODUCT(AT20:AT49,$J20:$J49)-SUM($K55:AS55))</f>
        <v>0</v>
      </c>
      <c r="AW55" s="295"/>
      <c r="AX55" s="295"/>
      <c r="AY55" s="295"/>
      <c r="AZ55" s="295"/>
      <c r="BA55" s="295"/>
      <c r="BB55" s="295"/>
      <c r="BC55" s="295"/>
      <c r="BD55" s="295"/>
      <c r="BE55" s="295"/>
      <c r="BF55" s="295"/>
      <c r="BG55" s="295"/>
      <c r="BH55" s="295"/>
      <c r="BI55" s="295"/>
      <c r="BJ55" s="295"/>
      <c r="BK55" s="295"/>
      <c r="BL55" s="295"/>
      <c r="BM55" s="295"/>
      <c r="BN55" s="295"/>
      <c r="BO55" s="295"/>
      <c r="BP55" s="295"/>
      <c r="BQ55" s="295"/>
      <c r="BR55" s="295"/>
      <c r="BS55" s="295"/>
      <c r="BT55" s="295"/>
      <c r="BU55" s="295"/>
      <c r="BV55" s="295"/>
    </row>
    <row r="56" spans="1:74" s="305" customFormat="1" ht="15" customHeight="1" x14ac:dyDescent="0.25">
      <c r="B56" s="679" t="s">
        <v>394</v>
      </c>
      <c r="C56" s="680"/>
      <c r="D56" s="680"/>
      <c r="E56" s="680"/>
      <c r="F56" s="680"/>
      <c r="G56" s="680"/>
      <c r="H56" s="680"/>
      <c r="I56" s="680"/>
      <c r="J56" s="681"/>
      <c r="L56" s="679">
        <f t="shared" ref="L56:AT56" si="72">SUMPRODUCT(K20:K49,$I20:$I49)*L12*L10</f>
        <v>0</v>
      </c>
      <c r="M56" s="680">
        <f t="shared" si="72"/>
        <v>0</v>
      </c>
      <c r="N56" s="680">
        <f t="shared" si="72"/>
        <v>0</v>
      </c>
      <c r="O56" s="680">
        <f t="shared" si="72"/>
        <v>0</v>
      </c>
      <c r="P56" s="680">
        <f t="shared" si="72"/>
        <v>0</v>
      </c>
      <c r="Q56" s="680">
        <f t="shared" si="72"/>
        <v>0</v>
      </c>
      <c r="R56" s="680">
        <f t="shared" si="72"/>
        <v>0</v>
      </c>
      <c r="S56" s="680">
        <f t="shared" si="72"/>
        <v>0</v>
      </c>
      <c r="T56" s="680">
        <f t="shared" si="72"/>
        <v>0</v>
      </c>
      <c r="U56" s="680">
        <f t="shared" si="72"/>
        <v>0</v>
      </c>
      <c r="V56" s="680">
        <f t="shared" si="72"/>
        <v>0</v>
      </c>
      <c r="W56" s="680">
        <f t="shared" si="72"/>
        <v>0</v>
      </c>
      <c r="X56" s="680">
        <f t="shared" si="72"/>
        <v>0</v>
      </c>
      <c r="Y56" s="680">
        <f t="shared" si="72"/>
        <v>0</v>
      </c>
      <c r="Z56" s="680">
        <f t="shared" si="72"/>
        <v>0</v>
      </c>
      <c r="AA56" s="680">
        <f t="shared" si="72"/>
        <v>0</v>
      </c>
      <c r="AB56" s="680">
        <f t="shared" si="72"/>
        <v>0</v>
      </c>
      <c r="AC56" s="680">
        <f t="shared" si="72"/>
        <v>0</v>
      </c>
      <c r="AD56" s="680">
        <f t="shared" si="72"/>
        <v>0</v>
      </c>
      <c r="AE56" s="680">
        <f t="shared" si="72"/>
        <v>0</v>
      </c>
      <c r="AF56" s="680">
        <f t="shared" si="72"/>
        <v>0</v>
      </c>
      <c r="AG56" s="680">
        <f t="shared" si="72"/>
        <v>0</v>
      </c>
      <c r="AH56" s="680">
        <f t="shared" si="72"/>
        <v>0</v>
      </c>
      <c r="AI56" s="680">
        <f t="shared" si="72"/>
        <v>0</v>
      </c>
      <c r="AJ56" s="680">
        <f t="shared" si="72"/>
        <v>0</v>
      </c>
      <c r="AK56" s="680">
        <f t="shared" si="72"/>
        <v>0</v>
      </c>
      <c r="AL56" s="680">
        <f t="shared" si="72"/>
        <v>0</v>
      </c>
      <c r="AM56" s="680">
        <f t="shared" si="72"/>
        <v>0</v>
      </c>
      <c r="AN56" s="680">
        <f t="shared" si="72"/>
        <v>0</v>
      </c>
      <c r="AO56" s="680">
        <f t="shared" si="72"/>
        <v>0</v>
      </c>
      <c r="AP56" s="680">
        <f t="shared" si="72"/>
        <v>0</v>
      </c>
      <c r="AQ56" s="680">
        <f t="shared" si="72"/>
        <v>0</v>
      </c>
      <c r="AR56" s="680">
        <f t="shared" si="72"/>
        <v>0</v>
      </c>
      <c r="AS56" s="680">
        <f t="shared" si="72"/>
        <v>0</v>
      </c>
      <c r="AT56" s="681">
        <f t="shared" si="72"/>
        <v>0</v>
      </c>
      <c r="AW56" s="295"/>
      <c r="AX56" s="295"/>
      <c r="AY56" s="295"/>
      <c r="AZ56" s="295"/>
      <c r="BA56" s="295"/>
      <c r="BB56" s="295"/>
      <c r="BC56" s="295"/>
      <c r="BD56" s="295"/>
      <c r="BE56" s="295"/>
      <c r="BF56" s="295"/>
      <c r="BG56" s="295"/>
      <c r="BH56" s="295"/>
      <c r="BI56" s="295"/>
      <c r="BJ56" s="295"/>
      <c r="BK56" s="295"/>
      <c r="BL56" s="295"/>
      <c r="BM56" s="295"/>
      <c r="BN56" s="295"/>
      <c r="BO56" s="295"/>
      <c r="BP56" s="295"/>
      <c r="BQ56" s="295"/>
      <c r="BR56" s="295"/>
      <c r="BS56" s="295"/>
      <c r="BT56" s="295"/>
      <c r="BU56" s="295"/>
      <c r="BV56" s="295"/>
    </row>
    <row r="57" spans="1:74" s="305" customFormat="1" ht="15" customHeight="1" x14ac:dyDescent="0.25">
      <c r="B57" s="679" t="s">
        <v>395</v>
      </c>
      <c r="C57" s="680"/>
      <c r="D57" s="680"/>
      <c r="E57" s="680"/>
      <c r="F57" s="680"/>
      <c r="G57" s="680"/>
      <c r="H57" s="680"/>
      <c r="I57" s="680"/>
      <c r="J57" s="681"/>
      <c r="L57" s="679">
        <f>SUMPRODUCT(K20:K49,$H20:$H49,$G20:$G49)*L10*L11*L12</f>
        <v>0</v>
      </c>
      <c r="M57" s="680">
        <f t="shared" ref="M57:AT57" si="73">SUMPRODUCT(L20:L49,$H20:$H49,$G20:$G49)*M10*M11*M12</f>
        <v>0</v>
      </c>
      <c r="N57" s="680">
        <f t="shared" si="73"/>
        <v>0</v>
      </c>
      <c r="O57" s="680">
        <f t="shared" si="73"/>
        <v>0</v>
      </c>
      <c r="P57" s="680">
        <f t="shared" si="73"/>
        <v>0</v>
      </c>
      <c r="Q57" s="680">
        <f t="shared" si="73"/>
        <v>0</v>
      </c>
      <c r="R57" s="680">
        <f t="shared" si="73"/>
        <v>0</v>
      </c>
      <c r="S57" s="680">
        <f t="shared" si="73"/>
        <v>0</v>
      </c>
      <c r="T57" s="680">
        <f t="shared" si="73"/>
        <v>0</v>
      </c>
      <c r="U57" s="680">
        <f t="shared" si="73"/>
        <v>0</v>
      </c>
      <c r="V57" s="680">
        <f t="shared" si="73"/>
        <v>0</v>
      </c>
      <c r="W57" s="680">
        <f t="shared" si="73"/>
        <v>0</v>
      </c>
      <c r="X57" s="680">
        <f t="shared" si="73"/>
        <v>0</v>
      </c>
      <c r="Y57" s="680">
        <f t="shared" si="73"/>
        <v>0</v>
      </c>
      <c r="Z57" s="680">
        <f t="shared" si="73"/>
        <v>0</v>
      </c>
      <c r="AA57" s="680">
        <f t="shared" si="73"/>
        <v>0</v>
      </c>
      <c r="AB57" s="680">
        <f t="shared" si="73"/>
        <v>0</v>
      </c>
      <c r="AC57" s="680">
        <f t="shared" si="73"/>
        <v>0</v>
      </c>
      <c r="AD57" s="680">
        <f t="shared" si="73"/>
        <v>0</v>
      </c>
      <c r="AE57" s="680">
        <f t="shared" si="73"/>
        <v>0</v>
      </c>
      <c r="AF57" s="680">
        <f t="shared" si="73"/>
        <v>0</v>
      </c>
      <c r="AG57" s="680">
        <f t="shared" si="73"/>
        <v>0</v>
      </c>
      <c r="AH57" s="680">
        <f t="shared" si="73"/>
        <v>0</v>
      </c>
      <c r="AI57" s="680">
        <f t="shared" si="73"/>
        <v>0</v>
      </c>
      <c r="AJ57" s="680">
        <f t="shared" si="73"/>
        <v>0</v>
      </c>
      <c r="AK57" s="680">
        <f t="shared" si="73"/>
        <v>0</v>
      </c>
      <c r="AL57" s="680">
        <f t="shared" si="73"/>
        <v>0</v>
      </c>
      <c r="AM57" s="680">
        <f t="shared" si="73"/>
        <v>0</v>
      </c>
      <c r="AN57" s="680">
        <f t="shared" si="73"/>
        <v>0</v>
      </c>
      <c r="AO57" s="680">
        <f t="shared" si="73"/>
        <v>0</v>
      </c>
      <c r="AP57" s="680">
        <f t="shared" si="73"/>
        <v>0</v>
      </c>
      <c r="AQ57" s="680">
        <f t="shared" si="73"/>
        <v>0</v>
      </c>
      <c r="AR57" s="680">
        <f t="shared" si="73"/>
        <v>0</v>
      </c>
      <c r="AS57" s="680">
        <f t="shared" si="73"/>
        <v>0</v>
      </c>
      <c r="AT57" s="681">
        <f t="shared" si="73"/>
        <v>0</v>
      </c>
      <c r="AW57" s="295"/>
      <c r="AX57" s="295"/>
      <c r="AY57" s="295"/>
      <c r="AZ57" s="295"/>
      <c r="BA57" s="295"/>
      <c r="BB57" s="295"/>
      <c r="BC57" s="295"/>
      <c r="BD57" s="295"/>
      <c r="BE57" s="295"/>
      <c r="BF57" s="295"/>
      <c r="BG57" s="295"/>
      <c r="BH57" s="295"/>
      <c r="BI57" s="295"/>
      <c r="BJ57" s="295"/>
      <c r="BK57" s="295"/>
      <c r="BL57" s="295"/>
      <c r="BM57" s="295"/>
      <c r="BN57" s="295"/>
      <c r="BO57" s="295"/>
      <c r="BP57" s="295"/>
      <c r="BQ57" s="295"/>
      <c r="BR57" s="295"/>
      <c r="BS57" s="295"/>
      <c r="BT57" s="295"/>
      <c r="BU57" s="295"/>
      <c r="BV57" s="295"/>
    </row>
    <row r="58" spans="1:74" s="351" customFormat="1" ht="15" customHeight="1" x14ac:dyDescent="0.25">
      <c r="B58" s="685" t="s">
        <v>396</v>
      </c>
      <c r="C58" s="686"/>
      <c r="D58" s="686"/>
      <c r="E58" s="686"/>
      <c r="F58" s="686"/>
      <c r="G58" s="686"/>
      <c r="H58" s="686"/>
      <c r="I58" s="686"/>
      <c r="J58" s="687"/>
      <c r="L58" s="685">
        <f>SUM(L55:L57)</f>
        <v>0</v>
      </c>
      <c r="M58" s="686">
        <f t="shared" ref="M58:AC58" si="74">SUM(M55:M57)</f>
        <v>0</v>
      </c>
      <c r="N58" s="686">
        <f t="shared" si="74"/>
        <v>0</v>
      </c>
      <c r="O58" s="686">
        <f t="shared" si="74"/>
        <v>0</v>
      </c>
      <c r="P58" s="686">
        <f t="shared" si="74"/>
        <v>0</v>
      </c>
      <c r="Q58" s="686">
        <f t="shared" si="74"/>
        <v>0</v>
      </c>
      <c r="R58" s="686">
        <f t="shared" si="74"/>
        <v>0</v>
      </c>
      <c r="S58" s="686">
        <f t="shared" si="74"/>
        <v>0</v>
      </c>
      <c r="T58" s="686">
        <f t="shared" si="74"/>
        <v>0</v>
      </c>
      <c r="U58" s="686">
        <f t="shared" si="74"/>
        <v>0</v>
      </c>
      <c r="V58" s="686">
        <f t="shared" si="74"/>
        <v>0</v>
      </c>
      <c r="W58" s="686">
        <f t="shared" si="74"/>
        <v>0</v>
      </c>
      <c r="X58" s="686">
        <f t="shared" si="74"/>
        <v>0</v>
      </c>
      <c r="Y58" s="686">
        <f t="shared" si="74"/>
        <v>0</v>
      </c>
      <c r="Z58" s="686">
        <f t="shared" si="74"/>
        <v>0</v>
      </c>
      <c r="AA58" s="686">
        <f t="shared" si="74"/>
        <v>0</v>
      </c>
      <c r="AB58" s="686">
        <f t="shared" si="74"/>
        <v>0</v>
      </c>
      <c r="AC58" s="686">
        <f t="shared" si="74"/>
        <v>0</v>
      </c>
      <c r="AD58" s="686">
        <f t="shared" ref="AD58:AT58" si="75">SUM(AD55:AD57)</f>
        <v>0</v>
      </c>
      <c r="AE58" s="686">
        <f t="shared" si="75"/>
        <v>0</v>
      </c>
      <c r="AF58" s="686">
        <f t="shared" si="75"/>
        <v>0</v>
      </c>
      <c r="AG58" s="686">
        <f t="shared" si="75"/>
        <v>0</v>
      </c>
      <c r="AH58" s="686">
        <f t="shared" si="75"/>
        <v>0</v>
      </c>
      <c r="AI58" s="686">
        <f t="shared" si="75"/>
        <v>0</v>
      </c>
      <c r="AJ58" s="686">
        <f t="shared" si="75"/>
        <v>0</v>
      </c>
      <c r="AK58" s="686">
        <f t="shared" si="75"/>
        <v>0</v>
      </c>
      <c r="AL58" s="686">
        <f t="shared" si="75"/>
        <v>0</v>
      </c>
      <c r="AM58" s="686">
        <f t="shared" si="75"/>
        <v>0</v>
      </c>
      <c r="AN58" s="686">
        <f t="shared" si="75"/>
        <v>0</v>
      </c>
      <c r="AO58" s="686">
        <f t="shared" si="75"/>
        <v>0</v>
      </c>
      <c r="AP58" s="686">
        <f t="shared" si="75"/>
        <v>0</v>
      </c>
      <c r="AQ58" s="686">
        <f t="shared" si="75"/>
        <v>0</v>
      </c>
      <c r="AR58" s="686">
        <f t="shared" si="75"/>
        <v>0</v>
      </c>
      <c r="AS58" s="686">
        <f t="shared" si="75"/>
        <v>0</v>
      </c>
      <c r="AT58" s="687">
        <f t="shared" si="75"/>
        <v>0</v>
      </c>
      <c r="AW58" s="409"/>
      <c r="AX58" s="409"/>
      <c r="AY58" s="409"/>
      <c r="AZ58" s="409"/>
      <c r="BA58" s="409"/>
      <c r="BB58" s="409"/>
      <c r="BC58" s="409"/>
      <c r="BD58" s="409"/>
      <c r="BE58" s="409"/>
      <c r="BF58" s="409"/>
      <c r="BG58" s="409"/>
      <c r="BH58" s="409"/>
      <c r="BI58" s="409"/>
      <c r="BJ58" s="409"/>
      <c r="BK58" s="409"/>
      <c r="BL58" s="409"/>
      <c r="BM58" s="409"/>
      <c r="BN58" s="409"/>
      <c r="BO58" s="409"/>
      <c r="BP58" s="409"/>
      <c r="BQ58" s="409"/>
      <c r="BR58" s="409"/>
      <c r="BS58" s="409"/>
      <c r="BT58" s="409"/>
      <c r="BU58" s="409"/>
      <c r="BV58" s="409"/>
    </row>
    <row r="59" spans="1:74" s="381" customFormat="1" ht="15" customHeight="1" x14ac:dyDescent="0.25">
      <c r="A59" s="380"/>
      <c r="B59" s="380"/>
      <c r="C59" s="380"/>
      <c r="D59" s="380"/>
      <c r="E59" s="380"/>
      <c r="F59" s="380"/>
      <c r="G59" s="361"/>
      <c r="H59" s="361"/>
      <c r="I59" s="361"/>
      <c r="J59" s="361"/>
      <c r="K59" s="380"/>
      <c r="M59" s="383"/>
      <c r="N59" s="324"/>
      <c r="O59" s="383"/>
      <c r="P59" s="383"/>
      <c r="Q59" s="383"/>
      <c r="R59" s="383"/>
      <c r="S59" s="383"/>
      <c r="T59" s="383"/>
      <c r="V59" s="384"/>
      <c r="W59" s="380"/>
    </row>
    <row r="60" spans="1:74" s="320" customFormat="1" ht="15" customHeight="1" x14ac:dyDescent="0.25">
      <c r="A60" s="317"/>
      <c r="B60" s="147"/>
      <c r="C60" s="317"/>
      <c r="D60" s="317"/>
      <c r="E60" s="317"/>
      <c r="F60" s="317"/>
      <c r="G60" s="317"/>
      <c r="H60" s="317"/>
      <c r="I60" s="317"/>
      <c r="J60" s="317"/>
      <c r="K60" s="317"/>
      <c r="L60" s="317"/>
      <c r="M60" s="317"/>
      <c r="N60" s="317"/>
      <c r="O60" s="317"/>
      <c r="P60" s="317"/>
      <c r="Q60" s="317"/>
      <c r="R60" s="317"/>
      <c r="S60" s="317"/>
      <c r="T60" s="317"/>
      <c r="U60" s="317"/>
      <c r="V60" s="317"/>
      <c r="W60" s="317"/>
      <c r="X60" s="317"/>
      <c r="Y60" s="317"/>
      <c r="Z60" s="317"/>
      <c r="AA60" s="317"/>
      <c r="AB60" s="317"/>
      <c r="AC60" s="317"/>
      <c r="AD60" s="317"/>
      <c r="AE60" s="317"/>
      <c r="AF60" s="317"/>
      <c r="AG60" s="317"/>
      <c r="AH60" s="317"/>
      <c r="AI60" s="317"/>
      <c r="AJ60" s="317"/>
      <c r="AK60" s="317"/>
      <c r="AL60" s="317"/>
      <c r="AM60" s="317"/>
      <c r="AN60" s="317"/>
      <c r="AO60" s="317"/>
      <c r="AP60" s="317"/>
      <c r="AQ60" s="317"/>
      <c r="AR60" s="317"/>
      <c r="AS60" s="317"/>
      <c r="AT60" s="317"/>
      <c r="AU60" s="317"/>
      <c r="AV60" s="317"/>
      <c r="AW60" s="285"/>
      <c r="AX60" s="285"/>
      <c r="AY60" s="285"/>
      <c r="AZ60" s="285"/>
      <c r="BA60" s="285"/>
      <c r="BB60" s="285"/>
      <c r="BC60" s="285"/>
      <c r="BD60" s="285"/>
      <c r="BE60" s="285"/>
      <c r="BF60" s="285"/>
      <c r="BG60" s="285"/>
      <c r="BH60" s="285"/>
      <c r="BI60" s="285"/>
      <c r="BJ60" s="285"/>
      <c r="BK60" s="285"/>
      <c r="BL60" s="285"/>
      <c r="BM60" s="285"/>
      <c r="BN60" s="285"/>
      <c r="BO60" s="285"/>
      <c r="BP60" s="285"/>
      <c r="BQ60" s="285"/>
      <c r="BR60" s="285"/>
      <c r="BS60" s="285"/>
      <c r="BT60" s="285"/>
      <c r="BU60" s="285"/>
      <c r="BV60" s="285"/>
    </row>
    <row r="61" spans="1:74" s="300" customFormat="1" ht="15" customHeight="1" x14ac:dyDescent="0.25">
      <c r="A61" s="283"/>
      <c r="B61" s="379" t="s">
        <v>397</v>
      </c>
      <c r="C61" s="297"/>
      <c r="D61" s="301"/>
      <c r="E61" s="301"/>
      <c r="F61" s="301"/>
      <c r="G61" s="301"/>
      <c r="H61" s="287"/>
      <c r="I61" s="287"/>
      <c r="J61" s="287"/>
      <c r="K61" s="287"/>
      <c r="L61" s="321">
        <f>D5</f>
        <v>1900</v>
      </c>
      <c r="M61" s="322">
        <f t="shared" ref="M61:AT61" si="76">L61+1</f>
        <v>1901</v>
      </c>
      <c r="N61" s="322">
        <f t="shared" si="76"/>
        <v>1902</v>
      </c>
      <c r="O61" s="322">
        <f t="shared" si="76"/>
        <v>1903</v>
      </c>
      <c r="P61" s="322">
        <f t="shared" si="76"/>
        <v>1904</v>
      </c>
      <c r="Q61" s="322">
        <f t="shared" si="76"/>
        <v>1905</v>
      </c>
      <c r="R61" s="321">
        <f t="shared" si="76"/>
        <v>1906</v>
      </c>
      <c r="S61" s="322">
        <f t="shared" si="76"/>
        <v>1907</v>
      </c>
      <c r="T61" s="322">
        <f t="shared" si="76"/>
        <v>1908</v>
      </c>
      <c r="U61" s="322">
        <f t="shared" si="76"/>
        <v>1909</v>
      </c>
      <c r="V61" s="322">
        <f>U61+1</f>
        <v>1910</v>
      </c>
      <c r="W61" s="322">
        <f t="shared" si="76"/>
        <v>1911</v>
      </c>
      <c r="X61" s="322">
        <f t="shared" si="76"/>
        <v>1912</v>
      </c>
      <c r="Y61" s="322">
        <f t="shared" si="76"/>
        <v>1913</v>
      </c>
      <c r="Z61" s="322">
        <f t="shared" si="76"/>
        <v>1914</v>
      </c>
      <c r="AA61" s="322">
        <f t="shared" si="76"/>
        <v>1915</v>
      </c>
      <c r="AB61" s="321">
        <f t="shared" si="76"/>
        <v>1916</v>
      </c>
      <c r="AC61" s="322">
        <f t="shared" si="76"/>
        <v>1917</v>
      </c>
      <c r="AD61" s="322">
        <f t="shared" si="76"/>
        <v>1918</v>
      </c>
      <c r="AE61" s="322">
        <f t="shared" si="76"/>
        <v>1919</v>
      </c>
      <c r="AF61" s="322">
        <f t="shared" si="76"/>
        <v>1920</v>
      </c>
      <c r="AG61" s="322">
        <f t="shared" si="76"/>
        <v>1921</v>
      </c>
      <c r="AH61" s="322">
        <f t="shared" si="76"/>
        <v>1922</v>
      </c>
      <c r="AI61" s="322">
        <f t="shared" si="76"/>
        <v>1923</v>
      </c>
      <c r="AJ61" s="322">
        <f t="shared" si="76"/>
        <v>1924</v>
      </c>
      <c r="AK61" s="322">
        <f t="shared" si="76"/>
        <v>1925</v>
      </c>
      <c r="AL61" s="322">
        <f t="shared" si="76"/>
        <v>1926</v>
      </c>
      <c r="AM61" s="322">
        <f t="shared" si="76"/>
        <v>1927</v>
      </c>
      <c r="AN61" s="322">
        <f t="shared" si="76"/>
        <v>1928</v>
      </c>
      <c r="AO61" s="322">
        <f t="shared" si="76"/>
        <v>1929</v>
      </c>
      <c r="AP61" s="322">
        <f t="shared" si="76"/>
        <v>1930</v>
      </c>
      <c r="AQ61" s="322">
        <f t="shared" si="76"/>
        <v>1931</v>
      </c>
      <c r="AR61" s="322">
        <f t="shared" si="76"/>
        <v>1932</v>
      </c>
      <c r="AS61" s="322">
        <f t="shared" si="76"/>
        <v>1933</v>
      </c>
      <c r="AT61" s="946">
        <f t="shared" si="76"/>
        <v>1934</v>
      </c>
      <c r="AU61" s="283"/>
      <c r="AV61" s="283"/>
      <c r="AW61" s="280"/>
      <c r="AX61" s="280"/>
      <c r="AY61" s="280"/>
      <c r="AZ61" s="280"/>
      <c r="BA61" s="280"/>
      <c r="BB61" s="280"/>
      <c r="BC61" s="280"/>
      <c r="BD61" s="280"/>
      <c r="BE61" s="280"/>
      <c r="BF61" s="280"/>
      <c r="BG61" s="280"/>
      <c r="BH61" s="280"/>
      <c r="BI61" s="280"/>
      <c r="BJ61" s="280"/>
      <c r="BK61" s="280"/>
      <c r="BL61" s="280"/>
      <c r="BM61" s="280"/>
      <c r="BN61" s="280"/>
      <c r="BO61" s="280"/>
      <c r="BP61" s="280"/>
      <c r="BQ61" s="280"/>
      <c r="BR61" s="280"/>
      <c r="BS61" s="280"/>
      <c r="BT61" s="280"/>
      <c r="BU61" s="280"/>
      <c r="BV61" s="280"/>
    </row>
    <row r="62" spans="1:74" s="305" customFormat="1" ht="15" customHeight="1" x14ac:dyDescent="0.25">
      <c r="B62" s="388" t="s">
        <v>398</v>
      </c>
      <c r="C62" s="307"/>
      <c r="AT62" s="308"/>
    </row>
    <row r="63" spans="1:74" s="305" customFormat="1" ht="15" customHeight="1" x14ac:dyDescent="0.25">
      <c r="B63" s="388" t="s">
        <v>399</v>
      </c>
      <c r="C63" s="307"/>
      <c r="AT63" s="308"/>
    </row>
    <row r="64" spans="1:74" ht="15" customHeight="1" x14ac:dyDescent="0.25">
      <c r="B64" s="329"/>
      <c r="C64" s="324"/>
      <c r="D64" s="283"/>
      <c r="E64" s="283"/>
      <c r="F64" s="283"/>
      <c r="G64" s="283"/>
      <c r="H64" s="283"/>
      <c r="I64" s="283"/>
      <c r="J64" s="283"/>
      <c r="K64" s="283"/>
      <c r="L64" s="330"/>
      <c r="M64" s="331"/>
      <c r="N64" s="331"/>
      <c r="O64" s="331"/>
      <c r="P64" s="331"/>
      <c r="Q64" s="331"/>
      <c r="R64" s="331"/>
      <c r="S64" s="331"/>
      <c r="T64" s="331"/>
      <c r="U64" s="331"/>
      <c r="V64" s="331"/>
      <c r="W64" s="331"/>
      <c r="X64" s="331"/>
      <c r="Y64" s="331"/>
      <c r="Z64" s="331"/>
      <c r="AA64" s="331"/>
      <c r="AB64" s="331"/>
      <c r="AC64" s="331"/>
      <c r="AD64" s="331"/>
      <c r="AE64" s="331"/>
      <c r="AF64" s="331"/>
      <c r="AG64" s="331"/>
      <c r="AH64" s="331"/>
      <c r="AI64" s="331"/>
      <c r="AJ64" s="331"/>
      <c r="AK64" s="331"/>
      <c r="AL64" s="331"/>
      <c r="AM64" s="331"/>
      <c r="AN64" s="331"/>
      <c r="AO64" s="331"/>
      <c r="AP64" s="331"/>
      <c r="AQ64" s="331"/>
      <c r="AR64" s="331"/>
      <c r="AS64" s="331"/>
      <c r="AT64" s="947"/>
      <c r="AU64" s="283"/>
      <c r="AV64" s="283"/>
    </row>
    <row r="65" spans="1:74" ht="15" customHeight="1" x14ac:dyDescent="0.25">
      <c r="B65" s="332" t="s">
        <v>400</v>
      </c>
      <c r="C65" s="324"/>
      <c r="D65" s="283"/>
      <c r="E65" s="283"/>
      <c r="F65" s="283"/>
      <c r="G65" s="283"/>
      <c r="H65" s="283"/>
      <c r="I65" s="283"/>
      <c r="J65" s="283"/>
      <c r="K65" s="283"/>
      <c r="L65" s="330"/>
      <c r="M65" s="331"/>
      <c r="N65" s="331"/>
      <c r="O65" s="331"/>
      <c r="P65" s="331"/>
      <c r="Q65" s="331"/>
      <c r="R65" s="331"/>
      <c r="S65" s="331"/>
      <c r="T65" s="331"/>
      <c r="U65" s="331"/>
      <c r="V65" s="331"/>
      <c r="W65" s="331"/>
      <c r="X65" s="331"/>
      <c r="Y65" s="331"/>
      <c r="Z65" s="331"/>
      <c r="AA65" s="331"/>
      <c r="AB65" s="331"/>
      <c r="AC65" s="331"/>
      <c r="AD65" s="331"/>
      <c r="AE65" s="331"/>
      <c r="AF65" s="331"/>
      <c r="AG65" s="331"/>
      <c r="AH65" s="331"/>
      <c r="AI65" s="331"/>
      <c r="AJ65" s="331"/>
      <c r="AK65" s="331"/>
      <c r="AL65" s="331"/>
      <c r="AM65" s="331"/>
      <c r="AN65" s="331"/>
      <c r="AO65" s="331"/>
      <c r="AP65" s="331"/>
      <c r="AQ65" s="331"/>
      <c r="AR65" s="331"/>
      <c r="AS65" s="331"/>
      <c r="AT65" s="947"/>
      <c r="AU65" s="283"/>
      <c r="AV65" s="283"/>
    </row>
    <row r="66" spans="1:74" ht="15" customHeight="1" x14ac:dyDescent="0.25">
      <c r="B66" s="909" t="s">
        <v>401</v>
      </c>
      <c r="C66" s="333"/>
      <c r="D66" s="326"/>
      <c r="E66" s="325" t="s">
        <v>402</v>
      </c>
      <c r="F66" s="348"/>
      <c r="G66" s="334" t="str">
        <f t="shared" ref="G66:G73" si="77">IF(SUM(L66:AT66)&gt;0,"Onderbouw in het projectplan","")</f>
        <v/>
      </c>
      <c r="H66" s="334"/>
      <c r="I66" s="334"/>
      <c r="J66" s="334"/>
      <c r="K66" s="335"/>
      <c r="L66" s="326">
        <f>$D66 * L$10 * L$12</f>
        <v>0</v>
      </c>
      <c r="M66" s="336">
        <f t="shared" ref="L66:U73" si="78">$D66 * M$10 * M$12</f>
        <v>0</v>
      </c>
      <c r="N66" s="326">
        <f t="shared" si="78"/>
        <v>0</v>
      </c>
      <c r="O66" s="326">
        <f t="shared" si="78"/>
        <v>0</v>
      </c>
      <c r="P66" s="326">
        <f t="shared" si="78"/>
        <v>0</v>
      </c>
      <c r="Q66" s="337">
        <f t="shared" si="78"/>
        <v>0</v>
      </c>
      <c r="R66" s="326">
        <f t="shared" si="78"/>
        <v>0</v>
      </c>
      <c r="S66" s="336">
        <f t="shared" si="78"/>
        <v>0</v>
      </c>
      <c r="T66" s="326">
        <f t="shared" si="78"/>
        <v>0</v>
      </c>
      <c r="U66" s="326">
        <f t="shared" si="78"/>
        <v>0</v>
      </c>
      <c r="V66" s="326">
        <f t="shared" ref="V66:AK73" si="79">$D66 * V$10 * V$12</f>
        <v>0</v>
      </c>
      <c r="W66" s="326">
        <f t="shared" si="79"/>
        <v>0</v>
      </c>
      <c r="X66" s="326">
        <f t="shared" si="79"/>
        <v>0</v>
      </c>
      <c r="Y66" s="326">
        <f t="shared" si="79"/>
        <v>0</v>
      </c>
      <c r="Z66" s="337">
        <f t="shared" si="79"/>
        <v>0</v>
      </c>
      <c r="AA66" s="326">
        <f t="shared" si="79"/>
        <v>0</v>
      </c>
      <c r="AB66" s="326">
        <f t="shared" si="79"/>
        <v>0</v>
      </c>
      <c r="AC66" s="326">
        <f t="shared" si="79"/>
        <v>0</v>
      </c>
      <c r="AD66" s="326">
        <f t="shared" si="79"/>
        <v>0</v>
      </c>
      <c r="AE66" s="336">
        <f t="shared" si="79"/>
        <v>0</v>
      </c>
      <c r="AF66" s="326">
        <f t="shared" si="79"/>
        <v>0</v>
      </c>
      <c r="AG66" s="326">
        <f t="shared" si="79"/>
        <v>0</v>
      </c>
      <c r="AH66" s="336">
        <f t="shared" si="79"/>
        <v>0</v>
      </c>
      <c r="AI66" s="326">
        <f t="shared" si="79"/>
        <v>0</v>
      </c>
      <c r="AJ66" s="326">
        <f t="shared" si="79"/>
        <v>0</v>
      </c>
      <c r="AK66" s="326">
        <f t="shared" si="79"/>
        <v>0</v>
      </c>
      <c r="AL66" s="337">
        <f t="shared" ref="AG66:AT73" si="80">$D66 * AL$10 * AL$12</f>
        <v>0</v>
      </c>
      <c r="AM66" s="326">
        <f t="shared" si="80"/>
        <v>0</v>
      </c>
      <c r="AN66" s="336">
        <f t="shared" si="80"/>
        <v>0</v>
      </c>
      <c r="AO66" s="326">
        <f t="shared" si="80"/>
        <v>0</v>
      </c>
      <c r="AP66" s="326">
        <f t="shared" si="80"/>
        <v>0</v>
      </c>
      <c r="AQ66" s="326">
        <f>$D66 * AQ$10 * AQ$12</f>
        <v>0</v>
      </c>
      <c r="AR66" s="326">
        <f t="shared" si="80"/>
        <v>0</v>
      </c>
      <c r="AS66" s="326">
        <f t="shared" si="80"/>
        <v>0</v>
      </c>
      <c r="AT66" s="326">
        <f t="shared" si="80"/>
        <v>0</v>
      </c>
      <c r="AU66" s="283"/>
      <c r="AV66" s="283"/>
    </row>
    <row r="67" spans="1:74" ht="15" customHeight="1" x14ac:dyDescent="0.25">
      <c r="B67" s="326" t="s">
        <v>403</v>
      </c>
      <c r="C67" s="333"/>
      <c r="D67" s="326"/>
      <c r="E67" s="325" t="s">
        <v>402</v>
      </c>
      <c r="F67" s="348"/>
      <c r="G67" s="334" t="str">
        <f t="shared" si="77"/>
        <v/>
      </c>
      <c r="H67" s="334"/>
      <c r="I67" s="334"/>
      <c r="J67" s="334"/>
      <c r="K67" s="335"/>
      <c r="L67" s="326">
        <f>$D67 * L$10 * L$12</f>
        <v>0</v>
      </c>
      <c r="M67" s="336">
        <f t="shared" si="78"/>
        <v>0</v>
      </c>
      <c r="N67" s="336">
        <f t="shared" si="78"/>
        <v>0</v>
      </c>
      <c r="O67" s="336">
        <f t="shared" si="78"/>
        <v>0</v>
      </c>
      <c r="P67" s="326">
        <f t="shared" si="78"/>
        <v>0</v>
      </c>
      <c r="Q67" s="337">
        <f t="shared" si="78"/>
        <v>0</v>
      </c>
      <c r="R67" s="326">
        <f t="shared" si="78"/>
        <v>0</v>
      </c>
      <c r="S67" s="336">
        <f t="shared" si="78"/>
        <v>0</v>
      </c>
      <c r="T67" s="326">
        <f t="shared" si="78"/>
        <v>0</v>
      </c>
      <c r="U67" s="326">
        <f t="shared" si="78"/>
        <v>0</v>
      </c>
      <c r="V67" s="326">
        <f t="shared" si="79"/>
        <v>0</v>
      </c>
      <c r="W67" s="326">
        <f t="shared" si="79"/>
        <v>0</v>
      </c>
      <c r="X67" s="326">
        <f t="shared" si="79"/>
        <v>0</v>
      </c>
      <c r="Y67" s="326">
        <f t="shared" si="79"/>
        <v>0</v>
      </c>
      <c r="Z67" s="326">
        <f t="shared" si="79"/>
        <v>0</v>
      </c>
      <c r="AA67" s="338">
        <f t="shared" si="79"/>
        <v>0</v>
      </c>
      <c r="AB67" s="338">
        <f t="shared" si="79"/>
        <v>0</v>
      </c>
      <c r="AC67" s="338">
        <f t="shared" si="79"/>
        <v>0</v>
      </c>
      <c r="AD67" s="326">
        <f t="shared" si="79"/>
        <v>0</v>
      </c>
      <c r="AE67" s="336">
        <f t="shared" si="79"/>
        <v>0</v>
      </c>
      <c r="AF67" s="336">
        <f t="shared" si="79"/>
        <v>0</v>
      </c>
      <c r="AG67" s="326">
        <f t="shared" si="80"/>
        <v>0</v>
      </c>
      <c r="AH67" s="336">
        <f t="shared" si="80"/>
        <v>0</v>
      </c>
      <c r="AI67" s="336">
        <f t="shared" si="80"/>
        <v>0</v>
      </c>
      <c r="AJ67" s="336">
        <f t="shared" si="80"/>
        <v>0</v>
      </c>
      <c r="AK67" s="326">
        <f t="shared" si="80"/>
        <v>0</v>
      </c>
      <c r="AL67" s="337">
        <f t="shared" si="80"/>
        <v>0</v>
      </c>
      <c r="AM67" s="326">
        <f t="shared" si="80"/>
        <v>0</v>
      </c>
      <c r="AN67" s="336">
        <f t="shared" si="80"/>
        <v>0</v>
      </c>
      <c r="AO67" s="326">
        <f t="shared" si="80"/>
        <v>0</v>
      </c>
      <c r="AP67" s="326">
        <f t="shared" si="80"/>
        <v>0</v>
      </c>
      <c r="AQ67" s="326">
        <f t="shared" si="80"/>
        <v>0</v>
      </c>
      <c r="AR67" s="326">
        <f t="shared" si="80"/>
        <v>0</v>
      </c>
      <c r="AS67" s="326">
        <f t="shared" si="80"/>
        <v>0</v>
      </c>
      <c r="AT67" s="326">
        <f t="shared" si="80"/>
        <v>0</v>
      </c>
      <c r="AU67" s="283"/>
      <c r="AV67" s="283"/>
    </row>
    <row r="68" spans="1:74" ht="15" customHeight="1" x14ac:dyDescent="0.25">
      <c r="B68" s="326" t="s">
        <v>403</v>
      </c>
      <c r="C68" s="333"/>
      <c r="D68" s="326"/>
      <c r="E68" s="325" t="s">
        <v>402</v>
      </c>
      <c r="F68" s="348"/>
      <c r="G68" s="334" t="str">
        <f t="shared" si="77"/>
        <v/>
      </c>
      <c r="H68" s="334"/>
      <c r="I68" s="334"/>
      <c r="J68" s="334"/>
      <c r="K68" s="335"/>
      <c r="L68" s="326">
        <f t="shared" si="78"/>
        <v>0</v>
      </c>
      <c r="M68" s="336">
        <f t="shared" si="78"/>
        <v>0</v>
      </c>
      <c r="N68" s="326">
        <f t="shared" si="78"/>
        <v>0</v>
      </c>
      <c r="O68" s="326">
        <f t="shared" si="78"/>
        <v>0</v>
      </c>
      <c r="P68" s="326">
        <f t="shared" si="78"/>
        <v>0</v>
      </c>
      <c r="Q68" s="337">
        <f t="shared" si="78"/>
        <v>0</v>
      </c>
      <c r="R68" s="326">
        <f t="shared" si="78"/>
        <v>0</v>
      </c>
      <c r="S68" s="336">
        <f t="shared" si="78"/>
        <v>0</v>
      </c>
      <c r="T68" s="326">
        <f t="shared" si="78"/>
        <v>0</v>
      </c>
      <c r="U68" s="326">
        <f t="shared" si="78"/>
        <v>0</v>
      </c>
      <c r="V68" s="326">
        <f t="shared" si="79"/>
        <v>0</v>
      </c>
      <c r="W68" s="326">
        <f t="shared" si="79"/>
        <v>0</v>
      </c>
      <c r="X68" s="326">
        <f t="shared" si="79"/>
        <v>0</v>
      </c>
      <c r="Y68" s="326">
        <f t="shared" si="79"/>
        <v>0</v>
      </c>
      <c r="Z68" s="326">
        <f t="shared" si="79"/>
        <v>0</v>
      </c>
      <c r="AA68" s="326">
        <f t="shared" si="79"/>
        <v>0</v>
      </c>
      <c r="AB68" s="326">
        <f t="shared" si="79"/>
        <v>0</v>
      </c>
      <c r="AC68" s="326">
        <f t="shared" si="79"/>
        <v>0</v>
      </c>
      <c r="AD68" s="326">
        <f t="shared" si="79"/>
        <v>0</v>
      </c>
      <c r="AE68" s="336">
        <f t="shared" si="79"/>
        <v>0</v>
      </c>
      <c r="AF68" s="326">
        <f t="shared" si="79"/>
        <v>0</v>
      </c>
      <c r="AG68" s="326">
        <f t="shared" si="80"/>
        <v>0</v>
      </c>
      <c r="AH68" s="336">
        <f t="shared" si="80"/>
        <v>0</v>
      </c>
      <c r="AI68" s="326">
        <f t="shared" si="80"/>
        <v>0</v>
      </c>
      <c r="AJ68" s="326">
        <f t="shared" si="80"/>
        <v>0</v>
      </c>
      <c r="AK68" s="326">
        <f t="shared" si="80"/>
        <v>0</v>
      </c>
      <c r="AL68" s="337">
        <f t="shared" si="80"/>
        <v>0</v>
      </c>
      <c r="AM68" s="326">
        <f t="shared" si="80"/>
        <v>0</v>
      </c>
      <c r="AN68" s="336">
        <f t="shared" si="80"/>
        <v>0</v>
      </c>
      <c r="AO68" s="326">
        <f t="shared" si="80"/>
        <v>0</v>
      </c>
      <c r="AP68" s="326">
        <f t="shared" si="80"/>
        <v>0</v>
      </c>
      <c r="AQ68" s="326">
        <f t="shared" si="80"/>
        <v>0</v>
      </c>
      <c r="AR68" s="326">
        <f t="shared" si="80"/>
        <v>0</v>
      </c>
      <c r="AS68" s="326">
        <f t="shared" si="80"/>
        <v>0</v>
      </c>
      <c r="AT68" s="326">
        <f t="shared" si="80"/>
        <v>0</v>
      </c>
      <c r="AU68" s="283"/>
      <c r="AV68" s="283"/>
    </row>
    <row r="69" spans="1:74" ht="15" customHeight="1" x14ac:dyDescent="0.25">
      <c r="B69" s="326" t="s">
        <v>403</v>
      </c>
      <c r="C69" s="333"/>
      <c r="D69" s="326"/>
      <c r="E69" s="325" t="s">
        <v>402</v>
      </c>
      <c r="F69" s="348"/>
      <c r="G69" s="334" t="str">
        <f t="shared" si="77"/>
        <v/>
      </c>
      <c r="H69" s="334"/>
      <c r="I69" s="334"/>
      <c r="J69" s="334"/>
      <c r="K69" s="335"/>
      <c r="L69" s="326">
        <f t="shared" si="78"/>
        <v>0</v>
      </c>
      <c r="M69" s="336">
        <f t="shared" si="78"/>
        <v>0</v>
      </c>
      <c r="N69" s="326">
        <f t="shared" si="78"/>
        <v>0</v>
      </c>
      <c r="O69" s="326">
        <f t="shared" si="78"/>
        <v>0</v>
      </c>
      <c r="P69" s="326">
        <f>$D69 * P$10 * P$12</f>
        <v>0</v>
      </c>
      <c r="Q69" s="337">
        <f t="shared" si="78"/>
        <v>0</v>
      </c>
      <c r="R69" s="326">
        <f t="shared" si="78"/>
        <v>0</v>
      </c>
      <c r="S69" s="336">
        <f t="shared" si="78"/>
        <v>0</v>
      </c>
      <c r="T69" s="326">
        <f t="shared" si="78"/>
        <v>0</v>
      </c>
      <c r="U69" s="326">
        <f t="shared" si="78"/>
        <v>0</v>
      </c>
      <c r="V69" s="326">
        <f t="shared" si="79"/>
        <v>0</v>
      </c>
      <c r="W69" s="326">
        <f t="shared" si="79"/>
        <v>0</v>
      </c>
      <c r="X69" s="326">
        <f t="shared" si="79"/>
        <v>0</v>
      </c>
      <c r="Y69" s="326">
        <f t="shared" si="79"/>
        <v>0</v>
      </c>
      <c r="Z69" s="326">
        <f t="shared" si="79"/>
        <v>0</v>
      </c>
      <c r="AA69" s="326">
        <f t="shared" si="79"/>
        <v>0</v>
      </c>
      <c r="AB69" s="326">
        <f t="shared" si="79"/>
        <v>0</v>
      </c>
      <c r="AC69" s="326">
        <f t="shared" si="79"/>
        <v>0</v>
      </c>
      <c r="AD69" s="326">
        <f t="shared" si="79"/>
        <v>0</v>
      </c>
      <c r="AE69" s="336">
        <f t="shared" si="79"/>
        <v>0</v>
      </c>
      <c r="AF69" s="326">
        <f t="shared" si="79"/>
        <v>0</v>
      </c>
      <c r="AG69" s="326">
        <f t="shared" si="80"/>
        <v>0</v>
      </c>
      <c r="AH69" s="336">
        <f t="shared" si="80"/>
        <v>0</v>
      </c>
      <c r="AI69" s="326">
        <f t="shared" si="80"/>
        <v>0</v>
      </c>
      <c r="AJ69" s="326">
        <f t="shared" si="80"/>
        <v>0</v>
      </c>
      <c r="AK69" s="326">
        <f t="shared" si="80"/>
        <v>0</v>
      </c>
      <c r="AL69" s="337">
        <f t="shared" si="80"/>
        <v>0</v>
      </c>
      <c r="AM69" s="326">
        <f t="shared" si="80"/>
        <v>0</v>
      </c>
      <c r="AN69" s="336">
        <f t="shared" si="80"/>
        <v>0</v>
      </c>
      <c r="AO69" s="326">
        <f t="shared" si="80"/>
        <v>0</v>
      </c>
      <c r="AP69" s="326">
        <f t="shared" si="80"/>
        <v>0</v>
      </c>
      <c r="AQ69" s="326">
        <f t="shared" si="80"/>
        <v>0</v>
      </c>
      <c r="AR69" s="326">
        <f t="shared" si="80"/>
        <v>0</v>
      </c>
      <c r="AS69" s="326">
        <f t="shared" si="80"/>
        <v>0</v>
      </c>
      <c r="AT69" s="326">
        <f t="shared" si="80"/>
        <v>0</v>
      </c>
      <c r="AU69" s="283"/>
      <c r="AV69" s="283"/>
    </row>
    <row r="70" spans="1:74" s="300" customFormat="1" ht="15" customHeight="1" x14ac:dyDescent="0.25">
      <c r="A70" s="283"/>
      <c r="B70" s="326" t="s">
        <v>403</v>
      </c>
      <c r="C70" s="339"/>
      <c r="D70" s="326"/>
      <c r="E70" s="325" t="s">
        <v>402</v>
      </c>
      <c r="F70" s="348"/>
      <c r="G70" s="334" t="str">
        <f t="shared" si="77"/>
        <v/>
      </c>
      <c r="H70" s="334"/>
      <c r="I70" s="334"/>
      <c r="J70" s="334"/>
      <c r="K70" s="335"/>
      <c r="L70" s="326">
        <f>$D70 * L$10 * L$12</f>
        <v>0</v>
      </c>
      <c r="M70" s="336">
        <f t="shared" si="78"/>
        <v>0</v>
      </c>
      <c r="N70" s="326">
        <f t="shared" si="78"/>
        <v>0</v>
      </c>
      <c r="O70" s="326">
        <f t="shared" si="78"/>
        <v>0</v>
      </c>
      <c r="P70" s="326">
        <f t="shared" si="78"/>
        <v>0</v>
      </c>
      <c r="Q70" s="337">
        <f t="shared" si="78"/>
        <v>0</v>
      </c>
      <c r="R70" s="326">
        <f t="shared" si="78"/>
        <v>0</v>
      </c>
      <c r="S70" s="336">
        <f t="shared" si="78"/>
        <v>0</v>
      </c>
      <c r="T70" s="326">
        <f t="shared" si="78"/>
        <v>0</v>
      </c>
      <c r="U70" s="326">
        <f t="shared" si="78"/>
        <v>0</v>
      </c>
      <c r="V70" s="326">
        <f t="shared" si="79"/>
        <v>0</v>
      </c>
      <c r="W70" s="326">
        <f t="shared" si="79"/>
        <v>0</v>
      </c>
      <c r="X70" s="326">
        <f t="shared" si="79"/>
        <v>0</v>
      </c>
      <c r="Y70" s="326">
        <f t="shared" si="79"/>
        <v>0</v>
      </c>
      <c r="Z70" s="326">
        <f t="shared" si="79"/>
        <v>0</v>
      </c>
      <c r="AA70" s="326">
        <f t="shared" si="79"/>
        <v>0</v>
      </c>
      <c r="AB70" s="326">
        <f t="shared" si="79"/>
        <v>0</v>
      </c>
      <c r="AC70" s="326">
        <f t="shared" si="79"/>
        <v>0</v>
      </c>
      <c r="AD70" s="326">
        <f t="shared" si="79"/>
        <v>0</v>
      </c>
      <c r="AE70" s="336">
        <f t="shared" si="79"/>
        <v>0</v>
      </c>
      <c r="AF70" s="326">
        <f t="shared" si="79"/>
        <v>0</v>
      </c>
      <c r="AG70" s="326">
        <f t="shared" si="80"/>
        <v>0</v>
      </c>
      <c r="AH70" s="336">
        <f t="shared" si="80"/>
        <v>0</v>
      </c>
      <c r="AI70" s="326">
        <f t="shared" si="80"/>
        <v>0</v>
      </c>
      <c r="AJ70" s="326">
        <f t="shared" si="80"/>
        <v>0</v>
      </c>
      <c r="AK70" s="326">
        <f t="shared" si="80"/>
        <v>0</v>
      </c>
      <c r="AL70" s="337">
        <f t="shared" si="80"/>
        <v>0</v>
      </c>
      <c r="AM70" s="326">
        <f t="shared" si="80"/>
        <v>0</v>
      </c>
      <c r="AN70" s="336">
        <f t="shared" si="80"/>
        <v>0</v>
      </c>
      <c r="AO70" s="326">
        <f t="shared" si="80"/>
        <v>0</v>
      </c>
      <c r="AP70" s="326">
        <f t="shared" si="80"/>
        <v>0</v>
      </c>
      <c r="AQ70" s="326">
        <f t="shared" si="80"/>
        <v>0</v>
      </c>
      <c r="AR70" s="326">
        <f t="shared" si="80"/>
        <v>0</v>
      </c>
      <c r="AS70" s="326">
        <f t="shared" si="80"/>
        <v>0</v>
      </c>
      <c r="AT70" s="326">
        <f t="shared" si="80"/>
        <v>0</v>
      </c>
      <c r="AU70" s="283"/>
      <c r="AV70" s="283"/>
      <c r="AW70" s="280"/>
      <c r="AX70" s="280"/>
      <c r="AY70" s="280"/>
      <c r="AZ70" s="280"/>
      <c r="BA70" s="280"/>
      <c r="BB70" s="280"/>
      <c r="BC70" s="280"/>
      <c r="BD70" s="280"/>
      <c r="BE70" s="280"/>
      <c r="BF70" s="280"/>
      <c r="BG70" s="280"/>
      <c r="BH70" s="280"/>
      <c r="BI70" s="280"/>
      <c r="BJ70" s="280"/>
      <c r="BK70" s="280"/>
      <c r="BL70" s="280"/>
      <c r="BM70" s="280"/>
      <c r="BN70" s="280"/>
      <c r="BO70" s="280"/>
      <c r="BP70" s="280"/>
      <c r="BQ70" s="280"/>
      <c r="BR70" s="280"/>
      <c r="BS70" s="280"/>
      <c r="BT70" s="280"/>
      <c r="BU70" s="280"/>
      <c r="BV70" s="280"/>
    </row>
    <row r="71" spans="1:74" ht="15" customHeight="1" x14ac:dyDescent="0.25">
      <c r="B71" s="326" t="s">
        <v>403</v>
      </c>
      <c r="C71" s="333"/>
      <c r="D71" s="326"/>
      <c r="E71" s="325" t="s">
        <v>402</v>
      </c>
      <c r="F71" s="348"/>
      <c r="G71" s="334" t="str">
        <f t="shared" si="77"/>
        <v/>
      </c>
      <c r="H71" s="334"/>
      <c r="I71" s="334"/>
      <c r="J71" s="334"/>
      <c r="K71" s="335"/>
      <c r="L71" s="326">
        <f t="shared" si="78"/>
        <v>0</v>
      </c>
      <c r="M71" s="336">
        <f t="shared" si="78"/>
        <v>0</v>
      </c>
      <c r="N71" s="326">
        <f t="shared" si="78"/>
        <v>0</v>
      </c>
      <c r="O71" s="326">
        <f t="shared" si="78"/>
        <v>0</v>
      </c>
      <c r="P71" s="326">
        <f t="shared" si="78"/>
        <v>0</v>
      </c>
      <c r="Q71" s="337">
        <f t="shared" si="78"/>
        <v>0</v>
      </c>
      <c r="R71" s="326">
        <f t="shared" si="78"/>
        <v>0</v>
      </c>
      <c r="S71" s="336">
        <f t="shared" si="78"/>
        <v>0</v>
      </c>
      <c r="T71" s="326">
        <f t="shared" si="78"/>
        <v>0</v>
      </c>
      <c r="U71" s="326">
        <f t="shared" si="78"/>
        <v>0</v>
      </c>
      <c r="V71" s="326">
        <f t="shared" si="79"/>
        <v>0</v>
      </c>
      <c r="W71" s="326">
        <f t="shared" si="79"/>
        <v>0</v>
      </c>
      <c r="X71" s="326">
        <f t="shared" si="79"/>
        <v>0</v>
      </c>
      <c r="Y71" s="326">
        <f t="shared" si="79"/>
        <v>0</v>
      </c>
      <c r="Z71" s="326">
        <f t="shared" si="79"/>
        <v>0</v>
      </c>
      <c r="AA71" s="326">
        <f t="shared" si="79"/>
        <v>0</v>
      </c>
      <c r="AB71" s="326">
        <f t="shared" si="79"/>
        <v>0</v>
      </c>
      <c r="AC71" s="326">
        <f t="shared" si="79"/>
        <v>0</v>
      </c>
      <c r="AD71" s="326">
        <f t="shared" si="79"/>
        <v>0</v>
      </c>
      <c r="AE71" s="336">
        <f t="shared" si="79"/>
        <v>0</v>
      </c>
      <c r="AF71" s="326">
        <f t="shared" si="79"/>
        <v>0</v>
      </c>
      <c r="AG71" s="326">
        <f t="shared" si="80"/>
        <v>0</v>
      </c>
      <c r="AH71" s="336">
        <f t="shared" si="80"/>
        <v>0</v>
      </c>
      <c r="AI71" s="326">
        <f t="shared" si="80"/>
        <v>0</v>
      </c>
      <c r="AJ71" s="326">
        <f t="shared" si="80"/>
        <v>0</v>
      </c>
      <c r="AK71" s="326">
        <f t="shared" si="80"/>
        <v>0</v>
      </c>
      <c r="AL71" s="337">
        <f t="shared" si="80"/>
        <v>0</v>
      </c>
      <c r="AM71" s="326">
        <f t="shared" si="80"/>
        <v>0</v>
      </c>
      <c r="AN71" s="336">
        <f t="shared" si="80"/>
        <v>0</v>
      </c>
      <c r="AO71" s="326">
        <f t="shared" si="80"/>
        <v>0</v>
      </c>
      <c r="AP71" s="326">
        <f t="shared" si="80"/>
        <v>0</v>
      </c>
      <c r="AQ71" s="326">
        <f t="shared" si="80"/>
        <v>0</v>
      </c>
      <c r="AR71" s="326">
        <f t="shared" si="80"/>
        <v>0</v>
      </c>
      <c r="AS71" s="326">
        <f t="shared" si="80"/>
        <v>0</v>
      </c>
      <c r="AT71" s="326">
        <f t="shared" si="80"/>
        <v>0</v>
      </c>
      <c r="AU71" s="283"/>
      <c r="AV71" s="283"/>
    </row>
    <row r="72" spans="1:74" ht="15" customHeight="1" x14ac:dyDescent="0.25">
      <c r="B72" s="326" t="s">
        <v>403</v>
      </c>
      <c r="C72" s="333"/>
      <c r="D72" s="326"/>
      <c r="E72" s="325" t="s">
        <v>402</v>
      </c>
      <c r="F72" s="348"/>
      <c r="G72" s="334" t="str">
        <f t="shared" si="77"/>
        <v/>
      </c>
      <c r="H72" s="334"/>
      <c r="I72" s="334"/>
      <c r="J72" s="334"/>
      <c r="K72" s="335"/>
      <c r="L72" s="326">
        <f t="shared" si="78"/>
        <v>0</v>
      </c>
      <c r="M72" s="336">
        <f t="shared" si="78"/>
        <v>0</v>
      </c>
      <c r="N72" s="326">
        <f t="shared" si="78"/>
        <v>0</v>
      </c>
      <c r="O72" s="326">
        <f t="shared" si="78"/>
        <v>0</v>
      </c>
      <c r="P72" s="326">
        <f t="shared" si="78"/>
        <v>0</v>
      </c>
      <c r="Q72" s="337">
        <f t="shared" si="78"/>
        <v>0</v>
      </c>
      <c r="R72" s="326">
        <f t="shared" si="78"/>
        <v>0</v>
      </c>
      <c r="S72" s="336">
        <f t="shared" si="78"/>
        <v>0</v>
      </c>
      <c r="T72" s="326">
        <f t="shared" si="78"/>
        <v>0</v>
      </c>
      <c r="U72" s="326">
        <f t="shared" si="78"/>
        <v>0</v>
      </c>
      <c r="V72" s="326">
        <f t="shared" si="79"/>
        <v>0</v>
      </c>
      <c r="W72" s="326">
        <f t="shared" si="79"/>
        <v>0</v>
      </c>
      <c r="X72" s="326">
        <f t="shared" si="79"/>
        <v>0</v>
      </c>
      <c r="Y72" s="326">
        <f t="shared" si="79"/>
        <v>0</v>
      </c>
      <c r="Z72" s="326">
        <f t="shared" si="79"/>
        <v>0</v>
      </c>
      <c r="AA72" s="326">
        <f t="shared" si="79"/>
        <v>0</v>
      </c>
      <c r="AB72" s="326">
        <f t="shared" si="79"/>
        <v>0</v>
      </c>
      <c r="AC72" s="326">
        <f t="shared" si="79"/>
        <v>0</v>
      </c>
      <c r="AD72" s="326">
        <f t="shared" si="79"/>
        <v>0</v>
      </c>
      <c r="AE72" s="336">
        <f t="shared" si="79"/>
        <v>0</v>
      </c>
      <c r="AF72" s="326">
        <f t="shared" si="79"/>
        <v>0</v>
      </c>
      <c r="AG72" s="326">
        <f t="shared" si="80"/>
        <v>0</v>
      </c>
      <c r="AH72" s="336">
        <f t="shared" si="80"/>
        <v>0</v>
      </c>
      <c r="AI72" s="326">
        <f t="shared" si="80"/>
        <v>0</v>
      </c>
      <c r="AJ72" s="326">
        <f t="shared" si="80"/>
        <v>0</v>
      </c>
      <c r="AK72" s="326">
        <f t="shared" si="80"/>
        <v>0</v>
      </c>
      <c r="AL72" s="337">
        <f t="shared" si="80"/>
        <v>0</v>
      </c>
      <c r="AM72" s="326">
        <f t="shared" si="80"/>
        <v>0</v>
      </c>
      <c r="AN72" s="336">
        <f t="shared" si="80"/>
        <v>0</v>
      </c>
      <c r="AO72" s="326">
        <f t="shared" si="80"/>
        <v>0</v>
      </c>
      <c r="AP72" s="326">
        <f t="shared" si="80"/>
        <v>0</v>
      </c>
      <c r="AQ72" s="326">
        <f t="shared" si="80"/>
        <v>0</v>
      </c>
      <c r="AR72" s="326">
        <f t="shared" si="80"/>
        <v>0</v>
      </c>
      <c r="AS72" s="326">
        <f t="shared" si="80"/>
        <v>0</v>
      </c>
      <c r="AT72" s="326">
        <f t="shared" si="80"/>
        <v>0</v>
      </c>
      <c r="AU72" s="283"/>
      <c r="AV72" s="283"/>
    </row>
    <row r="73" spans="1:74" s="300" customFormat="1" ht="15" customHeight="1" x14ac:dyDescent="0.25">
      <c r="A73" s="283"/>
      <c r="B73" s="326" t="s">
        <v>403</v>
      </c>
      <c r="C73" s="339"/>
      <c r="D73" s="326"/>
      <c r="E73" s="325" t="s">
        <v>402</v>
      </c>
      <c r="F73" s="348"/>
      <c r="G73" s="334" t="str">
        <f t="shared" si="77"/>
        <v/>
      </c>
      <c r="H73" s="334"/>
      <c r="I73" s="334"/>
      <c r="J73" s="334"/>
      <c r="K73" s="335"/>
      <c r="L73" s="326">
        <f t="shared" si="78"/>
        <v>0</v>
      </c>
      <c r="M73" s="336">
        <f t="shared" si="78"/>
        <v>0</v>
      </c>
      <c r="N73" s="326">
        <f t="shared" si="78"/>
        <v>0</v>
      </c>
      <c r="O73" s="326">
        <f t="shared" si="78"/>
        <v>0</v>
      </c>
      <c r="P73" s="326">
        <f t="shared" si="78"/>
        <v>0</v>
      </c>
      <c r="Q73" s="337">
        <f t="shared" si="78"/>
        <v>0</v>
      </c>
      <c r="R73" s="326">
        <f t="shared" si="78"/>
        <v>0</v>
      </c>
      <c r="S73" s="336">
        <f t="shared" si="78"/>
        <v>0</v>
      </c>
      <c r="T73" s="326">
        <f t="shared" si="78"/>
        <v>0</v>
      </c>
      <c r="U73" s="326">
        <f t="shared" si="78"/>
        <v>0</v>
      </c>
      <c r="V73" s="326">
        <f t="shared" si="79"/>
        <v>0</v>
      </c>
      <c r="W73" s="326">
        <f t="shared" si="79"/>
        <v>0</v>
      </c>
      <c r="X73" s="326">
        <f t="shared" si="79"/>
        <v>0</v>
      </c>
      <c r="Y73" s="326">
        <f t="shared" si="79"/>
        <v>0</v>
      </c>
      <c r="Z73" s="326">
        <f t="shared" si="79"/>
        <v>0</v>
      </c>
      <c r="AA73" s="326">
        <f t="shared" si="79"/>
        <v>0</v>
      </c>
      <c r="AB73" s="326">
        <f t="shared" si="79"/>
        <v>0</v>
      </c>
      <c r="AC73" s="326">
        <f t="shared" si="79"/>
        <v>0</v>
      </c>
      <c r="AD73" s="326">
        <f t="shared" si="79"/>
        <v>0</v>
      </c>
      <c r="AE73" s="336">
        <f t="shared" si="79"/>
        <v>0</v>
      </c>
      <c r="AF73" s="326">
        <f t="shared" si="79"/>
        <v>0</v>
      </c>
      <c r="AG73" s="326">
        <f t="shared" si="80"/>
        <v>0</v>
      </c>
      <c r="AH73" s="336">
        <f t="shared" si="80"/>
        <v>0</v>
      </c>
      <c r="AI73" s="326">
        <f t="shared" si="80"/>
        <v>0</v>
      </c>
      <c r="AJ73" s="326">
        <f t="shared" si="80"/>
        <v>0</v>
      </c>
      <c r="AK73" s="326">
        <f t="shared" si="80"/>
        <v>0</v>
      </c>
      <c r="AL73" s="337">
        <f t="shared" si="80"/>
        <v>0</v>
      </c>
      <c r="AM73" s="326">
        <f t="shared" si="80"/>
        <v>0</v>
      </c>
      <c r="AN73" s="336">
        <f t="shared" si="80"/>
        <v>0</v>
      </c>
      <c r="AO73" s="326">
        <f t="shared" si="80"/>
        <v>0</v>
      </c>
      <c r="AP73" s="326">
        <f t="shared" si="80"/>
        <v>0</v>
      </c>
      <c r="AQ73" s="326">
        <f t="shared" si="80"/>
        <v>0</v>
      </c>
      <c r="AR73" s="326">
        <f t="shared" si="80"/>
        <v>0</v>
      </c>
      <c r="AS73" s="326">
        <f t="shared" si="80"/>
        <v>0</v>
      </c>
      <c r="AT73" s="326">
        <f t="shared" si="80"/>
        <v>0</v>
      </c>
      <c r="AU73" s="283"/>
      <c r="AV73" s="283"/>
      <c r="AW73" s="280"/>
      <c r="AX73" s="280"/>
      <c r="AY73" s="280"/>
      <c r="AZ73" s="280"/>
      <c r="BA73" s="280"/>
      <c r="BB73" s="280"/>
      <c r="BC73" s="280"/>
      <c r="BD73" s="280"/>
      <c r="BE73" s="280"/>
      <c r="BF73" s="280"/>
      <c r="BG73" s="280"/>
      <c r="BH73" s="280"/>
      <c r="BI73" s="280"/>
      <c r="BJ73" s="280"/>
      <c r="BK73" s="280"/>
      <c r="BL73" s="280"/>
      <c r="BM73" s="280"/>
      <c r="BN73" s="280"/>
      <c r="BO73" s="280"/>
      <c r="BP73" s="280"/>
      <c r="BQ73" s="280"/>
      <c r="BR73" s="280"/>
      <c r="BS73" s="280"/>
      <c r="BT73" s="280"/>
      <c r="BU73" s="280"/>
      <c r="BV73" s="280"/>
    </row>
    <row r="74" spans="1:74" s="300" customFormat="1" ht="15" customHeight="1" x14ac:dyDescent="0.25">
      <c r="A74" s="283"/>
      <c r="B74" s="302"/>
      <c r="C74" s="283"/>
      <c r="D74" s="283"/>
      <c r="E74" s="283"/>
      <c r="F74" s="283"/>
      <c r="G74" s="324"/>
      <c r="H74" s="283"/>
      <c r="I74" s="283"/>
      <c r="J74" s="283"/>
      <c r="K74" s="283"/>
      <c r="L74" s="283"/>
      <c r="M74" s="283"/>
      <c r="N74" s="283"/>
      <c r="O74" s="283"/>
      <c r="P74" s="283"/>
      <c r="Q74" s="283"/>
      <c r="R74" s="283"/>
      <c r="S74" s="283"/>
      <c r="T74" s="283"/>
      <c r="U74" s="283"/>
      <c r="V74" s="283"/>
      <c r="W74" s="283"/>
      <c r="X74" s="283"/>
      <c r="Y74" s="283"/>
      <c r="Z74" s="283"/>
      <c r="AA74" s="281"/>
      <c r="AB74" s="305"/>
      <c r="AC74" s="305"/>
      <c r="AD74" s="305"/>
      <c r="AE74" s="305"/>
      <c r="AF74" s="305"/>
      <c r="AG74" s="305"/>
      <c r="AH74" s="305"/>
      <c r="AI74" s="305"/>
      <c r="AJ74" s="305"/>
      <c r="AK74" s="305"/>
      <c r="AL74" s="305"/>
      <c r="AM74" s="305"/>
      <c r="AN74" s="305"/>
      <c r="AO74" s="305"/>
      <c r="AP74" s="305"/>
      <c r="AQ74" s="305"/>
      <c r="AR74" s="305"/>
      <c r="AS74" s="305"/>
      <c r="AT74" s="308"/>
      <c r="AU74" s="283"/>
      <c r="AV74" s="283"/>
      <c r="AW74" s="280"/>
      <c r="AX74" s="280"/>
      <c r="AY74" s="280"/>
      <c r="AZ74" s="280"/>
      <c r="BA74" s="280"/>
      <c r="BB74" s="280"/>
      <c r="BC74" s="280"/>
      <c r="BD74" s="280"/>
      <c r="BE74" s="280"/>
      <c r="BF74" s="280"/>
      <c r="BG74" s="280"/>
      <c r="BH74" s="280"/>
      <c r="BI74" s="280"/>
      <c r="BJ74" s="280"/>
      <c r="BK74" s="280"/>
      <c r="BL74" s="280"/>
      <c r="BM74" s="280"/>
      <c r="BN74" s="280"/>
      <c r="BO74" s="280"/>
      <c r="BP74" s="280"/>
      <c r="BQ74" s="280"/>
      <c r="BR74" s="280"/>
      <c r="BS74" s="280"/>
      <c r="BT74" s="280"/>
      <c r="BU74" s="280"/>
      <c r="BV74" s="280"/>
    </row>
    <row r="75" spans="1:74" s="300" customFormat="1" ht="15" customHeight="1" x14ac:dyDescent="0.25">
      <c r="A75" s="283"/>
      <c r="B75" s="340" t="s">
        <v>404</v>
      </c>
      <c r="C75" s="341"/>
      <c r="D75" s="342">
        <f>Mijlpalenbegroting!J246</f>
        <v>0</v>
      </c>
      <c r="E75" s="315" t="s">
        <v>405</v>
      </c>
      <c r="F75" s="316"/>
      <c r="G75" s="334" t="str">
        <f>IF(D75&lt;&gt;SUM(L75:Q75),"Verdeel het bedrag over de jaren -&gt;","")</f>
        <v/>
      </c>
      <c r="H75" s="334"/>
      <c r="I75" s="334"/>
      <c r="J75" s="334"/>
      <c r="K75" s="335"/>
      <c r="L75" s="326"/>
      <c r="M75" s="326"/>
      <c r="N75" s="326"/>
      <c r="O75" s="326"/>
      <c r="P75" s="337"/>
      <c r="Q75" s="326"/>
      <c r="R75" s="326"/>
      <c r="S75" s="326"/>
      <c r="T75" s="305"/>
      <c r="U75" s="305"/>
      <c r="V75" s="305"/>
      <c r="W75" s="305"/>
      <c r="X75" s="305"/>
      <c r="Y75" s="305"/>
      <c r="Z75" s="305"/>
      <c r="AA75" s="305"/>
      <c r="AB75" s="305"/>
      <c r="AC75" s="305"/>
      <c r="AD75" s="305"/>
      <c r="AE75" s="305"/>
      <c r="AF75" s="305"/>
      <c r="AG75" s="305"/>
      <c r="AH75" s="305"/>
      <c r="AI75" s="305"/>
      <c r="AJ75" s="305"/>
      <c r="AK75" s="305"/>
      <c r="AL75" s="305"/>
      <c r="AM75" s="305"/>
      <c r="AN75" s="305"/>
      <c r="AO75" s="305"/>
      <c r="AP75" s="305"/>
      <c r="AQ75" s="305"/>
      <c r="AR75" s="305"/>
      <c r="AS75" s="305"/>
      <c r="AT75" s="308"/>
      <c r="AU75" s="283"/>
      <c r="AV75" s="283"/>
      <c r="AW75" s="280"/>
      <c r="AX75" s="280"/>
      <c r="AY75" s="280"/>
      <c r="AZ75" s="280"/>
      <c r="BA75" s="280"/>
      <c r="BB75" s="280"/>
      <c r="BC75" s="280"/>
      <c r="BD75" s="280"/>
      <c r="BE75" s="280"/>
      <c r="BF75" s="280"/>
      <c r="BG75" s="280"/>
      <c r="BH75" s="280"/>
      <c r="BI75" s="280"/>
      <c r="BJ75" s="280"/>
      <c r="BK75" s="280"/>
      <c r="BL75" s="280"/>
      <c r="BM75" s="280"/>
      <c r="BN75" s="280"/>
      <c r="BO75" s="280"/>
      <c r="BP75" s="280"/>
      <c r="BQ75" s="280"/>
      <c r="BR75" s="280"/>
      <c r="BS75" s="280"/>
      <c r="BT75" s="280"/>
      <c r="BU75" s="280"/>
      <c r="BV75" s="280"/>
    </row>
    <row r="76" spans="1:74" s="300" customFormat="1" ht="15" customHeight="1" x14ac:dyDescent="0.25">
      <c r="A76" s="283"/>
      <c r="B76" s="302"/>
      <c r="C76" s="283"/>
      <c r="D76" s="343"/>
      <c r="E76" s="283"/>
      <c r="F76" s="283"/>
      <c r="G76" s="324"/>
      <c r="H76" s="283"/>
      <c r="I76" s="283"/>
      <c r="J76" s="283"/>
      <c r="K76" s="283"/>
      <c r="L76" s="283"/>
      <c r="M76" s="283"/>
      <c r="N76" s="283"/>
      <c r="O76" s="283"/>
      <c r="P76" s="283"/>
      <c r="Q76" s="283"/>
      <c r="R76" s="283"/>
      <c r="S76" s="283"/>
      <c r="T76" s="283"/>
      <c r="U76" s="283"/>
      <c r="V76" s="283"/>
      <c r="W76" s="283"/>
      <c r="X76" s="283"/>
      <c r="Y76" s="283"/>
      <c r="Z76" s="283"/>
      <c r="AA76" s="283"/>
      <c r="AB76" s="283"/>
      <c r="AC76" s="283"/>
      <c r="AD76" s="283"/>
      <c r="AE76" s="283"/>
      <c r="AF76" s="283"/>
      <c r="AG76" s="283"/>
      <c r="AH76" s="283"/>
      <c r="AI76" s="283"/>
      <c r="AJ76" s="283"/>
      <c r="AK76" s="283"/>
      <c r="AL76" s="283"/>
      <c r="AM76" s="283"/>
      <c r="AN76" s="283"/>
      <c r="AO76" s="283"/>
      <c r="AP76" s="283"/>
      <c r="AQ76" s="283"/>
      <c r="AR76" s="283"/>
      <c r="AS76" s="283"/>
      <c r="AU76" s="283"/>
      <c r="AV76" s="283"/>
      <c r="AW76" s="280"/>
      <c r="AX76" s="280"/>
      <c r="AY76" s="280"/>
      <c r="AZ76" s="280"/>
      <c r="BA76" s="280"/>
      <c r="BB76" s="280"/>
      <c r="BC76" s="280"/>
      <c r="BD76" s="280"/>
      <c r="BE76" s="280"/>
      <c r="BF76" s="280"/>
      <c r="BG76" s="280"/>
      <c r="BH76" s="280"/>
      <c r="BI76" s="280"/>
      <c r="BJ76" s="280"/>
      <c r="BK76" s="280"/>
      <c r="BL76" s="280"/>
      <c r="BM76" s="280"/>
      <c r="BN76" s="280"/>
      <c r="BO76" s="280"/>
      <c r="BP76" s="280"/>
      <c r="BQ76" s="280"/>
      <c r="BR76" s="280"/>
      <c r="BS76" s="280"/>
      <c r="BT76" s="280"/>
      <c r="BU76" s="280"/>
      <c r="BV76" s="280"/>
    </row>
    <row r="77" spans="1:74" s="300" customFormat="1" ht="15" customHeight="1" x14ac:dyDescent="0.25">
      <c r="A77" s="283"/>
      <c r="B77" s="344" t="s">
        <v>406</v>
      </c>
      <c r="C77" s="319"/>
      <c r="D77" s="303"/>
      <c r="E77" s="303"/>
      <c r="F77" s="303"/>
      <c r="G77" s="1002"/>
      <c r="H77" s="303"/>
      <c r="I77" s="303"/>
      <c r="J77" s="303"/>
      <c r="K77" s="303"/>
      <c r="L77" s="319">
        <f t="shared" ref="L77:AT77" si="81">SUM(L66:L75)*L10</f>
        <v>0</v>
      </c>
      <c r="M77" s="319">
        <f t="shared" si="81"/>
        <v>0</v>
      </c>
      <c r="N77" s="319">
        <f t="shared" si="81"/>
        <v>0</v>
      </c>
      <c r="O77" s="319">
        <f t="shared" si="81"/>
        <v>0</v>
      </c>
      <c r="P77" s="319">
        <f t="shared" si="81"/>
        <v>0</v>
      </c>
      <c r="Q77" s="319">
        <f t="shared" si="81"/>
        <v>0</v>
      </c>
      <c r="R77" s="319">
        <f t="shared" si="81"/>
        <v>0</v>
      </c>
      <c r="S77" s="319">
        <f t="shared" si="81"/>
        <v>0</v>
      </c>
      <c r="T77" s="319">
        <f t="shared" si="81"/>
        <v>0</v>
      </c>
      <c r="U77" s="319">
        <f t="shared" si="81"/>
        <v>0</v>
      </c>
      <c r="V77" s="319">
        <f t="shared" si="81"/>
        <v>0</v>
      </c>
      <c r="W77" s="319">
        <f t="shared" si="81"/>
        <v>0</v>
      </c>
      <c r="X77" s="319">
        <f t="shared" si="81"/>
        <v>0</v>
      </c>
      <c r="Y77" s="319">
        <f t="shared" si="81"/>
        <v>0</v>
      </c>
      <c r="Z77" s="319">
        <f t="shared" si="81"/>
        <v>0</v>
      </c>
      <c r="AA77" s="319">
        <f t="shared" si="81"/>
        <v>0</v>
      </c>
      <c r="AB77" s="319">
        <f t="shared" si="81"/>
        <v>0</v>
      </c>
      <c r="AC77" s="319">
        <f t="shared" si="81"/>
        <v>0</v>
      </c>
      <c r="AD77" s="319">
        <f t="shared" si="81"/>
        <v>0</v>
      </c>
      <c r="AE77" s="319">
        <f t="shared" si="81"/>
        <v>0</v>
      </c>
      <c r="AF77" s="319">
        <f t="shared" si="81"/>
        <v>0</v>
      </c>
      <c r="AG77" s="319">
        <f t="shared" si="81"/>
        <v>0</v>
      </c>
      <c r="AH77" s="319">
        <f t="shared" si="81"/>
        <v>0</v>
      </c>
      <c r="AI77" s="319">
        <f t="shared" si="81"/>
        <v>0</v>
      </c>
      <c r="AJ77" s="319">
        <f t="shared" si="81"/>
        <v>0</v>
      </c>
      <c r="AK77" s="319">
        <f t="shared" si="81"/>
        <v>0</v>
      </c>
      <c r="AL77" s="319">
        <f t="shared" si="81"/>
        <v>0</v>
      </c>
      <c r="AM77" s="319">
        <f t="shared" si="81"/>
        <v>0</v>
      </c>
      <c r="AN77" s="319">
        <f t="shared" si="81"/>
        <v>0</v>
      </c>
      <c r="AO77" s="319">
        <f t="shared" si="81"/>
        <v>0</v>
      </c>
      <c r="AP77" s="319">
        <f t="shared" si="81"/>
        <v>0</v>
      </c>
      <c r="AQ77" s="319">
        <f t="shared" si="81"/>
        <v>0</v>
      </c>
      <c r="AR77" s="319">
        <f t="shared" si="81"/>
        <v>0</v>
      </c>
      <c r="AS77" s="319">
        <f t="shared" si="81"/>
        <v>0</v>
      </c>
      <c r="AT77" s="424">
        <f t="shared" si="81"/>
        <v>0</v>
      </c>
      <c r="AU77" s="283"/>
      <c r="AV77" s="283"/>
      <c r="AW77" s="280"/>
      <c r="AX77" s="280"/>
      <c r="AY77" s="280"/>
      <c r="AZ77" s="280"/>
      <c r="BA77" s="280"/>
      <c r="BB77" s="280"/>
      <c r="BC77" s="280"/>
      <c r="BD77" s="280"/>
      <c r="BE77" s="280"/>
      <c r="BF77" s="280"/>
      <c r="BG77" s="280"/>
      <c r="BH77" s="280"/>
      <c r="BI77" s="280"/>
      <c r="BJ77" s="280"/>
      <c r="BK77" s="280"/>
      <c r="BL77" s="280"/>
      <c r="BM77" s="280"/>
      <c r="BN77" s="280"/>
      <c r="BO77" s="280"/>
      <c r="BP77" s="280"/>
      <c r="BQ77" s="280"/>
      <c r="BR77" s="280"/>
      <c r="BS77" s="280"/>
      <c r="BT77" s="280"/>
      <c r="BU77" s="280"/>
      <c r="BV77" s="280"/>
    </row>
    <row r="78" spans="1:74" s="320" customFormat="1" ht="15" customHeight="1" x14ac:dyDescent="0.25">
      <c r="A78" s="317"/>
      <c r="B78" s="378"/>
      <c r="C78" s="317"/>
      <c r="D78" s="317"/>
      <c r="E78" s="317"/>
      <c r="F78" s="317"/>
      <c r="G78" s="343"/>
      <c r="H78" s="317"/>
      <c r="I78" s="317"/>
      <c r="J78" s="317"/>
      <c r="K78" s="317"/>
      <c r="L78" s="317"/>
      <c r="M78" s="317"/>
      <c r="N78" s="317"/>
      <c r="O78" s="317"/>
      <c r="P78" s="317"/>
      <c r="Q78" s="317"/>
      <c r="R78" s="317"/>
      <c r="S78" s="317"/>
      <c r="T78" s="317"/>
      <c r="U78" s="317"/>
      <c r="V78" s="317"/>
      <c r="W78" s="317"/>
      <c r="X78" s="317"/>
      <c r="Y78" s="317"/>
      <c r="Z78" s="317"/>
      <c r="AA78" s="317"/>
      <c r="AB78" s="317"/>
      <c r="AC78" s="317"/>
      <c r="AD78" s="317"/>
      <c r="AE78" s="317"/>
      <c r="AF78" s="317"/>
      <c r="AG78" s="317"/>
      <c r="AH78" s="317"/>
      <c r="AI78" s="317"/>
      <c r="AJ78" s="317"/>
      <c r="AK78" s="317"/>
      <c r="AL78" s="317"/>
      <c r="AM78" s="317"/>
      <c r="AN78" s="317"/>
      <c r="AO78" s="317"/>
      <c r="AP78" s="317"/>
      <c r="AQ78" s="317"/>
      <c r="AR78" s="317"/>
      <c r="AS78" s="317"/>
      <c r="AT78" s="317"/>
      <c r="AU78" s="317"/>
      <c r="AV78" s="317"/>
      <c r="AW78" s="285"/>
      <c r="AX78" s="285"/>
      <c r="AY78" s="285"/>
      <c r="AZ78" s="285"/>
      <c r="BA78" s="285"/>
      <c r="BB78" s="285"/>
      <c r="BC78" s="285"/>
      <c r="BD78" s="285"/>
      <c r="BE78" s="285"/>
      <c r="BF78" s="285"/>
      <c r="BG78" s="285"/>
      <c r="BH78" s="285"/>
      <c r="BI78" s="285"/>
      <c r="BJ78" s="285"/>
      <c r="BK78" s="285"/>
      <c r="BL78" s="285"/>
      <c r="BM78" s="285"/>
      <c r="BN78" s="285"/>
      <c r="BO78" s="285"/>
      <c r="BP78" s="285"/>
      <c r="BQ78" s="285"/>
      <c r="BR78" s="285"/>
      <c r="BS78" s="285"/>
      <c r="BT78" s="285"/>
      <c r="BU78" s="285"/>
      <c r="BV78" s="285"/>
    </row>
    <row r="79" spans="1:74" s="300" customFormat="1" ht="15" customHeight="1" x14ac:dyDescent="0.25">
      <c r="A79" s="283"/>
      <c r="B79" s="296" t="s">
        <v>407</v>
      </c>
      <c r="C79" s="297"/>
      <c r="D79" s="301"/>
      <c r="E79" s="301"/>
      <c r="F79" s="301"/>
      <c r="G79" s="1003"/>
      <c r="H79" s="287"/>
      <c r="I79" s="287"/>
      <c r="J79" s="287"/>
      <c r="K79" s="287"/>
      <c r="L79" s="299">
        <f>$D$5</f>
        <v>1900</v>
      </c>
      <c r="M79" s="298">
        <f t="shared" ref="M79:AT79" si="82" xml:space="preserve"> L79 + 1</f>
        <v>1901</v>
      </c>
      <c r="N79" s="298">
        <f t="shared" si="82"/>
        <v>1902</v>
      </c>
      <c r="O79" s="298">
        <f t="shared" si="82"/>
        <v>1903</v>
      </c>
      <c r="P79" s="298">
        <f t="shared" si="82"/>
        <v>1904</v>
      </c>
      <c r="Q79" s="298">
        <f t="shared" si="82"/>
        <v>1905</v>
      </c>
      <c r="R79" s="299">
        <f t="shared" si="82"/>
        <v>1906</v>
      </c>
      <c r="S79" s="298">
        <f t="shared" si="82"/>
        <v>1907</v>
      </c>
      <c r="T79" s="298">
        <f t="shared" si="82"/>
        <v>1908</v>
      </c>
      <c r="U79" s="298">
        <f t="shared" si="82"/>
        <v>1909</v>
      </c>
      <c r="V79" s="298">
        <f xml:space="preserve"> U79 + 1</f>
        <v>1910</v>
      </c>
      <c r="W79" s="298">
        <f t="shared" si="82"/>
        <v>1911</v>
      </c>
      <c r="X79" s="298">
        <f t="shared" si="82"/>
        <v>1912</v>
      </c>
      <c r="Y79" s="298">
        <f t="shared" si="82"/>
        <v>1913</v>
      </c>
      <c r="Z79" s="298">
        <f t="shared" si="82"/>
        <v>1914</v>
      </c>
      <c r="AA79" s="298">
        <f t="shared" si="82"/>
        <v>1915</v>
      </c>
      <c r="AB79" s="299">
        <f t="shared" si="82"/>
        <v>1916</v>
      </c>
      <c r="AC79" s="298">
        <f t="shared" si="82"/>
        <v>1917</v>
      </c>
      <c r="AD79" s="298">
        <f t="shared" si="82"/>
        <v>1918</v>
      </c>
      <c r="AE79" s="298">
        <f t="shared" si="82"/>
        <v>1919</v>
      </c>
      <c r="AF79" s="298">
        <f t="shared" si="82"/>
        <v>1920</v>
      </c>
      <c r="AG79" s="298">
        <f t="shared" si="82"/>
        <v>1921</v>
      </c>
      <c r="AH79" s="298">
        <f t="shared" si="82"/>
        <v>1922</v>
      </c>
      <c r="AI79" s="298">
        <f t="shared" si="82"/>
        <v>1923</v>
      </c>
      <c r="AJ79" s="298">
        <f t="shared" si="82"/>
        <v>1924</v>
      </c>
      <c r="AK79" s="298">
        <f t="shared" si="82"/>
        <v>1925</v>
      </c>
      <c r="AL79" s="298">
        <f t="shared" si="82"/>
        <v>1926</v>
      </c>
      <c r="AM79" s="298">
        <f t="shared" si="82"/>
        <v>1927</v>
      </c>
      <c r="AN79" s="298">
        <f t="shared" si="82"/>
        <v>1928</v>
      </c>
      <c r="AO79" s="298">
        <f t="shared" si="82"/>
        <v>1929</v>
      </c>
      <c r="AP79" s="298">
        <f t="shared" si="82"/>
        <v>1930</v>
      </c>
      <c r="AQ79" s="298">
        <f t="shared" si="82"/>
        <v>1931</v>
      </c>
      <c r="AR79" s="298">
        <f t="shared" si="82"/>
        <v>1932</v>
      </c>
      <c r="AS79" s="298">
        <f t="shared" si="82"/>
        <v>1933</v>
      </c>
      <c r="AT79" s="423">
        <f t="shared" si="82"/>
        <v>1934</v>
      </c>
      <c r="AU79" s="283"/>
      <c r="AV79" s="283"/>
      <c r="AW79" s="280"/>
      <c r="AX79" s="280"/>
      <c r="AY79" s="280"/>
      <c r="AZ79" s="280"/>
      <c r="BA79" s="280"/>
      <c r="BB79" s="280"/>
      <c r="BC79" s="280"/>
      <c r="BD79" s="280"/>
      <c r="BE79" s="280"/>
      <c r="BF79" s="280"/>
      <c r="BG79" s="280"/>
      <c r="BH79" s="280"/>
      <c r="BI79" s="280"/>
      <c r="BJ79" s="280"/>
      <c r="BK79" s="280"/>
      <c r="BL79" s="280"/>
      <c r="BM79" s="280"/>
      <c r="BN79" s="280"/>
      <c r="BO79" s="280"/>
      <c r="BP79" s="280"/>
      <c r="BQ79" s="280"/>
      <c r="BR79" s="280"/>
      <c r="BS79" s="280"/>
      <c r="BT79" s="280"/>
      <c r="BU79" s="280"/>
      <c r="BV79" s="280"/>
    </row>
    <row r="80" spans="1:74" s="300" customFormat="1" ht="15" customHeight="1" x14ac:dyDescent="0.25">
      <c r="A80" s="283"/>
      <c r="B80" s="306" t="s">
        <v>251</v>
      </c>
      <c r="C80" s="307"/>
      <c r="D80" s="307"/>
      <c r="E80" s="307"/>
      <c r="F80" s="307"/>
      <c r="G80" s="1004"/>
      <c r="H80" s="307"/>
      <c r="I80" s="307"/>
      <c r="J80" s="307"/>
      <c r="K80" s="307"/>
      <c r="L80" s="307"/>
      <c r="M80" s="307"/>
      <c r="N80" s="307"/>
      <c r="O80" s="307"/>
      <c r="P80" s="307"/>
      <c r="Q80" s="307"/>
      <c r="R80" s="307"/>
      <c r="S80" s="307"/>
      <c r="T80" s="307"/>
      <c r="U80" s="307"/>
      <c r="V80" s="307"/>
      <c r="W80" s="307"/>
      <c r="X80" s="307"/>
      <c r="Y80" s="307"/>
      <c r="Z80" s="307"/>
      <c r="AA80" s="307"/>
      <c r="AB80" s="307"/>
      <c r="AC80" s="307"/>
      <c r="AD80" s="307"/>
      <c r="AE80" s="307"/>
      <c r="AF80" s="307"/>
      <c r="AG80" s="307"/>
      <c r="AH80" s="307"/>
      <c r="AI80" s="307"/>
      <c r="AJ80" s="307"/>
      <c r="AK80" s="307"/>
      <c r="AL80" s="307"/>
      <c r="AM80" s="307"/>
      <c r="AN80" s="307"/>
      <c r="AO80" s="307"/>
      <c r="AP80" s="307"/>
      <c r="AQ80" s="307"/>
      <c r="AR80" s="307"/>
      <c r="AS80" s="307"/>
      <c r="AT80" s="928"/>
      <c r="AU80" s="283"/>
      <c r="AV80" s="283"/>
      <c r="AW80" s="280"/>
      <c r="AX80" s="280"/>
      <c r="AY80" s="280"/>
      <c r="AZ80" s="280"/>
      <c r="BA80" s="280"/>
      <c r="BB80" s="280"/>
      <c r="BC80" s="280"/>
      <c r="BD80" s="280"/>
      <c r="BE80" s="280"/>
      <c r="BF80" s="280"/>
      <c r="BG80" s="280"/>
      <c r="BH80" s="280"/>
      <c r="BI80" s="280"/>
      <c r="BJ80" s="280"/>
      <c r="BK80" s="280"/>
      <c r="BL80" s="280"/>
      <c r="BM80" s="280"/>
      <c r="BN80" s="280"/>
      <c r="BO80" s="280"/>
      <c r="BP80" s="280"/>
      <c r="BQ80" s="280"/>
      <c r="BR80" s="280"/>
      <c r="BS80" s="280"/>
      <c r="BT80" s="280"/>
      <c r="BU80" s="280"/>
      <c r="BV80" s="280"/>
    </row>
    <row r="81" spans="1:74" s="300" customFormat="1" ht="15" customHeight="1" outlineLevel="1" x14ac:dyDescent="0.25">
      <c r="A81" s="283"/>
      <c r="B81" s="310" t="s">
        <v>408</v>
      </c>
      <c r="C81" s="307"/>
      <c r="D81" s="307"/>
      <c r="E81" s="307"/>
      <c r="F81" s="307"/>
      <c r="G81" s="1004"/>
      <c r="H81" s="307"/>
      <c r="I81" s="307"/>
      <c r="J81" s="307"/>
      <c r="K81" s="307"/>
      <c r="L81" s="307"/>
      <c r="M81" s="307"/>
      <c r="N81" s="307"/>
      <c r="O81" s="307"/>
      <c r="P81" s="307"/>
      <c r="Q81" s="307"/>
      <c r="R81" s="307"/>
      <c r="S81" s="307"/>
      <c r="T81" s="307"/>
      <c r="U81" s="307"/>
      <c r="V81" s="307"/>
      <c r="W81" s="307"/>
      <c r="X81" s="307"/>
      <c r="Y81" s="307"/>
      <c r="Z81" s="307"/>
      <c r="AA81" s="307"/>
      <c r="AB81" s="307"/>
      <c r="AC81" s="307"/>
      <c r="AD81" s="307"/>
      <c r="AE81" s="307"/>
      <c r="AF81" s="307"/>
      <c r="AG81" s="307"/>
      <c r="AH81" s="307"/>
      <c r="AI81" s="307"/>
      <c r="AJ81" s="307"/>
      <c r="AK81" s="307"/>
      <c r="AL81" s="307"/>
      <c r="AM81" s="307"/>
      <c r="AN81" s="307"/>
      <c r="AO81" s="307"/>
      <c r="AP81" s="307"/>
      <c r="AQ81" s="307"/>
      <c r="AR81" s="307"/>
      <c r="AS81" s="307"/>
      <c r="AT81" s="928"/>
      <c r="AU81" s="283"/>
      <c r="AV81" s="283"/>
      <c r="AW81" s="280"/>
      <c r="AX81" s="280"/>
      <c r="AY81" s="280"/>
      <c r="AZ81" s="280"/>
      <c r="BA81" s="280"/>
      <c r="BB81" s="280"/>
      <c r="BC81" s="280"/>
      <c r="BD81" s="280"/>
      <c r="BE81" s="280"/>
      <c r="BF81" s="280"/>
      <c r="BG81" s="280"/>
      <c r="BH81" s="280"/>
      <c r="BI81" s="280"/>
      <c r="BJ81" s="280"/>
      <c r="BK81" s="280"/>
      <c r="BL81" s="280"/>
      <c r="BM81" s="280"/>
      <c r="BN81" s="280"/>
      <c r="BO81" s="280"/>
      <c r="BP81" s="280"/>
      <c r="BQ81" s="280"/>
      <c r="BR81" s="280"/>
      <c r="BS81" s="280"/>
      <c r="BT81" s="280"/>
      <c r="BU81" s="280"/>
      <c r="BV81" s="280"/>
    </row>
    <row r="82" spans="1:74" s="300" customFormat="1" ht="15" customHeight="1" outlineLevel="1" x14ac:dyDescent="0.25">
      <c r="A82" s="283"/>
      <c r="B82" s="323" t="s">
        <v>409</v>
      </c>
      <c r="C82" s="307"/>
      <c r="D82" s="307"/>
      <c r="E82" s="307"/>
      <c r="F82" s="307"/>
      <c r="G82" s="1004"/>
      <c r="H82" s="307"/>
      <c r="I82" s="307"/>
      <c r="J82" s="307"/>
      <c r="K82" s="307"/>
      <c r="L82" s="307"/>
      <c r="M82" s="307"/>
      <c r="N82" s="307"/>
      <c r="O82" s="307"/>
      <c r="P82" s="307"/>
      <c r="Q82" s="307"/>
      <c r="R82" s="307"/>
      <c r="S82" s="307"/>
      <c r="T82" s="307"/>
      <c r="U82" s="307"/>
      <c r="V82" s="307"/>
      <c r="W82" s="307"/>
      <c r="X82" s="307"/>
      <c r="Y82" s="307"/>
      <c r="Z82" s="307"/>
      <c r="AA82" s="307"/>
      <c r="AB82" s="307"/>
      <c r="AC82" s="307"/>
      <c r="AD82" s="307"/>
      <c r="AE82" s="307"/>
      <c r="AF82" s="307"/>
      <c r="AG82" s="307"/>
      <c r="AH82" s="307"/>
      <c r="AI82" s="307"/>
      <c r="AJ82" s="307"/>
      <c r="AK82" s="307"/>
      <c r="AL82" s="307"/>
      <c r="AM82" s="307"/>
      <c r="AN82" s="307"/>
      <c r="AO82" s="307"/>
      <c r="AP82" s="307"/>
      <c r="AQ82" s="307"/>
      <c r="AR82" s="307"/>
      <c r="AS82" s="307"/>
      <c r="AT82" s="928"/>
      <c r="AU82" s="283"/>
      <c r="AV82" s="283"/>
      <c r="AW82" s="280"/>
      <c r="AX82" s="280"/>
      <c r="AY82" s="280"/>
      <c r="AZ82" s="280"/>
      <c r="BA82" s="280"/>
      <c r="BB82" s="280"/>
      <c r="BC82" s="280"/>
      <c r="BD82" s="280"/>
      <c r="BE82" s="280"/>
      <c r="BF82" s="280"/>
      <c r="BG82" s="280"/>
      <c r="BH82" s="280"/>
      <c r="BI82" s="280"/>
      <c r="BJ82" s="280"/>
      <c r="BK82" s="280"/>
      <c r="BL82" s="280"/>
      <c r="BM82" s="280"/>
      <c r="BN82" s="280"/>
      <c r="BO82" s="280"/>
      <c r="BP82" s="280"/>
      <c r="BQ82" s="280"/>
      <c r="BR82" s="280"/>
      <c r="BS82" s="280"/>
      <c r="BT82" s="280"/>
      <c r="BU82" s="280"/>
      <c r="BV82" s="280"/>
    </row>
    <row r="83" spans="1:74" s="300" customFormat="1" ht="15" customHeight="1" outlineLevel="1" x14ac:dyDescent="0.25">
      <c r="A83" s="283"/>
      <c r="B83" s="323" t="s">
        <v>410</v>
      </c>
      <c r="C83" s="307"/>
      <c r="D83" s="307"/>
      <c r="E83" s="307"/>
      <c r="F83" s="307"/>
      <c r="G83" s="1004"/>
      <c r="H83" s="307"/>
      <c r="I83" s="307"/>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c r="AJ83" s="307"/>
      <c r="AK83" s="307"/>
      <c r="AL83" s="307"/>
      <c r="AM83" s="307"/>
      <c r="AN83" s="307"/>
      <c r="AO83" s="307"/>
      <c r="AP83" s="307"/>
      <c r="AQ83" s="307"/>
      <c r="AR83" s="307"/>
      <c r="AS83" s="307"/>
      <c r="AT83" s="928"/>
      <c r="AU83" s="283"/>
      <c r="AV83" s="283"/>
      <c r="AW83" s="280"/>
      <c r="AX83" s="280"/>
      <c r="AY83" s="280"/>
      <c r="AZ83" s="280"/>
      <c r="BA83" s="280"/>
      <c r="BB83" s="280"/>
      <c r="BC83" s="280"/>
      <c r="BD83" s="280"/>
      <c r="BE83" s="280"/>
      <c r="BF83" s="280"/>
      <c r="BG83" s="280"/>
      <c r="BH83" s="280"/>
      <c r="BI83" s="280"/>
      <c r="BJ83" s="280"/>
      <c r="BK83" s="280"/>
      <c r="BL83" s="280"/>
      <c r="BM83" s="280"/>
      <c r="BN83" s="280"/>
      <c r="BO83" s="280"/>
      <c r="BP83" s="280"/>
      <c r="BQ83" s="280"/>
      <c r="BR83" s="280"/>
      <c r="BS83" s="280"/>
      <c r="BT83" s="280"/>
      <c r="BU83" s="280"/>
      <c r="BV83" s="280"/>
    </row>
    <row r="84" spans="1:74" s="300" customFormat="1" ht="15" customHeight="1" x14ac:dyDescent="0.25">
      <c r="A84" s="283"/>
      <c r="B84" s="323"/>
      <c r="C84" s="307"/>
      <c r="D84" s="307"/>
      <c r="E84" s="307"/>
      <c r="F84" s="307"/>
      <c r="G84" s="1004"/>
      <c r="H84" s="307"/>
      <c r="I84" s="307"/>
      <c r="J84" s="307"/>
      <c r="K84" s="307"/>
      <c r="L84" s="307"/>
      <c r="M84" s="307"/>
      <c r="N84" s="307"/>
      <c r="O84" s="307"/>
      <c r="P84" s="307"/>
      <c r="Q84" s="307"/>
      <c r="R84" s="307"/>
      <c r="S84" s="307"/>
      <c r="T84" s="307"/>
      <c r="U84" s="307"/>
      <c r="V84" s="307"/>
      <c r="W84" s="307"/>
      <c r="X84" s="307"/>
      <c r="Y84" s="307"/>
      <c r="Z84" s="307"/>
      <c r="AA84" s="307"/>
      <c r="AB84" s="307"/>
      <c r="AC84" s="307"/>
      <c r="AD84" s="307"/>
      <c r="AE84" s="307"/>
      <c r="AF84" s="307"/>
      <c r="AG84" s="307"/>
      <c r="AH84" s="307"/>
      <c r="AI84" s="307"/>
      <c r="AJ84" s="307"/>
      <c r="AK84" s="307"/>
      <c r="AL84" s="307"/>
      <c r="AM84" s="307"/>
      <c r="AN84" s="307"/>
      <c r="AO84" s="307"/>
      <c r="AP84" s="307"/>
      <c r="AQ84" s="307"/>
      <c r="AR84" s="307"/>
      <c r="AS84" s="307"/>
      <c r="AT84" s="928"/>
      <c r="AU84" s="283"/>
      <c r="AV84" s="283"/>
      <c r="AW84" s="280"/>
      <c r="AX84" s="280"/>
      <c r="AY84" s="280"/>
      <c r="AZ84" s="280"/>
      <c r="BA84" s="280"/>
      <c r="BB84" s="280"/>
      <c r="BC84" s="280"/>
      <c r="BD84" s="280"/>
      <c r="BE84" s="280"/>
      <c r="BF84" s="280"/>
      <c r="BG84" s="280"/>
      <c r="BH84" s="280"/>
      <c r="BI84" s="280"/>
      <c r="BJ84" s="280"/>
      <c r="BK84" s="280"/>
      <c r="BL84" s="280"/>
      <c r="BM84" s="280"/>
      <c r="BN84" s="280"/>
      <c r="BO84" s="280"/>
      <c r="BP84" s="280"/>
      <c r="BQ84" s="280"/>
      <c r="BR84" s="280"/>
      <c r="BS84" s="280"/>
      <c r="BT84" s="280"/>
      <c r="BU84" s="280"/>
      <c r="BV84" s="280"/>
    </row>
    <row r="85" spans="1:74" s="300" customFormat="1" ht="15" customHeight="1" x14ac:dyDescent="0.25">
      <c r="A85" s="283"/>
      <c r="B85" s="332" t="s">
        <v>411</v>
      </c>
      <c r="C85" s="317"/>
      <c r="D85" s="283"/>
      <c r="E85" s="283"/>
      <c r="F85" s="283"/>
      <c r="G85" s="324"/>
      <c r="H85" s="283"/>
      <c r="I85" s="283"/>
      <c r="J85" s="283"/>
      <c r="K85" s="294"/>
      <c r="L85" s="363"/>
      <c r="M85" s="363"/>
      <c r="N85" s="354"/>
      <c r="O85" s="354"/>
      <c r="P85" s="354"/>
      <c r="Q85" s="354"/>
      <c r="R85" s="354"/>
      <c r="S85" s="354"/>
      <c r="T85" s="354"/>
      <c r="U85" s="354"/>
      <c r="V85" s="354"/>
      <c r="W85" s="354"/>
      <c r="X85" s="354"/>
      <c r="Y85" s="354"/>
      <c r="Z85" s="354"/>
      <c r="AA85" s="354"/>
      <c r="AB85" s="354"/>
      <c r="AC85" s="354"/>
      <c r="AD85" s="354"/>
      <c r="AE85" s="354"/>
      <c r="AF85" s="354"/>
      <c r="AG85" s="354"/>
      <c r="AH85" s="354"/>
      <c r="AI85" s="354"/>
      <c r="AJ85" s="354"/>
      <c r="AK85" s="354"/>
      <c r="AL85" s="354"/>
      <c r="AM85" s="354"/>
      <c r="AN85" s="354"/>
      <c r="AO85" s="354"/>
      <c r="AP85" s="354"/>
      <c r="AQ85" s="354"/>
      <c r="AR85" s="354"/>
      <c r="AS85" s="354"/>
      <c r="AT85" s="929"/>
      <c r="AU85" s="283"/>
      <c r="AV85" s="283"/>
      <c r="AW85" s="280"/>
      <c r="AX85" s="280"/>
      <c r="AY85" s="280"/>
      <c r="AZ85" s="280"/>
      <c r="BA85" s="280"/>
      <c r="BB85" s="280"/>
      <c r="BC85" s="280"/>
      <c r="BD85" s="280"/>
      <c r="BE85" s="280"/>
      <c r="BF85" s="280"/>
      <c r="BG85" s="280"/>
      <c r="BH85" s="280"/>
      <c r="BI85" s="280"/>
      <c r="BJ85" s="280"/>
      <c r="BK85" s="280"/>
      <c r="BL85" s="280"/>
      <c r="BM85" s="280"/>
      <c r="BN85" s="280"/>
      <c r="BO85" s="280"/>
      <c r="BP85" s="280"/>
      <c r="BQ85" s="280"/>
      <c r="BR85" s="280"/>
      <c r="BS85" s="280"/>
      <c r="BT85" s="280"/>
      <c r="BU85" s="280"/>
      <c r="BV85" s="280"/>
    </row>
    <row r="86" spans="1:74" s="300" customFormat="1" ht="15" customHeight="1" x14ac:dyDescent="0.25">
      <c r="A86" s="283"/>
      <c r="B86" s="325" t="s">
        <v>412</v>
      </c>
      <c r="C86" s="364"/>
      <c r="D86" s="774"/>
      <c r="E86" s="348" t="s">
        <v>402</v>
      </c>
      <c r="F86" s="348"/>
      <c r="G86" s="334" t="str">
        <f>IF(SUM(L86:AT86)&gt;0,"Onderbouw in het projectplan","")</f>
        <v/>
      </c>
      <c r="H86" s="348"/>
      <c r="I86" s="348"/>
      <c r="J86" s="348"/>
      <c r="K86" s="348"/>
      <c r="L86" s="326">
        <f t="shared" ref="L86:AT86" si="83">$D86 * L$10 * L$12</f>
        <v>0</v>
      </c>
      <c r="M86" s="326">
        <f t="shared" si="83"/>
        <v>0</v>
      </c>
      <c r="N86" s="326">
        <f t="shared" si="83"/>
        <v>0</v>
      </c>
      <c r="O86" s="326">
        <f t="shared" si="83"/>
        <v>0</v>
      </c>
      <c r="P86" s="326">
        <f t="shared" si="83"/>
        <v>0</v>
      </c>
      <c r="Q86" s="326">
        <f t="shared" si="83"/>
        <v>0</v>
      </c>
      <c r="R86" s="326">
        <f t="shared" si="83"/>
        <v>0</v>
      </c>
      <c r="S86" s="326">
        <f t="shared" si="83"/>
        <v>0</v>
      </c>
      <c r="T86" s="326">
        <f t="shared" si="83"/>
        <v>0</v>
      </c>
      <c r="U86" s="326">
        <f t="shared" si="83"/>
        <v>0</v>
      </c>
      <c r="V86" s="326">
        <f t="shared" si="83"/>
        <v>0</v>
      </c>
      <c r="W86" s="326">
        <f t="shared" si="83"/>
        <v>0</v>
      </c>
      <c r="X86" s="326">
        <f t="shared" si="83"/>
        <v>0</v>
      </c>
      <c r="Y86" s="326">
        <f t="shared" si="83"/>
        <v>0</v>
      </c>
      <c r="Z86" s="326">
        <f t="shared" si="83"/>
        <v>0</v>
      </c>
      <c r="AA86" s="326">
        <f t="shared" si="83"/>
        <v>0</v>
      </c>
      <c r="AB86" s="326">
        <f t="shared" si="83"/>
        <v>0</v>
      </c>
      <c r="AC86" s="326">
        <f t="shared" si="83"/>
        <v>0</v>
      </c>
      <c r="AD86" s="326">
        <f t="shared" si="83"/>
        <v>0</v>
      </c>
      <c r="AE86" s="326">
        <f t="shared" si="83"/>
        <v>0</v>
      </c>
      <c r="AF86" s="326">
        <f t="shared" si="83"/>
        <v>0</v>
      </c>
      <c r="AG86" s="326">
        <f t="shared" si="83"/>
        <v>0</v>
      </c>
      <c r="AH86" s="326">
        <f t="shared" si="83"/>
        <v>0</v>
      </c>
      <c r="AI86" s="326">
        <f t="shared" si="83"/>
        <v>0</v>
      </c>
      <c r="AJ86" s="326">
        <f t="shared" si="83"/>
        <v>0</v>
      </c>
      <c r="AK86" s="326">
        <f t="shared" si="83"/>
        <v>0</v>
      </c>
      <c r="AL86" s="326">
        <f t="shared" si="83"/>
        <v>0</v>
      </c>
      <c r="AM86" s="326">
        <f t="shared" si="83"/>
        <v>0</v>
      </c>
      <c r="AN86" s="326">
        <f t="shared" si="83"/>
        <v>0</v>
      </c>
      <c r="AO86" s="326">
        <f t="shared" si="83"/>
        <v>0</v>
      </c>
      <c r="AP86" s="326">
        <f t="shared" si="83"/>
        <v>0</v>
      </c>
      <c r="AQ86" s="326">
        <f t="shared" si="83"/>
        <v>0</v>
      </c>
      <c r="AR86" s="326">
        <f t="shared" si="83"/>
        <v>0</v>
      </c>
      <c r="AS86" s="326">
        <f t="shared" si="83"/>
        <v>0</v>
      </c>
      <c r="AT86" s="326">
        <f t="shared" si="83"/>
        <v>0</v>
      </c>
      <c r="AU86" s="283"/>
      <c r="AV86" s="283"/>
      <c r="AW86" s="280"/>
      <c r="AX86" s="280"/>
      <c r="AY86" s="280"/>
      <c r="AZ86" s="280"/>
      <c r="BA86" s="280"/>
      <c r="BB86" s="280"/>
      <c r="BC86" s="280"/>
      <c r="BD86" s="280"/>
      <c r="BE86" s="280"/>
      <c r="BF86" s="280"/>
      <c r="BG86" s="280"/>
      <c r="BH86" s="280"/>
      <c r="BI86" s="280"/>
      <c r="BJ86" s="280"/>
      <c r="BK86" s="280"/>
      <c r="BL86" s="280"/>
      <c r="BM86" s="280"/>
      <c r="BN86" s="280"/>
      <c r="BO86" s="280"/>
      <c r="BP86" s="280"/>
      <c r="BQ86" s="280"/>
      <c r="BR86" s="280"/>
      <c r="BS86" s="280"/>
      <c r="BT86" s="280"/>
      <c r="BU86" s="280"/>
      <c r="BV86" s="280"/>
    </row>
    <row r="87" spans="1:74" s="300" customFormat="1" ht="15" customHeight="1" x14ac:dyDescent="0.25">
      <c r="A87" s="283"/>
      <c r="B87" s="315" t="s">
        <v>413</v>
      </c>
      <c r="C87" s="335"/>
      <c r="D87" s="391"/>
      <c r="E87" s="283"/>
      <c r="F87" s="283"/>
      <c r="G87" s="365" t="str">
        <f>IF(SUM(L88:AT88)&gt;0,"Onderbouw in het projectplan","")</f>
        <v/>
      </c>
      <c r="H87" s="365"/>
      <c r="I87" s="365"/>
      <c r="J87" s="365"/>
      <c r="K87" s="294"/>
      <c r="L87" s="366"/>
      <c r="M87" s="367"/>
      <c r="N87" s="367"/>
      <c r="O87" s="367"/>
      <c r="P87" s="367"/>
      <c r="Q87" s="367"/>
      <c r="R87" s="367"/>
      <c r="S87" s="367"/>
      <c r="T87" s="367"/>
      <c r="U87" s="367"/>
      <c r="V87" s="367"/>
      <c r="W87" s="367"/>
      <c r="X87" s="367"/>
      <c r="Y87" s="367"/>
      <c r="Z87" s="367"/>
      <c r="AA87" s="367"/>
      <c r="AB87" s="367"/>
      <c r="AC87" s="367"/>
      <c r="AD87" s="367"/>
      <c r="AE87" s="367"/>
      <c r="AF87" s="367"/>
      <c r="AG87" s="367"/>
      <c r="AH87" s="367"/>
      <c r="AI87" s="367"/>
      <c r="AJ87" s="367"/>
      <c r="AK87" s="367"/>
      <c r="AL87" s="367"/>
      <c r="AM87" s="367"/>
      <c r="AN87" s="367"/>
      <c r="AO87" s="367"/>
      <c r="AP87" s="367"/>
      <c r="AQ87" s="367"/>
      <c r="AR87" s="367"/>
      <c r="AS87" s="367"/>
      <c r="AT87" s="930"/>
      <c r="AU87" s="283"/>
      <c r="AV87" s="283"/>
      <c r="AW87" s="280"/>
      <c r="AX87" s="280"/>
      <c r="AY87" s="280"/>
      <c r="AZ87" s="280"/>
      <c r="BA87" s="280"/>
      <c r="BB87" s="280"/>
      <c r="BC87" s="280"/>
      <c r="BD87" s="280"/>
      <c r="BE87" s="280"/>
      <c r="BF87" s="280"/>
      <c r="BG87" s="280"/>
      <c r="BH87" s="280"/>
      <c r="BI87" s="280"/>
      <c r="BJ87" s="280"/>
      <c r="BK87" s="280"/>
      <c r="BL87" s="280"/>
      <c r="BM87" s="280"/>
      <c r="BN87" s="280"/>
      <c r="BO87" s="280"/>
      <c r="BP87" s="280"/>
      <c r="BQ87" s="280"/>
      <c r="BR87" s="280"/>
      <c r="BS87" s="280"/>
      <c r="BT87" s="280"/>
      <c r="BU87" s="280"/>
      <c r="BV87" s="280"/>
    </row>
    <row r="88" spans="1:74" s="300" customFormat="1" ht="15" customHeight="1" x14ac:dyDescent="0.25">
      <c r="A88" s="283"/>
      <c r="B88" s="315" t="s">
        <v>414</v>
      </c>
      <c r="C88" s="345"/>
      <c r="D88" s="773"/>
      <c r="E88" s="348" t="s">
        <v>415</v>
      </c>
      <c r="F88" s="348"/>
      <c r="G88" s="334" t="str">
        <f>IF(SUM(L88:AT88)&gt;0,"Onderbouw in het projectplan","")</f>
        <v/>
      </c>
      <c r="H88" s="327"/>
      <c r="I88" s="327"/>
      <c r="J88" s="327"/>
      <c r="K88" s="327"/>
      <c r="L88" s="368">
        <f>K53 / (1-$D$87) * $D$88 * L$12  *  L10</f>
        <v>0</v>
      </c>
      <c r="M88" s="368">
        <f t="shared" ref="M88:AT88" si="84">L53 / (1-$D$87) * $D$88 * M$12  *  M10</f>
        <v>0</v>
      </c>
      <c r="N88" s="368">
        <f t="shared" si="84"/>
        <v>0</v>
      </c>
      <c r="O88" s="368">
        <f t="shared" si="84"/>
        <v>0</v>
      </c>
      <c r="P88" s="368">
        <f t="shared" si="84"/>
        <v>0</v>
      </c>
      <c r="Q88" s="368">
        <f t="shared" si="84"/>
        <v>0</v>
      </c>
      <c r="R88" s="368">
        <f t="shared" si="84"/>
        <v>0</v>
      </c>
      <c r="S88" s="368">
        <f t="shared" si="84"/>
        <v>0</v>
      </c>
      <c r="T88" s="368">
        <f t="shared" si="84"/>
        <v>0</v>
      </c>
      <c r="U88" s="368">
        <f t="shared" si="84"/>
        <v>0</v>
      </c>
      <c r="V88" s="368">
        <f t="shared" si="84"/>
        <v>0</v>
      </c>
      <c r="W88" s="368">
        <f t="shared" si="84"/>
        <v>0</v>
      </c>
      <c r="X88" s="368">
        <f t="shared" si="84"/>
        <v>0</v>
      </c>
      <c r="Y88" s="368">
        <f t="shared" si="84"/>
        <v>0</v>
      </c>
      <c r="Z88" s="368">
        <f t="shared" si="84"/>
        <v>0</v>
      </c>
      <c r="AA88" s="368">
        <f t="shared" si="84"/>
        <v>0</v>
      </c>
      <c r="AB88" s="368">
        <f t="shared" si="84"/>
        <v>0</v>
      </c>
      <c r="AC88" s="368">
        <f t="shared" si="84"/>
        <v>0</v>
      </c>
      <c r="AD88" s="368">
        <f t="shared" si="84"/>
        <v>0</v>
      </c>
      <c r="AE88" s="368">
        <f t="shared" si="84"/>
        <v>0</v>
      </c>
      <c r="AF88" s="368">
        <f t="shared" si="84"/>
        <v>0</v>
      </c>
      <c r="AG88" s="368">
        <f t="shared" si="84"/>
        <v>0</v>
      </c>
      <c r="AH88" s="368">
        <f t="shared" si="84"/>
        <v>0</v>
      </c>
      <c r="AI88" s="368">
        <f t="shared" si="84"/>
        <v>0</v>
      </c>
      <c r="AJ88" s="368">
        <f t="shared" si="84"/>
        <v>0</v>
      </c>
      <c r="AK88" s="368">
        <f t="shared" si="84"/>
        <v>0</v>
      </c>
      <c r="AL88" s="368">
        <f t="shared" si="84"/>
        <v>0</v>
      </c>
      <c r="AM88" s="368">
        <f t="shared" si="84"/>
        <v>0</v>
      </c>
      <c r="AN88" s="368">
        <f t="shared" si="84"/>
        <v>0</v>
      </c>
      <c r="AO88" s="368">
        <f t="shared" si="84"/>
        <v>0</v>
      </c>
      <c r="AP88" s="368">
        <f t="shared" si="84"/>
        <v>0</v>
      </c>
      <c r="AQ88" s="368">
        <f t="shared" si="84"/>
        <v>0</v>
      </c>
      <c r="AR88" s="368">
        <f t="shared" si="84"/>
        <v>0</v>
      </c>
      <c r="AS88" s="368">
        <f t="shared" si="84"/>
        <v>0</v>
      </c>
      <c r="AT88" s="931">
        <f t="shared" si="84"/>
        <v>0</v>
      </c>
      <c r="AU88" s="283"/>
      <c r="AV88" s="283"/>
      <c r="AW88" s="280"/>
      <c r="AX88" s="280"/>
      <c r="AY88" s="280"/>
      <c r="AZ88" s="280"/>
      <c r="BA88" s="280"/>
      <c r="BB88" s="280"/>
      <c r="BC88" s="280"/>
      <c r="BD88" s="280"/>
      <c r="BE88" s="280"/>
      <c r="BF88" s="280"/>
      <c r="BG88" s="280"/>
      <c r="BH88" s="280"/>
      <c r="BI88" s="280"/>
      <c r="BJ88" s="280"/>
      <c r="BK88" s="280"/>
      <c r="BL88" s="280"/>
      <c r="BM88" s="280"/>
      <c r="BN88" s="280"/>
      <c r="BO88" s="280"/>
      <c r="BP88" s="280"/>
      <c r="BQ88" s="280"/>
      <c r="BR88" s="280"/>
      <c r="BS88" s="280"/>
      <c r="BT88" s="280"/>
      <c r="BU88" s="280"/>
      <c r="BV88" s="280"/>
    </row>
    <row r="89" spans="1:74" s="300" customFormat="1" ht="15" customHeight="1" x14ac:dyDescent="0.25">
      <c r="A89" s="283"/>
      <c r="B89" s="302"/>
      <c r="C89" s="317"/>
      <c r="D89" s="294"/>
      <c r="E89" s="324"/>
      <c r="F89" s="324"/>
      <c r="G89" s="1005"/>
      <c r="H89" s="294"/>
      <c r="I89" s="294"/>
      <c r="J89" s="294"/>
      <c r="K89" s="294"/>
      <c r="L89" s="366"/>
      <c r="M89" s="366"/>
      <c r="N89" s="366"/>
      <c r="O89" s="366"/>
      <c r="P89" s="366"/>
      <c r="Q89" s="366"/>
      <c r="R89" s="366"/>
      <c r="S89" s="366"/>
      <c r="T89" s="366"/>
      <c r="U89" s="366"/>
      <c r="V89" s="366"/>
      <c r="W89" s="366"/>
      <c r="X89" s="366"/>
      <c r="Y89" s="366"/>
      <c r="Z89" s="366"/>
      <c r="AA89" s="366"/>
      <c r="AB89" s="366"/>
      <c r="AC89" s="366"/>
      <c r="AD89" s="366"/>
      <c r="AE89" s="366"/>
      <c r="AF89" s="366"/>
      <c r="AG89" s="366"/>
      <c r="AH89" s="366"/>
      <c r="AI89" s="366"/>
      <c r="AJ89" s="366"/>
      <c r="AK89" s="366"/>
      <c r="AL89" s="366"/>
      <c r="AM89" s="366"/>
      <c r="AN89" s="366"/>
      <c r="AO89" s="366"/>
      <c r="AP89" s="366"/>
      <c r="AQ89" s="366"/>
      <c r="AR89" s="366"/>
      <c r="AS89" s="366"/>
      <c r="AT89" s="932"/>
      <c r="AU89" s="283"/>
      <c r="AV89" s="283"/>
      <c r="AW89" s="280"/>
      <c r="AX89" s="280"/>
      <c r="AY89" s="280"/>
      <c r="AZ89" s="280"/>
      <c r="BA89" s="280"/>
      <c r="BB89" s="280"/>
      <c r="BC89" s="280"/>
      <c r="BD89" s="280"/>
      <c r="BE89" s="280"/>
      <c r="BF89" s="280"/>
      <c r="BG89" s="280"/>
      <c r="BH89" s="280"/>
      <c r="BI89" s="280"/>
      <c r="BJ89" s="280"/>
      <c r="BK89" s="280"/>
      <c r="BL89" s="280"/>
      <c r="BM89" s="280"/>
      <c r="BN89" s="280"/>
      <c r="BO89" s="280"/>
      <c r="BP89" s="280"/>
      <c r="BQ89" s="280"/>
      <c r="BR89" s="280"/>
      <c r="BS89" s="280"/>
      <c r="BT89" s="280"/>
      <c r="BU89" s="280"/>
      <c r="BV89" s="280"/>
    </row>
    <row r="90" spans="1:74" s="300" customFormat="1" ht="15" customHeight="1" x14ac:dyDescent="0.25">
      <c r="A90" s="283"/>
      <c r="B90" s="332" t="s">
        <v>416</v>
      </c>
      <c r="C90" s="317"/>
      <c r="D90" s="283"/>
      <c r="E90" s="283"/>
      <c r="F90" s="283"/>
      <c r="G90" s="324"/>
      <c r="H90" s="283"/>
      <c r="I90" s="283"/>
      <c r="J90" s="283"/>
      <c r="K90" s="283"/>
      <c r="L90" s="283"/>
      <c r="M90" s="283"/>
      <c r="N90" s="283"/>
      <c r="O90" s="283"/>
      <c r="P90" s="283"/>
      <c r="Q90" s="283"/>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U90" s="283"/>
      <c r="AV90" s="283"/>
      <c r="AW90" s="280"/>
      <c r="AX90" s="280"/>
      <c r="AY90" s="280"/>
      <c r="AZ90" s="280"/>
      <c r="BA90" s="280"/>
      <c r="BB90" s="280"/>
      <c r="BC90" s="280"/>
      <c r="BD90" s="280"/>
      <c r="BE90" s="280"/>
      <c r="BF90" s="280"/>
      <c r="BG90" s="280"/>
      <c r="BH90" s="280"/>
      <c r="BI90" s="280"/>
      <c r="BJ90" s="280"/>
      <c r="BK90" s="280"/>
      <c r="BL90" s="280"/>
      <c r="BM90" s="280"/>
      <c r="BN90" s="280"/>
      <c r="BO90" s="280"/>
      <c r="BP90" s="280"/>
      <c r="BQ90" s="280"/>
      <c r="BR90" s="280"/>
      <c r="BS90" s="280"/>
      <c r="BT90" s="280"/>
      <c r="BU90" s="280"/>
      <c r="BV90" s="280"/>
    </row>
    <row r="91" spans="1:74" s="300" customFormat="1" ht="15" customHeight="1" x14ac:dyDescent="0.25">
      <c r="A91" s="283"/>
      <c r="B91" s="315" t="s">
        <v>417</v>
      </c>
      <c r="C91" s="316"/>
      <c r="D91" s="392">
        <f>Kond_wn</f>
        <v>0.01</v>
      </c>
      <c r="E91" s="348"/>
      <c r="F91" s="316"/>
      <c r="G91" s="1006"/>
      <c r="H91" s="316"/>
      <c r="I91" s="316"/>
      <c r="J91" s="316"/>
      <c r="K91" s="316"/>
      <c r="L91" s="368">
        <f>$D$91 * L12 * L10 * SUM($K114:K114,$K117:K117,$K126:K126,$K128:K128)</f>
        <v>0</v>
      </c>
      <c r="M91" s="368">
        <f>$D$91 * M12 * M10 * SUM($K114:L114,$K117:L117,$K126:L126,$K128:L128)</f>
        <v>0</v>
      </c>
      <c r="N91" s="368">
        <f>$D$91 * N12 * N10 * SUM($K114:M114,$K117:M117,$K126:M126,$K128:M128)</f>
        <v>0</v>
      </c>
      <c r="O91" s="368">
        <f>$D$91 * O12 * O10 * SUM($K114:N114,$K117:N117,$K126:N126,$K128:N128)</f>
        <v>0</v>
      </c>
      <c r="P91" s="368">
        <f>$D$91 * P12 * P10 * SUM($K114:O114,$K117:O117,$K126:O126,$K128:O128)</f>
        <v>0</v>
      </c>
      <c r="Q91" s="368">
        <f>$D$91 * Q12 * Q10 * SUM($K114:P114,$K117:P117,$K126:P126,$K128:P128)</f>
        <v>0</v>
      </c>
      <c r="R91" s="368">
        <f>$D$91 * R12 * R10 * SUM($K114:Q114,$K117:Q117,$K126:Q126,$K128:Q128)</f>
        <v>0</v>
      </c>
      <c r="S91" s="368">
        <f>$D$91 * S12 * S10 * SUM($K114:R114,$K117:R117,$K126:R126,$K128:R128)</f>
        <v>0</v>
      </c>
      <c r="T91" s="368">
        <f>$D$91 * T12 * T10 * SUM($K114:S114,$K117:S117,$K126:S126,$K128:S128)</f>
        <v>0</v>
      </c>
      <c r="U91" s="368">
        <f>$D$91 * U12 * U10 * SUM($K114:T114,$K117:T117,$K126:T126,$K128:T128)</f>
        <v>0</v>
      </c>
      <c r="V91" s="368">
        <f>$D$91 * V12 * V10 * SUM($K114:U114,$K117:U117,$K126:U126,$K128:U128)</f>
        <v>0</v>
      </c>
      <c r="W91" s="368">
        <f>$D$91 * W12 * W10 * SUM($K114:V114,$K117:V117,$K126:V126,$K128:V128)</f>
        <v>0</v>
      </c>
      <c r="X91" s="368">
        <f>$D$91 * X12 * X10 * SUM($K114:W114,$K117:W117,$K126:W126,$K128:W128)</f>
        <v>0</v>
      </c>
      <c r="Y91" s="368">
        <f>$D$91 * Y12 * Y10 * SUM($K114:X114,$K117:X117,$K126:X126,$K128:X128)</f>
        <v>0</v>
      </c>
      <c r="Z91" s="368">
        <f>$D$91 * Z12 * Z10 * SUM($K114:Y114,$K117:Y117,$K126:Y126,$K128:Y128)</f>
        <v>0</v>
      </c>
      <c r="AA91" s="368">
        <f>$D$91 * AA12 * AA10 * SUM($K114:Z114,$K117:Z117,$K126:Z126,$K128:Z128)</f>
        <v>0</v>
      </c>
      <c r="AB91" s="368">
        <f>$D$91 * AB12 * AB10 * SUM($K114:AA114,$K117:AA117,$K126:AA126,$K128:AA128)</f>
        <v>0</v>
      </c>
      <c r="AC91" s="368">
        <f>$D$91 * AC12 * AC10 * SUM($K114:AB114,$K117:AB117,$K126:AB126,$K128:AB128)</f>
        <v>0</v>
      </c>
      <c r="AD91" s="368">
        <f>$D$91 * AD12 * AD10 * SUM($K114:AC114,$K117:AC117,$K126:AC126,$K128:AC128)</f>
        <v>0</v>
      </c>
      <c r="AE91" s="368">
        <f>$D$91 * AE12 * AE10 * SUM($K114:AD114,$K117:AD117,$K126:AD126,$K128:AD128)</f>
        <v>0</v>
      </c>
      <c r="AF91" s="368">
        <f>$D$91 * AF12 * AF10 * SUM($K114:AE114,$K117:AE117,$K126:AE126,$K128:AE128)</f>
        <v>0</v>
      </c>
      <c r="AG91" s="368">
        <f>$D$91 * AG12 * AG10 * SUM($K114:AF114,$K117:AF117,$K126:AF126,$K128:AF128)</f>
        <v>0</v>
      </c>
      <c r="AH91" s="368">
        <f>$D$91 * AH12 * AH10 * SUM($K114:AG114,$K117:AG117,$K126:AG126,$K128:AG128)</f>
        <v>0</v>
      </c>
      <c r="AI91" s="368">
        <f>$D$91 * AI12 * AI10 * SUM($K114:AH114,$K117:AH117,$K126:AH126,$K128:AH128)</f>
        <v>0</v>
      </c>
      <c r="AJ91" s="368">
        <f>$D$91 * AJ12 * AJ10 * SUM($K114:AI114,$K117:AI117,$K126:AI126,$K128:AI128)</f>
        <v>0</v>
      </c>
      <c r="AK91" s="368">
        <f>$D$91 * AK12 * AK10 * SUM($K114:AJ114,$K117:AJ117,$K126:AJ126,$K128:AJ128)</f>
        <v>0</v>
      </c>
      <c r="AL91" s="368">
        <f>$D$91 * AL12 * AL10 * SUM($K114:AK114,$K117:AK117,$K126:AK126,$K128:AK128)</f>
        <v>0</v>
      </c>
      <c r="AM91" s="368">
        <f>$D$91 * AM12 * AM10 * SUM($K114:AL114,$K117:AL117,$K126:AL126,$K128:AL128)</f>
        <v>0</v>
      </c>
      <c r="AN91" s="368">
        <f>$D$91 * AN12 * AN10 * SUM($K114:AM114,$K117:AM117,$K126:AM126,$K128:AM128)</f>
        <v>0</v>
      </c>
      <c r="AO91" s="368">
        <f>$D$91 * AO12 * AO10 * SUM($K114:AN114,$K117:AN117,$K126:AN126,$K128:AN128)</f>
        <v>0</v>
      </c>
      <c r="AP91" s="368">
        <f>$D$91 * AP12 * AP10 * SUM($K114:AO114,$K117:AO117,$K126:AO126,$K128:AO128)</f>
        <v>0</v>
      </c>
      <c r="AQ91" s="368">
        <f>$D$91 * AQ12 * AQ10 * SUM($K114:AP114,$K117:AP117,$K126:AP126,$K128:AP128)</f>
        <v>0</v>
      </c>
      <c r="AR91" s="368">
        <f>$D$91 * AR12 * AR10 * SUM($K114:AQ114,$K117:AQ117,$K126:AQ126,$K128:AQ128)</f>
        <v>0</v>
      </c>
      <c r="AS91" s="368">
        <f>$D$91 * AS12 * AS10 * SUM($K114:AR114,$K117:AR117,$K126:AR126,$K128:AR128)</f>
        <v>0</v>
      </c>
      <c r="AT91" s="931">
        <f>$D$91 * AT12 * AT10 * SUM($K114:AS114,$K117:AS117,$K126:AS126,$K128:AS128)</f>
        <v>0</v>
      </c>
      <c r="AU91" s="283"/>
      <c r="AV91" s="283"/>
      <c r="AW91" s="280"/>
      <c r="AX91" s="280"/>
      <c r="AY91" s="280"/>
      <c r="AZ91" s="280"/>
      <c r="BA91" s="280"/>
      <c r="BB91" s="280"/>
      <c r="BC91" s="280"/>
      <c r="BD91" s="280"/>
      <c r="BE91" s="280"/>
      <c r="BF91" s="280"/>
      <c r="BG91" s="280"/>
      <c r="BH91" s="280"/>
      <c r="BI91" s="280"/>
      <c r="BJ91" s="280"/>
      <c r="BK91" s="280"/>
      <c r="BL91" s="280"/>
      <c r="BM91" s="280"/>
      <c r="BN91" s="280"/>
      <c r="BO91" s="280"/>
      <c r="BP91" s="280"/>
      <c r="BQ91" s="280"/>
      <c r="BR91" s="280"/>
      <c r="BS91" s="280"/>
      <c r="BT91" s="280"/>
      <c r="BU91" s="280"/>
      <c r="BV91" s="280"/>
    </row>
    <row r="92" spans="1:74" s="300" customFormat="1" ht="15" customHeight="1" x14ac:dyDescent="0.25">
      <c r="A92" s="283"/>
      <c r="B92" s="315" t="s">
        <v>418</v>
      </c>
      <c r="C92" s="316"/>
      <c r="D92" s="392">
        <f>Kond_wos</f>
        <v>0.03</v>
      </c>
      <c r="E92" s="348"/>
      <c r="F92" s="316"/>
      <c r="G92" s="1006"/>
      <c r="H92" s="316"/>
      <c r="I92" s="316"/>
      <c r="J92" s="316"/>
      <c r="K92" s="316"/>
      <c r="L92" s="368">
        <f>$D$92 * L12 * L10 * SUM($K116:K116,$K127:K127)</f>
        <v>0</v>
      </c>
      <c r="M92" s="368">
        <f>$D$92 * M12 * M10 * SUM($K116:L116,$K127:L127)</f>
        <v>0</v>
      </c>
      <c r="N92" s="368">
        <f>$D$92 * N12 * N10 * SUM($K116:M116,$K127:M127)</f>
        <v>0</v>
      </c>
      <c r="O92" s="368">
        <f>$D$92 * O12 * O10 * SUM($K116:N116,$K127:N127)</f>
        <v>0</v>
      </c>
      <c r="P92" s="368">
        <f>$D$92 * P12 * P10 * SUM($K116:O116,$K127:O127)</f>
        <v>0</v>
      </c>
      <c r="Q92" s="368">
        <f>$D$92 * Q12 * Q10 * SUM($K116:P116,$K127:P127)</f>
        <v>0</v>
      </c>
      <c r="R92" s="368">
        <f>$D$92 * R12 * R10 * SUM($K116:Q116,$K127:Q127)</f>
        <v>0</v>
      </c>
      <c r="S92" s="368">
        <f>$D$92 * S12 * S10 * SUM($K116:R116,$K127:R127)</f>
        <v>0</v>
      </c>
      <c r="T92" s="368">
        <f>$D$92 * T12 * T10 * SUM($K116:S116,$K127:S127)</f>
        <v>0</v>
      </c>
      <c r="U92" s="368">
        <f>$D$92 * U12 * U10 * SUM($K116:T116,$K127:T127)</f>
        <v>0</v>
      </c>
      <c r="V92" s="368">
        <f>$D$92 * V12 * V10 * SUM($K116:U116,$K127:U127)</f>
        <v>0</v>
      </c>
      <c r="W92" s="368">
        <f>$D$92 * W12 * W10 * SUM($K116:V116,$K127:V127)</f>
        <v>0</v>
      </c>
      <c r="X92" s="368">
        <f>$D$92 * X12 * X10 * SUM($K116:W116,$K127:W127)</f>
        <v>0</v>
      </c>
      <c r="Y92" s="368">
        <f>$D$92 * Y12 * Y10 * SUM($K116:X116,$K127:X127)</f>
        <v>0</v>
      </c>
      <c r="Z92" s="368">
        <f>$D$92 * Z12 * Z10 * SUM($K116:Y116,$K127:Y127)</f>
        <v>0</v>
      </c>
      <c r="AA92" s="368">
        <f>$D$92 * AA12 * AA10 * SUM($K116:Z116,$K127:Z127)</f>
        <v>0</v>
      </c>
      <c r="AB92" s="368">
        <f>$D$92 * AB12 * AB10 * SUM($K116:AA116,$K127:AA127)</f>
        <v>0</v>
      </c>
      <c r="AC92" s="368">
        <f>$D$92 * AC12 * AC10 * SUM($K116:AB116,$K127:AB127)</f>
        <v>0</v>
      </c>
      <c r="AD92" s="368">
        <f>$D$92 * AD12 * AD10 * SUM($K116:AC116,$K127:AC127)</f>
        <v>0</v>
      </c>
      <c r="AE92" s="368">
        <f>$D$92 * AE12 * AE10 * SUM($K116:AD116,$K127:AD127)</f>
        <v>0</v>
      </c>
      <c r="AF92" s="368">
        <f>$D$92 * AF12 * AF10 * SUM($K116:AE116,$K127:AE127)</f>
        <v>0</v>
      </c>
      <c r="AG92" s="368">
        <f>$D$92 * AG12 * AG10 * SUM($K116:AF116,$K127:AF127)</f>
        <v>0</v>
      </c>
      <c r="AH92" s="368">
        <f>$D$92 * AH12 * AH10 * SUM($K116:AG116,$K127:AG127)</f>
        <v>0</v>
      </c>
      <c r="AI92" s="368">
        <f>$D$92 * AI12 * AI10 * SUM($K116:AH116,$K127:AH127)</f>
        <v>0</v>
      </c>
      <c r="AJ92" s="368">
        <f>$D$92 * AJ12 * AJ10 * SUM($K116:AI116,$K127:AI127)</f>
        <v>0</v>
      </c>
      <c r="AK92" s="368">
        <f>$D$92 * AK12 * AK10 * SUM($K116:AJ116,$K127:AJ127)</f>
        <v>0</v>
      </c>
      <c r="AL92" s="368">
        <f>$D$92 * AL12 * AL10 * SUM($K116:AK116,$K127:AK127)</f>
        <v>0</v>
      </c>
      <c r="AM92" s="368">
        <f>$D$92 * AM12 * AM10 * SUM($K116:AL116,$K127:AL127)</f>
        <v>0</v>
      </c>
      <c r="AN92" s="368">
        <f>$D$92 * AN12 * AN10 * SUM($K116:AM116,$K127:AM127)</f>
        <v>0</v>
      </c>
      <c r="AO92" s="368">
        <f>$D$92 * AO12 * AO10 * SUM($K116:AN116,$K127:AN127)</f>
        <v>0</v>
      </c>
      <c r="AP92" s="368">
        <f>$D$92 * AP12 * AP10 * SUM($K116:AO116,$K127:AO127)</f>
        <v>0</v>
      </c>
      <c r="AQ92" s="368">
        <f>$D$92 * AQ12 * AQ10 * SUM($K116:AP116,$K127:AP127)</f>
        <v>0</v>
      </c>
      <c r="AR92" s="368">
        <f>$D$92 * AR12 * AR10 * SUM($K116:AQ116,$K127:AQ127)</f>
        <v>0</v>
      </c>
      <c r="AS92" s="368">
        <f>$D$92 * AS12 * AS10 * SUM($K116:AR116,$K127:AR127)</f>
        <v>0</v>
      </c>
      <c r="AT92" s="931">
        <f>$D$92 * AT12 * AT10 * SUM($K116:AS116,$K127:AS127)</f>
        <v>0</v>
      </c>
      <c r="AU92" s="283"/>
      <c r="AV92" s="283"/>
      <c r="AW92" s="280"/>
      <c r="AX92" s="280"/>
      <c r="AY92" s="280"/>
      <c r="AZ92" s="280"/>
      <c r="BA92" s="280"/>
      <c r="BB92" s="280"/>
      <c r="BC92" s="280"/>
      <c r="BD92" s="280"/>
      <c r="BE92" s="280"/>
      <c r="BF92" s="280"/>
      <c r="BG92" s="280"/>
      <c r="BH92" s="280"/>
      <c r="BI92" s="280"/>
      <c r="BJ92" s="280"/>
      <c r="BK92" s="280"/>
      <c r="BL92" s="280"/>
      <c r="BM92" s="280"/>
      <c r="BN92" s="280"/>
      <c r="BO92" s="280"/>
      <c r="BP92" s="280"/>
      <c r="BQ92" s="280"/>
      <c r="BR92" s="280"/>
      <c r="BS92" s="280"/>
      <c r="BT92" s="280"/>
      <c r="BU92" s="280"/>
      <c r="BV92" s="280"/>
    </row>
    <row r="93" spans="1:74" s="300" customFormat="1" ht="15" customHeight="1" x14ac:dyDescent="0.25">
      <c r="A93" s="283"/>
      <c r="B93" s="315" t="s">
        <v>419</v>
      </c>
      <c r="C93" s="316"/>
      <c r="D93" s="392">
        <f>Kond_aansl</f>
        <v>2.5000000000000001E-2</v>
      </c>
      <c r="E93" s="316"/>
      <c r="F93" s="316"/>
      <c r="G93" s="1006"/>
      <c r="H93" s="316"/>
      <c r="I93" s="316"/>
      <c r="J93" s="316"/>
      <c r="K93" s="316"/>
      <c r="L93" s="368">
        <f>$D$93 * L12 * L10 * SUM($K118:K118,$K129:K129)</f>
        <v>0</v>
      </c>
      <c r="M93" s="368">
        <f>$D$93 * M12 * M10 * SUM($K118:L118,$K129:L129)</f>
        <v>0</v>
      </c>
      <c r="N93" s="368">
        <f>$D$93 * N12 * N10 * SUM($K118:M118,$K129:M129)</f>
        <v>0</v>
      </c>
      <c r="O93" s="368">
        <f>$D$93 * O12 * O10 * SUM($K118:N118,$K129:N129)</f>
        <v>0</v>
      </c>
      <c r="P93" s="368">
        <f>$D$93 * P12 * P10 * SUM($K118:O118,$K129:O129)</f>
        <v>0</v>
      </c>
      <c r="Q93" s="368">
        <f>$D$93 * Q12 * Q10 * SUM($K118:P118,$K129:P129)</f>
        <v>0</v>
      </c>
      <c r="R93" s="368">
        <f>$D$93 * R12 * R10 * SUM($K118:Q118,$K129:Q129)</f>
        <v>0</v>
      </c>
      <c r="S93" s="368">
        <f>$D$93 * S12 * S10 * SUM($K118:R118,$K129:R129)</f>
        <v>0</v>
      </c>
      <c r="T93" s="368">
        <f>$D$93 * T12 * T10 * SUM($K118:S118,$K129:S129)</f>
        <v>0</v>
      </c>
      <c r="U93" s="368">
        <f>$D$93 * U12 * U10 * SUM($K118:T118,$K129:T129)</f>
        <v>0</v>
      </c>
      <c r="V93" s="368">
        <f>$D$93 * V12 * V10 * SUM($K118:U118,$K129:U129)</f>
        <v>0</v>
      </c>
      <c r="W93" s="368">
        <f>$D$93 * W12 * W10 * SUM($K118:V118,$K129:V129)</f>
        <v>0</v>
      </c>
      <c r="X93" s="368">
        <f>$D$93 * X12 * X10 * SUM($K118:W118,$K129:W129)</f>
        <v>0</v>
      </c>
      <c r="Y93" s="368">
        <f>$D$93 * Y12 * Y10 * SUM($K118:X118,$K129:X129)</f>
        <v>0</v>
      </c>
      <c r="Z93" s="368">
        <f>$D$93 * Z12 * Z10 * SUM($K118:Y118,$K129:Y129)</f>
        <v>0</v>
      </c>
      <c r="AA93" s="368">
        <f>$D$93 * AA12 * AA10 * SUM($K118:Z118,$K129:Z129)</f>
        <v>0</v>
      </c>
      <c r="AB93" s="368">
        <f>$D$93 * AB12 * AB10 * SUM($K118:AA118,$K129:AA129)</f>
        <v>0</v>
      </c>
      <c r="AC93" s="368">
        <f>$D$93 * AC12 * AC10 * SUM($K118:AB118,$K129:AB129)</f>
        <v>0</v>
      </c>
      <c r="AD93" s="368">
        <f>$D$93 * AD12 * AD10 * SUM($K118:AC118,$K129:AC129)</f>
        <v>0</v>
      </c>
      <c r="AE93" s="368">
        <f>$D$93 * AE12 * AE10 * SUM($K118:AD118,$K129:AD129)</f>
        <v>0</v>
      </c>
      <c r="AF93" s="368">
        <f>$D$93 * AF12 * AF10 * SUM($K118:AE118,$K129:AE129)</f>
        <v>0</v>
      </c>
      <c r="AG93" s="368">
        <f>$D$93 * AG12 * AG10 * SUM($K118:AF118,$K129:AF129)</f>
        <v>0</v>
      </c>
      <c r="AH93" s="368">
        <f>$D$93 * AH12 * AH10 * SUM($K118:AG118,$K129:AG129)</f>
        <v>0</v>
      </c>
      <c r="AI93" s="368">
        <f>$D$93 * AI12 * AI10 * SUM($K118:AH118,$K129:AH129)</f>
        <v>0</v>
      </c>
      <c r="AJ93" s="368">
        <f>$D$93 * AJ12 * AJ10 * SUM($K118:AI118,$K129:AI129)</f>
        <v>0</v>
      </c>
      <c r="AK93" s="368">
        <f>$D$93 * AK12 * AK10 * SUM($K118:AJ118,$K129:AJ129)</f>
        <v>0</v>
      </c>
      <c r="AL93" s="368">
        <f>$D$93 * AL12 * AL10 * SUM($K118:AK118,$K129:AK129)</f>
        <v>0</v>
      </c>
      <c r="AM93" s="368">
        <f>$D$93 * AM12 * AM10 * SUM($K118:AL118,$K129:AL129)</f>
        <v>0</v>
      </c>
      <c r="AN93" s="368">
        <f>$D$93 * AN12 * AN10 * SUM($K118:AM118,$K129:AM129)</f>
        <v>0</v>
      </c>
      <c r="AO93" s="368">
        <f>$D$93 * AO12 * AO10 * SUM($K118:AN118,$K129:AN129)</f>
        <v>0</v>
      </c>
      <c r="AP93" s="368">
        <f>$D$93 * AP12 * AP10 * SUM($K118:AO118,$K129:AO129)</f>
        <v>0</v>
      </c>
      <c r="AQ93" s="368">
        <f>$D$93 * AQ12 * AQ10 * SUM($K118:AP118,$K129:AP129)</f>
        <v>0</v>
      </c>
      <c r="AR93" s="368">
        <f>$D$93 * AR12 * AR10 * SUM($K118:AQ118,$K129:AQ129)</f>
        <v>0</v>
      </c>
      <c r="AS93" s="368">
        <f>$D$93 * AS12 * AS10 * SUM($K118:AR118,$K129:AR129)</f>
        <v>0</v>
      </c>
      <c r="AT93" s="931">
        <f>$D$93 * AT12 * AT10 * SUM($K118:AS118,$K129:AS129)</f>
        <v>0</v>
      </c>
      <c r="AU93" s="283"/>
      <c r="AV93" s="283"/>
      <c r="AW93" s="280"/>
      <c r="AX93" s="280"/>
      <c r="AY93" s="280"/>
      <c r="AZ93" s="280"/>
      <c r="BA93" s="280"/>
      <c r="BB93" s="280"/>
      <c r="BC93" s="280"/>
      <c r="BD93" s="280"/>
      <c r="BE93" s="280"/>
      <c r="BF93" s="280"/>
      <c r="BG93" s="280"/>
      <c r="BH93" s="280"/>
      <c r="BI93" s="280"/>
      <c r="BJ93" s="280"/>
      <c r="BK93" s="280"/>
      <c r="BL93" s="280"/>
      <c r="BM93" s="280"/>
      <c r="BN93" s="280"/>
      <c r="BO93" s="280"/>
      <c r="BP93" s="280"/>
      <c r="BQ93" s="280"/>
      <c r="BR93" s="280"/>
      <c r="BS93" s="280"/>
      <c r="BT93" s="280"/>
      <c r="BU93" s="280"/>
      <c r="BV93" s="280"/>
    </row>
    <row r="94" spans="1:74" s="300" customFormat="1" ht="15" customHeight="1" x14ac:dyDescent="0.25">
      <c r="A94" s="283"/>
      <c r="B94" s="315" t="s">
        <v>420</v>
      </c>
      <c r="C94" s="316"/>
      <c r="D94" s="402"/>
      <c r="E94" s="316"/>
      <c r="F94" s="316"/>
      <c r="G94" s="334" t="str">
        <f>IF(D94&gt;'Waarden regeling'!C35,"Onderbouw in het projectplan","")</f>
        <v/>
      </c>
      <c r="H94" s="316"/>
      <c r="I94" s="316"/>
      <c r="J94" s="316"/>
      <c r="K94" s="316"/>
      <c r="L94" s="368">
        <f>$D$94 * L12 * L10 * SUM($K115:K115)</f>
        <v>0</v>
      </c>
      <c r="M94" s="368">
        <f>$D$94 * M12 * M10 * SUM($K115:L115)</f>
        <v>0</v>
      </c>
      <c r="N94" s="368">
        <f>$D$94 * N12 * N10 * SUM($K115:M115)</f>
        <v>0</v>
      </c>
      <c r="O94" s="368">
        <f>$D$94 * O12 * O10 * SUM($K115:N115)</f>
        <v>0</v>
      </c>
      <c r="P94" s="368">
        <f>$D$94 * P12 * P10 * SUM($K115:O115)</f>
        <v>0</v>
      </c>
      <c r="Q94" s="368">
        <f>$D$94 * Q12 * Q10 * SUM($K115:P115)</f>
        <v>0</v>
      </c>
      <c r="R94" s="368">
        <f>$D$94 * R12 * R10 * SUM($K115:Q115)</f>
        <v>0</v>
      </c>
      <c r="S94" s="368">
        <f>$D$94 * S12 * S10 * SUM($K115:R115)</f>
        <v>0</v>
      </c>
      <c r="T94" s="368">
        <f>$D$94 * T12 * T10 * SUM($K115:S115)</f>
        <v>0</v>
      </c>
      <c r="U94" s="368">
        <f>$D$94 * U12 * U10 * SUM($K115:T115)</f>
        <v>0</v>
      </c>
      <c r="V94" s="368">
        <f>$D$94 * V12 * V10 * SUM($K115:U115)</f>
        <v>0</v>
      </c>
      <c r="W94" s="368">
        <f>$D$94 * W12 * W10 * SUM($K115:V115)</f>
        <v>0</v>
      </c>
      <c r="X94" s="368">
        <f>$D$94 * X12 * X10 * SUM($K115:W115)</f>
        <v>0</v>
      </c>
      <c r="Y94" s="368">
        <f>$D$94 * Y12 * Y10 * SUM($K115:X115)</f>
        <v>0</v>
      </c>
      <c r="Z94" s="368">
        <f>$D$94 * Z12 * Z10 * SUM($K115:Y115)</f>
        <v>0</v>
      </c>
      <c r="AA94" s="368">
        <f>$D$94 * AA12 * AA10 * SUM($K115:Z115)</f>
        <v>0</v>
      </c>
      <c r="AB94" s="368">
        <f>$D$94 * AB12 * AB10 * SUM($K115:AA115)</f>
        <v>0</v>
      </c>
      <c r="AC94" s="368">
        <f>$D$94 * AC12 * AC10 * SUM($K115:AB115)</f>
        <v>0</v>
      </c>
      <c r="AD94" s="368">
        <f>$D$94 * AD12 * AD10 * SUM($K115:AC115)</f>
        <v>0</v>
      </c>
      <c r="AE94" s="368">
        <f>$D$94 * AE12 * AE10 * SUM($K115:AD115)</f>
        <v>0</v>
      </c>
      <c r="AF94" s="368">
        <f>$D$94 * AF12 * AF10 * SUM($K115:AE115)</f>
        <v>0</v>
      </c>
      <c r="AG94" s="368">
        <f>$D$94 * AG12 * AG10 * SUM($K115:AF115)</f>
        <v>0</v>
      </c>
      <c r="AH94" s="368">
        <f>$D$94 * AH12 * AH10 * SUM($K115:AG115)</f>
        <v>0</v>
      </c>
      <c r="AI94" s="368">
        <f>$D$94 * AI12 * AI10 * SUM($K115:AH115)</f>
        <v>0</v>
      </c>
      <c r="AJ94" s="368">
        <f>$D$94 * AJ12 * AJ10 * SUM($K115:AI115)</f>
        <v>0</v>
      </c>
      <c r="AK94" s="368">
        <f>$D$94 * AK12 * AK10 * SUM($K115:AJ115)</f>
        <v>0</v>
      </c>
      <c r="AL94" s="368">
        <f>$D$94 * AL12 * AL10 * SUM($K115:AK115)</f>
        <v>0</v>
      </c>
      <c r="AM94" s="368">
        <f>$D$94 * AM12 * AM10 * SUM($K115:AL115)</f>
        <v>0</v>
      </c>
      <c r="AN94" s="368">
        <f>$D$94 * AN12 * AN10 * SUM($K115:AM115)</f>
        <v>0</v>
      </c>
      <c r="AO94" s="368">
        <f>$D$94 * AO12 * AO10 * SUM($K115:AN115)</f>
        <v>0</v>
      </c>
      <c r="AP94" s="368">
        <f>$D$94 * AP12 * AP10 * SUM($K115:AO115)</f>
        <v>0</v>
      </c>
      <c r="AQ94" s="368">
        <f>$D$94 * AQ12 * AQ10 * SUM($K115:AP115)</f>
        <v>0</v>
      </c>
      <c r="AR94" s="368">
        <f>$D$94 * AR12 * AR10 * SUM($K115:AQ115)</f>
        <v>0</v>
      </c>
      <c r="AS94" s="368">
        <f>$D$94 * AS12 * AS10 * SUM($K115:AR115)</f>
        <v>0</v>
      </c>
      <c r="AT94" s="931">
        <f>$D$94 * AT12 * AT10 * SUM($K115:AS115)</f>
        <v>0</v>
      </c>
      <c r="AU94" s="283"/>
      <c r="AV94" s="283"/>
      <c r="AW94" s="280"/>
      <c r="AX94" s="280"/>
      <c r="AY94" s="280"/>
      <c r="AZ94" s="280"/>
      <c r="BA94" s="280"/>
      <c r="BB94" s="280"/>
      <c r="BC94" s="280"/>
      <c r="BD94" s="280"/>
      <c r="BE94" s="280"/>
      <c r="BF94" s="280"/>
      <c r="BG94" s="280"/>
      <c r="BH94" s="280"/>
      <c r="BI94" s="280"/>
      <c r="BJ94" s="280"/>
      <c r="BK94" s="280"/>
      <c r="BL94" s="280"/>
      <c r="BM94" s="280"/>
      <c r="BN94" s="280"/>
      <c r="BO94" s="280"/>
      <c r="BP94" s="280"/>
      <c r="BQ94" s="280"/>
      <c r="BR94" s="280"/>
      <c r="BS94" s="280"/>
      <c r="BT94" s="280"/>
      <c r="BU94" s="280"/>
      <c r="BV94" s="280"/>
    </row>
    <row r="95" spans="1:74" s="320" customFormat="1" ht="15" customHeight="1" x14ac:dyDescent="0.25">
      <c r="A95" s="317"/>
      <c r="B95" s="340" t="s">
        <v>421</v>
      </c>
      <c r="C95" s="181"/>
      <c r="D95" s="181"/>
      <c r="E95" s="181"/>
      <c r="F95" s="181"/>
      <c r="G95" s="1007"/>
      <c r="H95" s="181"/>
      <c r="I95" s="181"/>
      <c r="J95" s="181"/>
      <c r="K95" s="345"/>
      <c r="L95" s="466">
        <f t="shared" ref="L95:AT95" si="85">SUM(L91:L94)</f>
        <v>0</v>
      </c>
      <c r="M95" s="466">
        <f t="shared" si="85"/>
        <v>0</v>
      </c>
      <c r="N95" s="466">
        <f t="shared" si="85"/>
        <v>0</v>
      </c>
      <c r="O95" s="466">
        <f t="shared" si="85"/>
        <v>0</v>
      </c>
      <c r="P95" s="466">
        <f>SUM(P91:P94)</f>
        <v>0</v>
      </c>
      <c r="Q95" s="466">
        <f t="shared" si="85"/>
        <v>0</v>
      </c>
      <c r="R95" s="466">
        <f t="shared" si="85"/>
        <v>0</v>
      </c>
      <c r="S95" s="466">
        <f t="shared" si="85"/>
        <v>0</v>
      </c>
      <c r="T95" s="466">
        <f t="shared" si="85"/>
        <v>0</v>
      </c>
      <c r="U95" s="466">
        <f t="shared" si="85"/>
        <v>0</v>
      </c>
      <c r="V95" s="466">
        <f t="shared" si="85"/>
        <v>0</v>
      </c>
      <c r="W95" s="466">
        <f t="shared" si="85"/>
        <v>0</v>
      </c>
      <c r="X95" s="466">
        <f t="shared" si="85"/>
        <v>0</v>
      </c>
      <c r="Y95" s="466">
        <f t="shared" si="85"/>
        <v>0</v>
      </c>
      <c r="Z95" s="466">
        <f t="shared" si="85"/>
        <v>0</v>
      </c>
      <c r="AA95" s="466">
        <f t="shared" si="85"/>
        <v>0</v>
      </c>
      <c r="AB95" s="466">
        <f t="shared" si="85"/>
        <v>0</v>
      </c>
      <c r="AC95" s="466">
        <f t="shared" si="85"/>
        <v>0</v>
      </c>
      <c r="AD95" s="466">
        <f t="shared" si="85"/>
        <v>0</v>
      </c>
      <c r="AE95" s="466">
        <f t="shared" si="85"/>
        <v>0</v>
      </c>
      <c r="AF95" s="466">
        <f t="shared" si="85"/>
        <v>0</v>
      </c>
      <c r="AG95" s="466">
        <f t="shared" si="85"/>
        <v>0</v>
      </c>
      <c r="AH95" s="466">
        <f t="shared" si="85"/>
        <v>0</v>
      </c>
      <c r="AI95" s="466">
        <f t="shared" si="85"/>
        <v>0</v>
      </c>
      <c r="AJ95" s="466">
        <f t="shared" si="85"/>
        <v>0</v>
      </c>
      <c r="AK95" s="466">
        <f t="shared" si="85"/>
        <v>0</v>
      </c>
      <c r="AL95" s="466">
        <f t="shared" si="85"/>
        <v>0</v>
      </c>
      <c r="AM95" s="466">
        <f t="shared" si="85"/>
        <v>0</v>
      </c>
      <c r="AN95" s="466">
        <f t="shared" si="85"/>
        <v>0</v>
      </c>
      <c r="AO95" s="466">
        <f t="shared" si="85"/>
        <v>0</v>
      </c>
      <c r="AP95" s="466">
        <f t="shared" si="85"/>
        <v>0</v>
      </c>
      <c r="AQ95" s="466">
        <f t="shared" si="85"/>
        <v>0</v>
      </c>
      <c r="AR95" s="466">
        <f t="shared" si="85"/>
        <v>0</v>
      </c>
      <c r="AS95" s="466">
        <f t="shared" si="85"/>
        <v>0</v>
      </c>
      <c r="AT95" s="933">
        <f t="shared" si="85"/>
        <v>0</v>
      </c>
      <c r="AU95" s="317"/>
      <c r="AV95" s="317"/>
      <c r="AW95" s="285"/>
      <c r="AX95" s="285"/>
      <c r="AY95" s="285"/>
      <c r="AZ95" s="285"/>
      <c r="BA95" s="285"/>
      <c r="BB95" s="285"/>
      <c r="BC95" s="285"/>
      <c r="BD95" s="285"/>
      <c r="BE95" s="285"/>
      <c r="BF95" s="285"/>
      <c r="BG95" s="285"/>
      <c r="BH95" s="285"/>
      <c r="BI95" s="285"/>
      <c r="BJ95" s="285"/>
      <c r="BK95" s="285"/>
      <c r="BL95" s="285"/>
      <c r="BM95" s="285"/>
      <c r="BN95" s="285"/>
      <c r="BO95" s="285"/>
      <c r="BP95" s="285"/>
      <c r="BQ95" s="285"/>
      <c r="BR95" s="285"/>
      <c r="BS95" s="285"/>
      <c r="BT95" s="285"/>
      <c r="BU95" s="285"/>
      <c r="BV95" s="285"/>
    </row>
    <row r="96" spans="1:74" s="300" customFormat="1" ht="15" customHeight="1" x14ac:dyDescent="0.25">
      <c r="A96" s="283"/>
      <c r="B96" s="313"/>
      <c r="C96" s="317"/>
      <c r="D96" s="283"/>
      <c r="E96" s="283"/>
      <c r="F96" s="283"/>
      <c r="G96" s="324"/>
      <c r="H96" s="283"/>
      <c r="I96" s="283"/>
      <c r="J96" s="283"/>
      <c r="K96" s="283"/>
      <c r="L96" s="346"/>
      <c r="M96" s="346"/>
      <c r="N96" s="346"/>
      <c r="O96" s="346"/>
      <c r="P96" s="346"/>
      <c r="Q96" s="346"/>
      <c r="R96" s="346"/>
      <c r="S96" s="346"/>
      <c r="T96" s="346"/>
      <c r="U96" s="346"/>
      <c r="V96" s="346"/>
      <c r="W96" s="346"/>
      <c r="X96" s="346"/>
      <c r="Y96" s="346"/>
      <c r="Z96" s="346"/>
      <c r="AA96" s="347"/>
      <c r="AB96" s="346"/>
      <c r="AC96" s="346"/>
      <c r="AD96" s="346"/>
      <c r="AE96" s="346"/>
      <c r="AF96" s="346"/>
      <c r="AG96" s="346"/>
      <c r="AH96" s="346"/>
      <c r="AI96" s="346"/>
      <c r="AJ96" s="346"/>
      <c r="AK96" s="346"/>
      <c r="AL96" s="346"/>
      <c r="AM96" s="346"/>
      <c r="AN96" s="346"/>
      <c r="AO96" s="346"/>
      <c r="AP96" s="346"/>
      <c r="AQ96" s="346"/>
      <c r="AR96" s="346"/>
      <c r="AS96" s="346"/>
      <c r="AT96" s="934"/>
      <c r="AU96" s="283"/>
      <c r="AV96" s="283"/>
      <c r="AW96" s="280"/>
      <c r="AX96" s="280"/>
      <c r="AY96" s="280"/>
      <c r="AZ96" s="280"/>
      <c r="BA96" s="280"/>
      <c r="BB96" s="280"/>
      <c r="BC96" s="280"/>
      <c r="BD96" s="280"/>
      <c r="BE96" s="280"/>
      <c r="BF96" s="280"/>
      <c r="BG96" s="280"/>
      <c r="BH96" s="280"/>
      <c r="BI96" s="280"/>
      <c r="BJ96" s="280"/>
      <c r="BK96" s="280"/>
      <c r="BL96" s="280"/>
      <c r="BM96" s="280"/>
      <c r="BN96" s="280"/>
      <c r="BO96" s="280"/>
      <c r="BP96" s="280"/>
      <c r="BQ96" s="280"/>
      <c r="BR96" s="280"/>
      <c r="BS96" s="280"/>
      <c r="BT96" s="280"/>
      <c r="BU96" s="280"/>
      <c r="BV96" s="280"/>
    </row>
    <row r="97" spans="1:74" s="300" customFormat="1" ht="15" customHeight="1" x14ac:dyDescent="0.25">
      <c r="A97" s="283"/>
      <c r="B97" s="340" t="s">
        <v>422</v>
      </c>
      <c r="C97" s="345"/>
      <c r="D97" s="774"/>
      <c r="E97" s="348" t="s">
        <v>423</v>
      </c>
      <c r="F97" s="348"/>
      <c r="G97" s="919" t="str">
        <f>IF(D97&gt;K_adm,"Onderbouw in het projectplan","")</f>
        <v/>
      </c>
      <c r="H97" s="919"/>
      <c r="I97" s="919"/>
      <c r="J97" s="334"/>
      <c r="K97" s="316"/>
      <c r="L97" s="349">
        <f>$D$97 * L10 * L12 * K51</f>
        <v>0</v>
      </c>
      <c r="M97" s="349">
        <f t="shared" ref="M97:AT97" si="86">$D$97 * M10 * M12 * L51</f>
        <v>0</v>
      </c>
      <c r="N97" s="349">
        <f t="shared" si="86"/>
        <v>0</v>
      </c>
      <c r="O97" s="349">
        <f t="shared" si="86"/>
        <v>0</v>
      </c>
      <c r="P97" s="349">
        <f t="shared" si="86"/>
        <v>0</v>
      </c>
      <c r="Q97" s="349">
        <f t="shared" si="86"/>
        <v>0</v>
      </c>
      <c r="R97" s="349">
        <f t="shared" si="86"/>
        <v>0</v>
      </c>
      <c r="S97" s="349">
        <f t="shared" si="86"/>
        <v>0</v>
      </c>
      <c r="T97" s="349">
        <f t="shared" si="86"/>
        <v>0</v>
      </c>
      <c r="U97" s="349">
        <f t="shared" si="86"/>
        <v>0</v>
      </c>
      <c r="V97" s="349">
        <f t="shared" si="86"/>
        <v>0</v>
      </c>
      <c r="W97" s="349">
        <f t="shared" si="86"/>
        <v>0</v>
      </c>
      <c r="X97" s="349">
        <f t="shared" si="86"/>
        <v>0</v>
      </c>
      <c r="Y97" s="349">
        <f t="shared" si="86"/>
        <v>0</v>
      </c>
      <c r="Z97" s="349">
        <f t="shared" si="86"/>
        <v>0</v>
      </c>
      <c r="AA97" s="349">
        <f t="shared" si="86"/>
        <v>0</v>
      </c>
      <c r="AB97" s="349">
        <f t="shared" si="86"/>
        <v>0</v>
      </c>
      <c r="AC97" s="349">
        <f t="shared" si="86"/>
        <v>0</v>
      </c>
      <c r="AD97" s="349">
        <f t="shared" si="86"/>
        <v>0</v>
      </c>
      <c r="AE97" s="349">
        <f t="shared" si="86"/>
        <v>0</v>
      </c>
      <c r="AF97" s="349">
        <f t="shared" si="86"/>
        <v>0</v>
      </c>
      <c r="AG97" s="349">
        <f t="shared" si="86"/>
        <v>0</v>
      </c>
      <c r="AH97" s="349">
        <f t="shared" si="86"/>
        <v>0</v>
      </c>
      <c r="AI97" s="349">
        <f t="shared" si="86"/>
        <v>0</v>
      </c>
      <c r="AJ97" s="349">
        <f t="shared" si="86"/>
        <v>0</v>
      </c>
      <c r="AK97" s="349">
        <f t="shared" si="86"/>
        <v>0</v>
      </c>
      <c r="AL97" s="349">
        <f t="shared" si="86"/>
        <v>0</v>
      </c>
      <c r="AM97" s="349">
        <f t="shared" si="86"/>
        <v>0</v>
      </c>
      <c r="AN97" s="349">
        <f t="shared" si="86"/>
        <v>0</v>
      </c>
      <c r="AO97" s="349">
        <f t="shared" si="86"/>
        <v>0</v>
      </c>
      <c r="AP97" s="349">
        <f t="shared" si="86"/>
        <v>0</v>
      </c>
      <c r="AQ97" s="349">
        <f t="shared" si="86"/>
        <v>0</v>
      </c>
      <c r="AR97" s="349">
        <f t="shared" si="86"/>
        <v>0</v>
      </c>
      <c r="AS97" s="349">
        <f t="shared" si="86"/>
        <v>0</v>
      </c>
      <c r="AT97" s="935">
        <f t="shared" si="86"/>
        <v>0</v>
      </c>
      <c r="AU97" s="283"/>
      <c r="AV97" s="283"/>
      <c r="AW97" s="280"/>
      <c r="AX97" s="280"/>
      <c r="AY97" s="280"/>
      <c r="AZ97" s="280"/>
      <c r="BA97" s="280"/>
      <c r="BB97" s="280"/>
      <c r="BC97" s="280"/>
      <c r="BD97" s="280"/>
      <c r="BE97" s="280"/>
      <c r="BF97" s="280"/>
      <c r="BG97" s="280"/>
      <c r="BH97" s="280"/>
      <c r="BI97" s="280"/>
      <c r="BJ97" s="280"/>
      <c r="BK97" s="280"/>
      <c r="BL97" s="280"/>
      <c r="BM97" s="280"/>
      <c r="BN97" s="280"/>
      <c r="BO97" s="280"/>
      <c r="BP97" s="280"/>
      <c r="BQ97" s="280"/>
      <c r="BR97" s="280"/>
      <c r="BS97" s="280"/>
      <c r="BT97" s="280"/>
      <c r="BU97" s="280"/>
      <c r="BV97" s="280"/>
    </row>
    <row r="98" spans="1:74" s="305" customFormat="1" ht="15" customHeight="1" x14ac:dyDescent="0.25">
      <c r="B98" s="350"/>
      <c r="C98" s="351"/>
      <c r="D98" s="352"/>
      <c r="E98" s="353"/>
      <c r="F98" s="353"/>
      <c r="G98" s="1008"/>
      <c r="L98" s="354"/>
      <c r="M98" s="355"/>
      <c r="N98" s="355"/>
      <c r="O98" s="355"/>
      <c r="P98" s="355"/>
      <c r="Q98" s="355"/>
      <c r="R98" s="355"/>
      <c r="S98" s="355"/>
      <c r="T98" s="355"/>
      <c r="U98" s="355"/>
      <c r="V98" s="355"/>
      <c r="W98" s="355"/>
      <c r="X98" s="355"/>
      <c r="Y98" s="355"/>
      <c r="Z98" s="355"/>
      <c r="AA98" s="355"/>
      <c r="AB98" s="355"/>
      <c r="AC98" s="355"/>
      <c r="AD98" s="355"/>
      <c r="AE98" s="355"/>
      <c r="AF98" s="355"/>
      <c r="AG98" s="355"/>
      <c r="AH98" s="355"/>
      <c r="AI98" s="355"/>
      <c r="AJ98" s="355"/>
      <c r="AK98" s="355"/>
      <c r="AL98" s="355"/>
      <c r="AM98" s="355"/>
      <c r="AN98" s="355"/>
      <c r="AO98" s="355"/>
      <c r="AP98" s="355"/>
      <c r="AQ98" s="355"/>
      <c r="AR98" s="355"/>
      <c r="AS98" s="355"/>
      <c r="AT98" s="936"/>
    </row>
    <row r="99" spans="1:74" s="305" customFormat="1" ht="15" customHeight="1" x14ac:dyDescent="0.25">
      <c r="B99" s="313" t="s">
        <v>424</v>
      </c>
      <c r="C99" s="351"/>
      <c r="D99" s="352"/>
      <c r="E99" s="353"/>
      <c r="F99" s="353"/>
      <c r="G99" s="1008"/>
      <c r="L99" s="354"/>
      <c r="M99" s="355"/>
      <c r="N99" s="355"/>
      <c r="O99" s="355"/>
      <c r="P99" s="355"/>
      <c r="Q99" s="355"/>
      <c r="R99" s="355"/>
      <c r="S99" s="355"/>
      <c r="T99" s="355"/>
      <c r="U99" s="355"/>
      <c r="V99" s="355"/>
      <c r="W99" s="355"/>
      <c r="X99" s="355"/>
      <c r="Y99" s="355"/>
      <c r="Z99" s="355"/>
      <c r="AA99" s="356"/>
      <c r="AB99" s="355"/>
      <c r="AC99" s="355"/>
      <c r="AD99" s="355"/>
      <c r="AE99" s="355"/>
      <c r="AF99" s="355"/>
      <c r="AG99" s="355"/>
      <c r="AH99" s="355"/>
      <c r="AI99" s="355"/>
      <c r="AJ99" s="355"/>
      <c r="AK99" s="355"/>
      <c r="AL99" s="355"/>
      <c r="AM99" s="355"/>
      <c r="AN99" s="355"/>
      <c r="AO99" s="355"/>
      <c r="AP99" s="355"/>
      <c r="AQ99" s="355"/>
      <c r="AR99" s="355"/>
      <c r="AS99" s="355"/>
      <c r="AT99" s="936"/>
    </row>
    <row r="100" spans="1:74" s="300" customFormat="1" ht="15" customHeight="1" x14ac:dyDescent="0.25">
      <c r="A100" s="283"/>
      <c r="B100" s="909" t="s">
        <v>425</v>
      </c>
      <c r="C100" s="357"/>
      <c r="D100" s="326"/>
      <c r="E100" s="325" t="s">
        <v>402</v>
      </c>
      <c r="F100" s="348"/>
      <c r="G100" s="334" t="str">
        <f>IF(SUM(L100:AT100)&gt;0,"Onderbouw in het projectplan","")</f>
        <v/>
      </c>
      <c r="H100" s="334"/>
      <c r="I100" s="334"/>
      <c r="J100" s="334"/>
      <c r="K100" s="335"/>
      <c r="L100" s="326">
        <f>$D100 * L$10 * L$12</f>
        <v>0</v>
      </c>
      <c r="M100" s="336">
        <f t="shared" ref="M100:U100" si="87">$D100 * M$10 * M$12</f>
        <v>0</v>
      </c>
      <c r="N100" s="326">
        <f t="shared" si="87"/>
        <v>0</v>
      </c>
      <c r="O100" s="326">
        <f t="shared" si="87"/>
        <v>0</v>
      </c>
      <c r="P100" s="326">
        <f t="shared" si="87"/>
        <v>0</v>
      </c>
      <c r="Q100" s="337">
        <f t="shared" si="87"/>
        <v>0</v>
      </c>
      <c r="R100" s="326">
        <f t="shared" si="87"/>
        <v>0</v>
      </c>
      <c r="S100" s="336">
        <f t="shared" si="87"/>
        <v>0</v>
      </c>
      <c r="T100" s="326">
        <f t="shared" si="87"/>
        <v>0</v>
      </c>
      <c r="U100" s="326">
        <f t="shared" si="87"/>
        <v>0</v>
      </c>
      <c r="V100" s="326">
        <f t="shared" ref="V100:AT104" si="88">$D100 * V$10 * V$12</f>
        <v>0</v>
      </c>
      <c r="W100" s="326">
        <f t="shared" si="88"/>
        <v>0</v>
      </c>
      <c r="X100" s="326">
        <f t="shared" si="88"/>
        <v>0</v>
      </c>
      <c r="Y100" s="326">
        <f t="shared" si="88"/>
        <v>0</v>
      </c>
      <c r="Z100" s="326">
        <f t="shared" si="88"/>
        <v>0</v>
      </c>
      <c r="AA100" s="326">
        <f t="shared" si="88"/>
        <v>0</v>
      </c>
      <c r="AB100" s="326">
        <f t="shared" si="88"/>
        <v>0</v>
      </c>
      <c r="AC100" s="326">
        <f t="shared" si="88"/>
        <v>0</v>
      </c>
      <c r="AD100" s="326">
        <f t="shared" si="88"/>
        <v>0</v>
      </c>
      <c r="AE100" s="326">
        <f t="shared" si="88"/>
        <v>0</v>
      </c>
      <c r="AF100" s="326">
        <f t="shared" si="88"/>
        <v>0</v>
      </c>
      <c r="AG100" s="326">
        <f t="shared" si="88"/>
        <v>0</v>
      </c>
      <c r="AH100" s="326">
        <f t="shared" si="88"/>
        <v>0</v>
      </c>
      <c r="AI100" s="326">
        <f t="shared" si="88"/>
        <v>0</v>
      </c>
      <c r="AJ100" s="326">
        <f t="shared" si="88"/>
        <v>0</v>
      </c>
      <c r="AK100" s="326">
        <f t="shared" si="88"/>
        <v>0</v>
      </c>
      <c r="AL100" s="326">
        <f t="shared" si="88"/>
        <v>0</v>
      </c>
      <c r="AM100" s="326">
        <f t="shared" si="88"/>
        <v>0</v>
      </c>
      <c r="AN100" s="326">
        <f t="shared" si="88"/>
        <v>0</v>
      </c>
      <c r="AO100" s="326">
        <f t="shared" si="88"/>
        <v>0</v>
      </c>
      <c r="AP100" s="326">
        <f t="shared" si="88"/>
        <v>0</v>
      </c>
      <c r="AQ100" s="326">
        <f t="shared" si="88"/>
        <v>0</v>
      </c>
      <c r="AR100" s="326">
        <f t="shared" si="88"/>
        <v>0</v>
      </c>
      <c r="AS100" s="326">
        <f t="shared" si="88"/>
        <v>0</v>
      </c>
      <c r="AT100" s="326">
        <f t="shared" si="88"/>
        <v>0</v>
      </c>
      <c r="AU100" s="283"/>
      <c r="AV100" s="283"/>
      <c r="AW100" s="280"/>
      <c r="AX100" s="280"/>
      <c r="AY100" s="280"/>
      <c r="AZ100" s="280"/>
      <c r="BA100" s="280"/>
      <c r="BB100" s="280"/>
      <c r="BC100" s="280"/>
      <c r="BD100" s="280"/>
      <c r="BE100" s="280"/>
      <c r="BF100" s="280"/>
      <c r="BG100" s="280"/>
      <c r="BH100" s="280"/>
      <c r="BI100" s="280"/>
      <c r="BJ100" s="280"/>
      <c r="BK100" s="280"/>
      <c r="BL100" s="280"/>
      <c r="BM100" s="280"/>
      <c r="BN100" s="280"/>
      <c r="BO100" s="280"/>
      <c r="BP100" s="280"/>
      <c r="BQ100" s="280"/>
      <c r="BR100" s="280"/>
      <c r="BS100" s="280"/>
      <c r="BT100" s="280"/>
      <c r="BU100" s="280"/>
      <c r="BV100" s="280"/>
    </row>
    <row r="101" spans="1:74" s="300" customFormat="1" ht="15" customHeight="1" x14ac:dyDescent="0.25">
      <c r="A101" s="283"/>
      <c r="B101" s="909" t="s">
        <v>426</v>
      </c>
      <c r="C101" s="358"/>
      <c r="D101" s="326"/>
      <c r="E101" s="328" t="s">
        <v>402</v>
      </c>
      <c r="F101" s="348"/>
      <c r="G101" s="334" t="str">
        <f>IF(SUM(L101:AT101)&gt;0,"Onderbouw in het projectplan","")</f>
        <v/>
      </c>
      <c r="H101" s="377"/>
      <c r="I101" s="377"/>
      <c r="J101" s="377"/>
      <c r="K101" s="335"/>
      <c r="L101" s="336">
        <f t="shared" ref="L101:U104" si="89">$D101 * L$10 * L$12</f>
        <v>0</v>
      </c>
      <c r="M101" s="336">
        <f t="shared" si="89"/>
        <v>0</v>
      </c>
      <c r="N101" s="326">
        <f t="shared" si="89"/>
        <v>0</v>
      </c>
      <c r="O101" s="326">
        <f t="shared" si="89"/>
        <v>0</v>
      </c>
      <c r="P101" s="326">
        <f t="shared" si="89"/>
        <v>0</v>
      </c>
      <c r="Q101" s="337">
        <f t="shared" si="89"/>
        <v>0</v>
      </c>
      <c r="R101" s="326">
        <f t="shared" si="89"/>
        <v>0</v>
      </c>
      <c r="S101" s="336">
        <f t="shared" si="89"/>
        <v>0</v>
      </c>
      <c r="T101" s="326">
        <f t="shared" si="89"/>
        <v>0</v>
      </c>
      <c r="U101" s="326">
        <f t="shared" si="89"/>
        <v>0</v>
      </c>
      <c r="V101" s="326"/>
      <c r="W101" s="326">
        <f t="shared" ref="W101:AL104" si="90">$D101 * W$10 * W$12</f>
        <v>0</v>
      </c>
      <c r="X101" s="326">
        <f t="shared" si="90"/>
        <v>0</v>
      </c>
      <c r="Y101" s="326">
        <f t="shared" si="90"/>
        <v>0</v>
      </c>
      <c r="Z101" s="326">
        <f t="shared" si="90"/>
        <v>0</v>
      </c>
      <c r="AA101" s="326">
        <f t="shared" si="90"/>
        <v>0</v>
      </c>
      <c r="AB101" s="326">
        <f t="shared" si="90"/>
        <v>0</v>
      </c>
      <c r="AC101" s="326">
        <f t="shared" si="90"/>
        <v>0</v>
      </c>
      <c r="AD101" s="326">
        <f t="shared" si="90"/>
        <v>0</v>
      </c>
      <c r="AE101" s="326">
        <f t="shared" si="90"/>
        <v>0</v>
      </c>
      <c r="AF101" s="326">
        <f t="shared" si="90"/>
        <v>0</v>
      </c>
      <c r="AG101" s="326">
        <f t="shared" si="90"/>
        <v>0</v>
      </c>
      <c r="AH101" s="326">
        <f t="shared" si="90"/>
        <v>0</v>
      </c>
      <c r="AI101" s="326">
        <f t="shared" si="90"/>
        <v>0</v>
      </c>
      <c r="AJ101" s="326">
        <f t="shared" si="90"/>
        <v>0</v>
      </c>
      <c r="AK101" s="326">
        <f t="shared" si="90"/>
        <v>0</v>
      </c>
      <c r="AL101" s="326">
        <f t="shared" si="90"/>
        <v>0</v>
      </c>
      <c r="AM101" s="326">
        <f t="shared" si="88"/>
        <v>0</v>
      </c>
      <c r="AN101" s="326">
        <f t="shared" si="88"/>
        <v>0</v>
      </c>
      <c r="AO101" s="326">
        <f t="shared" si="88"/>
        <v>0</v>
      </c>
      <c r="AP101" s="326">
        <f t="shared" si="88"/>
        <v>0</v>
      </c>
      <c r="AQ101" s="326">
        <f t="shared" si="88"/>
        <v>0</v>
      </c>
      <c r="AR101" s="326">
        <f t="shared" si="88"/>
        <v>0</v>
      </c>
      <c r="AS101" s="326">
        <f t="shared" si="88"/>
        <v>0</v>
      </c>
      <c r="AT101" s="326">
        <f t="shared" si="88"/>
        <v>0</v>
      </c>
      <c r="AU101" s="283"/>
      <c r="AV101" s="283"/>
      <c r="AW101" s="280"/>
      <c r="AX101" s="280"/>
      <c r="AY101" s="280"/>
      <c r="AZ101" s="280"/>
      <c r="BA101" s="280"/>
      <c r="BB101" s="280"/>
      <c r="BC101" s="280"/>
      <c r="BD101" s="280"/>
      <c r="BE101" s="280"/>
      <c r="BF101" s="280"/>
      <c r="BG101" s="280"/>
      <c r="BH101" s="280"/>
      <c r="BI101" s="280"/>
      <c r="BJ101" s="280"/>
      <c r="BK101" s="280"/>
      <c r="BL101" s="280"/>
      <c r="BM101" s="280"/>
      <c r="BN101" s="280"/>
      <c r="BO101" s="280"/>
      <c r="BP101" s="280"/>
      <c r="BQ101" s="280"/>
      <c r="BR101" s="280"/>
      <c r="BS101" s="280"/>
      <c r="BT101" s="280"/>
      <c r="BU101" s="280"/>
      <c r="BV101" s="280"/>
    </row>
    <row r="102" spans="1:74" s="300" customFormat="1" ht="15" customHeight="1" x14ac:dyDescent="0.25">
      <c r="A102" s="283"/>
      <c r="B102" s="326" t="s">
        <v>403</v>
      </c>
      <c r="C102" s="358"/>
      <c r="D102" s="326"/>
      <c r="E102" s="328" t="s">
        <v>402</v>
      </c>
      <c r="F102" s="407"/>
      <c r="G102" s="1009" t="str">
        <f>IF(SUM(L102:AT102)&gt;0,"Onderbouw in het projectplan","")</f>
        <v/>
      </c>
      <c r="H102" s="334"/>
      <c r="I102" s="334"/>
      <c r="J102" s="334"/>
      <c r="K102" s="335"/>
      <c r="L102" s="326">
        <f>$D102 * L$10 * L$12</f>
        <v>0</v>
      </c>
      <c r="M102" s="336">
        <f t="shared" si="89"/>
        <v>0</v>
      </c>
      <c r="N102" s="326">
        <f t="shared" si="89"/>
        <v>0</v>
      </c>
      <c r="O102" s="326">
        <f t="shared" si="89"/>
        <v>0</v>
      </c>
      <c r="P102" s="326">
        <f t="shared" si="89"/>
        <v>0</v>
      </c>
      <c r="Q102" s="337">
        <f t="shared" si="89"/>
        <v>0</v>
      </c>
      <c r="R102" s="326">
        <f t="shared" si="89"/>
        <v>0</v>
      </c>
      <c r="S102" s="336">
        <f t="shared" si="89"/>
        <v>0</v>
      </c>
      <c r="T102" s="326">
        <f t="shared" si="89"/>
        <v>0</v>
      </c>
      <c r="U102" s="326">
        <f t="shared" si="89"/>
        <v>0</v>
      </c>
      <c r="V102" s="326">
        <f>$D102 * V$10 * V$12</f>
        <v>0</v>
      </c>
      <c r="W102" s="326">
        <f t="shared" si="90"/>
        <v>0</v>
      </c>
      <c r="X102" s="326">
        <f t="shared" si="90"/>
        <v>0</v>
      </c>
      <c r="Y102" s="326">
        <f t="shared" si="90"/>
        <v>0</v>
      </c>
      <c r="Z102" s="326">
        <f t="shared" si="90"/>
        <v>0</v>
      </c>
      <c r="AA102" s="326">
        <f t="shared" si="90"/>
        <v>0</v>
      </c>
      <c r="AB102" s="326">
        <f t="shared" si="90"/>
        <v>0</v>
      </c>
      <c r="AC102" s="326">
        <f t="shared" si="90"/>
        <v>0</v>
      </c>
      <c r="AD102" s="326">
        <f t="shared" si="90"/>
        <v>0</v>
      </c>
      <c r="AE102" s="326">
        <f t="shared" si="90"/>
        <v>0</v>
      </c>
      <c r="AF102" s="326">
        <f t="shared" si="88"/>
        <v>0</v>
      </c>
      <c r="AG102" s="326">
        <f t="shared" si="88"/>
        <v>0</v>
      </c>
      <c r="AH102" s="326">
        <f t="shared" si="88"/>
        <v>0</v>
      </c>
      <c r="AI102" s="326">
        <f t="shared" si="88"/>
        <v>0</v>
      </c>
      <c r="AJ102" s="326">
        <f t="shared" si="88"/>
        <v>0</v>
      </c>
      <c r="AK102" s="326">
        <f t="shared" si="88"/>
        <v>0</v>
      </c>
      <c r="AL102" s="326">
        <f t="shared" si="88"/>
        <v>0</v>
      </c>
      <c r="AM102" s="326">
        <f t="shared" si="88"/>
        <v>0</v>
      </c>
      <c r="AN102" s="326">
        <f t="shared" si="88"/>
        <v>0</v>
      </c>
      <c r="AO102" s="326">
        <f t="shared" si="88"/>
        <v>0</v>
      </c>
      <c r="AP102" s="326">
        <f t="shared" si="88"/>
        <v>0</v>
      </c>
      <c r="AQ102" s="326">
        <f t="shared" si="88"/>
        <v>0</v>
      </c>
      <c r="AR102" s="326">
        <f t="shared" si="88"/>
        <v>0</v>
      </c>
      <c r="AS102" s="326">
        <f t="shared" si="88"/>
        <v>0</v>
      </c>
      <c r="AT102" s="326">
        <f t="shared" si="88"/>
        <v>0</v>
      </c>
      <c r="AU102" s="283"/>
      <c r="AV102" s="283"/>
      <c r="AW102" s="280"/>
      <c r="AX102" s="280"/>
      <c r="AY102" s="280"/>
      <c r="AZ102" s="280"/>
      <c r="BA102" s="280"/>
      <c r="BB102" s="280"/>
      <c r="BC102" s="280"/>
      <c r="BD102" s="280"/>
      <c r="BE102" s="280"/>
      <c r="BF102" s="280"/>
      <c r="BG102" s="280"/>
      <c r="BH102" s="280"/>
      <c r="BI102" s="280"/>
      <c r="BJ102" s="280"/>
      <c r="BK102" s="280"/>
      <c r="BL102" s="280"/>
      <c r="BM102" s="280"/>
      <c r="BN102" s="280"/>
      <c r="BO102" s="280"/>
      <c r="BP102" s="280"/>
      <c r="BQ102" s="280"/>
      <c r="BR102" s="280"/>
      <c r="BS102" s="280"/>
      <c r="BT102" s="280"/>
      <c r="BU102" s="280"/>
      <c r="BV102" s="280"/>
    </row>
    <row r="103" spans="1:74" s="300" customFormat="1" ht="15" customHeight="1" x14ac:dyDescent="0.25">
      <c r="A103" s="283"/>
      <c r="B103" s="326" t="s">
        <v>403</v>
      </c>
      <c r="C103" s="358"/>
      <c r="D103" s="326"/>
      <c r="E103" s="328" t="s">
        <v>402</v>
      </c>
      <c r="F103" s="407"/>
      <c r="G103" s="1009" t="str">
        <f>IF(SUM(L103:AT103)&gt;0,"Onderbouw in het projectplan","")</f>
        <v/>
      </c>
      <c r="H103" s="334"/>
      <c r="I103" s="334"/>
      <c r="J103" s="334"/>
      <c r="K103" s="335"/>
      <c r="L103" s="326">
        <f>$D103 * L$10 * L$12</f>
        <v>0</v>
      </c>
      <c r="M103" s="336">
        <f>$D103 * M$10 * M$12</f>
        <v>0</v>
      </c>
      <c r="N103" s="326">
        <f t="shared" si="89"/>
        <v>0</v>
      </c>
      <c r="O103" s="326">
        <f t="shared" si="89"/>
        <v>0</v>
      </c>
      <c r="P103" s="326">
        <f t="shared" si="89"/>
        <v>0</v>
      </c>
      <c r="Q103" s="337">
        <f t="shared" si="89"/>
        <v>0</v>
      </c>
      <c r="R103" s="326">
        <f t="shared" si="89"/>
        <v>0</v>
      </c>
      <c r="S103" s="336">
        <f t="shared" si="89"/>
        <v>0</v>
      </c>
      <c r="T103" s="326">
        <f t="shared" si="89"/>
        <v>0</v>
      </c>
      <c r="U103" s="326">
        <f t="shared" si="89"/>
        <v>0</v>
      </c>
      <c r="V103" s="326">
        <f>$D103 * V$10 * V$12</f>
        <v>0</v>
      </c>
      <c r="W103" s="326">
        <f t="shared" si="90"/>
        <v>0</v>
      </c>
      <c r="X103" s="326">
        <f t="shared" si="90"/>
        <v>0</v>
      </c>
      <c r="Y103" s="326">
        <f t="shared" si="90"/>
        <v>0</v>
      </c>
      <c r="Z103" s="326">
        <f t="shared" si="90"/>
        <v>0</v>
      </c>
      <c r="AA103" s="326">
        <f t="shared" si="90"/>
        <v>0</v>
      </c>
      <c r="AB103" s="326">
        <f t="shared" si="90"/>
        <v>0</v>
      </c>
      <c r="AC103" s="326">
        <f t="shared" si="90"/>
        <v>0</v>
      </c>
      <c r="AD103" s="326">
        <f t="shared" si="90"/>
        <v>0</v>
      </c>
      <c r="AE103" s="326">
        <f t="shared" si="90"/>
        <v>0</v>
      </c>
      <c r="AF103" s="326">
        <f t="shared" si="88"/>
        <v>0</v>
      </c>
      <c r="AG103" s="326">
        <f t="shared" si="88"/>
        <v>0</v>
      </c>
      <c r="AH103" s="326">
        <f t="shared" si="88"/>
        <v>0</v>
      </c>
      <c r="AI103" s="326">
        <f t="shared" si="88"/>
        <v>0</v>
      </c>
      <c r="AJ103" s="326">
        <f t="shared" si="88"/>
        <v>0</v>
      </c>
      <c r="AK103" s="326">
        <f t="shared" si="88"/>
        <v>0</v>
      </c>
      <c r="AL103" s="326">
        <f t="shared" si="88"/>
        <v>0</v>
      </c>
      <c r="AM103" s="326">
        <f t="shared" si="88"/>
        <v>0</v>
      </c>
      <c r="AN103" s="326">
        <f t="shared" si="88"/>
        <v>0</v>
      </c>
      <c r="AO103" s="326">
        <f t="shared" si="88"/>
        <v>0</v>
      </c>
      <c r="AP103" s="326">
        <f t="shared" si="88"/>
        <v>0</v>
      </c>
      <c r="AQ103" s="326">
        <f t="shared" si="88"/>
        <v>0</v>
      </c>
      <c r="AR103" s="326">
        <f t="shared" si="88"/>
        <v>0</v>
      </c>
      <c r="AS103" s="326">
        <f t="shared" si="88"/>
        <v>0</v>
      </c>
      <c r="AT103" s="326">
        <f t="shared" si="88"/>
        <v>0</v>
      </c>
      <c r="AU103" s="283"/>
      <c r="AV103" s="283"/>
      <c r="AW103" s="280"/>
      <c r="AX103" s="280"/>
      <c r="AY103" s="280"/>
      <c r="AZ103" s="280"/>
      <c r="BA103" s="280"/>
      <c r="BB103" s="280"/>
      <c r="BC103" s="280"/>
      <c r="BD103" s="280"/>
      <c r="BE103" s="280"/>
      <c r="BF103" s="280"/>
      <c r="BG103" s="280"/>
      <c r="BH103" s="280"/>
      <c r="BI103" s="280"/>
      <c r="BJ103" s="280"/>
      <c r="BK103" s="280"/>
      <c r="BL103" s="280"/>
      <c r="BM103" s="280"/>
      <c r="BN103" s="280"/>
      <c r="BO103" s="280"/>
      <c r="BP103" s="280"/>
      <c r="BQ103" s="280"/>
      <c r="BR103" s="280"/>
      <c r="BS103" s="280"/>
      <c r="BT103" s="280"/>
      <c r="BU103" s="280"/>
      <c r="BV103" s="280"/>
    </row>
    <row r="104" spans="1:74" s="300" customFormat="1" ht="15" customHeight="1" x14ac:dyDescent="0.25">
      <c r="A104" s="283"/>
      <c r="B104" s="326" t="s">
        <v>403</v>
      </c>
      <c r="C104" s="359"/>
      <c r="D104" s="326"/>
      <c r="E104" s="328" t="s">
        <v>402</v>
      </c>
      <c r="F104" s="407"/>
      <c r="G104" s="1009" t="str">
        <f>IF(SUM(L104:AT104)&gt;0,"Onderbouw in het projectplan","")</f>
        <v/>
      </c>
      <c r="H104" s="334"/>
      <c r="I104" s="334"/>
      <c r="J104" s="334"/>
      <c r="K104" s="335"/>
      <c r="L104" s="326">
        <f>$D104 * L$10 * L$12</f>
        <v>0</v>
      </c>
      <c r="M104" s="336">
        <f t="shared" si="89"/>
        <v>0</v>
      </c>
      <c r="N104" s="326">
        <f t="shared" si="89"/>
        <v>0</v>
      </c>
      <c r="O104" s="326">
        <f>$D104 * O$10 * O$12</f>
        <v>0</v>
      </c>
      <c r="P104" s="326">
        <f t="shared" si="89"/>
        <v>0</v>
      </c>
      <c r="Q104" s="337">
        <f t="shared" si="89"/>
        <v>0</v>
      </c>
      <c r="R104" s="326">
        <f t="shared" si="89"/>
        <v>0</v>
      </c>
      <c r="S104" s="336">
        <f t="shared" si="89"/>
        <v>0</v>
      </c>
      <c r="T104" s="326">
        <f t="shared" si="89"/>
        <v>0</v>
      </c>
      <c r="U104" s="326">
        <f t="shared" si="89"/>
        <v>0</v>
      </c>
      <c r="V104" s="326">
        <f>$D104 * V$10 * V$12</f>
        <v>0</v>
      </c>
      <c r="W104" s="326">
        <f t="shared" si="90"/>
        <v>0</v>
      </c>
      <c r="X104" s="326">
        <f t="shared" si="90"/>
        <v>0</v>
      </c>
      <c r="Y104" s="326">
        <f t="shared" si="90"/>
        <v>0</v>
      </c>
      <c r="Z104" s="326">
        <f t="shared" si="90"/>
        <v>0</v>
      </c>
      <c r="AA104" s="326">
        <f t="shared" si="90"/>
        <v>0</v>
      </c>
      <c r="AB104" s="326">
        <f t="shared" si="90"/>
        <v>0</v>
      </c>
      <c r="AC104" s="326">
        <f t="shared" si="90"/>
        <v>0</v>
      </c>
      <c r="AD104" s="326">
        <f t="shared" si="90"/>
        <v>0</v>
      </c>
      <c r="AE104" s="326">
        <f t="shared" si="90"/>
        <v>0</v>
      </c>
      <c r="AF104" s="326">
        <f t="shared" si="88"/>
        <v>0</v>
      </c>
      <c r="AG104" s="326">
        <f t="shared" si="88"/>
        <v>0</v>
      </c>
      <c r="AH104" s="326">
        <f t="shared" si="88"/>
        <v>0</v>
      </c>
      <c r="AI104" s="326">
        <f t="shared" si="88"/>
        <v>0</v>
      </c>
      <c r="AJ104" s="326">
        <f t="shared" si="88"/>
        <v>0</v>
      </c>
      <c r="AK104" s="326">
        <f t="shared" si="88"/>
        <v>0</v>
      </c>
      <c r="AL104" s="326">
        <f t="shared" si="88"/>
        <v>0</v>
      </c>
      <c r="AM104" s="326">
        <f t="shared" si="88"/>
        <v>0</v>
      </c>
      <c r="AN104" s="326">
        <f t="shared" si="88"/>
        <v>0</v>
      </c>
      <c r="AO104" s="326">
        <f t="shared" si="88"/>
        <v>0</v>
      </c>
      <c r="AP104" s="326">
        <f t="shared" si="88"/>
        <v>0</v>
      </c>
      <c r="AQ104" s="326">
        <f t="shared" si="88"/>
        <v>0</v>
      </c>
      <c r="AR104" s="326">
        <f t="shared" si="88"/>
        <v>0</v>
      </c>
      <c r="AS104" s="326">
        <f t="shared" si="88"/>
        <v>0</v>
      </c>
      <c r="AT104" s="326">
        <f t="shared" si="88"/>
        <v>0</v>
      </c>
      <c r="AU104" s="283"/>
      <c r="AV104" s="283"/>
      <c r="AW104" s="280"/>
      <c r="AX104" s="280"/>
      <c r="AY104" s="280"/>
      <c r="AZ104" s="280"/>
      <c r="BA104" s="280"/>
      <c r="BB104" s="280"/>
      <c r="BC104" s="280"/>
      <c r="BD104" s="280"/>
      <c r="BE104" s="280"/>
      <c r="BF104" s="280"/>
      <c r="BG104" s="280"/>
      <c r="BH104" s="280"/>
      <c r="BI104" s="280"/>
      <c r="BJ104" s="280"/>
      <c r="BK104" s="280"/>
      <c r="BL104" s="280"/>
      <c r="BM104" s="280"/>
      <c r="BN104" s="280"/>
      <c r="BO104" s="280"/>
      <c r="BP104" s="280"/>
      <c r="BQ104" s="280"/>
      <c r="BR104" s="280"/>
      <c r="BS104" s="280"/>
      <c r="BT104" s="280"/>
      <c r="BU104" s="280"/>
      <c r="BV104" s="280"/>
    </row>
    <row r="105" spans="1:74" s="308" customFormat="1" ht="15" customHeight="1" x14ac:dyDescent="0.25">
      <c r="A105" s="305"/>
      <c r="B105" s="360"/>
      <c r="C105" s="314"/>
      <c r="D105" s="361"/>
      <c r="E105" s="305"/>
      <c r="F105" s="305"/>
      <c r="G105" s="305"/>
      <c r="H105" s="305"/>
      <c r="I105" s="305"/>
      <c r="J105" s="305"/>
      <c r="K105" s="305"/>
      <c r="L105" s="361"/>
      <c r="M105" s="361"/>
      <c r="N105" s="361"/>
      <c r="O105" s="361"/>
      <c r="P105" s="361"/>
      <c r="Q105" s="361"/>
      <c r="R105" s="361"/>
      <c r="S105" s="361"/>
      <c r="T105" s="361"/>
      <c r="U105" s="361"/>
      <c r="V105" s="361"/>
      <c r="W105" s="361"/>
      <c r="X105" s="361"/>
      <c r="Y105" s="361"/>
      <c r="Z105" s="361"/>
      <c r="AA105" s="362"/>
      <c r="AB105" s="353"/>
      <c r="AC105" s="353"/>
      <c r="AD105" s="353"/>
      <c r="AE105" s="353"/>
      <c r="AF105" s="353"/>
      <c r="AG105" s="353"/>
      <c r="AH105" s="353"/>
      <c r="AI105" s="353"/>
      <c r="AJ105" s="353"/>
      <c r="AK105" s="353"/>
      <c r="AL105" s="353"/>
      <c r="AM105" s="353"/>
      <c r="AN105" s="353"/>
      <c r="AO105" s="353"/>
      <c r="AP105" s="353"/>
      <c r="AQ105" s="353"/>
      <c r="AR105" s="353"/>
      <c r="AS105" s="353"/>
      <c r="AT105" s="937"/>
      <c r="AU105" s="305"/>
      <c r="AV105" s="305"/>
      <c r="AW105" s="295"/>
      <c r="AX105" s="295"/>
      <c r="AY105" s="295"/>
      <c r="AZ105" s="295"/>
      <c r="BA105" s="295"/>
      <c r="BB105" s="295"/>
      <c r="BC105" s="295"/>
      <c r="BD105" s="295"/>
      <c r="BE105" s="295"/>
      <c r="BF105" s="295"/>
      <c r="BG105" s="295"/>
      <c r="BH105" s="295"/>
      <c r="BI105" s="295"/>
      <c r="BJ105" s="295"/>
      <c r="BK105" s="295"/>
      <c r="BL105" s="295"/>
      <c r="BM105" s="295"/>
      <c r="BN105" s="295"/>
      <c r="BO105" s="295"/>
      <c r="BP105" s="295"/>
      <c r="BQ105" s="295"/>
      <c r="BR105" s="295"/>
      <c r="BS105" s="295"/>
      <c r="BT105" s="295"/>
      <c r="BU105" s="295"/>
      <c r="BV105" s="295"/>
    </row>
    <row r="106" spans="1:74" ht="15" customHeight="1" x14ac:dyDescent="0.25">
      <c r="B106" s="344" t="s">
        <v>427</v>
      </c>
      <c r="C106" s="319"/>
      <c r="D106" s="303"/>
      <c r="E106" s="303" t="s">
        <v>402</v>
      </c>
      <c r="F106" s="303"/>
      <c r="G106" s="303"/>
      <c r="H106" s="303"/>
      <c r="I106" s="303"/>
      <c r="J106" s="303"/>
      <c r="K106" s="303"/>
      <c r="L106" s="395">
        <f t="shared" ref="L106:AT106" si="91">L95+L97+SUM(L100:L104)+L88+L86</f>
        <v>0</v>
      </c>
      <c r="M106" s="395">
        <f t="shared" si="91"/>
        <v>0</v>
      </c>
      <c r="N106" s="395">
        <f t="shared" si="91"/>
        <v>0</v>
      </c>
      <c r="O106" s="395">
        <f t="shared" si="91"/>
        <v>0</v>
      </c>
      <c r="P106" s="395">
        <f t="shared" si="91"/>
        <v>0</v>
      </c>
      <c r="Q106" s="395">
        <f t="shared" si="91"/>
        <v>0</v>
      </c>
      <c r="R106" s="395">
        <f t="shared" si="91"/>
        <v>0</v>
      </c>
      <c r="S106" s="395">
        <f t="shared" si="91"/>
        <v>0</v>
      </c>
      <c r="T106" s="395">
        <f t="shared" si="91"/>
        <v>0</v>
      </c>
      <c r="U106" s="395">
        <f t="shared" si="91"/>
        <v>0</v>
      </c>
      <c r="V106" s="395">
        <f t="shared" si="91"/>
        <v>0</v>
      </c>
      <c r="W106" s="395">
        <f t="shared" si="91"/>
        <v>0</v>
      </c>
      <c r="X106" s="395">
        <f t="shared" si="91"/>
        <v>0</v>
      </c>
      <c r="Y106" s="395">
        <f t="shared" si="91"/>
        <v>0</v>
      </c>
      <c r="Z106" s="395">
        <f t="shared" si="91"/>
        <v>0</v>
      </c>
      <c r="AA106" s="395">
        <f t="shared" si="91"/>
        <v>0</v>
      </c>
      <c r="AB106" s="395">
        <f t="shared" si="91"/>
        <v>0</v>
      </c>
      <c r="AC106" s="395">
        <f t="shared" si="91"/>
        <v>0</v>
      </c>
      <c r="AD106" s="395">
        <f t="shared" si="91"/>
        <v>0</v>
      </c>
      <c r="AE106" s="395">
        <f t="shared" si="91"/>
        <v>0</v>
      </c>
      <c r="AF106" s="395">
        <f t="shared" si="91"/>
        <v>0</v>
      </c>
      <c r="AG106" s="395">
        <f t="shared" si="91"/>
        <v>0</v>
      </c>
      <c r="AH106" s="395">
        <f t="shared" si="91"/>
        <v>0</v>
      </c>
      <c r="AI106" s="395">
        <f t="shared" si="91"/>
        <v>0</v>
      </c>
      <c r="AJ106" s="395">
        <f t="shared" si="91"/>
        <v>0</v>
      </c>
      <c r="AK106" s="395">
        <f t="shared" si="91"/>
        <v>0</v>
      </c>
      <c r="AL106" s="395">
        <f t="shared" si="91"/>
        <v>0</v>
      </c>
      <c r="AM106" s="395">
        <f t="shared" si="91"/>
        <v>0</v>
      </c>
      <c r="AN106" s="395">
        <f t="shared" si="91"/>
        <v>0</v>
      </c>
      <c r="AO106" s="395">
        <f t="shared" si="91"/>
        <v>0</v>
      </c>
      <c r="AP106" s="395">
        <f t="shared" si="91"/>
        <v>0</v>
      </c>
      <c r="AQ106" s="395">
        <f t="shared" si="91"/>
        <v>0</v>
      </c>
      <c r="AR106" s="395">
        <f t="shared" si="91"/>
        <v>0</v>
      </c>
      <c r="AS106" s="395">
        <f t="shared" si="91"/>
        <v>0</v>
      </c>
      <c r="AT106" s="938">
        <f t="shared" si="91"/>
        <v>0</v>
      </c>
      <c r="AU106" s="283"/>
      <c r="AV106" s="283"/>
    </row>
    <row r="107" spans="1:74" s="369" customFormat="1" ht="15" customHeight="1" x14ac:dyDescent="0.25">
      <c r="B107" s="370"/>
      <c r="C107" s="370"/>
      <c r="D107" s="371"/>
      <c r="E107" s="371"/>
      <c r="F107" s="371"/>
      <c r="G107" s="371"/>
      <c r="H107" s="371"/>
      <c r="I107" s="371"/>
      <c r="J107" s="371"/>
      <c r="K107" s="371"/>
      <c r="L107" s="372">
        <f>-L106</f>
        <v>0</v>
      </c>
      <c r="M107" s="372">
        <f t="shared" ref="M107:AT107" si="92">-M106</f>
        <v>0</v>
      </c>
      <c r="N107" s="372">
        <f t="shared" si="92"/>
        <v>0</v>
      </c>
      <c r="O107" s="372">
        <f t="shared" si="92"/>
        <v>0</v>
      </c>
      <c r="P107" s="372">
        <f t="shared" si="92"/>
        <v>0</v>
      </c>
      <c r="Q107" s="372">
        <f t="shared" si="92"/>
        <v>0</v>
      </c>
      <c r="R107" s="372">
        <f t="shared" si="92"/>
        <v>0</v>
      </c>
      <c r="S107" s="372">
        <f t="shared" si="92"/>
        <v>0</v>
      </c>
      <c r="T107" s="372">
        <f t="shared" si="92"/>
        <v>0</v>
      </c>
      <c r="U107" s="372">
        <f t="shared" si="92"/>
        <v>0</v>
      </c>
      <c r="V107" s="372">
        <f t="shared" si="92"/>
        <v>0</v>
      </c>
      <c r="W107" s="372">
        <f t="shared" si="92"/>
        <v>0</v>
      </c>
      <c r="X107" s="372">
        <f t="shared" si="92"/>
        <v>0</v>
      </c>
      <c r="Y107" s="372">
        <f t="shared" si="92"/>
        <v>0</v>
      </c>
      <c r="Z107" s="372">
        <f t="shared" si="92"/>
        <v>0</v>
      </c>
      <c r="AA107" s="372">
        <f t="shared" si="92"/>
        <v>0</v>
      </c>
      <c r="AB107" s="372">
        <f t="shared" si="92"/>
        <v>0</v>
      </c>
      <c r="AC107" s="372">
        <f t="shared" si="92"/>
        <v>0</v>
      </c>
      <c r="AD107" s="372">
        <f t="shared" si="92"/>
        <v>0</v>
      </c>
      <c r="AE107" s="372">
        <f t="shared" si="92"/>
        <v>0</v>
      </c>
      <c r="AF107" s="372">
        <f t="shared" si="92"/>
        <v>0</v>
      </c>
      <c r="AG107" s="372">
        <f t="shared" si="92"/>
        <v>0</v>
      </c>
      <c r="AH107" s="372">
        <f t="shared" si="92"/>
        <v>0</v>
      </c>
      <c r="AI107" s="372">
        <f t="shared" si="92"/>
        <v>0</v>
      </c>
      <c r="AJ107" s="372">
        <f t="shared" si="92"/>
        <v>0</v>
      </c>
      <c r="AK107" s="372">
        <f t="shared" si="92"/>
        <v>0</v>
      </c>
      <c r="AL107" s="372">
        <f t="shared" si="92"/>
        <v>0</v>
      </c>
      <c r="AM107" s="372">
        <f t="shared" si="92"/>
        <v>0</v>
      </c>
      <c r="AN107" s="372">
        <f t="shared" si="92"/>
        <v>0</v>
      </c>
      <c r="AO107" s="372">
        <f t="shared" si="92"/>
        <v>0</v>
      </c>
      <c r="AP107" s="372">
        <f t="shared" si="92"/>
        <v>0</v>
      </c>
      <c r="AQ107" s="372">
        <f t="shared" si="92"/>
        <v>0</v>
      </c>
      <c r="AR107" s="372">
        <f t="shared" si="92"/>
        <v>0</v>
      </c>
      <c r="AS107" s="372">
        <f t="shared" si="92"/>
        <v>0</v>
      </c>
      <c r="AT107" s="372">
        <f t="shared" si="92"/>
        <v>0</v>
      </c>
      <c r="AU107" s="371"/>
      <c r="AV107" s="371"/>
    </row>
    <row r="108" spans="1:74" ht="15" customHeight="1" x14ac:dyDescent="0.25">
      <c r="B108" s="283"/>
      <c r="C108" s="283"/>
      <c r="D108" s="283"/>
      <c r="E108" s="283"/>
      <c r="F108" s="283"/>
      <c r="G108" s="283"/>
      <c r="H108" s="283"/>
      <c r="I108" s="283"/>
      <c r="J108" s="283"/>
      <c r="K108" s="283"/>
      <c r="L108" s="283"/>
      <c r="M108" s="283"/>
      <c r="N108" s="283"/>
      <c r="O108" s="283"/>
      <c r="P108" s="283"/>
      <c r="Q108" s="283"/>
      <c r="R108" s="284"/>
      <c r="S108" s="284"/>
      <c r="T108" s="284"/>
      <c r="U108" s="284"/>
      <c r="V108" s="284"/>
      <c r="W108" s="284"/>
      <c r="X108" s="373"/>
      <c r="Y108" s="373"/>
      <c r="Z108" s="373"/>
      <c r="AA108" s="37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row>
    <row r="109" spans="1:74" s="300" customFormat="1" ht="15" customHeight="1" x14ac:dyDescent="0.25">
      <c r="A109" s="283"/>
      <c r="B109" s="296" t="s">
        <v>428</v>
      </c>
      <c r="C109" s="297"/>
      <c r="D109" s="301"/>
      <c r="E109" s="301"/>
      <c r="F109" s="301"/>
      <c r="G109" s="301"/>
      <c r="H109" s="301"/>
      <c r="I109" s="301"/>
      <c r="J109" s="301"/>
      <c r="K109" s="301"/>
      <c r="L109" s="298">
        <f>$D$5</f>
        <v>1900</v>
      </c>
      <c r="M109" s="298">
        <f t="shared" ref="M109:AT109" si="93" xml:space="preserve"> L109 + 1</f>
        <v>1901</v>
      </c>
      <c r="N109" s="298">
        <f t="shared" si="93"/>
        <v>1902</v>
      </c>
      <c r="O109" s="298">
        <f t="shared" si="93"/>
        <v>1903</v>
      </c>
      <c r="P109" s="298">
        <f t="shared" si="93"/>
        <v>1904</v>
      </c>
      <c r="Q109" s="298">
        <f t="shared" si="93"/>
        <v>1905</v>
      </c>
      <c r="R109" s="298">
        <f t="shared" si="93"/>
        <v>1906</v>
      </c>
      <c r="S109" s="298">
        <f t="shared" si="93"/>
        <v>1907</v>
      </c>
      <c r="T109" s="298">
        <f t="shared" si="93"/>
        <v>1908</v>
      </c>
      <c r="U109" s="298">
        <f t="shared" si="93"/>
        <v>1909</v>
      </c>
      <c r="V109" s="298">
        <f xml:space="preserve"> U109 + 1</f>
        <v>1910</v>
      </c>
      <c r="W109" s="298">
        <f t="shared" si="93"/>
        <v>1911</v>
      </c>
      <c r="X109" s="298">
        <f t="shared" si="93"/>
        <v>1912</v>
      </c>
      <c r="Y109" s="298">
        <f t="shared" si="93"/>
        <v>1913</v>
      </c>
      <c r="Z109" s="298">
        <f t="shared" si="93"/>
        <v>1914</v>
      </c>
      <c r="AA109" s="298">
        <f t="shared" si="93"/>
        <v>1915</v>
      </c>
      <c r="AB109" s="298">
        <f t="shared" si="93"/>
        <v>1916</v>
      </c>
      <c r="AC109" s="298">
        <f t="shared" si="93"/>
        <v>1917</v>
      </c>
      <c r="AD109" s="298">
        <f t="shared" si="93"/>
        <v>1918</v>
      </c>
      <c r="AE109" s="298">
        <f t="shared" si="93"/>
        <v>1919</v>
      </c>
      <c r="AF109" s="298">
        <f t="shared" si="93"/>
        <v>1920</v>
      </c>
      <c r="AG109" s="298">
        <f t="shared" si="93"/>
        <v>1921</v>
      </c>
      <c r="AH109" s="298">
        <f t="shared" si="93"/>
        <v>1922</v>
      </c>
      <c r="AI109" s="298">
        <f t="shared" si="93"/>
        <v>1923</v>
      </c>
      <c r="AJ109" s="298">
        <f t="shared" si="93"/>
        <v>1924</v>
      </c>
      <c r="AK109" s="298">
        <f t="shared" si="93"/>
        <v>1925</v>
      </c>
      <c r="AL109" s="298">
        <f t="shared" si="93"/>
        <v>1926</v>
      </c>
      <c r="AM109" s="298">
        <f t="shared" si="93"/>
        <v>1927</v>
      </c>
      <c r="AN109" s="298">
        <f t="shared" si="93"/>
        <v>1928</v>
      </c>
      <c r="AO109" s="298">
        <f t="shared" si="93"/>
        <v>1929</v>
      </c>
      <c r="AP109" s="298">
        <f t="shared" si="93"/>
        <v>1930</v>
      </c>
      <c r="AQ109" s="298">
        <f t="shared" si="93"/>
        <v>1931</v>
      </c>
      <c r="AR109" s="298">
        <f t="shared" si="93"/>
        <v>1932</v>
      </c>
      <c r="AS109" s="298">
        <f t="shared" si="93"/>
        <v>1933</v>
      </c>
      <c r="AT109" s="423">
        <f t="shared" si="93"/>
        <v>1934</v>
      </c>
      <c r="AU109" s="283"/>
      <c r="AV109" s="283"/>
      <c r="AW109" s="280"/>
      <c r="AX109" s="280"/>
      <c r="AY109" s="280"/>
      <c r="AZ109" s="280"/>
      <c r="BA109" s="280"/>
      <c r="BB109" s="280"/>
      <c r="BC109" s="280"/>
      <c r="BD109" s="280"/>
      <c r="BE109" s="280"/>
      <c r="BF109" s="280"/>
      <c r="BG109" s="280"/>
      <c r="BH109" s="280"/>
      <c r="BI109" s="280"/>
      <c r="BJ109" s="280"/>
      <c r="BK109" s="280"/>
      <c r="BL109" s="280"/>
      <c r="BM109" s="280"/>
      <c r="BN109" s="280"/>
      <c r="BO109" s="280"/>
      <c r="BP109" s="280"/>
      <c r="BQ109" s="280"/>
      <c r="BR109" s="280"/>
      <c r="BS109" s="280"/>
      <c r="BT109" s="280"/>
      <c r="BU109" s="280"/>
      <c r="BV109" s="280"/>
    </row>
    <row r="110" spans="1:74" s="305" customFormat="1" ht="15" customHeight="1" x14ac:dyDescent="0.25">
      <c r="B110" s="306" t="s">
        <v>251</v>
      </c>
      <c r="C110" s="307"/>
      <c r="AT110" s="308"/>
    </row>
    <row r="111" spans="1:74" s="309" customFormat="1" ht="15" customHeight="1" x14ac:dyDescent="0.25">
      <c r="B111" s="781" t="s">
        <v>429</v>
      </c>
      <c r="C111" s="782"/>
      <c r="D111" s="783"/>
      <c r="E111" s="783"/>
      <c r="F111" s="783"/>
      <c r="G111" s="783"/>
      <c r="H111" s="783"/>
      <c r="I111" s="783"/>
      <c r="J111" s="783"/>
      <c r="K111" s="783"/>
      <c r="L111" s="783"/>
      <c r="M111" s="783"/>
      <c r="N111" s="783"/>
      <c r="O111" s="783"/>
      <c r="P111" s="783"/>
      <c r="Q111" s="783"/>
      <c r="R111" s="783"/>
      <c r="S111" s="783"/>
      <c r="T111" s="783"/>
      <c r="U111" s="783"/>
      <c r="V111" s="783"/>
      <c r="W111" s="783"/>
      <c r="X111" s="783"/>
      <c r="Y111" s="783"/>
      <c r="Z111" s="783"/>
      <c r="AA111" s="783"/>
      <c r="AB111" s="784"/>
      <c r="AC111" s="784"/>
      <c r="AD111" s="784"/>
      <c r="AE111" s="784"/>
      <c r="AF111" s="784"/>
      <c r="AG111" s="784"/>
      <c r="AH111" s="784"/>
      <c r="AI111" s="784"/>
      <c r="AJ111" s="784"/>
      <c r="AK111" s="784"/>
      <c r="AL111" s="784"/>
      <c r="AM111" s="784"/>
      <c r="AN111" s="784"/>
      <c r="AO111" s="784"/>
      <c r="AP111" s="784"/>
      <c r="AQ111" s="784"/>
      <c r="AR111" s="784"/>
      <c r="AS111" s="783"/>
      <c r="AT111" s="785"/>
    </row>
    <row r="112" spans="1:74" s="300" customFormat="1" ht="15" customHeight="1" x14ac:dyDescent="0.25">
      <c r="A112" s="283"/>
      <c r="B112" s="302"/>
      <c r="C112" s="283"/>
      <c r="D112" s="283"/>
      <c r="E112" s="283"/>
      <c r="F112" s="283"/>
      <c r="G112" s="283"/>
      <c r="H112" s="283"/>
      <c r="I112" s="283"/>
      <c r="J112" s="283"/>
      <c r="K112" s="283"/>
      <c r="L112" s="283"/>
      <c r="M112" s="283"/>
      <c r="N112" s="283"/>
      <c r="O112" s="283"/>
      <c r="P112" s="283"/>
      <c r="Q112" s="283"/>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U112" s="283"/>
      <c r="AV112" s="283"/>
      <c r="AW112" s="280"/>
      <c r="AX112" s="280"/>
      <c r="AY112" s="280"/>
      <c r="AZ112" s="280"/>
      <c r="BA112" s="280"/>
      <c r="BB112" s="280"/>
      <c r="BC112" s="280"/>
      <c r="BD112" s="280"/>
      <c r="BE112" s="280"/>
      <c r="BF112" s="280"/>
      <c r="BG112" s="280"/>
      <c r="BH112" s="280"/>
      <c r="BI112" s="280"/>
      <c r="BJ112" s="280"/>
      <c r="BK112" s="280"/>
      <c r="BL112" s="280"/>
      <c r="BM112" s="280"/>
      <c r="BN112" s="280"/>
      <c r="BO112" s="280"/>
      <c r="BP112" s="280"/>
      <c r="BQ112" s="280"/>
      <c r="BR112" s="280"/>
      <c r="BS112" s="280"/>
      <c r="BT112" s="280"/>
      <c r="BU112" s="280"/>
      <c r="BV112" s="280"/>
    </row>
    <row r="113" spans="1:74" s="300" customFormat="1" ht="15" hidden="1" customHeight="1" outlineLevel="1" x14ac:dyDescent="0.25">
      <c r="A113" s="283"/>
      <c r="B113" s="340" t="s">
        <v>296</v>
      </c>
      <c r="C113" s="316"/>
      <c r="D113" s="316"/>
      <c r="E113" s="316"/>
      <c r="F113" s="316"/>
      <c r="G113" s="316"/>
      <c r="H113" s="316"/>
      <c r="I113" s="316"/>
      <c r="J113" s="316"/>
      <c r="K113" s="316"/>
      <c r="L113" s="316"/>
      <c r="M113" s="316"/>
      <c r="N113" s="316"/>
      <c r="O113" s="316"/>
      <c r="P113" s="316"/>
      <c r="Q113" s="316"/>
      <c r="R113" s="316"/>
      <c r="S113" s="316"/>
      <c r="T113" s="316"/>
      <c r="U113" s="316"/>
      <c r="V113" s="316"/>
      <c r="W113" s="316"/>
      <c r="X113" s="316"/>
      <c r="Y113" s="316"/>
      <c r="Z113" s="316"/>
      <c r="AA113" s="316"/>
      <c r="AB113" s="316"/>
      <c r="AC113" s="316"/>
      <c r="AD113" s="316"/>
      <c r="AE113" s="316"/>
      <c r="AF113" s="316"/>
      <c r="AG113" s="316"/>
      <c r="AH113" s="316"/>
      <c r="AI113" s="316"/>
      <c r="AJ113" s="316"/>
      <c r="AK113" s="316"/>
      <c r="AL113" s="316"/>
      <c r="AM113" s="316"/>
      <c r="AN113" s="316"/>
      <c r="AO113" s="316"/>
      <c r="AP113" s="316"/>
      <c r="AQ113" s="316"/>
      <c r="AR113" s="316"/>
      <c r="AS113" s="316"/>
      <c r="AT113" s="335"/>
      <c r="AU113" s="283"/>
      <c r="AV113" s="283"/>
      <c r="AW113" s="280"/>
      <c r="AX113" s="280"/>
      <c r="AY113" s="280"/>
      <c r="AZ113" s="280"/>
      <c r="BA113" s="280"/>
      <c r="BB113" s="280"/>
      <c r="BC113" s="280"/>
      <c r="BD113" s="280"/>
      <c r="BE113" s="280"/>
      <c r="BF113" s="280"/>
      <c r="BG113" s="280"/>
      <c r="BH113" s="280"/>
      <c r="BI113" s="280"/>
      <c r="BJ113" s="280"/>
      <c r="BK113" s="280"/>
      <c r="BL113" s="280"/>
      <c r="BM113" s="280"/>
      <c r="BN113" s="280"/>
      <c r="BO113" s="280"/>
      <c r="BP113" s="280"/>
      <c r="BQ113" s="280"/>
      <c r="BR113" s="280"/>
      <c r="BS113" s="280"/>
      <c r="BT113" s="280"/>
      <c r="BU113" s="280"/>
      <c r="BV113" s="280"/>
    </row>
    <row r="114" spans="1:74" s="300" customFormat="1" ht="15" hidden="1" customHeight="1" outlineLevel="1" x14ac:dyDescent="0.25">
      <c r="A114" s="283"/>
      <c r="B114" s="315" t="str">
        <f>Mijlpalenbegroting!B15</f>
        <v>Investering in primaire netten</v>
      </c>
      <c r="C114" s="316"/>
      <c r="D114" s="316"/>
      <c r="E114" s="316"/>
      <c r="F114" s="316"/>
      <c r="G114" s="316"/>
      <c r="H114" s="316"/>
      <c r="I114" s="316"/>
      <c r="J114" s="316"/>
      <c r="K114" s="316"/>
      <c r="L114" s="316">
        <f>Mijlpalenplanning!C202</f>
        <v>0</v>
      </c>
      <c r="M114" s="316">
        <f>Mijlpalenplanning!D202</f>
        <v>0</v>
      </c>
      <c r="N114" s="316">
        <f>Mijlpalenplanning!E202</f>
        <v>0</v>
      </c>
      <c r="O114" s="316">
        <f>Mijlpalenplanning!F202</f>
        <v>0</v>
      </c>
      <c r="P114" s="316">
        <f>Mijlpalenplanning!G202</f>
        <v>0</v>
      </c>
      <c r="Q114" s="316">
        <f>Mijlpalenplanning!H202</f>
        <v>0</v>
      </c>
      <c r="R114" s="316">
        <f>Mijlpalenplanning!I202</f>
        <v>0</v>
      </c>
      <c r="S114" s="316">
        <f>Mijlpalenplanning!J202</f>
        <v>0</v>
      </c>
      <c r="T114" s="316"/>
      <c r="U114" s="316"/>
      <c r="V114" s="316"/>
      <c r="W114" s="316"/>
      <c r="X114" s="316"/>
      <c r="Y114" s="316"/>
      <c r="Z114" s="316"/>
      <c r="AA114" s="316"/>
      <c r="AB114" s="316"/>
      <c r="AC114" s="316"/>
      <c r="AD114" s="316"/>
      <c r="AE114" s="316"/>
      <c r="AF114" s="316"/>
      <c r="AG114" s="316"/>
      <c r="AH114" s="316"/>
      <c r="AI114" s="316"/>
      <c r="AJ114" s="316"/>
      <c r="AK114" s="316"/>
      <c r="AL114" s="316"/>
      <c r="AM114" s="316"/>
      <c r="AN114" s="316"/>
      <c r="AO114" s="316"/>
      <c r="AP114" s="316"/>
      <c r="AQ114" s="316"/>
      <c r="AR114" s="316"/>
      <c r="AS114" s="316"/>
      <c r="AT114" s="335"/>
      <c r="AU114" s="283"/>
      <c r="AV114" s="283"/>
      <c r="AW114" s="280"/>
      <c r="AX114" s="280"/>
      <c r="AY114" s="280"/>
      <c r="AZ114" s="280"/>
      <c r="BA114" s="280"/>
      <c r="BB114" s="280"/>
      <c r="BC114" s="280"/>
      <c r="BD114" s="280"/>
      <c r="BE114" s="280"/>
      <c r="BF114" s="280"/>
      <c r="BG114" s="280"/>
      <c r="BH114" s="280"/>
      <c r="BI114" s="280"/>
      <c r="BJ114" s="280"/>
      <c r="BK114" s="280"/>
      <c r="BL114" s="280"/>
      <c r="BM114" s="280"/>
      <c r="BN114" s="280"/>
      <c r="BO114" s="280"/>
      <c r="BP114" s="280"/>
      <c r="BQ114" s="280"/>
      <c r="BR114" s="280"/>
      <c r="BS114" s="280"/>
      <c r="BT114" s="280"/>
      <c r="BU114" s="280"/>
      <c r="BV114" s="280"/>
    </row>
    <row r="115" spans="1:74" s="300" customFormat="1" ht="15" hidden="1" customHeight="1" outlineLevel="1" x14ac:dyDescent="0.25">
      <c r="A115" s="283"/>
      <c r="B115" s="315" t="str">
        <f>Mijlpalenbegroting!B39</f>
        <v>Investering in thermische opslag</v>
      </c>
      <c r="C115" s="316"/>
      <c r="D115" s="316"/>
      <c r="E115" s="316"/>
      <c r="F115" s="316"/>
      <c r="G115" s="316"/>
      <c r="H115" s="316"/>
      <c r="I115" s="316"/>
      <c r="J115" s="316"/>
      <c r="K115" s="316"/>
      <c r="L115" s="316">
        <f>Mijlpalenplanning!C221</f>
        <v>0</v>
      </c>
      <c r="M115" s="316">
        <f>Mijlpalenplanning!D221</f>
        <v>0</v>
      </c>
      <c r="N115" s="316">
        <f>Mijlpalenplanning!E221</f>
        <v>0</v>
      </c>
      <c r="O115" s="316">
        <f>Mijlpalenplanning!F221</f>
        <v>0</v>
      </c>
      <c r="P115" s="316">
        <f>Mijlpalenplanning!G221</f>
        <v>0</v>
      </c>
      <c r="Q115" s="316">
        <f>Mijlpalenplanning!H221</f>
        <v>0</v>
      </c>
      <c r="R115" s="316">
        <f>Mijlpalenplanning!I221</f>
        <v>0</v>
      </c>
      <c r="S115" s="316">
        <f>Mijlpalenplanning!J221</f>
        <v>0</v>
      </c>
      <c r="T115" s="316"/>
      <c r="U115" s="316"/>
      <c r="V115" s="316"/>
      <c r="W115" s="316"/>
      <c r="X115" s="316"/>
      <c r="Y115" s="316"/>
      <c r="Z115" s="316"/>
      <c r="AA115" s="316"/>
      <c r="AB115" s="316"/>
      <c r="AC115" s="316"/>
      <c r="AD115" s="316"/>
      <c r="AE115" s="316"/>
      <c r="AF115" s="316"/>
      <c r="AG115" s="316"/>
      <c r="AH115" s="316"/>
      <c r="AI115" s="316"/>
      <c r="AJ115" s="316"/>
      <c r="AK115" s="316"/>
      <c r="AL115" s="316"/>
      <c r="AM115" s="316"/>
      <c r="AN115" s="316"/>
      <c r="AO115" s="316"/>
      <c r="AP115" s="316"/>
      <c r="AQ115" s="316"/>
      <c r="AR115" s="316"/>
      <c r="AS115" s="316"/>
      <c r="AT115" s="335"/>
      <c r="AU115" s="283"/>
      <c r="AV115" s="283"/>
      <c r="AW115" s="280"/>
      <c r="AX115" s="280"/>
      <c r="AY115" s="280"/>
      <c r="AZ115" s="280"/>
      <c r="BA115" s="280"/>
      <c r="BB115" s="280"/>
      <c r="BC115" s="280"/>
      <c r="BD115" s="280"/>
      <c r="BE115" s="280"/>
      <c r="BF115" s="280"/>
      <c r="BG115" s="280"/>
      <c r="BH115" s="280"/>
      <c r="BI115" s="280"/>
      <c r="BJ115" s="280"/>
      <c r="BK115" s="280"/>
      <c r="BL115" s="280"/>
      <c r="BM115" s="280"/>
      <c r="BN115" s="280"/>
      <c r="BO115" s="280"/>
      <c r="BP115" s="280"/>
      <c r="BQ115" s="280"/>
      <c r="BR115" s="280"/>
      <c r="BS115" s="280"/>
      <c r="BT115" s="280"/>
      <c r="BU115" s="280"/>
      <c r="BV115" s="280"/>
    </row>
    <row r="116" spans="1:74" s="300" customFormat="1" ht="15" hidden="1" customHeight="1" outlineLevel="1" x14ac:dyDescent="0.25">
      <c r="A116" s="283"/>
      <c r="B116" s="315" t="str">
        <f>Mijlpalenbegroting!B54</f>
        <v>Investeringen in warmteoverdrachtstations</v>
      </c>
      <c r="C116" s="316"/>
      <c r="D116" s="316"/>
      <c r="E116" s="316"/>
      <c r="F116" s="316"/>
      <c r="G116" s="316"/>
      <c r="H116" s="316"/>
      <c r="I116" s="316"/>
      <c r="J116" s="316"/>
      <c r="K116" s="316"/>
      <c r="L116" s="316">
        <f>Mijlpalenplanning!C240</f>
        <v>0</v>
      </c>
      <c r="M116" s="316">
        <f>Mijlpalenplanning!D240</f>
        <v>0</v>
      </c>
      <c r="N116" s="316">
        <f>Mijlpalenplanning!E240</f>
        <v>0</v>
      </c>
      <c r="O116" s="316">
        <f>Mijlpalenplanning!F240</f>
        <v>0</v>
      </c>
      <c r="P116" s="316">
        <f>Mijlpalenplanning!G240</f>
        <v>0</v>
      </c>
      <c r="Q116" s="316">
        <f>Mijlpalenplanning!H240</f>
        <v>0</v>
      </c>
      <c r="R116" s="316">
        <f>Mijlpalenplanning!I240</f>
        <v>0</v>
      </c>
      <c r="S116" s="316">
        <f>Mijlpalenplanning!J240</f>
        <v>0</v>
      </c>
      <c r="T116" s="316"/>
      <c r="U116" s="316"/>
      <c r="V116" s="316"/>
      <c r="W116" s="316"/>
      <c r="X116" s="316"/>
      <c r="Y116" s="316"/>
      <c r="Z116" s="316"/>
      <c r="AA116" s="316"/>
      <c r="AB116" s="316"/>
      <c r="AC116" s="316"/>
      <c r="AD116" s="316"/>
      <c r="AE116" s="316"/>
      <c r="AF116" s="316"/>
      <c r="AG116" s="316"/>
      <c r="AH116" s="316"/>
      <c r="AI116" s="316"/>
      <c r="AJ116" s="316"/>
      <c r="AK116" s="316"/>
      <c r="AL116" s="316"/>
      <c r="AM116" s="316"/>
      <c r="AN116" s="316"/>
      <c r="AO116" s="316"/>
      <c r="AP116" s="316"/>
      <c r="AQ116" s="316"/>
      <c r="AR116" s="316"/>
      <c r="AS116" s="316"/>
      <c r="AT116" s="505"/>
      <c r="AU116" s="283"/>
      <c r="AV116" s="283"/>
      <c r="AW116" s="280"/>
      <c r="AX116" s="280"/>
      <c r="AY116" s="280"/>
      <c r="AZ116" s="280"/>
      <c r="BA116" s="280"/>
      <c r="BB116" s="280"/>
      <c r="BC116" s="280"/>
      <c r="BD116" s="280"/>
      <c r="BE116" s="280"/>
      <c r="BF116" s="280"/>
      <c r="BG116" s="280"/>
      <c r="BH116" s="280"/>
      <c r="BI116" s="280"/>
      <c r="BJ116" s="280"/>
      <c r="BK116" s="280"/>
      <c r="BL116" s="280"/>
      <c r="BM116" s="280"/>
      <c r="BN116" s="280"/>
      <c r="BO116" s="280"/>
      <c r="BP116" s="280"/>
      <c r="BQ116" s="280"/>
      <c r="BR116" s="280"/>
      <c r="BS116" s="280"/>
      <c r="BT116" s="280"/>
      <c r="BU116" s="280"/>
      <c r="BV116" s="280"/>
    </row>
    <row r="117" spans="1:74" s="300" customFormat="1" ht="15" hidden="1" customHeight="1" outlineLevel="1" x14ac:dyDescent="0.25">
      <c r="A117" s="283"/>
      <c r="B117" s="315" t="str">
        <f>Mijlpalenbegroting!B76</f>
        <v>Investeringen in secundaire netten</v>
      </c>
      <c r="C117" s="316"/>
      <c r="D117" s="316"/>
      <c r="E117" s="316"/>
      <c r="F117" s="316"/>
      <c r="G117" s="316"/>
      <c r="H117" s="316"/>
      <c r="I117" s="316"/>
      <c r="J117" s="316"/>
      <c r="K117" s="316"/>
      <c r="L117" s="316">
        <f>Mijlpalenplanning!C259</f>
        <v>0</v>
      </c>
      <c r="M117" s="316">
        <f>Mijlpalenplanning!D259</f>
        <v>0</v>
      </c>
      <c r="N117" s="316">
        <f>Mijlpalenplanning!E259</f>
        <v>0</v>
      </c>
      <c r="O117" s="316">
        <f>Mijlpalenplanning!F259</f>
        <v>0</v>
      </c>
      <c r="P117" s="316">
        <f>Mijlpalenplanning!G259</f>
        <v>0</v>
      </c>
      <c r="Q117" s="316">
        <f>Mijlpalenplanning!H259</f>
        <v>0</v>
      </c>
      <c r="R117" s="316">
        <f>Mijlpalenplanning!I259</f>
        <v>0</v>
      </c>
      <c r="S117" s="316">
        <f>Mijlpalenplanning!J259</f>
        <v>0</v>
      </c>
      <c r="T117" s="316"/>
      <c r="U117" s="316"/>
      <c r="V117" s="316"/>
      <c r="W117" s="316"/>
      <c r="X117" s="316"/>
      <c r="Y117" s="316"/>
      <c r="Z117" s="316"/>
      <c r="AA117" s="316"/>
      <c r="AB117" s="316"/>
      <c r="AC117" s="316"/>
      <c r="AD117" s="316"/>
      <c r="AE117" s="316"/>
      <c r="AF117" s="316"/>
      <c r="AG117" s="316"/>
      <c r="AH117" s="316"/>
      <c r="AI117" s="316"/>
      <c r="AJ117" s="316"/>
      <c r="AK117" s="316"/>
      <c r="AL117" s="316"/>
      <c r="AM117" s="316"/>
      <c r="AN117" s="316"/>
      <c r="AO117" s="316"/>
      <c r="AP117" s="316"/>
      <c r="AQ117" s="316"/>
      <c r="AR117" s="316"/>
      <c r="AS117" s="316"/>
      <c r="AT117" s="335"/>
      <c r="AU117" s="283"/>
      <c r="AV117" s="283"/>
      <c r="AW117" s="280"/>
      <c r="AX117" s="280"/>
      <c r="AY117" s="280"/>
      <c r="AZ117" s="280"/>
      <c r="BA117" s="280"/>
      <c r="BB117" s="280"/>
      <c r="BC117" s="280"/>
      <c r="BD117" s="280"/>
      <c r="BE117" s="280"/>
      <c r="BF117" s="280"/>
      <c r="BG117" s="280"/>
      <c r="BH117" s="280"/>
      <c r="BI117" s="280"/>
      <c r="BJ117" s="280"/>
      <c r="BK117" s="280"/>
      <c r="BL117" s="280"/>
      <c r="BM117" s="280"/>
      <c r="BN117" s="280"/>
      <c r="BO117" s="280"/>
      <c r="BP117" s="280"/>
      <c r="BQ117" s="280"/>
      <c r="BR117" s="280"/>
      <c r="BS117" s="280"/>
      <c r="BT117" s="280"/>
      <c r="BU117" s="280"/>
      <c r="BV117" s="280"/>
    </row>
    <row r="118" spans="1:74" s="300" customFormat="1" ht="15" hidden="1" customHeight="1" outlineLevel="1" x14ac:dyDescent="0.25">
      <c r="A118" s="283"/>
      <c r="B118" s="315" t="str">
        <f>Mijlpalenbegroting!B100</f>
        <v>Investeringen in aansluitingen</v>
      </c>
      <c r="C118" s="316"/>
      <c r="D118" s="316"/>
      <c r="E118" s="316"/>
      <c r="F118" s="316"/>
      <c r="G118" s="316"/>
      <c r="H118" s="316"/>
      <c r="I118" s="316"/>
      <c r="J118" s="316"/>
      <c r="K118" s="316"/>
      <c r="L118" s="316">
        <f>Mijlpalenplanning!C278</f>
        <v>0</v>
      </c>
      <c r="M118" s="316">
        <f>Mijlpalenplanning!D278</f>
        <v>0</v>
      </c>
      <c r="N118" s="316">
        <f>Mijlpalenplanning!E278</f>
        <v>0</v>
      </c>
      <c r="O118" s="316">
        <f>Mijlpalenplanning!F278</f>
        <v>0</v>
      </c>
      <c r="P118" s="316">
        <f>Mijlpalenplanning!G278</f>
        <v>0</v>
      </c>
      <c r="Q118" s="316">
        <f>Mijlpalenplanning!H278</f>
        <v>0</v>
      </c>
      <c r="R118" s="316">
        <f>Mijlpalenplanning!I278</f>
        <v>0</v>
      </c>
      <c r="S118" s="316">
        <f>Mijlpalenplanning!J278</f>
        <v>0</v>
      </c>
      <c r="T118" s="316"/>
      <c r="U118" s="316"/>
      <c r="V118" s="316"/>
      <c r="W118" s="316"/>
      <c r="X118" s="316"/>
      <c r="Y118" s="316"/>
      <c r="Z118" s="316"/>
      <c r="AA118" s="316"/>
      <c r="AB118" s="316"/>
      <c r="AC118" s="316"/>
      <c r="AD118" s="316"/>
      <c r="AE118" s="316"/>
      <c r="AF118" s="316"/>
      <c r="AG118" s="316"/>
      <c r="AH118" s="316"/>
      <c r="AI118" s="316"/>
      <c r="AJ118" s="316"/>
      <c r="AK118" s="316"/>
      <c r="AL118" s="316"/>
      <c r="AM118" s="316"/>
      <c r="AN118" s="316"/>
      <c r="AO118" s="316"/>
      <c r="AP118" s="316"/>
      <c r="AQ118" s="316"/>
      <c r="AR118" s="316"/>
      <c r="AS118" s="316"/>
      <c r="AT118" s="335"/>
      <c r="AU118" s="283"/>
      <c r="AV118" s="283"/>
      <c r="AW118" s="283"/>
      <c r="AX118" s="283"/>
      <c r="AY118" s="283"/>
      <c r="AZ118" s="283"/>
      <c r="BA118" s="283"/>
      <c r="BB118" s="283"/>
      <c r="BC118" s="283"/>
      <c r="BD118" s="283"/>
      <c r="BE118" s="283"/>
      <c r="BF118" s="283"/>
      <c r="BG118" s="283"/>
      <c r="BH118" s="283"/>
      <c r="BI118" s="283"/>
      <c r="BJ118" s="283"/>
      <c r="BK118" s="283"/>
      <c r="BL118" s="283"/>
      <c r="BM118" s="283"/>
      <c r="BN118" s="280"/>
      <c r="BO118" s="280"/>
      <c r="BP118" s="280"/>
      <c r="BQ118" s="280"/>
      <c r="BR118" s="280"/>
      <c r="BS118" s="280"/>
      <c r="BT118" s="280"/>
      <c r="BU118" s="280"/>
      <c r="BV118" s="280"/>
    </row>
    <row r="119" spans="1:74" s="300" customFormat="1" ht="15" hidden="1" customHeight="1" outlineLevel="1" x14ac:dyDescent="0.25">
      <c r="A119" s="283"/>
      <c r="B119" s="315" t="str">
        <f>Mijlpalenbegroting!B147</f>
        <v>Loonkosten</v>
      </c>
      <c r="C119" s="316"/>
      <c r="D119" s="316"/>
      <c r="E119" s="316"/>
      <c r="F119" s="316"/>
      <c r="G119" s="316"/>
      <c r="H119" s="316"/>
      <c r="I119" s="316"/>
      <c r="J119" s="316"/>
      <c r="K119" s="316"/>
      <c r="L119" s="316">
        <f>Mijlpalenplanning!C297</f>
        <v>0</v>
      </c>
      <c r="M119" s="316">
        <f>Mijlpalenplanning!D297</f>
        <v>0</v>
      </c>
      <c r="N119" s="316">
        <f>Mijlpalenplanning!E297</f>
        <v>0</v>
      </c>
      <c r="O119" s="316">
        <f>Mijlpalenplanning!F297</f>
        <v>0</v>
      </c>
      <c r="P119" s="316">
        <f>Mijlpalenplanning!G297</f>
        <v>0</v>
      </c>
      <c r="Q119" s="316">
        <f>Mijlpalenplanning!H297</f>
        <v>0</v>
      </c>
      <c r="R119" s="316">
        <f>Mijlpalenplanning!I297</f>
        <v>0</v>
      </c>
      <c r="S119" s="316">
        <f>Mijlpalenplanning!J297</f>
        <v>0</v>
      </c>
      <c r="T119" s="316"/>
      <c r="U119" s="316"/>
      <c r="V119" s="316"/>
      <c r="W119" s="316"/>
      <c r="X119" s="316"/>
      <c r="Y119" s="316"/>
      <c r="Z119" s="316"/>
      <c r="AA119" s="316"/>
      <c r="AB119" s="316"/>
      <c r="AC119" s="316"/>
      <c r="AD119" s="316"/>
      <c r="AE119" s="316"/>
      <c r="AF119" s="316"/>
      <c r="AG119" s="316"/>
      <c r="AH119" s="316"/>
      <c r="AI119" s="316"/>
      <c r="AJ119" s="316"/>
      <c r="AK119" s="316"/>
      <c r="AL119" s="316"/>
      <c r="AM119" s="316"/>
      <c r="AN119" s="316"/>
      <c r="AO119" s="316"/>
      <c r="AP119" s="316"/>
      <c r="AQ119" s="316"/>
      <c r="AR119" s="316"/>
      <c r="AS119" s="316"/>
      <c r="AT119" s="335"/>
      <c r="AU119" s="283"/>
      <c r="AV119" s="283"/>
      <c r="AW119" s="283"/>
      <c r="AX119" s="283"/>
      <c r="AY119" s="283"/>
      <c r="AZ119" s="283"/>
      <c r="BA119" s="283"/>
      <c r="BB119" s="283"/>
      <c r="BC119" s="283"/>
      <c r="BD119" s="283"/>
      <c r="BE119" s="283"/>
      <c r="BF119" s="283"/>
      <c r="BG119" s="283"/>
      <c r="BH119" s="283"/>
      <c r="BI119" s="283"/>
      <c r="BJ119" s="283"/>
      <c r="BK119" s="283"/>
      <c r="BL119" s="283"/>
      <c r="BM119" s="283"/>
      <c r="BN119" s="280"/>
      <c r="BO119" s="280"/>
      <c r="BP119" s="280"/>
      <c r="BQ119" s="280"/>
      <c r="BR119" s="280"/>
      <c r="BS119" s="280"/>
      <c r="BT119" s="280"/>
      <c r="BU119" s="280"/>
      <c r="BV119" s="280"/>
    </row>
    <row r="120" spans="1:74" s="300" customFormat="1" ht="15" hidden="1" customHeight="1" outlineLevel="1" x14ac:dyDescent="0.25">
      <c r="A120" s="283"/>
      <c r="B120" s="315" t="str">
        <f>Mijlpalenbegroting!B189</f>
        <v>Aan derden verschuldigde kosten</v>
      </c>
      <c r="C120" s="316"/>
      <c r="D120" s="316"/>
      <c r="E120" s="316"/>
      <c r="F120" s="316"/>
      <c r="G120" s="316"/>
      <c r="H120" s="316"/>
      <c r="I120" s="316"/>
      <c r="J120" s="316"/>
      <c r="K120" s="316"/>
      <c r="L120" s="316">
        <f>Mijlpalenplanning!C316</f>
        <v>0</v>
      </c>
      <c r="M120" s="316">
        <f>Mijlpalenplanning!D316</f>
        <v>0</v>
      </c>
      <c r="N120" s="316">
        <f>Mijlpalenplanning!E316</f>
        <v>0</v>
      </c>
      <c r="O120" s="316">
        <f>Mijlpalenplanning!F316</f>
        <v>0</v>
      </c>
      <c r="P120" s="316">
        <f>Mijlpalenplanning!G316</f>
        <v>0</v>
      </c>
      <c r="Q120" s="316">
        <f>Mijlpalenplanning!H316</f>
        <v>0</v>
      </c>
      <c r="R120" s="316">
        <f>Mijlpalenplanning!I316</f>
        <v>0</v>
      </c>
      <c r="S120" s="316">
        <f>Mijlpalenplanning!J316</f>
        <v>0</v>
      </c>
      <c r="T120" s="316"/>
      <c r="U120" s="316"/>
      <c r="V120" s="316"/>
      <c r="W120" s="316"/>
      <c r="X120" s="316"/>
      <c r="Y120" s="316"/>
      <c r="Z120" s="316"/>
      <c r="AA120" s="316"/>
      <c r="AB120" s="316"/>
      <c r="AC120" s="316"/>
      <c r="AD120" s="316"/>
      <c r="AE120" s="316"/>
      <c r="AF120" s="316"/>
      <c r="AG120" s="316"/>
      <c r="AH120" s="316"/>
      <c r="AI120" s="316"/>
      <c r="AJ120" s="316"/>
      <c r="AK120" s="316"/>
      <c r="AL120" s="316"/>
      <c r="AM120" s="316"/>
      <c r="AN120" s="316"/>
      <c r="AO120" s="316"/>
      <c r="AP120" s="316"/>
      <c r="AQ120" s="316"/>
      <c r="AR120" s="316"/>
      <c r="AS120" s="316"/>
      <c r="AT120" s="335"/>
      <c r="AU120" s="283"/>
      <c r="AV120" s="283"/>
      <c r="AW120" s="283"/>
      <c r="AX120" s="283"/>
      <c r="AY120" s="283"/>
      <c r="AZ120" s="283"/>
      <c r="BA120" s="283"/>
      <c r="BB120" s="283"/>
      <c r="BC120" s="283"/>
      <c r="BD120" s="283"/>
      <c r="BE120" s="283"/>
      <c r="BF120" s="283"/>
      <c r="BG120" s="283"/>
      <c r="BH120" s="283"/>
      <c r="BI120" s="283"/>
      <c r="BJ120" s="283"/>
      <c r="BK120" s="283"/>
      <c r="BL120" s="283"/>
      <c r="BM120" s="283"/>
      <c r="BN120" s="280"/>
      <c r="BO120" s="280"/>
      <c r="BP120" s="280"/>
      <c r="BQ120" s="280"/>
      <c r="BR120" s="280"/>
      <c r="BS120" s="280"/>
      <c r="BT120" s="280"/>
      <c r="BU120" s="280"/>
      <c r="BV120" s="280"/>
    </row>
    <row r="121" spans="1:74" s="317" customFormat="1" ht="15" customHeight="1" collapsed="1" x14ac:dyDescent="0.25">
      <c r="B121" s="340" t="s">
        <v>430</v>
      </c>
      <c r="C121" s="345"/>
      <c r="D121" s="345"/>
      <c r="E121" s="345"/>
      <c r="F121" s="345"/>
      <c r="G121" s="345"/>
      <c r="H121" s="345"/>
      <c r="I121" s="345"/>
      <c r="J121" s="345"/>
      <c r="K121" s="345"/>
      <c r="L121" s="345">
        <f t="shared" ref="L121:S121" si="94">SUM(L114:L120)</f>
        <v>0</v>
      </c>
      <c r="M121" s="345">
        <f t="shared" si="94"/>
        <v>0</v>
      </c>
      <c r="N121" s="345">
        <f t="shared" si="94"/>
        <v>0</v>
      </c>
      <c r="O121" s="345">
        <f t="shared" si="94"/>
        <v>0</v>
      </c>
      <c r="P121" s="345">
        <f t="shared" si="94"/>
        <v>0</v>
      </c>
      <c r="Q121" s="345">
        <f t="shared" si="94"/>
        <v>0</v>
      </c>
      <c r="R121" s="345">
        <f t="shared" si="94"/>
        <v>0</v>
      </c>
      <c r="S121" s="345">
        <f t="shared" si="94"/>
        <v>0</v>
      </c>
      <c r="T121" s="345"/>
      <c r="U121" s="345"/>
      <c r="V121" s="345"/>
      <c r="W121" s="345"/>
      <c r="X121" s="345"/>
      <c r="Y121" s="345"/>
      <c r="Z121" s="345"/>
      <c r="AA121" s="345"/>
      <c r="AB121" s="345"/>
      <c r="AC121" s="345"/>
      <c r="AD121" s="345"/>
      <c r="AE121" s="345"/>
      <c r="AF121" s="345"/>
      <c r="AG121" s="345"/>
      <c r="AH121" s="345"/>
      <c r="AI121" s="345"/>
      <c r="AJ121" s="345"/>
      <c r="AK121" s="345"/>
      <c r="AL121" s="345"/>
      <c r="AM121" s="345"/>
      <c r="AN121" s="345"/>
      <c r="AO121" s="345"/>
      <c r="AP121" s="345"/>
      <c r="AQ121" s="345"/>
      <c r="AR121" s="345"/>
      <c r="AS121" s="345"/>
      <c r="AT121" s="341"/>
    </row>
    <row r="122" spans="1:74" s="376" customFormat="1" ht="15" hidden="1" customHeight="1" outlineLevel="1" x14ac:dyDescent="0.25">
      <c r="A122" s="373"/>
      <c r="B122" s="500" t="s">
        <v>431</v>
      </c>
      <c r="C122" s="501"/>
      <c r="D122" s="501"/>
      <c r="E122" s="501"/>
      <c r="F122" s="501"/>
      <c r="G122" s="501"/>
      <c r="H122" s="501"/>
      <c r="I122" s="501"/>
      <c r="J122" s="501"/>
      <c r="K122" s="501"/>
      <c r="L122" s="501" cm="1">
        <f t="array" ref="L122">SUMPRODUCT(($C$20:$C$49=Mijlpalenbegroting!$B$135) * (Exploitatieberekening!L$20:L$49))*Mijlpalenbegroting!$G$135 -SUM($K122:K122)</f>
        <v>0</v>
      </c>
      <c r="M122" s="501" cm="1">
        <f t="array" ref="M122">SUMPRODUCT(($C$20:$C$49=Mijlpalenbegroting!$B$135) * (Exploitatieberekening!M$20:M$49))*Mijlpalenbegroting!$G$135 -SUM($K122:L122)</f>
        <v>0</v>
      </c>
      <c r="N122" s="501" cm="1">
        <f t="array" ref="N122">SUMPRODUCT(($C$20:$C$49=Mijlpalenbegroting!$B$135) * (Exploitatieberekening!N$20:N$49))*Mijlpalenbegroting!$G$135 -SUM($K122:M122)</f>
        <v>0</v>
      </c>
      <c r="O122" s="501" cm="1">
        <f t="array" ref="O122">SUMPRODUCT(($C$20:$C$49=Mijlpalenbegroting!$B$135) * (Exploitatieberekening!O$20:O$49))*Mijlpalenbegroting!$G$135 -SUM($K122:N122)</f>
        <v>0</v>
      </c>
      <c r="P122" s="501" cm="1">
        <f t="array" ref="P122">SUMPRODUCT(($C$20:$C$49=Mijlpalenbegroting!$B$135) * (Exploitatieberekening!P$20:P$49))*Mijlpalenbegroting!$G$135 -SUM($K122:O122)</f>
        <v>0</v>
      </c>
      <c r="Q122" s="501" cm="1">
        <f t="array" ref="Q122">SUMPRODUCT(($C$20:$C$49=Mijlpalenbegroting!$B$135) * (Exploitatieberekening!Q$20:Q$49))*Mijlpalenbegroting!$G$135 -SUM($K122:P122)</f>
        <v>0</v>
      </c>
      <c r="R122" s="501" cm="1">
        <f t="array" ref="R122">SUMPRODUCT(($C$20:$C$49=Mijlpalenbegroting!$B$135) * (Exploitatieberekening!R$20:R$49))*Mijlpalenbegroting!$G$135 -SUM($K122:Q122)</f>
        <v>0</v>
      </c>
      <c r="S122" s="501" cm="1">
        <f t="array" ref="S122">SUMPRODUCT(($C$20:$C$49=Mijlpalenbegroting!$B$135) * (Exploitatieberekening!S$20:S$49))*Mijlpalenbegroting!$G$135 -SUM($K122:R122)</f>
        <v>0</v>
      </c>
      <c r="T122" s="501"/>
      <c r="U122" s="501"/>
      <c r="V122" s="501"/>
      <c r="W122" s="501"/>
      <c r="X122" s="501"/>
      <c r="Y122" s="501"/>
      <c r="Z122" s="501"/>
      <c r="AA122" s="501"/>
      <c r="AB122" s="501"/>
      <c r="AC122" s="501"/>
      <c r="AD122" s="501"/>
      <c r="AE122" s="501"/>
      <c r="AF122" s="501"/>
      <c r="AG122" s="501"/>
      <c r="AH122" s="501"/>
      <c r="AI122" s="501"/>
      <c r="AJ122" s="501"/>
      <c r="AK122" s="501"/>
      <c r="AL122" s="501"/>
      <c r="AM122" s="501"/>
      <c r="AN122" s="501"/>
      <c r="AO122" s="501"/>
      <c r="AP122" s="501"/>
      <c r="AQ122" s="501"/>
      <c r="AR122" s="501"/>
      <c r="AS122" s="501"/>
      <c r="AT122" s="502"/>
      <c r="AU122" s="373"/>
      <c r="AV122" s="373"/>
      <c r="AW122" s="373"/>
      <c r="AX122" s="373"/>
      <c r="AY122" s="373"/>
      <c r="AZ122" s="373"/>
      <c r="BA122" s="373"/>
      <c r="BB122" s="373"/>
      <c r="BC122" s="373"/>
      <c r="BD122" s="373"/>
      <c r="BE122" s="373"/>
      <c r="BF122" s="373"/>
      <c r="BG122" s="373"/>
      <c r="BH122" s="373"/>
      <c r="BI122" s="373"/>
      <c r="BJ122" s="373"/>
      <c r="BK122" s="373"/>
      <c r="BL122" s="373"/>
      <c r="BM122" s="373"/>
      <c r="BN122" s="374"/>
      <c r="BO122" s="374"/>
      <c r="BP122" s="374"/>
      <c r="BQ122" s="374"/>
      <c r="BR122" s="374"/>
      <c r="BS122" s="374"/>
      <c r="BT122" s="374"/>
      <c r="BU122" s="374"/>
      <c r="BV122" s="374"/>
    </row>
    <row r="123" spans="1:74" s="376" customFormat="1" ht="15" hidden="1" customHeight="1" outlineLevel="1" x14ac:dyDescent="0.25">
      <c r="A123" s="373"/>
      <c r="B123" s="500" t="s">
        <v>432</v>
      </c>
      <c r="C123" s="501"/>
      <c r="D123" s="501"/>
      <c r="E123" s="501"/>
      <c r="F123" s="501"/>
      <c r="G123" s="501"/>
      <c r="H123" s="501"/>
      <c r="I123" s="501"/>
      <c r="J123" s="501"/>
      <c r="K123" s="501"/>
      <c r="L123" s="501" cm="1">
        <f t="array" ref="L123">SUMPRODUCT(($C$20:$C$49=Mijlpalenbegroting!$B$136) * (Exploitatieberekening!L$20:L$49))*Mijlpalenbegroting!$G$136 -SUM($K123:K123)</f>
        <v>0</v>
      </c>
      <c r="M123" s="501" cm="1">
        <f t="array" ref="M123">SUMPRODUCT(($C$20:$C$49=Mijlpalenbegroting!$B$136) * (Exploitatieberekening!M$20:M$49))*Mijlpalenbegroting!$G$136 -SUM($K123:L123)</f>
        <v>0</v>
      </c>
      <c r="N123" s="501" cm="1">
        <f t="array" ref="N123">SUMPRODUCT(($C$20:$C$49=Mijlpalenbegroting!$B$136) * (Exploitatieberekening!N$20:N$49))*Mijlpalenbegroting!$G$136 -SUM($K123:M123)</f>
        <v>0</v>
      </c>
      <c r="O123" s="501" cm="1">
        <f t="array" ref="O123">SUMPRODUCT(($C$20:$C$49=Mijlpalenbegroting!$B$136) * (Exploitatieberekening!O$20:O$49))*Mijlpalenbegroting!$G$136 -SUM($K123:N123)</f>
        <v>0</v>
      </c>
      <c r="P123" s="501" cm="1">
        <f t="array" ref="P123">SUMPRODUCT(($C$20:$C$49=Mijlpalenbegroting!$B$136) * (Exploitatieberekening!P$20:P$49))*Mijlpalenbegroting!$G$136 -SUM($K123:O123)</f>
        <v>0</v>
      </c>
      <c r="Q123" s="501" cm="1">
        <f t="array" ref="Q123">SUMPRODUCT(($C$20:$C$49=Mijlpalenbegroting!$B$136) * (Exploitatieberekening!Q$20:Q$49))*Mijlpalenbegroting!$G$136 -SUM($K123:P123)</f>
        <v>0</v>
      </c>
      <c r="R123" s="501" cm="1">
        <f t="array" ref="R123">SUMPRODUCT(($C$20:$C$49=Mijlpalenbegroting!$B$136) * (Exploitatieberekening!R$20:R$49))*Mijlpalenbegroting!$G$136 -SUM($K123:Q123)</f>
        <v>0</v>
      </c>
      <c r="S123" s="501" cm="1">
        <f t="array" ref="S123">SUMPRODUCT(($C$20:$C$49=Mijlpalenbegroting!$B$136) * (Exploitatieberekening!S$20:S$49))*Mijlpalenbegroting!$G$136 -SUM($K123:R123)</f>
        <v>0</v>
      </c>
      <c r="T123" s="501"/>
      <c r="U123" s="501"/>
      <c r="V123" s="501"/>
      <c r="W123" s="501"/>
      <c r="X123" s="501"/>
      <c r="Y123" s="501"/>
      <c r="Z123" s="501"/>
      <c r="AA123" s="501"/>
      <c r="AB123" s="501"/>
      <c r="AC123" s="501"/>
      <c r="AD123" s="501"/>
      <c r="AE123" s="501"/>
      <c r="AF123" s="501"/>
      <c r="AG123" s="501"/>
      <c r="AH123" s="501"/>
      <c r="AI123" s="501"/>
      <c r="AJ123" s="501"/>
      <c r="AK123" s="501"/>
      <c r="AL123" s="501"/>
      <c r="AM123" s="501"/>
      <c r="AN123" s="501"/>
      <c r="AO123" s="501"/>
      <c r="AP123" s="501"/>
      <c r="AQ123" s="501"/>
      <c r="AR123" s="501"/>
      <c r="AS123" s="501"/>
      <c r="AT123" s="502"/>
      <c r="AU123" s="373"/>
      <c r="AV123" s="373"/>
      <c r="AW123" s="373"/>
      <c r="AX123" s="373"/>
      <c r="AY123" s="373"/>
      <c r="AZ123" s="373"/>
      <c r="BA123" s="373"/>
      <c r="BB123" s="373"/>
      <c r="BC123" s="373"/>
      <c r="BD123" s="373"/>
      <c r="BE123" s="373"/>
      <c r="BF123" s="373"/>
      <c r="BG123" s="373"/>
      <c r="BH123" s="373"/>
      <c r="BI123" s="373"/>
      <c r="BJ123" s="373"/>
      <c r="BK123" s="373"/>
      <c r="BL123" s="373"/>
      <c r="BM123" s="373"/>
      <c r="BN123" s="374"/>
      <c r="BO123" s="374"/>
      <c r="BP123" s="374"/>
      <c r="BQ123" s="374"/>
      <c r="BR123" s="374"/>
      <c r="BS123" s="374"/>
      <c r="BT123" s="374"/>
      <c r="BU123" s="374"/>
      <c r="BV123" s="374"/>
    </row>
    <row r="124" spans="1:74" s="283" customFormat="1" ht="15" customHeight="1" collapsed="1" x14ac:dyDescent="0.25">
      <c r="B124" s="302"/>
      <c r="AT124" s="300"/>
    </row>
    <row r="125" spans="1:74" s="300" customFormat="1" ht="15" hidden="1" customHeight="1" outlineLevel="1" x14ac:dyDescent="0.25">
      <c r="A125" s="283"/>
      <c r="B125" s="340" t="s">
        <v>297</v>
      </c>
      <c r="C125" s="316"/>
      <c r="D125" s="316"/>
      <c r="E125" s="316"/>
      <c r="F125" s="316"/>
      <c r="G125" s="316"/>
      <c r="H125" s="316"/>
      <c r="I125" s="316"/>
      <c r="J125" s="316"/>
      <c r="K125" s="316"/>
      <c r="L125" s="316"/>
      <c r="M125" s="316"/>
      <c r="N125" s="316"/>
      <c r="O125" s="316"/>
      <c r="P125" s="316"/>
      <c r="Q125" s="316"/>
      <c r="R125" s="316"/>
      <c r="S125" s="316"/>
      <c r="T125" s="316"/>
      <c r="U125" s="316"/>
      <c r="V125" s="316"/>
      <c r="W125" s="316"/>
      <c r="X125" s="316"/>
      <c r="Y125" s="316"/>
      <c r="Z125" s="316"/>
      <c r="AA125" s="316"/>
      <c r="AB125" s="316"/>
      <c r="AC125" s="316"/>
      <c r="AD125" s="316"/>
      <c r="AE125" s="316"/>
      <c r="AF125" s="316"/>
      <c r="AG125" s="316"/>
      <c r="AH125" s="316"/>
      <c r="AI125" s="316"/>
      <c r="AJ125" s="316"/>
      <c r="AK125" s="316"/>
      <c r="AL125" s="316"/>
      <c r="AM125" s="316"/>
      <c r="AN125" s="316"/>
      <c r="AO125" s="316"/>
      <c r="AP125" s="316"/>
      <c r="AQ125" s="316"/>
      <c r="AR125" s="316"/>
      <c r="AS125" s="316"/>
      <c r="AT125" s="335"/>
      <c r="AU125" s="283"/>
      <c r="AV125" s="283"/>
      <c r="AW125" s="283"/>
      <c r="AX125" s="283"/>
      <c r="AY125" s="283"/>
      <c r="AZ125" s="283"/>
      <c r="BA125" s="283"/>
      <c r="BB125" s="283"/>
      <c r="BC125" s="283"/>
      <c r="BD125" s="283"/>
      <c r="BE125" s="283"/>
      <c r="BF125" s="283"/>
      <c r="BG125" s="283"/>
      <c r="BH125" s="283"/>
      <c r="BI125" s="283"/>
      <c r="BJ125" s="283"/>
      <c r="BK125" s="283"/>
      <c r="BL125" s="283"/>
      <c r="BM125" s="283"/>
      <c r="BN125" s="280"/>
      <c r="BO125" s="280"/>
      <c r="BP125" s="280"/>
      <c r="BQ125" s="280"/>
      <c r="BR125" s="280"/>
      <c r="BS125" s="280"/>
      <c r="BT125" s="280"/>
      <c r="BU125" s="280"/>
      <c r="BV125" s="280"/>
    </row>
    <row r="126" spans="1:74" s="300" customFormat="1" ht="15" hidden="1" customHeight="1" outlineLevel="1" x14ac:dyDescent="0.25">
      <c r="A126" s="283"/>
      <c r="B126" s="315" t="s">
        <v>147</v>
      </c>
      <c r="C126" s="316"/>
      <c r="D126" s="316"/>
      <c r="E126" s="316"/>
      <c r="F126" s="316"/>
      <c r="G126" s="316"/>
      <c r="H126" s="316"/>
      <c r="I126" s="316"/>
      <c r="J126" s="316"/>
      <c r="K126" s="316"/>
      <c r="L126" s="316">
        <f>Mijlpalenplanning!M202</f>
        <v>0</v>
      </c>
      <c r="M126" s="316">
        <f>Mijlpalenplanning!N202</f>
        <v>0</v>
      </c>
      <c r="N126" s="316">
        <f>Mijlpalenplanning!O202</f>
        <v>0</v>
      </c>
      <c r="O126" s="316">
        <f>Mijlpalenplanning!P202</f>
        <v>0</v>
      </c>
      <c r="P126" s="316">
        <f>Mijlpalenplanning!Q202</f>
        <v>0</v>
      </c>
      <c r="Q126" s="316">
        <f>Mijlpalenplanning!R202</f>
        <v>0</v>
      </c>
      <c r="R126" s="316">
        <f>Mijlpalenplanning!S202</f>
        <v>0</v>
      </c>
      <c r="S126" s="316">
        <f>Mijlpalenplanning!T202</f>
        <v>0</v>
      </c>
      <c r="T126" s="316"/>
      <c r="U126" s="316"/>
      <c r="V126" s="316"/>
      <c r="W126" s="316"/>
      <c r="X126" s="316"/>
      <c r="Y126" s="316"/>
      <c r="Z126" s="316"/>
      <c r="AA126" s="316"/>
      <c r="AB126" s="316"/>
      <c r="AC126" s="316"/>
      <c r="AD126" s="316"/>
      <c r="AE126" s="316"/>
      <c r="AF126" s="316"/>
      <c r="AG126" s="316"/>
      <c r="AH126" s="316"/>
      <c r="AI126" s="316"/>
      <c r="AJ126" s="316"/>
      <c r="AK126" s="316"/>
      <c r="AL126" s="316"/>
      <c r="AM126" s="316"/>
      <c r="AN126" s="316"/>
      <c r="AO126" s="316"/>
      <c r="AP126" s="316"/>
      <c r="AQ126" s="316"/>
      <c r="AR126" s="316"/>
      <c r="AS126" s="316"/>
      <c r="AT126" s="335"/>
      <c r="AU126" s="283"/>
      <c r="AV126" s="283"/>
      <c r="AW126" s="283"/>
      <c r="AX126" s="283"/>
      <c r="AY126" s="283"/>
      <c r="AZ126" s="283"/>
      <c r="BA126" s="283"/>
      <c r="BB126" s="283"/>
      <c r="BC126" s="283"/>
      <c r="BD126" s="283"/>
      <c r="BE126" s="283"/>
      <c r="BF126" s="283"/>
      <c r="BG126" s="283"/>
      <c r="BH126" s="283"/>
      <c r="BI126" s="283"/>
      <c r="BJ126" s="283"/>
      <c r="BK126" s="283"/>
      <c r="BL126" s="283"/>
      <c r="BM126" s="283"/>
      <c r="BN126" s="280"/>
      <c r="BO126" s="280"/>
      <c r="BP126" s="280"/>
      <c r="BQ126" s="280"/>
      <c r="BR126" s="280"/>
      <c r="BS126" s="280"/>
      <c r="BT126" s="280"/>
      <c r="BU126" s="280"/>
      <c r="BV126" s="280"/>
    </row>
    <row r="127" spans="1:74" s="300" customFormat="1" ht="15" hidden="1" customHeight="1" outlineLevel="1" x14ac:dyDescent="0.25">
      <c r="A127" s="283"/>
      <c r="B127" s="315" t="s">
        <v>153</v>
      </c>
      <c r="C127" s="316"/>
      <c r="D127" s="316"/>
      <c r="E127" s="316"/>
      <c r="F127" s="316"/>
      <c r="G127" s="316"/>
      <c r="H127" s="316"/>
      <c r="I127" s="316"/>
      <c r="J127" s="316"/>
      <c r="K127" s="316"/>
      <c r="L127" s="316">
        <f>Mijlpalenplanning!M240</f>
        <v>0</v>
      </c>
      <c r="M127" s="316">
        <f>Mijlpalenplanning!N240</f>
        <v>0</v>
      </c>
      <c r="N127" s="316">
        <f>Mijlpalenplanning!O240</f>
        <v>0</v>
      </c>
      <c r="O127" s="316">
        <f>Mijlpalenplanning!P240</f>
        <v>0</v>
      </c>
      <c r="P127" s="316">
        <f>Mijlpalenplanning!Q240</f>
        <v>0</v>
      </c>
      <c r="Q127" s="316">
        <f>Mijlpalenplanning!R240</f>
        <v>0</v>
      </c>
      <c r="R127" s="316">
        <f>Mijlpalenplanning!S240</f>
        <v>0</v>
      </c>
      <c r="S127" s="316">
        <f>Mijlpalenplanning!T240</f>
        <v>0</v>
      </c>
      <c r="T127" s="316"/>
      <c r="U127" s="316"/>
      <c r="V127" s="316"/>
      <c r="W127" s="316"/>
      <c r="X127" s="316"/>
      <c r="Y127" s="316"/>
      <c r="Z127" s="316"/>
      <c r="AA127" s="316"/>
      <c r="AB127" s="316"/>
      <c r="AC127" s="316"/>
      <c r="AD127" s="316"/>
      <c r="AE127" s="316"/>
      <c r="AF127" s="316"/>
      <c r="AG127" s="316"/>
      <c r="AH127" s="316"/>
      <c r="AI127" s="316"/>
      <c r="AJ127" s="316"/>
      <c r="AK127" s="316"/>
      <c r="AL127" s="316"/>
      <c r="AM127" s="316"/>
      <c r="AN127" s="316"/>
      <c r="AO127" s="316"/>
      <c r="AP127" s="316"/>
      <c r="AQ127" s="316"/>
      <c r="AR127" s="316"/>
      <c r="AS127" s="316"/>
      <c r="AT127" s="335"/>
      <c r="AU127" s="283"/>
      <c r="AV127" s="283"/>
      <c r="AW127" s="283"/>
      <c r="AX127" s="283"/>
      <c r="AY127" s="283"/>
      <c r="AZ127" s="283"/>
      <c r="BA127" s="283"/>
      <c r="BB127" s="283"/>
      <c r="BC127" s="283"/>
      <c r="BD127" s="283"/>
      <c r="BE127" s="283"/>
      <c r="BF127" s="283"/>
      <c r="BG127" s="283"/>
      <c r="BH127" s="283"/>
      <c r="BI127" s="283"/>
      <c r="BJ127" s="283"/>
      <c r="BK127" s="283"/>
      <c r="BL127" s="283"/>
      <c r="BM127" s="283"/>
      <c r="BN127" s="280"/>
      <c r="BO127" s="280"/>
      <c r="BP127" s="280"/>
      <c r="BQ127" s="280"/>
      <c r="BR127" s="280"/>
      <c r="BS127" s="280"/>
      <c r="BT127" s="280"/>
      <c r="BU127" s="280"/>
      <c r="BV127" s="280"/>
    </row>
    <row r="128" spans="1:74" s="300" customFormat="1" ht="15" hidden="1" customHeight="1" outlineLevel="1" x14ac:dyDescent="0.25">
      <c r="A128" s="283"/>
      <c r="B128" s="315" t="s">
        <v>157</v>
      </c>
      <c r="C128" s="316"/>
      <c r="D128" s="316"/>
      <c r="E128" s="316"/>
      <c r="F128" s="316"/>
      <c r="G128" s="316"/>
      <c r="H128" s="316"/>
      <c r="I128" s="316"/>
      <c r="J128" s="316"/>
      <c r="K128" s="316"/>
      <c r="L128" s="316">
        <f>Mijlpalenplanning!M259</f>
        <v>0</v>
      </c>
      <c r="M128" s="316">
        <f>Mijlpalenplanning!N259</f>
        <v>0</v>
      </c>
      <c r="N128" s="316">
        <f>Mijlpalenplanning!O259</f>
        <v>0</v>
      </c>
      <c r="O128" s="316">
        <f>Mijlpalenplanning!P259</f>
        <v>0</v>
      </c>
      <c r="P128" s="316">
        <f>Mijlpalenplanning!Q259</f>
        <v>0</v>
      </c>
      <c r="Q128" s="316">
        <f>Mijlpalenplanning!R259</f>
        <v>0</v>
      </c>
      <c r="R128" s="316">
        <f>Mijlpalenplanning!S259</f>
        <v>0</v>
      </c>
      <c r="S128" s="316">
        <f>Mijlpalenplanning!T259</f>
        <v>0</v>
      </c>
      <c r="T128" s="316"/>
      <c r="U128" s="316"/>
      <c r="V128" s="316"/>
      <c r="W128" s="316"/>
      <c r="X128" s="316"/>
      <c r="Y128" s="316"/>
      <c r="Z128" s="316"/>
      <c r="AA128" s="316"/>
      <c r="AB128" s="316"/>
      <c r="AC128" s="316"/>
      <c r="AD128" s="316"/>
      <c r="AE128" s="316"/>
      <c r="AF128" s="316"/>
      <c r="AG128" s="316"/>
      <c r="AH128" s="316"/>
      <c r="AI128" s="316"/>
      <c r="AJ128" s="316"/>
      <c r="AK128" s="316"/>
      <c r="AL128" s="316"/>
      <c r="AM128" s="316"/>
      <c r="AN128" s="316"/>
      <c r="AO128" s="316"/>
      <c r="AP128" s="316"/>
      <c r="AQ128" s="316"/>
      <c r="AR128" s="316"/>
      <c r="AS128" s="316"/>
      <c r="AT128" s="335"/>
      <c r="AU128" s="283"/>
      <c r="AV128" s="283"/>
      <c r="AW128" s="283"/>
      <c r="AX128" s="283"/>
      <c r="AY128" s="283"/>
      <c r="AZ128" s="283"/>
      <c r="BA128" s="283"/>
      <c r="BB128" s="283"/>
      <c r="BC128" s="283"/>
      <c r="BD128" s="283"/>
      <c r="BE128" s="283"/>
      <c r="BF128" s="283"/>
      <c r="BG128" s="283"/>
      <c r="BH128" s="283"/>
      <c r="BI128" s="283"/>
      <c r="BJ128" s="283"/>
      <c r="BK128" s="283"/>
      <c r="BL128" s="283"/>
      <c r="BM128" s="283"/>
      <c r="BN128" s="280"/>
      <c r="BO128" s="280"/>
      <c r="BP128" s="280"/>
      <c r="BQ128" s="280"/>
      <c r="BR128" s="280"/>
      <c r="BS128" s="280"/>
      <c r="BT128" s="280"/>
      <c r="BU128" s="280"/>
      <c r="BV128" s="280"/>
    </row>
    <row r="129" spans="1:74" s="300" customFormat="1" ht="15" hidden="1" customHeight="1" outlineLevel="1" x14ac:dyDescent="0.25">
      <c r="A129" s="283"/>
      <c r="B129" s="315" t="s">
        <v>159</v>
      </c>
      <c r="C129" s="316"/>
      <c r="D129" s="316"/>
      <c r="E129" s="316"/>
      <c r="F129" s="316"/>
      <c r="G129" s="316"/>
      <c r="H129" s="316"/>
      <c r="I129" s="316"/>
      <c r="J129" s="316"/>
      <c r="K129" s="316"/>
      <c r="L129" s="316">
        <f>Mijlpalenplanning!M278</f>
        <v>0</v>
      </c>
      <c r="M129" s="316">
        <f>Mijlpalenplanning!N278</f>
        <v>0</v>
      </c>
      <c r="N129" s="316">
        <f>Mijlpalenplanning!O278</f>
        <v>0</v>
      </c>
      <c r="O129" s="316">
        <f>Mijlpalenplanning!P278</f>
        <v>0</v>
      </c>
      <c r="P129" s="316">
        <f>Mijlpalenplanning!Q278</f>
        <v>0</v>
      </c>
      <c r="Q129" s="316">
        <f>Mijlpalenplanning!R278</f>
        <v>0</v>
      </c>
      <c r="R129" s="316">
        <f>Mijlpalenplanning!S278</f>
        <v>0</v>
      </c>
      <c r="S129" s="316">
        <f>Mijlpalenplanning!T278</f>
        <v>0</v>
      </c>
      <c r="T129" s="316"/>
      <c r="U129" s="316"/>
      <c r="V129" s="316"/>
      <c r="W129" s="316"/>
      <c r="X129" s="316"/>
      <c r="Y129" s="316"/>
      <c r="Z129" s="316"/>
      <c r="AA129" s="316"/>
      <c r="AB129" s="316"/>
      <c r="AC129" s="316"/>
      <c r="AD129" s="316"/>
      <c r="AE129" s="316"/>
      <c r="AF129" s="316"/>
      <c r="AG129" s="316"/>
      <c r="AH129" s="316"/>
      <c r="AI129" s="316"/>
      <c r="AJ129" s="316"/>
      <c r="AK129" s="316"/>
      <c r="AL129" s="316"/>
      <c r="AM129" s="316"/>
      <c r="AN129" s="316"/>
      <c r="AO129" s="316"/>
      <c r="AP129" s="316"/>
      <c r="AQ129" s="316"/>
      <c r="AR129" s="316"/>
      <c r="AS129" s="316"/>
      <c r="AT129" s="335"/>
      <c r="AU129" s="283"/>
      <c r="AV129" s="283"/>
      <c r="AW129" s="283"/>
      <c r="AX129" s="283"/>
      <c r="AY129" s="283"/>
      <c r="AZ129" s="283"/>
      <c r="BA129" s="283"/>
      <c r="BB129" s="283"/>
      <c r="BC129" s="283"/>
      <c r="BD129" s="283"/>
      <c r="BE129" s="283"/>
      <c r="BF129" s="283"/>
      <c r="BG129" s="283"/>
      <c r="BH129" s="283"/>
      <c r="BI129" s="283"/>
      <c r="BJ129" s="283"/>
      <c r="BK129" s="283"/>
      <c r="BL129" s="283"/>
      <c r="BM129" s="283"/>
      <c r="BN129" s="280"/>
      <c r="BO129" s="280"/>
      <c r="BP129" s="280"/>
      <c r="BQ129" s="280"/>
      <c r="BR129" s="280"/>
      <c r="BS129" s="280"/>
      <c r="BT129" s="280"/>
      <c r="BU129" s="280"/>
      <c r="BV129" s="280"/>
    </row>
    <row r="130" spans="1:74" s="317" customFormat="1" ht="15" customHeight="1" collapsed="1" x14ac:dyDescent="0.25">
      <c r="B130" s="340" t="s">
        <v>433</v>
      </c>
      <c r="C130" s="345"/>
      <c r="D130" s="345"/>
      <c r="E130" s="345"/>
      <c r="F130" s="345"/>
      <c r="G130" s="345"/>
      <c r="H130" s="345"/>
      <c r="I130" s="345"/>
      <c r="J130" s="345"/>
      <c r="K130" s="345"/>
      <c r="L130" s="345">
        <f t="shared" ref="L130:S130" si="95">SUM(L126:L129)</f>
        <v>0</v>
      </c>
      <c r="M130" s="345">
        <f t="shared" si="95"/>
        <v>0</v>
      </c>
      <c r="N130" s="345">
        <f t="shared" si="95"/>
        <v>0</v>
      </c>
      <c r="O130" s="345">
        <f t="shared" si="95"/>
        <v>0</v>
      </c>
      <c r="P130" s="345">
        <f t="shared" si="95"/>
        <v>0</v>
      </c>
      <c r="Q130" s="345">
        <f t="shared" si="95"/>
        <v>0</v>
      </c>
      <c r="R130" s="345">
        <f t="shared" si="95"/>
        <v>0</v>
      </c>
      <c r="S130" s="345">
        <f t="shared" si="95"/>
        <v>0</v>
      </c>
      <c r="T130" s="345"/>
      <c r="U130" s="345"/>
      <c r="V130" s="345"/>
      <c r="W130" s="345"/>
      <c r="X130" s="345"/>
      <c r="Y130" s="345"/>
      <c r="Z130" s="345"/>
      <c r="AA130" s="345"/>
      <c r="AB130" s="345"/>
      <c r="AC130" s="345"/>
      <c r="AD130" s="345"/>
      <c r="AE130" s="345"/>
      <c r="AF130" s="345"/>
      <c r="AG130" s="345"/>
      <c r="AH130" s="345"/>
      <c r="AI130" s="345"/>
      <c r="AJ130" s="345"/>
      <c r="AK130" s="345"/>
      <c r="AL130" s="345"/>
      <c r="AM130" s="345"/>
      <c r="AN130" s="345"/>
      <c r="AO130" s="345"/>
      <c r="AP130" s="345"/>
      <c r="AQ130" s="345"/>
      <c r="AR130" s="345"/>
      <c r="AS130" s="345"/>
      <c r="AT130" s="504"/>
    </row>
    <row r="131" spans="1:74" s="376" customFormat="1" ht="15" hidden="1" customHeight="1" outlineLevel="1" x14ac:dyDescent="0.25">
      <c r="A131" s="373"/>
      <c r="B131" s="500" t="s">
        <v>434</v>
      </c>
      <c r="C131" s="501"/>
      <c r="D131" s="501"/>
      <c r="E131" s="501"/>
      <c r="F131" s="501"/>
      <c r="G131" s="501"/>
      <c r="H131" s="501"/>
      <c r="I131" s="501"/>
      <c r="J131" s="501"/>
      <c r="K131" s="501"/>
      <c r="L131" s="501" cm="1">
        <f t="array" ref="L131">SUMPRODUCT(($C$20:$C$49=Mijlpalenbegroting!$B137) * (Exploitatieberekening!L$20:L$49))*Mijlpalenbegroting!$G137 -  SUM($K131:K131)</f>
        <v>0</v>
      </c>
      <c r="M131" s="501" cm="1">
        <f t="array" ref="M131">SUMPRODUCT(($C$20:$C$49=Mijlpalenbegroting!$B137) * (Exploitatieberekening!M$20:M$49))*Mijlpalenbegroting!$G137 -  SUM($K131:L131)</f>
        <v>0</v>
      </c>
      <c r="N131" s="501" cm="1">
        <f t="array" ref="N131">SUMPRODUCT(($C$20:$C$49=Mijlpalenbegroting!$B137) * (Exploitatieberekening!N$20:N$49))*Mijlpalenbegroting!$G137 -  SUM($K131:M131)</f>
        <v>0</v>
      </c>
      <c r="O131" s="501" cm="1">
        <f t="array" ref="O131">SUMPRODUCT(($C$20:$C$49=Mijlpalenbegroting!$B137) * (Exploitatieberekening!O$20:O$49))*Mijlpalenbegroting!$G137 -  SUM($K131:N131)</f>
        <v>0</v>
      </c>
      <c r="P131" s="501" cm="1">
        <f t="array" ref="P131">SUMPRODUCT(($C$20:$C$49=Mijlpalenbegroting!$B137) * (Exploitatieberekening!P$20:P$49))*Mijlpalenbegroting!$G137 -  SUM($K131:O131)</f>
        <v>0</v>
      </c>
      <c r="Q131" s="501" cm="1">
        <f t="array" ref="Q131">SUMPRODUCT(($C$20:$C$49=Mijlpalenbegroting!$B137) * (Exploitatieberekening!Q$20:Q$49))*Mijlpalenbegroting!$G137 -  SUM($K131:P131)</f>
        <v>0</v>
      </c>
      <c r="R131" s="501" cm="1">
        <f t="array" ref="R131">SUMPRODUCT(($C$20:$C$49=Mijlpalenbegroting!$B137) * (Exploitatieberekening!R$20:R$49))*Mijlpalenbegroting!$G137 -  SUM($K131:Q131)</f>
        <v>0</v>
      </c>
      <c r="S131" s="501" cm="1">
        <f t="array" ref="S131">SUMPRODUCT(($C$20:$C$49=Mijlpalenbegroting!$B137) * (Exploitatieberekening!S$20:S$49))*Mijlpalenbegroting!$G137 -  SUM($K131:R131)</f>
        <v>0</v>
      </c>
      <c r="T131" s="501"/>
      <c r="U131" s="501"/>
      <c r="V131" s="501"/>
      <c r="W131" s="501"/>
      <c r="X131" s="501"/>
      <c r="Y131" s="501"/>
      <c r="Z131" s="501"/>
      <c r="AA131" s="501"/>
      <c r="AB131" s="501"/>
      <c r="AC131" s="501"/>
      <c r="AD131" s="501"/>
      <c r="AE131" s="501"/>
      <c r="AF131" s="501"/>
      <c r="AG131" s="501"/>
      <c r="AH131" s="501"/>
      <c r="AI131" s="501"/>
      <c r="AJ131" s="501"/>
      <c r="AK131" s="501"/>
      <c r="AL131" s="501"/>
      <c r="AM131" s="501"/>
      <c r="AN131" s="501"/>
      <c r="AO131" s="501"/>
      <c r="AP131" s="501"/>
      <c r="AQ131" s="501"/>
      <c r="AR131" s="501"/>
      <c r="AS131" s="501"/>
      <c r="AT131" s="502"/>
      <c r="AU131" s="373"/>
      <c r="AV131" s="373"/>
      <c r="AW131" s="373"/>
      <c r="AX131" s="373"/>
      <c r="AY131" s="373"/>
      <c r="AZ131" s="373"/>
      <c r="BA131" s="373"/>
      <c r="BB131" s="373"/>
      <c r="BC131" s="373"/>
      <c r="BD131" s="373"/>
      <c r="BE131" s="373"/>
      <c r="BF131" s="373"/>
      <c r="BG131" s="373"/>
      <c r="BH131" s="373"/>
      <c r="BI131" s="373"/>
      <c r="BJ131" s="373"/>
      <c r="BK131" s="373"/>
      <c r="BL131" s="373"/>
      <c r="BM131" s="373"/>
      <c r="BN131" s="374"/>
      <c r="BO131" s="374"/>
      <c r="BP131" s="374"/>
      <c r="BQ131" s="374"/>
      <c r="BR131" s="374"/>
      <c r="BS131" s="374"/>
      <c r="BT131" s="374"/>
      <c r="BU131" s="374"/>
      <c r="BV131" s="374"/>
    </row>
    <row r="132" spans="1:74" s="373" customFormat="1" ht="15" hidden="1" customHeight="1" outlineLevel="1" x14ac:dyDescent="0.25">
      <c r="B132" s="500" t="s">
        <v>435</v>
      </c>
      <c r="C132" s="501"/>
      <c r="D132" s="501"/>
      <c r="E132" s="501"/>
      <c r="F132" s="501"/>
      <c r="G132" s="501"/>
      <c r="H132" s="501"/>
      <c r="I132" s="501"/>
      <c r="J132" s="501"/>
      <c r="K132" s="501"/>
      <c r="L132" s="501" cm="1">
        <f t="array" ref="L132">SUMPRODUCT(($C$20:$C$49=Mijlpalenbegroting!$B138) * (Exploitatieberekening!L$20:L$49))*Mijlpalenbegroting!$G138 -  SUM($K132:K132)</f>
        <v>0</v>
      </c>
      <c r="M132" s="501" cm="1">
        <f t="array" ref="M132">SUMPRODUCT(($C$20:$C$49=Mijlpalenbegroting!$B138) * (Exploitatieberekening!M$20:M$49))*Mijlpalenbegroting!$G138 -  SUM($K132:L132)</f>
        <v>0</v>
      </c>
      <c r="N132" s="501" cm="1">
        <f t="array" ref="N132">SUMPRODUCT(($C$20:$C$49=Mijlpalenbegroting!$B138) * (Exploitatieberekening!N$20:N$49))*Mijlpalenbegroting!$G138 -  SUM($K132:M132)</f>
        <v>0</v>
      </c>
      <c r="O132" s="501" cm="1">
        <f t="array" ref="O132">SUMPRODUCT(($C$20:$C$49=Mijlpalenbegroting!$B138) * (Exploitatieberekening!O$20:O$49))*Mijlpalenbegroting!$G138 -  SUM($K132:N132)</f>
        <v>0</v>
      </c>
      <c r="P132" s="501" cm="1">
        <f t="array" ref="P132">SUMPRODUCT(($C$20:$C$49=Mijlpalenbegroting!$B138) * (Exploitatieberekening!P$20:P$49))*Mijlpalenbegroting!$G138 -  SUM($K132:O132)</f>
        <v>0</v>
      </c>
      <c r="Q132" s="501" cm="1">
        <f t="array" ref="Q132">SUMPRODUCT(($C$20:$C$49=Mijlpalenbegroting!$B138) * (Exploitatieberekening!Q$20:Q$49))*Mijlpalenbegroting!$G138 -  SUM($K132:P132)</f>
        <v>0</v>
      </c>
      <c r="R132" s="501" cm="1">
        <f t="array" ref="R132">SUMPRODUCT(($C$20:$C$49=Mijlpalenbegroting!$B138) * (Exploitatieberekening!R$20:R$49))*Mijlpalenbegroting!$G138 -  SUM($K132:Q132)</f>
        <v>0</v>
      </c>
      <c r="S132" s="501" cm="1">
        <f t="array" ref="S132">SUMPRODUCT(($C$20:$C$49=Mijlpalenbegroting!$B138) * (Exploitatieberekening!S$20:S$49))*Mijlpalenbegroting!$G138 -  SUM($K132:R132)</f>
        <v>0</v>
      </c>
      <c r="T132" s="501"/>
      <c r="U132" s="501"/>
      <c r="V132" s="501"/>
      <c r="W132" s="501"/>
      <c r="X132" s="501"/>
      <c r="Y132" s="501"/>
      <c r="Z132" s="501"/>
      <c r="AA132" s="501"/>
      <c r="AB132" s="501"/>
      <c r="AC132" s="501"/>
      <c r="AD132" s="501"/>
      <c r="AE132" s="501"/>
      <c r="AF132" s="501"/>
      <c r="AG132" s="501"/>
      <c r="AH132" s="501"/>
      <c r="AI132" s="501"/>
      <c r="AJ132" s="501"/>
      <c r="AK132" s="501"/>
      <c r="AL132" s="501"/>
      <c r="AM132" s="501"/>
      <c r="AN132" s="501"/>
      <c r="AO132" s="501"/>
      <c r="AP132" s="501"/>
      <c r="AQ132" s="501"/>
      <c r="AR132" s="501"/>
      <c r="AS132" s="501"/>
      <c r="AT132" s="502"/>
      <c r="BN132" s="374"/>
      <c r="BO132" s="374"/>
      <c r="BP132" s="374"/>
      <c r="BQ132" s="374"/>
      <c r="BR132" s="374"/>
      <c r="BS132" s="374"/>
      <c r="BT132" s="374"/>
      <c r="BU132" s="374"/>
      <c r="BV132" s="374"/>
    </row>
    <row r="133" spans="1:74" s="373" customFormat="1" ht="15" hidden="1" customHeight="1" outlineLevel="1" x14ac:dyDescent="0.25">
      <c r="B133" s="500" t="s">
        <v>436</v>
      </c>
      <c r="C133" s="501"/>
      <c r="D133" s="501"/>
      <c r="E133" s="501"/>
      <c r="F133" s="501"/>
      <c r="G133" s="501"/>
      <c r="H133" s="501"/>
      <c r="I133" s="501"/>
      <c r="J133" s="501"/>
      <c r="K133" s="501"/>
      <c r="L133" s="501" cm="1">
        <f t="array" ref="L133">SUMPRODUCT(($C$20:$C$49=Mijlpalenbegroting!$B139) * (Exploitatieberekening!L$20:L$49))*Mijlpalenbegroting!$G139 -  SUM($K133:K133)</f>
        <v>0</v>
      </c>
      <c r="M133" s="501" cm="1">
        <f t="array" ref="M133">SUMPRODUCT(($C$20:$C$49=Mijlpalenbegroting!$B139) * (Exploitatieberekening!M$20:M$49))*Mijlpalenbegroting!$G139 -  SUM($K133:L133)</f>
        <v>0</v>
      </c>
      <c r="N133" s="501" cm="1">
        <f t="array" ref="N133">SUMPRODUCT(($C$20:$C$49=Mijlpalenbegroting!$B139) * (Exploitatieberekening!N$20:N$49))*Mijlpalenbegroting!$G139 -  SUM($K133:M133)</f>
        <v>0</v>
      </c>
      <c r="O133" s="501" cm="1">
        <f t="array" ref="O133">SUMPRODUCT(($C$20:$C$49=Mijlpalenbegroting!$B139) * (Exploitatieberekening!O$20:O$49))*Mijlpalenbegroting!$G139 -  SUM($K133:N133)</f>
        <v>0</v>
      </c>
      <c r="P133" s="501" cm="1">
        <f t="array" ref="P133">SUMPRODUCT(($C$20:$C$49=Mijlpalenbegroting!$B139) * (Exploitatieberekening!P$20:P$49))*Mijlpalenbegroting!$G139 -  SUM($K133:O133)</f>
        <v>0</v>
      </c>
      <c r="Q133" s="501" cm="1">
        <f t="array" ref="Q133">SUMPRODUCT(($C$20:$C$49=Mijlpalenbegroting!$B139) * (Exploitatieberekening!Q$20:Q$49))*Mijlpalenbegroting!$G139 -  SUM($K133:P133)</f>
        <v>0</v>
      </c>
      <c r="R133" s="501" cm="1">
        <f t="array" ref="R133">SUMPRODUCT(($C$20:$C$49=Mijlpalenbegroting!$B139) * (Exploitatieberekening!R$20:R$49))*Mijlpalenbegroting!$G139 -  SUM($K133:Q133)</f>
        <v>0</v>
      </c>
      <c r="S133" s="501" cm="1">
        <f t="array" ref="S133">SUMPRODUCT(($C$20:$C$49=Mijlpalenbegroting!$B139) * (Exploitatieberekening!S$20:S$49))*Mijlpalenbegroting!$G139 -  SUM($K133:R133)</f>
        <v>0</v>
      </c>
      <c r="T133" s="501"/>
      <c r="U133" s="501"/>
      <c r="V133" s="501"/>
      <c r="W133" s="501"/>
      <c r="X133" s="501"/>
      <c r="Y133" s="501"/>
      <c r="Z133" s="501"/>
      <c r="AA133" s="501"/>
      <c r="AB133" s="501"/>
      <c r="AC133" s="501"/>
      <c r="AD133" s="501"/>
      <c r="AE133" s="501"/>
      <c r="AF133" s="501"/>
      <c r="AG133" s="501"/>
      <c r="AH133" s="501"/>
      <c r="AI133" s="501"/>
      <c r="AJ133" s="501"/>
      <c r="AK133" s="501"/>
      <c r="AL133" s="501"/>
      <c r="AM133" s="501"/>
      <c r="AN133" s="501"/>
      <c r="AO133" s="501"/>
      <c r="AP133" s="501"/>
      <c r="AQ133" s="501"/>
      <c r="AR133" s="501"/>
      <c r="AS133" s="501"/>
      <c r="AT133" s="502"/>
      <c r="BN133" s="374"/>
      <c r="BO133" s="374"/>
      <c r="BP133" s="374"/>
      <c r="BQ133" s="374"/>
      <c r="BR133" s="374"/>
      <c r="BS133" s="374"/>
      <c r="BT133" s="374"/>
      <c r="BU133" s="374"/>
      <c r="BV133" s="374"/>
    </row>
    <row r="134" spans="1:74" s="283" customFormat="1" ht="15" customHeight="1" collapsed="1" x14ac:dyDescent="0.25">
      <c r="B134" s="503"/>
      <c r="AT134" s="300"/>
    </row>
    <row r="135" spans="1:74" s="283" customFormat="1" ht="15" customHeight="1" x14ac:dyDescent="0.25">
      <c r="B135" s="315" t="s">
        <v>437</v>
      </c>
      <c r="C135" s="316"/>
      <c r="D135" s="316"/>
      <c r="E135" s="316"/>
      <c r="F135" s="316"/>
      <c r="G135" s="316"/>
      <c r="H135" s="316"/>
      <c r="I135" s="316"/>
      <c r="J135" s="316"/>
      <c r="K135" s="316"/>
      <c r="L135" s="316">
        <f>0</f>
        <v>0</v>
      </c>
      <c r="M135" s="316">
        <f>0</f>
        <v>0</v>
      </c>
      <c r="N135" s="316">
        <f>0</f>
        <v>0</v>
      </c>
      <c r="O135" s="316">
        <f>0</f>
        <v>0</v>
      </c>
      <c r="P135" s="316">
        <f>0</f>
        <v>0</v>
      </c>
      <c r="Q135" s="316">
        <f>0</f>
        <v>0</v>
      </c>
      <c r="R135" s="316">
        <f>0</f>
        <v>0</v>
      </c>
      <c r="S135" s="316">
        <f>0</f>
        <v>0</v>
      </c>
      <c r="T135" s="316">
        <f>0</f>
        <v>0</v>
      </c>
      <c r="U135" s="316">
        <f>0</f>
        <v>0</v>
      </c>
      <c r="V135" s="316">
        <f>0</f>
        <v>0</v>
      </c>
      <c r="W135" s="316">
        <f>0</f>
        <v>0</v>
      </c>
      <c r="X135" s="316">
        <f>0</f>
        <v>0</v>
      </c>
      <c r="Y135" s="316">
        <f>0</f>
        <v>0</v>
      </c>
      <c r="Z135" s="316">
        <f>0</f>
        <v>0</v>
      </c>
      <c r="AA135" s="316">
        <f t="shared" ref="AA135:AT135" si="96">SUM(L122:L123,L131)*AA12</f>
        <v>0</v>
      </c>
      <c r="AB135" s="316">
        <f t="shared" si="96"/>
        <v>0</v>
      </c>
      <c r="AC135" s="316">
        <f t="shared" si="96"/>
        <v>0</v>
      </c>
      <c r="AD135" s="316">
        <f t="shared" si="96"/>
        <v>0</v>
      </c>
      <c r="AE135" s="316">
        <f t="shared" si="96"/>
        <v>0</v>
      </c>
      <c r="AF135" s="316">
        <f t="shared" si="96"/>
        <v>0</v>
      </c>
      <c r="AG135" s="316">
        <f t="shared" si="96"/>
        <v>0</v>
      </c>
      <c r="AH135" s="316">
        <f t="shared" si="96"/>
        <v>0</v>
      </c>
      <c r="AI135" s="316">
        <f t="shared" si="96"/>
        <v>0</v>
      </c>
      <c r="AJ135" s="316">
        <f t="shared" si="96"/>
        <v>0</v>
      </c>
      <c r="AK135" s="316">
        <f t="shared" si="96"/>
        <v>0</v>
      </c>
      <c r="AL135" s="316">
        <f t="shared" si="96"/>
        <v>0</v>
      </c>
      <c r="AM135" s="316">
        <f t="shared" si="96"/>
        <v>0</v>
      </c>
      <c r="AN135" s="316">
        <f t="shared" si="96"/>
        <v>0</v>
      </c>
      <c r="AO135" s="316">
        <f t="shared" si="96"/>
        <v>0</v>
      </c>
      <c r="AP135" s="316">
        <f t="shared" si="96"/>
        <v>0</v>
      </c>
      <c r="AQ135" s="316">
        <f t="shared" si="96"/>
        <v>0</v>
      </c>
      <c r="AR135" s="316">
        <f t="shared" si="96"/>
        <v>0</v>
      </c>
      <c r="AS135" s="316">
        <f t="shared" si="96"/>
        <v>0</v>
      </c>
      <c r="AT135" s="335">
        <f t="shared" si="96"/>
        <v>0</v>
      </c>
    </row>
    <row r="136" spans="1:74" s="283" customFormat="1" ht="15" customHeight="1" x14ac:dyDescent="0.25">
      <c r="B136" s="302"/>
      <c r="AT136" s="300"/>
    </row>
    <row r="137" spans="1:74" s="320" customFormat="1" ht="15" customHeight="1" x14ac:dyDescent="0.25">
      <c r="A137" s="317"/>
      <c r="B137" s="318" t="s">
        <v>438</v>
      </c>
      <c r="C137" s="319"/>
      <c r="D137" s="319"/>
      <c r="E137" s="319"/>
      <c r="F137" s="319"/>
      <c r="G137" s="319"/>
      <c r="H137" s="319"/>
      <c r="I137" s="319"/>
      <c r="J137" s="319"/>
      <c r="K137" s="319"/>
      <c r="L137" s="319">
        <f t="shared" ref="L137:AT137" si="97">SUM(L121,L130,L135)</f>
        <v>0</v>
      </c>
      <c r="M137" s="319">
        <f t="shared" si="97"/>
        <v>0</v>
      </c>
      <c r="N137" s="319">
        <f t="shared" si="97"/>
        <v>0</v>
      </c>
      <c r="O137" s="319">
        <f t="shared" si="97"/>
        <v>0</v>
      </c>
      <c r="P137" s="319">
        <f t="shared" si="97"/>
        <v>0</v>
      </c>
      <c r="Q137" s="319">
        <f t="shared" si="97"/>
        <v>0</v>
      </c>
      <c r="R137" s="319">
        <f t="shared" si="97"/>
        <v>0</v>
      </c>
      <c r="S137" s="319">
        <f t="shared" si="97"/>
        <v>0</v>
      </c>
      <c r="T137" s="319">
        <f t="shared" si="97"/>
        <v>0</v>
      </c>
      <c r="U137" s="319">
        <f t="shared" si="97"/>
        <v>0</v>
      </c>
      <c r="V137" s="319">
        <f t="shared" si="97"/>
        <v>0</v>
      </c>
      <c r="W137" s="319">
        <f t="shared" si="97"/>
        <v>0</v>
      </c>
      <c r="X137" s="319">
        <f t="shared" si="97"/>
        <v>0</v>
      </c>
      <c r="Y137" s="319">
        <f t="shared" si="97"/>
        <v>0</v>
      </c>
      <c r="Z137" s="319">
        <f t="shared" si="97"/>
        <v>0</v>
      </c>
      <c r="AA137" s="319">
        <f t="shared" si="97"/>
        <v>0</v>
      </c>
      <c r="AB137" s="319">
        <f t="shared" si="97"/>
        <v>0</v>
      </c>
      <c r="AC137" s="319">
        <f t="shared" si="97"/>
        <v>0</v>
      </c>
      <c r="AD137" s="319">
        <f t="shared" si="97"/>
        <v>0</v>
      </c>
      <c r="AE137" s="319">
        <f t="shared" si="97"/>
        <v>0</v>
      </c>
      <c r="AF137" s="319">
        <f t="shared" si="97"/>
        <v>0</v>
      </c>
      <c r="AG137" s="319">
        <f t="shared" si="97"/>
        <v>0</v>
      </c>
      <c r="AH137" s="319">
        <f t="shared" si="97"/>
        <v>0</v>
      </c>
      <c r="AI137" s="319">
        <f t="shared" si="97"/>
        <v>0</v>
      </c>
      <c r="AJ137" s="319">
        <f t="shared" si="97"/>
        <v>0</v>
      </c>
      <c r="AK137" s="319">
        <f t="shared" si="97"/>
        <v>0</v>
      </c>
      <c r="AL137" s="319">
        <f t="shared" si="97"/>
        <v>0</v>
      </c>
      <c r="AM137" s="319">
        <f t="shared" si="97"/>
        <v>0</v>
      </c>
      <c r="AN137" s="319">
        <f t="shared" si="97"/>
        <v>0</v>
      </c>
      <c r="AO137" s="319">
        <f t="shared" si="97"/>
        <v>0</v>
      </c>
      <c r="AP137" s="319">
        <f t="shared" si="97"/>
        <v>0</v>
      </c>
      <c r="AQ137" s="319">
        <f t="shared" si="97"/>
        <v>0</v>
      </c>
      <c r="AR137" s="319">
        <f t="shared" si="97"/>
        <v>0</v>
      </c>
      <c r="AS137" s="319">
        <f t="shared" si="97"/>
        <v>0</v>
      </c>
      <c r="AT137" s="424">
        <f t="shared" si="97"/>
        <v>0</v>
      </c>
      <c r="AU137" s="317"/>
      <c r="AV137" s="317"/>
      <c r="AW137" s="285"/>
      <c r="AX137" s="285"/>
      <c r="AY137" s="285"/>
      <c r="AZ137" s="285"/>
      <c r="BA137" s="285"/>
      <c r="BB137" s="285"/>
      <c r="BC137" s="285"/>
      <c r="BD137" s="285"/>
      <c r="BE137" s="285"/>
      <c r="BF137" s="285"/>
      <c r="BG137" s="285"/>
      <c r="BH137" s="285"/>
      <c r="BI137" s="285"/>
      <c r="BJ137" s="285"/>
      <c r="BK137" s="285"/>
      <c r="BL137" s="285"/>
      <c r="BM137" s="285"/>
      <c r="BN137" s="285"/>
      <c r="BO137" s="285"/>
      <c r="BP137" s="285"/>
      <c r="BQ137" s="285"/>
      <c r="BR137" s="285"/>
      <c r="BS137" s="285"/>
      <c r="BT137" s="285"/>
      <c r="BU137" s="285"/>
      <c r="BV137" s="285"/>
    </row>
    <row r="138" spans="1:74" s="320" customFormat="1" ht="15" customHeight="1" x14ac:dyDescent="0.25">
      <c r="A138" s="317"/>
      <c r="B138" s="378"/>
      <c r="C138" s="317"/>
      <c r="D138" s="317"/>
      <c r="E138" s="317"/>
      <c r="F138" s="317"/>
      <c r="G138" s="317"/>
      <c r="H138" s="317"/>
      <c r="I138" s="317"/>
      <c r="J138" s="317"/>
      <c r="K138" s="317"/>
      <c r="L138" s="317"/>
      <c r="M138" s="317"/>
      <c r="N138" s="317"/>
      <c r="O138" s="317"/>
      <c r="P138" s="317"/>
      <c r="Q138" s="317"/>
      <c r="R138" s="317"/>
      <c r="S138" s="317"/>
      <c r="T138" s="317"/>
      <c r="U138" s="317"/>
      <c r="V138" s="317"/>
      <c r="W138" s="317"/>
      <c r="X138" s="317"/>
      <c r="Y138" s="317"/>
      <c r="Z138" s="317"/>
      <c r="AA138" s="317"/>
      <c r="AB138" s="317"/>
      <c r="AC138" s="317"/>
      <c r="AD138" s="317"/>
      <c r="AE138" s="317"/>
      <c r="AF138" s="317"/>
      <c r="AG138" s="317"/>
      <c r="AH138" s="317"/>
      <c r="AI138" s="317"/>
      <c r="AJ138" s="317"/>
      <c r="AK138" s="317"/>
      <c r="AL138" s="317"/>
      <c r="AM138" s="317"/>
      <c r="AN138" s="317"/>
      <c r="AO138" s="317"/>
      <c r="AP138" s="317"/>
      <c r="AQ138" s="317"/>
      <c r="AR138" s="317"/>
      <c r="AS138" s="317"/>
      <c r="AT138" s="945"/>
      <c r="AU138" s="317"/>
      <c r="AV138" s="317"/>
      <c r="AW138" s="285"/>
      <c r="AX138" s="285"/>
      <c r="AY138" s="285"/>
      <c r="AZ138" s="285"/>
      <c r="BA138" s="285"/>
      <c r="BB138" s="285"/>
      <c r="BC138" s="285"/>
      <c r="BD138" s="285"/>
      <c r="BE138" s="285"/>
      <c r="BF138" s="285"/>
      <c r="BG138" s="285"/>
      <c r="BH138" s="285"/>
      <c r="BI138" s="285"/>
      <c r="BJ138" s="285"/>
      <c r="BK138" s="285"/>
      <c r="BL138" s="285"/>
      <c r="BM138" s="285"/>
      <c r="BN138" s="285"/>
      <c r="BO138" s="285"/>
      <c r="BP138" s="285"/>
      <c r="BQ138" s="285"/>
      <c r="BR138" s="285"/>
      <c r="BS138" s="285"/>
      <c r="BT138" s="285"/>
      <c r="BU138" s="285"/>
      <c r="BV138" s="285"/>
    </row>
    <row r="139" spans="1:74" s="320" customFormat="1" ht="15" hidden="1" customHeight="1" outlineLevel="1" x14ac:dyDescent="0.25">
      <c r="A139" s="317"/>
      <c r="B139" s="378" t="s">
        <v>439</v>
      </c>
      <c r="C139" s="317"/>
      <c r="D139" s="317"/>
      <c r="E139" s="317"/>
      <c r="F139" s="317"/>
      <c r="G139" s="317"/>
      <c r="H139" s="283" t="s">
        <v>440</v>
      </c>
      <c r="I139" s="317"/>
      <c r="J139" s="317"/>
      <c r="K139" s="317"/>
      <c r="L139" s="317"/>
      <c r="M139" s="317"/>
      <c r="N139" s="317"/>
      <c r="O139" s="317"/>
      <c r="P139" s="317"/>
      <c r="Q139" s="317"/>
      <c r="R139" s="317"/>
      <c r="S139" s="317"/>
      <c r="T139" s="317"/>
      <c r="U139" s="317"/>
      <c r="V139" s="317"/>
      <c r="W139" s="317"/>
      <c r="X139" s="317"/>
      <c r="Y139" s="317"/>
      <c r="Z139" s="317"/>
      <c r="AA139" s="317"/>
      <c r="AB139" s="317"/>
      <c r="AC139" s="317"/>
      <c r="AD139" s="317"/>
      <c r="AE139" s="317"/>
      <c r="AF139" s="317"/>
      <c r="AG139" s="317"/>
      <c r="AH139" s="317"/>
      <c r="AI139" s="317"/>
      <c r="AJ139" s="317"/>
      <c r="AK139" s="317"/>
      <c r="AL139" s="317"/>
      <c r="AM139" s="317"/>
      <c r="AN139" s="317"/>
      <c r="AO139" s="317"/>
      <c r="AP139" s="317"/>
      <c r="AQ139" s="317"/>
      <c r="AR139" s="317"/>
      <c r="AS139" s="317"/>
      <c r="AU139" s="317"/>
      <c r="AV139" s="317"/>
      <c r="AW139" s="285"/>
      <c r="AX139" s="285"/>
      <c r="AY139" s="285"/>
      <c r="AZ139" s="285"/>
      <c r="BA139" s="285"/>
      <c r="BB139" s="285"/>
      <c r="BC139" s="285"/>
      <c r="BD139" s="285"/>
      <c r="BE139" s="285"/>
      <c r="BF139" s="285"/>
      <c r="BG139" s="285"/>
      <c r="BH139" s="285"/>
      <c r="BI139" s="285"/>
      <c r="BJ139" s="285"/>
      <c r="BK139" s="285"/>
      <c r="BL139" s="285"/>
      <c r="BM139" s="285"/>
      <c r="BN139" s="285"/>
      <c r="BO139" s="285"/>
      <c r="BP139" s="285"/>
      <c r="BQ139" s="285"/>
      <c r="BR139" s="285"/>
      <c r="BS139" s="285"/>
      <c r="BT139" s="285"/>
      <c r="BU139" s="285"/>
      <c r="BV139" s="285"/>
    </row>
    <row r="140" spans="1:74" s="320" customFormat="1" ht="15" hidden="1" customHeight="1" outlineLevel="1" x14ac:dyDescent="0.25">
      <c r="A140" s="317"/>
      <c r="B140" s="315" t="s">
        <v>441</v>
      </c>
      <c r="C140" s="408"/>
      <c r="D140" s="408"/>
      <c r="E140" s="408"/>
      <c r="F140" s="408"/>
      <c r="G140" s="408"/>
      <c r="H140" s="408">
        <f>Afschr_hoog</f>
        <v>30</v>
      </c>
      <c r="I140" s="408"/>
      <c r="J140" s="408"/>
      <c r="K140" s="408"/>
      <c r="L140" s="408">
        <f t="shared" ref="L140:V140" si="98">L137-SUM(L122:L123,L131,L133)</f>
        <v>0</v>
      </c>
      <c r="M140" s="408">
        <f t="shared" si="98"/>
        <v>0</v>
      </c>
      <c r="N140" s="408">
        <f t="shared" si="98"/>
        <v>0</v>
      </c>
      <c r="O140" s="408">
        <f t="shared" si="98"/>
        <v>0</v>
      </c>
      <c r="P140" s="408">
        <f t="shared" si="98"/>
        <v>0</v>
      </c>
      <c r="Q140" s="408">
        <f t="shared" si="98"/>
        <v>0</v>
      </c>
      <c r="R140" s="408">
        <f t="shared" si="98"/>
        <v>0</v>
      </c>
      <c r="S140" s="408">
        <f t="shared" si="98"/>
        <v>0</v>
      </c>
      <c r="T140" s="408">
        <f t="shared" si="98"/>
        <v>0</v>
      </c>
      <c r="U140" s="408">
        <f t="shared" si="98"/>
        <v>0</v>
      </c>
      <c r="V140" s="408">
        <f t="shared" si="98"/>
        <v>0</v>
      </c>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300"/>
      <c r="AU140" s="317"/>
      <c r="AV140" s="317"/>
      <c r="AW140" s="285"/>
      <c r="AX140" s="285"/>
      <c r="AY140" s="285"/>
      <c r="AZ140" s="285"/>
      <c r="BA140" s="285"/>
      <c r="BB140" s="285"/>
      <c r="BC140" s="285"/>
      <c r="BD140" s="285"/>
      <c r="BE140" s="285"/>
      <c r="BF140" s="285"/>
      <c r="BG140" s="285"/>
      <c r="BH140" s="285"/>
      <c r="BI140" s="285"/>
      <c r="BJ140" s="285"/>
      <c r="BK140" s="285"/>
      <c r="BL140" s="285"/>
      <c r="BM140" s="285"/>
      <c r="BN140" s="285"/>
      <c r="BO140" s="285"/>
      <c r="BP140" s="285"/>
      <c r="BQ140" s="285"/>
      <c r="BR140" s="285"/>
      <c r="BS140" s="285"/>
      <c r="BT140" s="285"/>
      <c r="BU140" s="285"/>
      <c r="BV140" s="285"/>
    </row>
    <row r="141" spans="1:74" s="320" customFormat="1" ht="15" hidden="1" customHeight="1" outlineLevel="1" x14ac:dyDescent="0.25">
      <c r="A141" s="317"/>
      <c r="B141" s="315" t="s">
        <v>442</v>
      </c>
      <c r="C141" s="408"/>
      <c r="D141" s="408"/>
      <c r="E141" s="408"/>
      <c r="F141" s="408"/>
      <c r="G141" s="408"/>
      <c r="H141" s="408">
        <f>Afschr_hoog</f>
        <v>30</v>
      </c>
      <c r="I141" s="408"/>
      <c r="J141" s="408"/>
      <c r="K141" s="408"/>
      <c r="L141" s="408">
        <f t="shared" ref="L141:V141" si="99">L140-L169</f>
        <v>0</v>
      </c>
      <c r="M141" s="408">
        <f t="shared" si="99"/>
        <v>0</v>
      </c>
      <c r="N141" s="408">
        <f t="shared" si="99"/>
        <v>0</v>
      </c>
      <c r="O141" s="408">
        <f t="shared" si="99"/>
        <v>0</v>
      </c>
      <c r="P141" s="408">
        <f t="shared" si="99"/>
        <v>0</v>
      </c>
      <c r="Q141" s="408">
        <f t="shared" si="99"/>
        <v>0</v>
      </c>
      <c r="R141" s="408">
        <f t="shared" si="99"/>
        <v>0</v>
      </c>
      <c r="S141" s="408">
        <f t="shared" si="99"/>
        <v>0</v>
      </c>
      <c r="T141" s="408">
        <f t="shared" si="99"/>
        <v>0</v>
      </c>
      <c r="U141" s="408">
        <f t="shared" si="99"/>
        <v>0</v>
      </c>
      <c r="V141" s="408">
        <f t="shared" si="99"/>
        <v>0</v>
      </c>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300"/>
      <c r="AU141" s="317"/>
      <c r="AV141" s="317"/>
      <c r="AW141" s="285"/>
      <c r="AX141" s="285"/>
      <c r="AY141" s="285"/>
      <c r="AZ141" s="285"/>
      <c r="BA141" s="285"/>
      <c r="BB141" s="285"/>
      <c r="BC141" s="285"/>
      <c r="BD141" s="285"/>
      <c r="BE141" s="285"/>
      <c r="BF141" s="285"/>
      <c r="BG141" s="285"/>
      <c r="BH141" s="285"/>
      <c r="BI141" s="285"/>
      <c r="BJ141" s="285"/>
      <c r="BK141" s="285"/>
      <c r="BL141" s="285"/>
      <c r="BM141" s="285"/>
      <c r="BN141" s="285"/>
      <c r="BO141" s="285"/>
      <c r="BP141" s="285"/>
      <c r="BQ141" s="285"/>
      <c r="BR141" s="285"/>
      <c r="BS141" s="285"/>
      <c r="BT141" s="285"/>
      <c r="BU141" s="285"/>
      <c r="BV141" s="285"/>
    </row>
    <row r="142" spans="1:74" s="320" customFormat="1" ht="15" hidden="1" customHeight="1" outlineLevel="1" x14ac:dyDescent="0.25">
      <c r="A142" s="317"/>
      <c r="B142" s="315" t="s">
        <v>443</v>
      </c>
      <c r="C142" s="408"/>
      <c r="D142" s="408"/>
      <c r="E142" s="408"/>
      <c r="F142" s="408"/>
      <c r="G142" s="408"/>
      <c r="H142" s="408">
        <f>Afschr_laag</f>
        <v>15</v>
      </c>
      <c r="I142" s="408"/>
      <c r="J142" s="408"/>
      <c r="K142" s="408"/>
      <c r="L142" s="408">
        <f t="shared" ref="L142:V142" si="100">SUM(L122:L123,L131)</f>
        <v>0</v>
      </c>
      <c r="M142" s="408">
        <f t="shared" si="100"/>
        <v>0</v>
      </c>
      <c r="N142" s="408">
        <f t="shared" si="100"/>
        <v>0</v>
      </c>
      <c r="O142" s="408">
        <f t="shared" si="100"/>
        <v>0</v>
      </c>
      <c r="P142" s="408">
        <f t="shared" si="100"/>
        <v>0</v>
      </c>
      <c r="Q142" s="408">
        <f t="shared" si="100"/>
        <v>0</v>
      </c>
      <c r="R142" s="408">
        <f t="shared" si="100"/>
        <v>0</v>
      </c>
      <c r="S142" s="408">
        <f t="shared" si="100"/>
        <v>0</v>
      </c>
      <c r="T142" s="408">
        <f t="shared" si="100"/>
        <v>0</v>
      </c>
      <c r="U142" s="408">
        <f t="shared" si="100"/>
        <v>0</v>
      </c>
      <c r="V142" s="408">
        <f t="shared" si="100"/>
        <v>0</v>
      </c>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283"/>
      <c r="AT142" s="300"/>
      <c r="AU142" s="317"/>
      <c r="AV142" s="317"/>
      <c r="AW142" s="285"/>
      <c r="AX142" s="285"/>
      <c r="AY142" s="285"/>
      <c r="AZ142" s="285"/>
      <c r="BA142" s="285"/>
      <c r="BB142" s="285"/>
      <c r="BC142" s="285"/>
      <c r="BD142" s="285"/>
      <c r="BE142" s="285"/>
      <c r="BF142" s="285"/>
      <c r="BG142" s="285"/>
      <c r="BH142" s="285"/>
      <c r="BI142" s="285"/>
      <c r="BJ142" s="285"/>
      <c r="BK142" s="285"/>
      <c r="BL142" s="285"/>
      <c r="BM142" s="285"/>
      <c r="BN142" s="285"/>
      <c r="BO142" s="285"/>
      <c r="BP142" s="285"/>
      <c r="BQ142" s="285"/>
      <c r="BR142" s="285"/>
      <c r="BS142" s="285"/>
      <c r="BT142" s="285"/>
      <c r="BU142" s="285"/>
      <c r="BV142" s="285"/>
    </row>
    <row r="143" spans="1:74" s="320" customFormat="1" ht="15" hidden="1" customHeight="1" outlineLevel="1" x14ac:dyDescent="0.25">
      <c r="A143" s="317"/>
      <c r="B143" s="315" t="s">
        <v>444</v>
      </c>
      <c r="C143" s="408"/>
      <c r="D143" s="408"/>
      <c r="E143" s="408"/>
      <c r="F143" s="408"/>
      <c r="G143" s="408"/>
      <c r="H143" s="408">
        <f>Afschr_laag</f>
        <v>15</v>
      </c>
      <c r="I143" s="408"/>
      <c r="J143" s="408"/>
      <c r="K143" s="408"/>
      <c r="L143" s="408">
        <f>L133</f>
        <v>0</v>
      </c>
      <c r="M143" s="408">
        <f t="shared" ref="M143:V143" si="101">M133</f>
        <v>0</v>
      </c>
      <c r="N143" s="408">
        <f t="shared" si="101"/>
        <v>0</v>
      </c>
      <c r="O143" s="408">
        <f t="shared" si="101"/>
        <v>0</v>
      </c>
      <c r="P143" s="408">
        <f t="shared" si="101"/>
        <v>0</v>
      </c>
      <c r="Q143" s="408">
        <f t="shared" si="101"/>
        <v>0</v>
      </c>
      <c r="R143" s="408">
        <f t="shared" si="101"/>
        <v>0</v>
      </c>
      <c r="S143" s="408">
        <f t="shared" si="101"/>
        <v>0</v>
      </c>
      <c r="T143" s="408">
        <f t="shared" si="101"/>
        <v>0</v>
      </c>
      <c r="U143" s="408">
        <f t="shared" si="101"/>
        <v>0</v>
      </c>
      <c r="V143" s="408">
        <f t="shared" si="101"/>
        <v>0</v>
      </c>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283"/>
      <c r="AT143" s="300"/>
      <c r="AU143" s="317"/>
      <c r="AV143" s="317"/>
      <c r="AW143" s="285"/>
      <c r="AX143" s="285"/>
      <c r="AY143" s="285"/>
      <c r="AZ143" s="285"/>
      <c r="BA143" s="285"/>
      <c r="BB143" s="285"/>
      <c r="BC143" s="285"/>
      <c r="BD143" s="285"/>
      <c r="BE143" s="285"/>
      <c r="BF143" s="285"/>
      <c r="BG143" s="285"/>
      <c r="BH143" s="285"/>
      <c r="BI143" s="285"/>
      <c r="BJ143" s="285"/>
      <c r="BK143" s="285"/>
      <c r="BL143" s="285"/>
      <c r="BM143" s="285"/>
      <c r="BN143" s="285"/>
      <c r="BO143" s="285"/>
      <c r="BP143" s="285"/>
      <c r="BQ143" s="285"/>
      <c r="BR143" s="285"/>
      <c r="BS143" s="285"/>
      <c r="BT143" s="285"/>
      <c r="BU143" s="285"/>
      <c r="BV143" s="285"/>
    </row>
    <row r="144" spans="1:74" s="320" customFormat="1" ht="15" hidden="1" customHeight="1" outlineLevel="1" x14ac:dyDescent="0.25">
      <c r="A144" s="317"/>
      <c r="B144" s="378"/>
      <c r="C144" s="317"/>
      <c r="D144" s="317"/>
      <c r="E144" s="317"/>
      <c r="F144" s="317"/>
      <c r="G144" s="317"/>
      <c r="H144" s="317"/>
      <c r="I144" s="317"/>
      <c r="J144" s="317"/>
      <c r="K144" s="317"/>
      <c r="L144" s="317"/>
      <c r="M144" s="317"/>
      <c r="N144" s="317"/>
      <c r="O144" s="317"/>
      <c r="P144" s="317"/>
      <c r="Q144" s="317"/>
      <c r="R144" s="317"/>
      <c r="S144" s="317"/>
      <c r="T144" s="317"/>
      <c r="U144" s="317"/>
      <c r="V144" s="317"/>
      <c r="W144" s="317"/>
      <c r="X144" s="317"/>
      <c r="Y144" s="317"/>
      <c r="Z144" s="317"/>
      <c r="AA144" s="317"/>
      <c r="AB144" s="317"/>
      <c r="AC144" s="317"/>
      <c r="AD144" s="317"/>
      <c r="AE144" s="317"/>
      <c r="AF144" s="317"/>
      <c r="AG144" s="317"/>
      <c r="AH144" s="317"/>
      <c r="AI144" s="317"/>
      <c r="AJ144" s="317"/>
      <c r="AK144" s="317"/>
      <c r="AL144" s="317"/>
      <c r="AM144" s="317"/>
      <c r="AN144" s="317"/>
      <c r="AO144" s="317"/>
      <c r="AP144" s="317"/>
      <c r="AQ144" s="317"/>
      <c r="AR144" s="317"/>
      <c r="AS144" s="317"/>
      <c r="AU144" s="317"/>
      <c r="AV144" s="317"/>
      <c r="AW144" s="285"/>
      <c r="AX144" s="285"/>
      <c r="AY144" s="285"/>
      <c r="AZ144" s="285"/>
      <c r="BA144" s="285"/>
      <c r="BB144" s="285"/>
      <c r="BC144" s="285"/>
      <c r="BD144" s="285"/>
      <c r="BE144" s="285"/>
      <c r="BF144" s="285"/>
      <c r="BG144" s="285"/>
      <c r="BH144" s="285"/>
      <c r="BI144" s="285"/>
      <c r="BJ144" s="285"/>
      <c r="BK144" s="285"/>
      <c r="BL144" s="285"/>
      <c r="BM144" s="285"/>
      <c r="BN144" s="285"/>
      <c r="BO144" s="285"/>
      <c r="BP144" s="285"/>
      <c r="BQ144" s="285"/>
      <c r="BR144" s="285"/>
      <c r="BS144" s="285"/>
      <c r="BT144" s="285"/>
      <c r="BU144" s="285"/>
      <c r="BV144" s="285"/>
    </row>
    <row r="145" spans="1:74" s="320" customFormat="1" ht="15" hidden="1" customHeight="1" outlineLevel="1" x14ac:dyDescent="0.25">
      <c r="A145" s="317"/>
      <c r="B145" s="315" t="s">
        <v>445</v>
      </c>
      <c r="C145" s="316"/>
      <c r="D145" s="316"/>
      <c r="E145" s="316"/>
      <c r="F145" s="316"/>
      <c r="G145" s="316"/>
      <c r="H145" s="316"/>
      <c r="I145" s="316"/>
      <c r="J145" s="316"/>
      <c r="K145" s="316"/>
      <c r="L145" s="316">
        <f>IFERROR( IF(L$9&lt;=$H142,0,(L$12-1)*INDEX($L142:$V142,,(L$9-$H142))), 0)</f>
        <v>0</v>
      </c>
      <c r="M145" s="316">
        <f t="shared" ref="M145:AT145" si="102">IFERROR( IF(M$9&lt;=$H142,0,(M$12-1)*INDEX($L142:$V142,,(M$9-$H142))), 0)</f>
        <v>0</v>
      </c>
      <c r="N145" s="316">
        <f t="shared" si="102"/>
        <v>0</v>
      </c>
      <c r="O145" s="316">
        <f t="shared" si="102"/>
        <v>0</v>
      </c>
      <c r="P145" s="316">
        <f t="shared" si="102"/>
        <v>0</v>
      </c>
      <c r="Q145" s="316">
        <f t="shared" si="102"/>
        <v>0</v>
      </c>
      <c r="R145" s="316">
        <f t="shared" si="102"/>
        <v>0</v>
      </c>
      <c r="S145" s="316">
        <f t="shared" si="102"/>
        <v>0</v>
      </c>
      <c r="T145" s="316">
        <f t="shared" si="102"/>
        <v>0</v>
      </c>
      <c r="U145" s="316">
        <f t="shared" si="102"/>
        <v>0</v>
      </c>
      <c r="V145" s="316">
        <f t="shared" si="102"/>
        <v>0</v>
      </c>
      <c r="W145" s="316">
        <f t="shared" si="102"/>
        <v>0</v>
      </c>
      <c r="X145" s="316">
        <f t="shared" si="102"/>
        <v>0</v>
      </c>
      <c r="Y145" s="316">
        <f t="shared" si="102"/>
        <v>0</v>
      </c>
      <c r="Z145" s="316">
        <f t="shared" si="102"/>
        <v>0</v>
      </c>
      <c r="AA145" s="316">
        <f t="shared" si="102"/>
        <v>0</v>
      </c>
      <c r="AB145" s="316">
        <f t="shared" si="102"/>
        <v>0</v>
      </c>
      <c r="AC145" s="316">
        <f t="shared" si="102"/>
        <v>0</v>
      </c>
      <c r="AD145" s="316">
        <f t="shared" si="102"/>
        <v>0</v>
      </c>
      <c r="AE145" s="316">
        <f t="shared" si="102"/>
        <v>0</v>
      </c>
      <c r="AF145" s="316">
        <f t="shared" si="102"/>
        <v>0</v>
      </c>
      <c r="AG145" s="316">
        <f t="shared" si="102"/>
        <v>0</v>
      </c>
      <c r="AH145" s="316">
        <f t="shared" si="102"/>
        <v>0</v>
      </c>
      <c r="AI145" s="316">
        <f t="shared" si="102"/>
        <v>0</v>
      </c>
      <c r="AJ145" s="316">
        <f t="shared" si="102"/>
        <v>0</v>
      </c>
      <c r="AK145" s="316">
        <f t="shared" si="102"/>
        <v>0</v>
      </c>
      <c r="AL145" s="316">
        <f t="shared" si="102"/>
        <v>0</v>
      </c>
      <c r="AM145" s="316">
        <f t="shared" si="102"/>
        <v>0</v>
      </c>
      <c r="AN145" s="316">
        <f t="shared" si="102"/>
        <v>0</v>
      </c>
      <c r="AO145" s="316">
        <f t="shared" si="102"/>
        <v>0</v>
      </c>
      <c r="AP145" s="316">
        <f t="shared" si="102"/>
        <v>0</v>
      </c>
      <c r="AQ145" s="316">
        <f t="shared" si="102"/>
        <v>0</v>
      </c>
      <c r="AR145" s="316">
        <f t="shared" si="102"/>
        <v>0</v>
      </c>
      <c r="AS145" s="316">
        <f t="shared" si="102"/>
        <v>0</v>
      </c>
      <c r="AT145" s="335">
        <f t="shared" si="102"/>
        <v>0</v>
      </c>
      <c r="AU145" s="317"/>
      <c r="AV145" s="317"/>
      <c r="AW145" s="285"/>
      <c r="AX145" s="285"/>
      <c r="AY145" s="285"/>
      <c r="AZ145" s="285"/>
      <c r="BA145" s="285"/>
      <c r="BB145" s="285"/>
      <c r="BC145" s="285"/>
      <c r="BD145" s="285"/>
      <c r="BE145" s="285"/>
      <c r="BF145" s="285"/>
      <c r="BG145" s="285"/>
      <c r="BH145" s="285"/>
      <c r="BI145" s="285"/>
      <c r="BJ145" s="285"/>
      <c r="BK145" s="285"/>
      <c r="BL145" s="285"/>
      <c r="BM145" s="285"/>
      <c r="BN145" s="285"/>
      <c r="BO145" s="285"/>
      <c r="BP145" s="285"/>
      <c r="BQ145" s="285"/>
      <c r="BR145" s="285"/>
      <c r="BS145" s="285"/>
      <c r="BT145" s="285"/>
      <c r="BU145" s="285"/>
      <c r="BV145" s="285"/>
    </row>
    <row r="146" spans="1:74" s="320" customFormat="1" ht="15" hidden="1" customHeight="1" outlineLevel="1" x14ac:dyDescent="0.25">
      <c r="A146" s="317"/>
      <c r="B146" s="315" t="s">
        <v>446</v>
      </c>
      <c r="C146" s="316"/>
      <c r="D146" s="316"/>
      <c r="E146" s="316"/>
      <c r="F146" s="316"/>
      <c r="G146" s="316"/>
      <c r="H146" s="316"/>
      <c r="I146" s="316"/>
      <c r="J146" s="316"/>
      <c r="K146" s="316"/>
      <c r="L146" s="316">
        <f>IFERROR( IF(L$9&lt;=$H143,0,-INDEX($L143:$V143,,(L$9-$H143))), 0)</f>
        <v>0</v>
      </c>
      <c r="M146" s="316">
        <f t="shared" ref="M146:AT146" si="103">IFERROR( IF(M$9&lt;=$H143,0,-INDEX($L143:$V143,,(M$9-$H143))), 0)</f>
        <v>0</v>
      </c>
      <c r="N146" s="316">
        <f t="shared" si="103"/>
        <v>0</v>
      </c>
      <c r="O146" s="316">
        <f t="shared" si="103"/>
        <v>0</v>
      </c>
      <c r="P146" s="316">
        <f t="shared" si="103"/>
        <v>0</v>
      </c>
      <c r="Q146" s="316">
        <f t="shared" si="103"/>
        <v>0</v>
      </c>
      <c r="R146" s="316">
        <f t="shared" si="103"/>
        <v>0</v>
      </c>
      <c r="S146" s="316">
        <f t="shared" si="103"/>
        <v>0</v>
      </c>
      <c r="T146" s="316">
        <f t="shared" si="103"/>
        <v>0</v>
      </c>
      <c r="U146" s="316">
        <f t="shared" si="103"/>
        <v>0</v>
      </c>
      <c r="V146" s="316">
        <f t="shared" si="103"/>
        <v>0</v>
      </c>
      <c r="W146" s="316">
        <f t="shared" si="103"/>
        <v>0</v>
      </c>
      <c r="X146" s="316">
        <f t="shared" si="103"/>
        <v>0</v>
      </c>
      <c r="Y146" s="316">
        <f t="shared" si="103"/>
        <v>0</v>
      </c>
      <c r="Z146" s="316">
        <f t="shared" si="103"/>
        <v>0</v>
      </c>
      <c r="AA146" s="316">
        <f t="shared" si="103"/>
        <v>0</v>
      </c>
      <c r="AB146" s="316">
        <f t="shared" si="103"/>
        <v>0</v>
      </c>
      <c r="AC146" s="316">
        <f>IFERROR( IF(AC$9&lt;=$H143,0,-INDEX($L143:$V143,,(AC$9-$H143))), 0)</f>
        <v>0</v>
      </c>
      <c r="AD146" s="316">
        <f t="shared" si="103"/>
        <v>0</v>
      </c>
      <c r="AE146" s="316">
        <f t="shared" si="103"/>
        <v>0</v>
      </c>
      <c r="AF146" s="316">
        <f t="shared" si="103"/>
        <v>0</v>
      </c>
      <c r="AG146" s="316">
        <f t="shared" si="103"/>
        <v>0</v>
      </c>
      <c r="AH146" s="316">
        <f t="shared" si="103"/>
        <v>0</v>
      </c>
      <c r="AI146" s="316">
        <f t="shared" si="103"/>
        <v>0</v>
      </c>
      <c r="AJ146" s="316">
        <f t="shared" si="103"/>
        <v>0</v>
      </c>
      <c r="AK146" s="316">
        <f t="shared" si="103"/>
        <v>0</v>
      </c>
      <c r="AL146" s="316">
        <f t="shared" si="103"/>
        <v>0</v>
      </c>
      <c r="AM146" s="316">
        <f t="shared" si="103"/>
        <v>0</v>
      </c>
      <c r="AN146" s="316">
        <f t="shared" si="103"/>
        <v>0</v>
      </c>
      <c r="AO146" s="316">
        <f t="shared" si="103"/>
        <v>0</v>
      </c>
      <c r="AP146" s="316">
        <f t="shared" si="103"/>
        <v>0</v>
      </c>
      <c r="AQ146" s="316">
        <f t="shared" si="103"/>
        <v>0</v>
      </c>
      <c r="AR146" s="316">
        <f t="shared" si="103"/>
        <v>0</v>
      </c>
      <c r="AS146" s="316">
        <f t="shared" si="103"/>
        <v>0</v>
      </c>
      <c r="AT146" s="335">
        <f t="shared" si="103"/>
        <v>0</v>
      </c>
      <c r="AU146" s="317"/>
      <c r="AV146" s="317"/>
      <c r="AW146" s="285"/>
      <c r="AX146" s="285"/>
      <c r="AY146" s="285"/>
      <c r="AZ146" s="285"/>
      <c r="BA146" s="285"/>
      <c r="BB146" s="285"/>
      <c r="BC146" s="285"/>
      <c r="BD146" s="285"/>
      <c r="BE146" s="285"/>
      <c r="BF146" s="285"/>
      <c r="BG146" s="285"/>
      <c r="BH146" s="285"/>
      <c r="BI146" s="285"/>
      <c r="BJ146" s="285"/>
      <c r="BK146" s="285"/>
      <c r="BL146" s="285"/>
      <c r="BM146" s="285"/>
      <c r="BN146" s="285"/>
      <c r="BO146" s="285"/>
      <c r="BP146" s="285"/>
      <c r="BQ146" s="285"/>
      <c r="BR146" s="285"/>
      <c r="BS146" s="285"/>
      <c r="BT146" s="285"/>
      <c r="BU146" s="285"/>
      <c r="BV146" s="285"/>
    </row>
    <row r="147" spans="1:74" s="320" customFormat="1" ht="15" hidden="1" customHeight="1" outlineLevel="1" x14ac:dyDescent="0.25">
      <c r="A147" s="317"/>
      <c r="B147" s="390"/>
      <c r="C147" s="317"/>
      <c r="D147" s="317"/>
      <c r="E147" s="317"/>
      <c r="F147" s="317"/>
      <c r="G147" s="283"/>
      <c r="H147" s="317"/>
      <c r="I147" s="317"/>
      <c r="J147" s="317"/>
      <c r="K147" s="317"/>
      <c r="L147" s="393"/>
      <c r="M147" s="283"/>
      <c r="N147" s="283"/>
      <c r="O147" s="283"/>
      <c r="P147" s="283"/>
      <c r="Q147" s="283"/>
      <c r="R147" s="283"/>
      <c r="S147" s="283"/>
      <c r="T147" s="283"/>
      <c r="U147" s="283"/>
      <c r="V147" s="283"/>
      <c r="W147" s="283"/>
      <c r="X147" s="283"/>
      <c r="Y147" s="283"/>
      <c r="Z147" s="283"/>
      <c r="AA147" s="283"/>
      <c r="AB147" s="283"/>
      <c r="AC147" s="283"/>
      <c r="AD147" s="283"/>
      <c r="AE147" s="283"/>
      <c r="AF147" s="283"/>
      <c r="AG147" s="283"/>
      <c r="AH147" s="283"/>
      <c r="AI147" s="283"/>
      <c r="AJ147" s="317"/>
      <c r="AK147" s="317"/>
      <c r="AL147" s="317"/>
      <c r="AM147" s="317"/>
      <c r="AN147" s="317"/>
      <c r="AO147" s="317"/>
      <c r="AP147" s="317"/>
      <c r="AQ147" s="317"/>
      <c r="AR147" s="317"/>
      <c r="AS147" s="317"/>
      <c r="AU147" s="317"/>
      <c r="AV147" s="317"/>
      <c r="AW147" s="285"/>
      <c r="AX147" s="285"/>
      <c r="AY147" s="285"/>
      <c r="AZ147" s="285"/>
      <c r="BA147" s="285"/>
      <c r="BB147" s="285"/>
      <c r="BC147" s="285"/>
      <c r="BD147" s="285"/>
      <c r="BE147" s="285"/>
      <c r="BF147" s="285"/>
      <c r="BG147" s="285"/>
      <c r="BH147" s="285"/>
      <c r="BI147" s="285"/>
      <c r="BJ147" s="285"/>
      <c r="BK147" s="285"/>
      <c r="BL147" s="285"/>
      <c r="BM147" s="285"/>
      <c r="BN147" s="285"/>
      <c r="BO147" s="285"/>
      <c r="BP147" s="285"/>
      <c r="BQ147" s="285"/>
      <c r="BR147" s="285"/>
      <c r="BS147" s="285"/>
      <c r="BT147" s="285"/>
      <c r="BU147" s="285"/>
      <c r="BV147" s="285"/>
    </row>
    <row r="148" spans="1:74" s="320" customFormat="1" ht="15" hidden="1" customHeight="1" outlineLevel="1" x14ac:dyDescent="0.25">
      <c r="A148" s="317"/>
      <c r="B148" s="315" t="s">
        <v>447</v>
      </c>
      <c r="C148" s="316"/>
      <c r="D148" s="316"/>
      <c r="E148" s="316"/>
      <c r="F148" s="316"/>
      <c r="G148" s="316"/>
      <c r="H148" s="316"/>
      <c r="I148" s="316"/>
      <c r="J148" s="316"/>
      <c r="K148" s="316"/>
      <c r="L148" s="316">
        <f>IFERROR( SUM($K$141:K141)/$H$141,0) * L10</f>
        <v>0</v>
      </c>
      <c r="M148" s="316">
        <f>IFERROR( SUM($K$141:L141)/$H$141,0) * M10</f>
        <v>0</v>
      </c>
      <c r="N148" s="316">
        <f>IFERROR( SUM($K$141:M141)/$H$141,0) * N10</f>
        <v>0</v>
      </c>
      <c r="O148" s="316">
        <f>IFERROR( SUM($K$141:N141)/$H$141,0) * O10</f>
        <v>0</v>
      </c>
      <c r="P148" s="316">
        <f>IFERROR( SUM($K$141:O141)/$H$141,0) * P10</f>
        <v>0</v>
      </c>
      <c r="Q148" s="316">
        <f>IFERROR( SUM($K$141:P141)/$H$141,0) * Q10</f>
        <v>0</v>
      </c>
      <c r="R148" s="316">
        <f>IFERROR( SUM($K$141:Q141)/$H$141,0) * R10</f>
        <v>0</v>
      </c>
      <c r="S148" s="316">
        <f>IFERROR( SUM($K$141:R141)/$H$141,0) * S10</f>
        <v>0</v>
      </c>
      <c r="T148" s="316">
        <f>IFERROR( SUM($K$141:S141)/$H$141,0) * T10</f>
        <v>0</v>
      </c>
      <c r="U148" s="316">
        <f>IFERROR( SUM($K$141:T141)/$H$141,0) * U10</f>
        <v>0</v>
      </c>
      <c r="V148" s="316">
        <f>IFERROR( SUM($K$141:U141)/$H$141,0) * V10</f>
        <v>0</v>
      </c>
      <c r="W148" s="316">
        <f>IFERROR( SUM($K$141:V141)/$H$141,0) * W10</f>
        <v>0</v>
      </c>
      <c r="X148" s="316">
        <f>IFERROR( SUM($K$141:W141)/$H$141,0) * X10</f>
        <v>0</v>
      </c>
      <c r="Y148" s="316">
        <f>IFERROR( SUM($K$141:X141)/$H$141,0) * Y10</f>
        <v>0</v>
      </c>
      <c r="Z148" s="316">
        <f>IFERROR( SUM($K$141:Y141)/$H$141,0) * Z10</f>
        <v>0</v>
      </c>
      <c r="AA148" s="316">
        <f>IFERROR( SUM($K$141:Z141)/$H$141,0) * AA10</f>
        <v>0</v>
      </c>
      <c r="AB148" s="316">
        <f>IFERROR( SUM($K$141:AA141)/$H$141,0) * AB10</f>
        <v>0</v>
      </c>
      <c r="AC148" s="316">
        <f>IFERROR( SUM($K$141:AB141)/$H$141,0) * AC10</f>
        <v>0</v>
      </c>
      <c r="AD148" s="316">
        <f>IFERROR( SUM($K$141:AC141)/$H$141,0) * AD10</f>
        <v>0</v>
      </c>
      <c r="AE148" s="316">
        <f>IFERROR( SUM($K$141:AD141)/$H$141,0) * AE10</f>
        <v>0</v>
      </c>
      <c r="AF148" s="316">
        <f>IFERROR( SUM($K$141:AE141)/$H$141,0) * AF10</f>
        <v>0</v>
      </c>
      <c r="AG148" s="316">
        <f>IFERROR( SUM($K$141:AF141)/$H$141,0) * AG10</f>
        <v>0</v>
      </c>
      <c r="AH148" s="316">
        <f>IFERROR( SUM($K$141:AG141)/$H$141,0) * AH10</f>
        <v>0</v>
      </c>
      <c r="AI148" s="316">
        <f>IFERROR( SUM($K$141:AH141)/$H$141,0) * AI10</f>
        <v>0</v>
      </c>
      <c r="AJ148" s="316">
        <f>IFERROR( SUM($K$141:AI141)/$H$141,0) * AJ10</f>
        <v>0</v>
      </c>
      <c r="AK148" s="316">
        <f>IFERROR( SUM($K$141:AJ141)/$H$141,0) * AK10</f>
        <v>0</v>
      </c>
      <c r="AL148" s="316">
        <f>IFERROR( SUM($K$141:AK141)/$H$141,0) * AL10</f>
        <v>0</v>
      </c>
      <c r="AM148" s="316">
        <f>IFERROR( SUM($K$141:AL141)/$H$141,0) * AM10</f>
        <v>0</v>
      </c>
      <c r="AN148" s="316">
        <f>IFERROR( SUM($K$141:AM141)/$H$141,0) * AN10</f>
        <v>0</v>
      </c>
      <c r="AO148" s="316">
        <f>IFERROR( SUM($K$141:AN141)/$H$141,0) * AO10</f>
        <v>0</v>
      </c>
      <c r="AP148" s="316">
        <f>IFERROR( SUM($K$141:AO141)/$H$141,0) * AP10</f>
        <v>0</v>
      </c>
      <c r="AQ148" s="316">
        <f>IFERROR( SUM($K$141:AP141)/$H$141,0) * AQ10</f>
        <v>0</v>
      </c>
      <c r="AR148" s="316">
        <f>IFERROR( SUM($K$141:AQ141)/$H$141,0) * AR10</f>
        <v>0</v>
      </c>
      <c r="AS148" s="316">
        <f>IFERROR( SUM($K$141:AR141)/$H$141,0) * AS10</f>
        <v>0</v>
      </c>
      <c r="AT148" s="335">
        <f>IFERROR( SUM($K$141:AS141)/$H$141,0) * AT10</f>
        <v>0</v>
      </c>
      <c r="AU148" s="317"/>
      <c r="AV148" s="317"/>
      <c r="AW148" s="285"/>
      <c r="AX148" s="285"/>
      <c r="AY148" s="285"/>
      <c r="AZ148" s="285"/>
      <c r="BA148" s="285"/>
      <c r="BB148" s="285"/>
      <c r="BC148" s="285"/>
      <c r="BD148" s="285"/>
      <c r="BE148" s="285"/>
      <c r="BF148" s="285"/>
      <c r="BG148" s="285"/>
      <c r="BH148" s="285"/>
      <c r="BI148" s="285"/>
      <c r="BJ148" s="285"/>
      <c r="BK148" s="285"/>
      <c r="BL148" s="285"/>
      <c r="BM148" s="285"/>
      <c r="BN148" s="285"/>
      <c r="BO148" s="285"/>
      <c r="BP148" s="285"/>
      <c r="BQ148" s="285"/>
      <c r="BR148" s="285"/>
      <c r="BS148" s="285"/>
      <c r="BT148" s="285"/>
      <c r="BU148" s="285"/>
      <c r="BV148" s="285"/>
    </row>
    <row r="149" spans="1:74" s="320" customFormat="1" ht="15" hidden="1" customHeight="1" outlineLevel="1" x14ac:dyDescent="0.25">
      <c r="A149" s="317"/>
      <c r="B149" s="315" t="s">
        <v>448</v>
      </c>
      <c r="C149" s="316"/>
      <c r="D149" s="316"/>
      <c r="E149" s="316"/>
      <c r="F149" s="316"/>
      <c r="G149" s="316"/>
      <c r="H149" s="316"/>
      <c r="I149" s="316"/>
      <c r="J149" s="316"/>
      <c r="K149" s="316"/>
      <c r="L149" s="316">
        <f>IFERROR( (SUM($K$142:K142) + SUM($K$145:K145))/$H$142, 0) * L10</f>
        <v>0</v>
      </c>
      <c r="M149" s="316">
        <f>IFERROR( (SUM($K$142:L142) + SUM($K$145:L145))/$H$142, 0) * M10</f>
        <v>0</v>
      </c>
      <c r="N149" s="316">
        <f>IFERROR( (SUM($K$142:M142) + SUM($K$145:M145))/$H$142, 0) * N10</f>
        <v>0</v>
      </c>
      <c r="O149" s="316">
        <f>IFERROR( (SUM($K$142:N142) + SUM($K$145:N145))/$H$142, 0) * O10</f>
        <v>0</v>
      </c>
      <c r="P149" s="316">
        <f>IFERROR( (SUM($K$142:O142) + SUM($K$145:O145))/$H$142, 0) * P10</f>
        <v>0</v>
      </c>
      <c r="Q149" s="316">
        <f>IFERROR( (SUM($K$142:P142) + SUM($K$145:P145))/$H$142, 0) * Q10</f>
        <v>0</v>
      </c>
      <c r="R149" s="316">
        <f>IFERROR( (SUM($K$142:Q142) + SUM($K$145:Q145))/$H$142, 0) * R10</f>
        <v>0</v>
      </c>
      <c r="S149" s="316">
        <f>IFERROR( (SUM($K$142:R142) + SUM($K$145:R145))/$H$142, 0) * S10</f>
        <v>0</v>
      </c>
      <c r="T149" s="316">
        <f>IFERROR( (SUM($K$142:S142) + SUM($K$145:S145))/$H$142, 0) * T10</f>
        <v>0</v>
      </c>
      <c r="U149" s="316">
        <f>IFERROR( (SUM($K$142:T142) + SUM($K$145:T145))/$H$142, 0) * U10</f>
        <v>0</v>
      </c>
      <c r="V149" s="316">
        <f>IFERROR( (SUM($K$142:U142) + SUM($K$145:U145))/$H$142, 0) * V10</f>
        <v>0</v>
      </c>
      <c r="W149" s="316">
        <f>IFERROR( (SUM($K$142:V142) + SUM($K$145:V145))/$H$142, 0) * W10</f>
        <v>0</v>
      </c>
      <c r="X149" s="316">
        <f>IFERROR( (SUM($K$142:W142) + SUM($K$145:W145))/$H$142, 0) * X10</f>
        <v>0</v>
      </c>
      <c r="Y149" s="316">
        <f>IFERROR( (SUM($K$142:X142) + SUM($K$145:X145))/$H$142, 0) * Y10</f>
        <v>0</v>
      </c>
      <c r="Z149" s="316">
        <f>IFERROR( (SUM($K$142:Y142) + SUM($K$145:Y145))/$H$142, 0) * Z10</f>
        <v>0</v>
      </c>
      <c r="AA149" s="316">
        <f>IFERROR( (SUM($K$142:Z142) + SUM($K$145:Z145))/$H$142, 0) * AA10</f>
        <v>0</v>
      </c>
      <c r="AB149" s="316">
        <f>IFERROR( (SUM($K$142:AA142) + SUM($K$145:AA145))/$H$142, 0) * AB10</f>
        <v>0</v>
      </c>
      <c r="AC149" s="316">
        <f>IFERROR( (SUM($K$142:AB142) + SUM($K$145:AB145))/$H$142, 0) * AC10</f>
        <v>0</v>
      </c>
      <c r="AD149" s="316">
        <f>IFERROR( (SUM($K$142:AC142) + SUM($K$145:AC145))/$H$142, 0) * AD10</f>
        <v>0</v>
      </c>
      <c r="AE149" s="316">
        <f>IFERROR( (SUM($K$142:AD142) + SUM($K$145:AD145))/$H$142, 0) * AE10</f>
        <v>0</v>
      </c>
      <c r="AF149" s="316">
        <f>IFERROR( (SUM($K$142:AE142) + SUM($K$145:AE145))/$H$142, 0) * AF10</f>
        <v>0</v>
      </c>
      <c r="AG149" s="316">
        <f>IFERROR( (SUM($K$142:AF142) + SUM($K$145:AF145))/$H$142, 0) * AG10</f>
        <v>0</v>
      </c>
      <c r="AH149" s="316">
        <f>IFERROR( (SUM($K$142:AG142) + SUM($K$145:AG145))/$H$142, 0) * AH10</f>
        <v>0</v>
      </c>
      <c r="AI149" s="316">
        <f>IFERROR( (SUM($K$142:AH142) + SUM($K$145:AH145))/$H$142, 0) * AI10</f>
        <v>0</v>
      </c>
      <c r="AJ149" s="316">
        <f>IFERROR( (SUM($K$142:AI142) + SUM($K$145:AI145))/$H$142, 0) * AJ10</f>
        <v>0</v>
      </c>
      <c r="AK149" s="316">
        <f>IFERROR( (SUM($K$142:AJ142) + SUM($K$145:AJ145))/$H$142, 0) * AK10</f>
        <v>0</v>
      </c>
      <c r="AL149" s="316">
        <f>IFERROR( (SUM($K$142:AK142) + SUM($K$145:AK145))/$H$142, 0) * AL10</f>
        <v>0</v>
      </c>
      <c r="AM149" s="316">
        <f>IFERROR( (SUM($K$142:AL142) + SUM($K$145:AL145))/$H$142, 0) * AM10</f>
        <v>0</v>
      </c>
      <c r="AN149" s="316">
        <f>IFERROR( (SUM($K$142:AM142) + SUM($K$145:AM145))/$H$142, 0) * AN10</f>
        <v>0</v>
      </c>
      <c r="AO149" s="316">
        <f>IFERROR( (SUM($K$142:AN142) + SUM($K$145:AN145))/$H$142, 0) * AO10</f>
        <v>0</v>
      </c>
      <c r="AP149" s="316">
        <f>IFERROR( (SUM($K$142:AO142) + SUM($K$145:AO145))/$H$142, 0) * AP10</f>
        <v>0</v>
      </c>
      <c r="AQ149" s="316">
        <f>IFERROR( (SUM($K$142:AP142) + SUM($K$145:AP145))/$H$142, 0) * AQ10</f>
        <v>0</v>
      </c>
      <c r="AR149" s="316">
        <f>IFERROR( (SUM($K$142:AQ142) + SUM($K$145:AQ145))/$H$142, 0) * AR10</f>
        <v>0</v>
      </c>
      <c r="AS149" s="316">
        <f>IFERROR( (SUM($K$142:AR142) + SUM($K$145:AR145))/$H$142, 0) * AS10</f>
        <v>0</v>
      </c>
      <c r="AT149" s="335">
        <f>IFERROR( (SUM($K$142:AS142) + SUM($K$145:AS145))/$H$142, 0) * AT10</f>
        <v>0</v>
      </c>
      <c r="AU149" s="317"/>
      <c r="AV149" s="317"/>
      <c r="AW149" s="285"/>
      <c r="AX149" s="285"/>
      <c r="AY149" s="285"/>
      <c r="AZ149" s="285"/>
      <c r="BA149" s="285"/>
      <c r="BB149" s="285"/>
      <c r="BC149" s="285"/>
      <c r="BD149" s="285"/>
      <c r="BE149" s="285"/>
      <c r="BF149" s="285"/>
      <c r="BG149" s="285"/>
      <c r="BH149" s="285"/>
      <c r="BI149" s="285"/>
      <c r="BJ149" s="285"/>
      <c r="BK149" s="285"/>
      <c r="BL149" s="285"/>
      <c r="BM149" s="285"/>
      <c r="BN149" s="285"/>
      <c r="BO149" s="285"/>
      <c r="BP149" s="285"/>
      <c r="BQ149" s="285"/>
      <c r="BR149" s="285"/>
      <c r="BS149" s="285"/>
      <c r="BT149" s="285"/>
      <c r="BU149" s="285"/>
      <c r="BV149" s="285"/>
    </row>
    <row r="150" spans="1:74" s="320" customFormat="1" ht="15" hidden="1" customHeight="1" outlineLevel="1" x14ac:dyDescent="0.25">
      <c r="A150" s="317"/>
      <c r="B150" s="315" t="s">
        <v>449</v>
      </c>
      <c r="C150" s="316"/>
      <c r="D150" s="316"/>
      <c r="E150" s="316"/>
      <c r="F150" s="316"/>
      <c r="G150" s="316"/>
      <c r="H150" s="316"/>
      <c r="I150" s="316"/>
      <c r="J150" s="316"/>
      <c r="K150" s="316"/>
      <c r="L150" s="316">
        <f>IFERROR( ( SUM($K$143:K143) + SUM($K$146:K146) ) / $H$143, 0) * L10</f>
        <v>0</v>
      </c>
      <c r="M150" s="316">
        <f>IFERROR( ( SUM($K$143:L143) + SUM($K$146:L146) ) / $H$143, 0) * M10</f>
        <v>0</v>
      </c>
      <c r="N150" s="316">
        <f>IFERROR( ( SUM($K$143:M143) + SUM($K$146:M146) ) / $H$143, 0) * N10</f>
        <v>0</v>
      </c>
      <c r="O150" s="316">
        <f>IFERROR( ( SUM($K$143:N143) + SUM($K$146:N146) ) / $H$143, 0) * O10</f>
        <v>0</v>
      </c>
      <c r="P150" s="316">
        <f>IFERROR( ( SUM($K$143:O143) + SUM($K$146:O146) ) / $H$143, 0) * P10</f>
        <v>0</v>
      </c>
      <c r="Q150" s="316">
        <f>IFERROR( ( SUM($K$143:P143) + SUM($K$146:P146) ) / $H$143, 0) * Q10</f>
        <v>0</v>
      </c>
      <c r="R150" s="316">
        <f>IFERROR( ( SUM($K$143:Q143) + SUM($K$146:Q146) ) / $H$143, 0) * R10</f>
        <v>0</v>
      </c>
      <c r="S150" s="316">
        <f>IFERROR( ( SUM($K$143:R143) + SUM($K$146:R146) ) / $H$143, 0) * S10</f>
        <v>0</v>
      </c>
      <c r="T150" s="316">
        <f>IFERROR( ( SUM($K$143:S143) + SUM($K$146:S146) ) / $H$143, 0) * T10</f>
        <v>0</v>
      </c>
      <c r="U150" s="316">
        <f>IFERROR( ( SUM($K$143:T143) + SUM($K$146:T146) ) / $H$143, 0) * U10</f>
        <v>0</v>
      </c>
      <c r="V150" s="316">
        <f>IFERROR( ( SUM($K$143:U143) + SUM($K$146:U146) ) / $H$143, 0) * V10</f>
        <v>0</v>
      </c>
      <c r="W150" s="316">
        <f>IFERROR( ( SUM($K$143:V143) + SUM($K$146:V146) ) / $H$143, 0) * W10</f>
        <v>0</v>
      </c>
      <c r="X150" s="316">
        <f>IFERROR( ( SUM($K$143:W143) + SUM($K$146:W146) ) / $H$143, 0) * X10</f>
        <v>0</v>
      </c>
      <c r="Y150" s="316">
        <f>IFERROR( ( SUM($K$143:X143) + SUM($K$146:X146) ) / $H$143, 0) * Y10</f>
        <v>0</v>
      </c>
      <c r="Z150" s="316">
        <f>IFERROR( ( SUM($K$143:Y143) + SUM($K$146:Y146) ) / $H$143, 0) * Z10</f>
        <v>0</v>
      </c>
      <c r="AA150" s="316">
        <f>IFERROR( ( SUM($K$143:Z143) + SUM($K$146:Z146) ) / $H$143, 0) * AA10</f>
        <v>0</v>
      </c>
      <c r="AB150" s="316">
        <f>IFERROR( ( SUM($K$143:AA143) + SUM($K$146:AA146) ) / $H$143, 0) * AB10</f>
        <v>0</v>
      </c>
      <c r="AC150" s="316">
        <f>IFERROR( ( SUM($K$143:AB143) + SUM($K$146:AB146) ) / $H$143, 0) * AC10</f>
        <v>0</v>
      </c>
      <c r="AD150" s="316">
        <f>IFERROR( ( SUM($K$143:AC143) + SUM($K$146:AC146) ) / $H$143, 0) * AD10</f>
        <v>0</v>
      </c>
      <c r="AE150" s="316">
        <f>IFERROR( ( SUM($K$143:AD143) + SUM($K$146:AD146) ) / $H$143, 0) * AE10</f>
        <v>0</v>
      </c>
      <c r="AF150" s="316">
        <f>IFERROR( ( SUM($K$143:AE143) + SUM($K$146:AE146) ) / $H$143, 0) * AF10</f>
        <v>0</v>
      </c>
      <c r="AG150" s="316">
        <f>IFERROR( ( SUM($K$143:AF143) + SUM($K$146:AF146) ) / $H$143, 0) * AG10</f>
        <v>0</v>
      </c>
      <c r="AH150" s="316">
        <f>IFERROR( ( SUM($K$143:AG143) + SUM($K$146:AG146) ) / $H$143, 0) * AH10</f>
        <v>0</v>
      </c>
      <c r="AI150" s="316">
        <f>IFERROR( ( SUM($K$143:AH143) + SUM($K$146:AH146) ) / $H$143, 0) * AI10</f>
        <v>0</v>
      </c>
      <c r="AJ150" s="316">
        <f>IFERROR( ( SUM($K$143:AI143) + SUM($K$146:AI146) ) / $H$143, 0) * AJ10</f>
        <v>0</v>
      </c>
      <c r="AK150" s="316">
        <f>IFERROR( ( SUM($K$143:AJ143) + SUM($K$146:AJ146) ) / $H$143, 0) * AK10</f>
        <v>0</v>
      </c>
      <c r="AL150" s="316">
        <f>IFERROR( ( SUM($K$143:AK143) + SUM($K$146:AK146) ) / $H$143, 0) * AL10</f>
        <v>0</v>
      </c>
      <c r="AM150" s="316">
        <f>IFERROR( ( SUM($K$143:AL143) + SUM($K$146:AL146) ) / $H$143, 0) * AM10</f>
        <v>0</v>
      </c>
      <c r="AN150" s="316">
        <f>IFERROR( ( SUM($K$143:AM143) + SUM($K$146:AM146) ) / $H$143, 0) * AN10</f>
        <v>0</v>
      </c>
      <c r="AO150" s="316">
        <f>IFERROR( ( SUM($K$143:AN143) + SUM($K$146:AN146) ) / $H$143, 0) * AO10</f>
        <v>0</v>
      </c>
      <c r="AP150" s="316">
        <f>IFERROR( ( SUM($K$143:AO143) + SUM($K$146:AO146) ) / $H$143, 0) * AP10</f>
        <v>0</v>
      </c>
      <c r="AQ150" s="316">
        <f>IFERROR( ( SUM($K$143:AP143) + SUM($K$146:AP146) ) / $H$143, 0) * AQ10</f>
        <v>0</v>
      </c>
      <c r="AR150" s="316">
        <f>IFERROR( ( SUM($K$143:AQ143) + SUM($K$146:AQ146) ) / $H$143, 0) * AR10</f>
        <v>0</v>
      </c>
      <c r="AS150" s="316">
        <f>IFERROR( ( SUM($K$143:AR143) + SUM($K$146:AR146) ) / $H$143, 0) * AS10</f>
        <v>0</v>
      </c>
      <c r="AT150" s="335">
        <f>IFERROR( ( SUM($K$143:AS143) + SUM($K$146:AS146) ) / $H$143, 0) * AT10</f>
        <v>0</v>
      </c>
      <c r="AU150" s="317"/>
      <c r="AV150" s="317"/>
      <c r="AW150" s="285"/>
      <c r="AX150" s="285"/>
      <c r="AY150" s="285"/>
      <c r="AZ150" s="285"/>
      <c r="BA150" s="285"/>
      <c r="BB150" s="285"/>
      <c r="BC150" s="285"/>
      <c r="BD150" s="285"/>
      <c r="BE150" s="285"/>
      <c r="BF150" s="285"/>
      <c r="BG150" s="285"/>
      <c r="BH150" s="285"/>
      <c r="BI150" s="285"/>
      <c r="BJ150" s="285"/>
      <c r="BK150" s="285"/>
      <c r="BL150" s="285"/>
      <c r="BM150" s="285"/>
      <c r="BN150" s="285"/>
      <c r="BO150" s="285"/>
      <c r="BP150" s="285"/>
      <c r="BQ150" s="285"/>
      <c r="BR150" s="285"/>
      <c r="BS150" s="285"/>
      <c r="BT150" s="285"/>
      <c r="BU150" s="285"/>
      <c r="BV150" s="285"/>
    </row>
    <row r="151" spans="1:74" s="320" customFormat="1" ht="15" customHeight="1" collapsed="1" x14ac:dyDescent="0.25">
      <c r="A151" s="317"/>
      <c r="B151" s="394" t="s">
        <v>450</v>
      </c>
      <c r="C151" s="319"/>
      <c r="D151" s="319"/>
      <c r="E151" s="319"/>
      <c r="F151" s="319"/>
      <c r="G151" s="303"/>
      <c r="H151" s="319"/>
      <c r="I151" s="319"/>
      <c r="J151" s="319"/>
      <c r="K151" s="319"/>
      <c r="L151" s="319">
        <f>SUM(L148:L150)</f>
        <v>0</v>
      </c>
      <c r="M151" s="319">
        <f t="shared" ref="M151:P151" si="104">SUM(M148:M150)</f>
        <v>0</v>
      </c>
      <c r="N151" s="319">
        <f t="shared" si="104"/>
        <v>0</v>
      </c>
      <c r="O151" s="319">
        <f t="shared" si="104"/>
        <v>0</v>
      </c>
      <c r="P151" s="319">
        <f t="shared" si="104"/>
        <v>0</v>
      </c>
      <c r="Q151" s="319">
        <f t="shared" ref="Q151" si="105">SUM(Q148:Q150)</f>
        <v>0</v>
      </c>
      <c r="R151" s="319">
        <f t="shared" ref="R151" si="106">SUM(R148:R150)</f>
        <v>0</v>
      </c>
      <c r="S151" s="319">
        <f t="shared" ref="S151:T151" si="107">SUM(S148:S150)</f>
        <v>0</v>
      </c>
      <c r="T151" s="319">
        <f t="shared" si="107"/>
        <v>0</v>
      </c>
      <c r="U151" s="319">
        <f t="shared" ref="U151" si="108">SUM(U148:U150)</f>
        <v>0</v>
      </c>
      <c r="V151" s="319">
        <f t="shared" ref="V151" si="109">SUM(V148:V150)</f>
        <v>0</v>
      </c>
      <c r="W151" s="319">
        <f t="shared" ref="W151:X151" si="110">SUM(W148:W150)</f>
        <v>0</v>
      </c>
      <c r="X151" s="319">
        <f t="shared" si="110"/>
        <v>0</v>
      </c>
      <c r="Y151" s="319">
        <f t="shared" ref="Y151" si="111">SUM(Y148:Y150)</f>
        <v>0</v>
      </c>
      <c r="Z151" s="319">
        <f t="shared" ref="Z151" si="112">SUM(Z148:Z150)</f>
        <v>0</v>
      </c>
      <c r="AA151" s="319">
        <f t="shared" ref="AA151:AB151" si="113">SUM(AA148:AA150)</f>
        <v>0</v>
      </c>
      <c r="AB151" s="319">
        <f t="shared" si="113"/>
        <v>0</v>
      </c>
      <c r="AC151" s="319">
        <f t="shared" ref="AC151" si="114">SUM(AC148:AC150)</f>
        <v>0</v>
      </c>
      <c r="AD151" s="319">
        <f t="shared" ref="AD151" si="115">SUM(AD148:AD150)</f>
        <v>0</v>
      </c>
      <c r="AE151" s="319">
        <f t="shared" ref="AE151:AF151" si="116">SUM(AE148:AE150)</f>
        <v>0</v>
      </c>
      <c r="AF151" s="319">
        <f t="shared" si="116"/>
        <v>0</v>
      </c>
      <c r="AG151" s="319">
        <f t="shared" ref="AG151" si="117">SUM(AG148:AG150)</f>
        <v>0</v>
      </c>
      <c r="AH151" s="319">
        <f t="shared" ref="AH151" si="118">SUM(AH148:AH150)</f>
        <v>0</v>
      </c>
      <c r="AI151" s="319">
        <f t="shared" ref="AI151:AJ151" si="119">SUM(AI148:AI150)</f>
        <v>0</v>
      </c>
      <c r="AJ151" s="319">
        <f t="shared" si="119"/>
        <v>0</v>
      </c>
      <c r="AK151" s="319">
        <f t="shared" ref="AK151" si="120">SUM(AK148:AK150)</f>
        <v>0</v>
      </c>
      <c r="AL151" s="319">
        <f t="shared" ref="AL151" si="121">SUM(AL148:AL150)</f>
        <v>0</v>
      </c>
      <c r="AM151" s="319">
        <f t="shared" ref="AM151:AN151" si="122">SUM(AM148:AM150)</f>
        <v>0</v>
      </c>
      <c r="AN151" s="319">
        <f t="shared" si="122"/>
        <v>0</v>
      </c>
      <c r="AO151" s="319">
        <f t="shared" ref="AO151" si="123">SUM(AO148:AO150)</f>
        <v>0</v>
      </c>
      <c r="AP151" s="319">
        <f t="shared" ref="AP151" si="124">SUM(AP148:AP150)</f>
        <v>0</v>
      </c>
      <c r="AQ151" s="319">
        <f t="shared" ref="AQ151:AR151" si="125">SUM(AQ148:AQ150)</f>
        <v>0</v>
      </c>
      <c r="AR151" s="319">
        <f t="shared" si="125"/>
        <v>0</v>
      </c>
      <c r="AS151" s="319">
        <f t="shared" ref="AS151" si="126">SUM(AS148:AS150)</f>
        <v>0</v>
      </c>
      <c r="AT151" s="424">
        <f t="shared" ref="AT151" si="127">SUM(AT148:AT150)</f>
        <v>0</v>
      </c>
      <c r="AU151" s="317"/>
      <c r="AV151" s="317"/>
      <c r="AW151" s="285"/>
      <c r="AX151" s="285"/>
      <c r="AY151" s="285"/>
      <c r="AZ151" s="285"/>
      <c r="BA151" s="285"/>
      <c r="BB151" s="285"/>
      <c r="BC151" s="285"/>
      <c r="BD151" s="285"/>
      <c r="BE151" s="285"/>
      <c r="BF151" s="285"/>
      <c r="BG151" s="285"/>
      <c r="BH151" s="285"/>
      <c r="BI151" s="285"/>
      <c r="BJ151" s="285"/>
      <c r="BK151" s="285"/>
      <c r="BL151" s="285"/>
      <c r="BM151" s="285"/>
      <c r="BN151" s="285"/>
      <c r="BO151" s="285"/>
      <c r="BP151" s="285"/>
      <c r="BQ151" s="285"/>
      <c r="BR151" s="285"/>
      <c r="BS151" s="285"/>
      <c r="BT151" s="285"/>
      <c r="BU151" s="285"/>
      <c r="BV151" s="285"/>
    </row>
    <row r="152" spans="1:74" s="320" customFormat="1" ht="15" customHeight="1" x14ac:dyDescent="0.25">
      <c r="A152" s="317"/>
      <c r="B152" s="389"/>
      <c r="C152" s="317"/>
      <c r="D152" s="317"/>
      <c r="E152" s="317"/>
      <c r="F152" s="317"/>
      <c r="G152" s="283"/>
      <c r="H152" s="317"/>
      <c r="I152" s="317"/>
      <c r="J152" s="317"/>
      <c r="K152" s="317"/>
      <c r="L152" s="317"/>
      <c r="M152" s="317"/>
      <c r="N152" s="317"/>
      <c r="O152" s="317"/>
      <c r="P152" s="317"/>
      <c r="Q152" s="317"/>
      <c r="R152" s="317"/>
      <c r="S152" s="317"/>
      <c r="T152" s="317"/>
      <c r="U152" s="317"/>
      <c r="V152" s="317"/>
      <c r="W152" s="317"/>
      <c r="X152" s="317"/>
      <c r="Y152" s="317"/>
      <c r="Z152" s="317"/>
      <c r="AA152" s="317"/>
      <c r="AB152" s="317"/>
      <c r="AC152" s="317"/>
      <c r="AD152" s="317"/>
      <c r="AE152" s="317"/>
      <c r="AF152" s="317"/>
      <c r="AG152" s="317"/>
      <c r="AH152" s="317"/>
      <c r="AI152" s="317"/>
      <c r="AJ152" s="317"/>
      <c r="AK152" s="317"/>
      <c r="AL152" s="317"/>
      <c r="AM152" s="317"/>
      <c r="AN152" s="317"/>
      <c r="AO152" s="317"/>
      <c r="AP152" s="317"/>
      <c r="AQ152" s="317"/>
      <c r="AR152" s="317"/>
      <c r="AS152" s="317"/>
      <c r="AU152" s="317"/>
      <c r="AV152" s="317"/>
      <c r="AW152" s="285"/>
      <c r="AX152" s="285"/>
      <c r="AY152" s="285"/>
      <c r="AZ152" s="285"/>
      <c r="BA152" s="285"/>
      <c r="BB152" s="285"/>
      <c r="BC152" s="285"/>
      <c r="BD152" s="285"/>
      <c r="BE152" s="285"/>
      <c r="BF152" s="285"/>
      <c r="BG152" s="285"/>
      <c r="BH152" s="285"/>
      <c r="BI152" s="285"/>
      <c r="BJ152" s="285"/>
      <c r="BK152" s="285"/>
      <c r="BL152" s="285"/>
      <c r="BM152" s="285"/>
      <c r="BN152" s="285"/>
      <c r="BO152" s="285"/>
      <c r="BP152" s="285"/>
      <c r="BQ152" s="285"/>
      <c r="BR152" s="285"/>
      <c r="BS152" s="285"/>
      <c r="BT152" s="285"/>
      <c r="BU152" s="285"/>
      <c r="BV152" s="285"/>
    </row>
    <row r="153" spans="1:74" s="320" customFormat="1" ht="15" customHeight="1" x14ac:dyDescent="0.25">
      <c r="A153" s="317"/>
      <c r="B153" s="389"/>
      <c r="C153" s="317"/>
      <c r="D153" s="317"/>
      <c r="E153" s="317"/>
      <c r="F153" s="317"/>
      <c r="G153" s="283"/>
      <c r="H153" s="724" t="s">
        <v>451</v>
      </c>
      <c r="I153" s="317"/>
      <c r="J153" s="317"/>
      <c r="K153" s="317"/>
      <c r="L153" s="317"/>
      <c r="M153" s="317"/>
      <c r="N153" s="317"/>
      <c r="O153" s="317"/>
      <c r="P153" s="317"/>
      <c r="Q153" s="317"/>
      <c r="R153" s="317"/>
      <c r="S153" s="317"/>
      <c r="T153" s="317"/>
      <c r="U153" s="317"/>
      <c r="V153" s="317"/>
      <c r="W153" s="317"/>
      <c r="X153" s="317"/>
      <c r="Y153" s="317"/>
      <c r="Z153" s="317"/>
      <c r="AA153" s="317"/>
      <c r="AB153" s="317"/>
      <c r="AC153" s="317"/>
      <c r="AD153" s="317"/>
      <c r="AE153" s="317"/>
      <c r="AF153" s="317"/>
      <c r="AG153" s="317"/>
      <c r="AH153" s="317"/>
      <c r="AI153" s="317"/>
      <c r="AJ153" s="317"/>
      <c r="AK153" s="317"/>
      <c r="AL153" s="317"/>
      <c r="AM153" s="317"/>
      <c r="AN153" s="317"/>
      <c r="AO153" s="317"/>
      <c r="AP153" s="317"/>
      <c r="AQ153" s="317"/>
      <c r="AR153" s="317"/>
      <c r="AS153" s="317"/>
      <c r="AU153" s="317"/>
      <c r="AV153" s="317"/>
      <c r="AW153" s="285"/>
      <c r="AX153" s="285"/>
      <c r="AY153" s="285"/>
      <c r="AZ153" s="285"/>
      <c r="BA153" s="285"/>
      <c r="BB153" s="285"/>
      <c r="BC153" s="285"/>
      <c r="BD153" s="285"/>
      <c r="BE153" s="285"/>
      <c r="BF153" s="285"/>
      <c r="BG153" s="285"/>
      <c r="BH153" s="285"/>
      <c r="BI153" s="285"/>
      <c r="BJ153" s="285"/>
      <c r="BK153" s="285"/>
      <c r="BL153" s="285"/>
      <c r="BM153" s="285"/>
      <c r="BN153" s="285"/>
      <c r="BO153" s="285"/>
      <c r="BP153" s="285"/>
      <c r="BQ153" s="285"/>
      <c r="BR153" s="285"/>
      <c r="BS153" s="285"/>
      <c r="BT153" s="285"/>
      <c r="BU153" s="285"/>
      <c r="BV153" s="285"/>
    </row>
    <row r="154" spans="1:74" s="320" customFormat="1" ht="15" customHeight="1" x14ac:dyDescent="0.25">
      <c r="A154" s="317"/>
      <c r="B154" s="394" t="s">
        <v>452</v>
      </c>
      <c r="C154" s="319"/>
      <c r="D154" s="319"/>
      <c r="E154" s="319"/>
      <c r="F154" s="319"/>
      <c r="G154" s="303"/>
      <c r="H154" s="319">
        <v>30</v>
      </c>
      <c r="I154" s="319"/>
      <c r="J154" s="319"/>
      <c r="K154" s="319"/>
      <c r="L154" s="319">
        <f>SUM($L55:L55)/$H$154 * L10</f>
        <v>0</v>
      </c>
      <c r="M154" s="319">
        <f>SUM($L55:M55)/$H$154 * M10</f>
        <v>0</v>
      </c>
      <c r="N154" s="319">
        <f>SUM($L55:N55)/$H$154 * N10</f>
        <v>0</v>
      </c>
      <c r="O154" s="319">
        <f>SUM($L55:O55)/$H$154 * O10</f>
        <v>0</v>
      </c>
      <c r="P154" s="319">
        <f>SUM($L55:P55)/$H$154 * P10</f>
        <v>0</v>
      </c>
      <c r="Q154" s="319">
        <f>SUM($L55:Q55)/$H$154 * Q10</f>
        <v>0</v>
      </c>
      <c r="R154" s="319">
        <f>SUM($L55:R55)/$H$154 * R10</f>
        <v>0</v>
      </c>
      <c r="S154" s="319">
        <f>SUM($L55:S55)/$H$154 * S10</f>
        <v>0</v>
      </c>
      <c r="T154" s="319">
        <f>SUM($L55:T55)/$H$154 * T10</f>
        <v>0</v>
      </c>
      <c r="U154" s="319">
        <f>SUM($L55:U55)/$H$154 * U10</f>
        <v>0</v>
      </c>
      <c r="V154" s="319">
        <f>SUM($L55:V55)/$H$154 * V10</f>
        <v>0</v>
      </c>
      <c r="W154" s="319">
        <f>SUM($L55:W55)/$H$154 * W10</f>
        <v>0</v>
      </c>
      <c r="X154" s="319">
        <f>SUM($L55:X55)/$H$154 * X10</f>
        <v>0</v>
      </c>
      <c r="Y154" s="319">
        <f>SUM($L55:Y55)/$H$154 * Y10</f>
        <v>0</v>
      </c>
      <c r="Z154" s="319">
        <f>SUM($L55:Z55)/$H$154 * Z10</f>
        <v>0</v>
      </c>
      <c r="AA154" s="319">
        <f>SUM($L55:AA55)/$H$154 * AA10</f>
        <v>0</v>
      </c>
      <c r="AB154" s="319">
        <f>SUM($L55:AB55)/$H$154 * AB10</f>
        <v>0</v>
      </c>
      <c r="AC154" s="319">
        <f>SUM($L55:AC55)/$H$154 * AC10</f>
        <v>0</v>
      </c>
      <c r="AD154" s="319">
        <f>SUM($L55:AD55)/$H$154 * AD10</f>
        <v>0</v>
      </c>
      <c r="AE154" s="319">
        <f>SUM($L55:AE55)/$H$154 * AE10</f>
        <v>0</v>
      </c>
      <c r="AF154" s="319">
        <f>SUM($L55:AF55)/$H$154 * AF10</f>
        <v>0</v>
      </c>
      <c r="AG154" s="319">
        <f>SUM($L55:AG55)/$H$154 * AG10</f>
        <v>0</v>
      </c>
      <c r="AH154" s="319">
        <f>SUM($L55:AH55)/$H$154 * AH10</f>
        <v>0</v>
      </c>
      <c r="AI154" s="319">
        <f>SUM($L55:AI55)/$H$154 * AI10</f>
        <v>0</v>
      </c>
      <c r="AJ154" s="319">
        <f>SUM($L55:AJ55)/$H$154 * AJ10</f>
        <v>0</v>
      </c>
      <c r="AK154" s="319">
        <f>SUM($L55:AK55)/$H$154 * AK10</f>
        <v>0</v>
      </c>
      <c r="AL154" s="319">
        <f>SUM($L55:AL55)/$H$154 * AL10</f>
        <v>0</v>
      </c>
      <c r="AM154" s="319">
        <f>SUM($L55:AM55)/$H$154 * AM10</f>
        <v>0</v>
      </c>
      <c r="AN154" s="319">
        <f>SUM($L55:AN55)/$H$154 * AN10</f>
        <v>0</v>
      </c>
      <c r="AO154" s="319">
        <f>SUM($L55:AO55)/$H$154 * AO10</f>
        <v>0</v>
      </c>
      <c r="AP154" s="319">
        <f>SUM($L55:AP55)/$H$154 * AP10</f>
        <v>0</v>
      </c>
      <c r="AQ154" s="319">
        <f>SUM($L55:AQ55)/$H$154 * AQ10</f>
        <v>0</v>
      </c>
      <c r="AR154" s="319">
        <f>SUM($L55:AR55)/$H$154 * AR10</f>
        <v>0</v>
      </c>
      <c r="AS154" s="319">
        <f>SUM($L55:AS55)/$H$154 * AS10</f>
        <v>0</v>
      </c>
      <c r="AT154" s="424">
        <f>SUM($L55:AT55)/$H$154 * AT10</f>
        <v>0</v>
      </c>
      <c r="AU154" s="317"/>
      <c r="AV154" s="317"/>
      <c r="AW154" s="285"/>
      <c r="AX154" s="285"/>
      <c r="AY154" s="285"/>
      <c r="AZ154" s="285"/>
      <c r="BA154" s="285"/>
      <c r="BB154" s="285"/>
      <c r="BC154" s="285"/>
      <c r="BD154" s="285"/>
      <c r="BE154" s="285"/>
      <c r="BF154" s="285"/>
      <c r="BG154" s="285"/>
      <c r="BH154" s="285"/>
      <c r="BI154" s="285"/>
      <c r="BJ154" s="285"/>
      <c r="BK154" s="285"/>
      <c r="BL154" s="285"/>
      <c r="BM154" s="285"/>
      <c r="BN154" s="285"/>
      <c r="BO154" s="285"/>
      <c r="BP154" s="285"/>
      <c r="BQ154" s="285"/>
      <c r="BR154" s="285"/>
      <c r="BS154" s="285"/>
      <c r="BT154" s="285"/>
      <c r="BU154" s="285"/>
      <c r="BV154" s="285"/>
    </row>
    <row r="155" spans="1:74" s="320" customFormat="1" ht="15" customHeight="1" x14ac:dyDescent="0.25">
      <c r="A155" s="317"/>
      <c r="B155" s="776"/>
      <c r="C155" s="317"/>
      <c r="D155" s="317"/>
      <c r="E155" s="317"/>
      <c r="F155" s="317"/>
      <c r="G155" s="283"/>
      <c r="H155" s="317"/>
      <c r="I155" s="317"/>
      <c r="J155" s="317"/>
      <c r="K155" s="317"/>
      <c r="L155" s="317"/>
      <c r="M155" s="317"/>
      <c r="N155" s="317"/>
      <c r="O155" s="317"/>
      <c r="P155" s="317"/>
      <c r="Q155" s="317"/>
      <c r="R155" s="317"/>
      <c r="S155" s="317"/>
      <c r="T155" s="317"/>
      <c r="U155" s="317"/>
      <c r="V155" s="317"/>
      <c r="W155" s="317"/>
      <c r="X155" s="317"/>
      <c r="Y155" s="317"/>
      <c r="Z155" s="317"/>
      <c r="AA155" s="317"/>
      <c r="AB155" s="317"/>
      <c r="AC155" s="317"/>
      <c r="AD155" s="317"/>
      <c r="AE155" s="317"/>
      <c r="AF155" s="317"/>
      <c r="AG155" s="317"/>
      <c r="AH155" s="317"/>
      <c r="AI155" s="317"/>
      <c r="AJ155" s="317"/>
      <c r="AK155" s="317"/>
      <c r="AL155" s="317"/>
      <c r="AM155" s="317"/>
      <c r="AN155" s="317"/>
      <c r="AO155" s="317"/>
      <c r="AP155" s="317"/>
      <c r="AQ155" s="317"/>
      <c r="AR155" s="317"/>
      <c r="AS155" s="317"/>
      <c r="AT155" s="317"/>
      <c r="AU155" s="317"/>
      <c r="AV155" s="317"/>
      <c r="AW155" s="285"/>
      <c r="AX155" s="285"/>
      <c r="AY155" s="285"/>
      <c r="AZ155" s="285"/>
      <c r="BA155" s="285"/>
      <c r="BB155" s="285"/>
      <c r="BC155" s="285"/>
      <c r="BD155" s="285"/>
      <c r="BE155" s="285"/>
      <c r="BF155" s="285"/>
      <c r="BG155" s="285"/>
      <c r="BH155" s="285"/>
      <c r="BI155" s="285"/>
      <c r="BJ155" s="285"/>
      <c r="BK155" s="285"/>
      <c r="BL155" s="285"/>
      <c r="BM155" s="285"/>
      <c r="BN155" s="285"/>
      <c r="BO155" s="285"/>
      <c r="BP155" s="285"/>
      <c r="BQ155" s="285"/>
      <c r="BR155" s="285"/>
      <c r="BS155" s="285"/>
      <c r="BT155" s="285"/>
      <c r="BU155" s="285"/>
      <c r="BV155" s="285"/>
    </row>
    <row r="156" spans="1:74" s="300" customFormat="1" ht="15" customHeight="1" x14ac:dyDescent="0.25">
      <c r="A156" s="283"/>
      <c r="B156" s="379" t="s">
        <v>453</v>
      </c>
      <c r="C156" s="297"/>
      <c r="D156" s="301"/>
      <c r="E156" s="301"/>
      <c r="F156" s="301"/>
      <c r="G156" s="301"/>
      <c r="H156" s="287"/>
      <c r="I156" s="287"/>
      <c r="J156" s="287"/>
      <c r="K156" s="287"/>
      <c r="L156" s="299">
        <f>$D$5</f>
        <v>1900</v>
      </c>
      <c r="M156" s="298">
        <f t="shared" ref="M156" si="128" xml:space="preserve"> L156 + 1</f>
        <v>1901</v>
      </c>
      <c r="N156" s="298">
        <f t="shared" ref="N156" si="129" xml:space="preserve"> M156 + 1</f>
        <v>1902</v>
      </c>
      <c r="O156" s="298">
        <f t="shared" ref="O156" si="130" xml:space="preserve"> N156 + 1</f>
        <v>1903</v>
      </c>
      <c r="P156" s="298">
        <f t="shared" ref="P156" si="131" xml:space="preserve"> O156 + 1</f>
        <v>1904</v>
      </c>
      <c r="Q156" s="298">
        <f t="shared" ref="Q156" si="132" xml:space="preserve"> P156 + 1</f>
        <v>1905</v>
      </c>
      <c r="R156" s="299">
        <f t="shared" ref="R156" si="133" xml:space="preserve"> Q156 + 1</f>
        <v>1906</v>
      </c>
      <c r="S156" s="298">
        <f t="shared" ref="S156" si="134" xml:space="preserve"> R156 + 1</f>
        <v>1907</v>
      </c>
      <c r="T156" s="298">
        <f t="shared" ref="T156" si="135" xml:space="preserve"> S156 + 1</f>
        <v>1908</v>
      </c>
      <c r="U156" s="298">
        <f t="shared" ref="U156" si="136" xml:space="preserve"> T156 + 1</f>
        <v>1909</v>
      </c>
      <c r="V156" s="298">
        <f xml:space="preserve"> U156 + 1</f>
        <v>1910</v>
      </c>
      <c r="W156" s="298">
        <f t="shared" ref="W156" si="137" xml:space="preserve"> V156 + 1</f>
        <v>1911</v>
      </c>
      <c r="X156" s="298">
        <f t="shared" ref="X156" si="138" xml:space="preserve"> W156 + 1</f>
        <v>1912</v>
      </c>
      <c r="Y156" s="298">
        <f t="shared" ref="Y156" si="139" xml:space="preserve"> X156 + 1</f>
        <v>1913</v>
      </c>
      <c r="Z156" s="298">
        <f t="shared" ref="Z156" si="140" xml:space="preserve"> Y156 + 1</f>
        <v>1914</v>
      </c>
      <c r="AA156" s="298">
        <f t="shared" ref="AA156" si="141" xml:space="preserve"> Z156 + 1</f>
        <v>1915</v>
      </c>
      <c r="AB156" s="299">
        <f t="shared" ref="AB156" si="142" xml:space="preserve"> AA156 + 1</f>
        <v>1916</v>
      </c>
      <c r="AC156" s="298">
        <f t="shared" ref="AC156" si="143" xml:space="preserve"> AB156 + 1</f>
        <v>1917</v>
      </c>
      <c r="AD156" s="298">
        <f t="shared" ref="AD156" si="144" xml:space="preserve"> AC156 + 1</f>
        <v>1918</v>
      </c>
      <c r="AE156" s="298">
        <f t="shared" ref="AE156" si="145" xml:space="preserve"> AD156 + 1</f>
        <v>1919</v>
      </c>
      <c r="AF156" s="298">
        <f t="shared" ref="AF156" si="146" xml:space="preserve"> AE156 + 1</f>
        <v>1920</v>
      </c>
      <c r="AG156" s="298">
        <f t="shared" ref="AG156" si="147" xml:space="preserve"> AF156 + 1</f>
        <v>1921</v>
      </c>
      <c r="AH156" s="298">
        <f t="shared" ref="AH156" si="148" xml:space="preserve"> AG156 + 1</f>
        <v>1922</v>
      </c>
      <c r="AI156" s="298">
        <f t="shared" ref="AI156" si="149" xml:space="preserve"> AH156 + 1</f>
        <v>1923</v>
      </c>
      <c r="AJ156" s="298">
        <f t="shared" ref="AJ156" si="150" xml:space="preserve"> AI156 + 1</f>
        <v>1924</v>
      </c>
      <c r="AK156" s="298">
        <f t="shared" ref="AK156" si="151" xml:space="preserve"> AJ156 + 1</f>
        <v>1925</v>
      </c>
      <c r="AL156" s="298">
        <f t="shared" ref="AL156" si="152" xml:space="preserve"> AK156 + 1</f>
        <v>1926</v>
      </c>
      <c r="AM156" s="298">
        <f t="shared" ref="AM156" si="153" xml:space="preserve"> AL156 + 1</f>
        <v>1927</v>
      </c>
      <c r="AN156" s="298">
        <f t="shared" ref="AN156" si="154" xml:space="preserve"> AM156 + 1</f>
        <v>1928</v>
      </c>
      <c r="AO156" s="298">
        <f t="shared" ref="AO156" si="155" xml:space="preserve"> AN156 + 1</f>
        <v>1929</v>
      </c>
      <c r="AP156" s="298">
        <f t="shared" ref="AP156" si="156" xml:space="preserve"> AO156 + 1</f>
        <v>1930</v>
      </c>
      <c r="AQ156" s="298">
        <f t="shared" ref="AQ156" si="157" xml:space="preserve"> AP156 + 1</f>
        <v>1931</v>
      </c>
      <c r="AR156" s="298">
        <f t="shared" ref="AR156" si="158" xml:space="preserve"> AQ156 + 1</f>
        <v>1932</v>
      </c>
      <c r="AS156" s="298">
        <f t="shared" ref="AS156" si="159" xml:space="preserve"> AR156 + 1</f>
        <v>1933</v>
      </c>
      <c r="AT156" s="423">
        <f t="shared" ref="AT156" si="160" xml:space="preserve"> AS156 + 1</f>
        <v>1934</v>
      </c>
      <c r="AU156" s="283"/>
      <c r="AV156" s="283"/>
      <c r="AW156" s="280"/>
      <c r="AX156" s="280"/>
      <c r="AY156" s="280"/>
      <c r="AZ156" s="280"/>
      <c r="BA156" s="280"/>
      <c r="BB156" s="280"/>
      <c r="BC156" s="280"/>
      <c r="BD156" s="280"/>
      <c r="BE156" s="280"/>
      <c r="BF156" s="280"/>
      <c r="BG156" s="280"/>
      <c r="BH156" s="280"/>
      <c r="BI156" s="280"/>
      <c r="BJ156" s="280"/>
      <c r="BK156" s="280"/>
      <c r="BL156" s="280"/>
      <c r="BM156" s="280"/>
      <c r="BN156" s="280"/>
      <c r="BO156" s="280"/>
      <c r="BP156" s="280"/>
      <c r="BQ156" s="280"/>
      <c r="BR156" s="280"/>
      <c r="BS156" s="280"/>
      <c r="BT156" s="280"/>
      <c r="BU156" s="280"/>
      <c r="BV156" s="280"/>
    </row>
    <row r="157" spans="1:74" s="305" customFormat="1" ht="15" customHeight="1" x14ac:dyDescent="0.25">
      <c r="B157" s="306" t="s">
        <v>251</v>
      </c>
      <c r="C157" s="307"/>
      <c r="AT157" s="308"/>
    </row>
    <row r="158" spans="1:74" s="305" customFormat="1" ht="15" customHeight="1" x14ac:dyDescent="0.25">
      <c r="B158" s="388" t="s">
        <v>454</v>
      </c>
      <c r="C158" s="307"/>
      <c r="AT158" s="308"/>
    </row>
    <row r="159" spans="1:74" s="305" customFormat="1" ht="15" customHeight="1" x14ac:dyDescent="0.25">
      <c r="B159" s="388" t="s">
        <v>455</v>
      </c>
      <c r="C159" s="307"/>
      <c r="AT159" s="308"/>
    </row>
    <row r="160" spans="1:74" s="305" customFormat="1" ht="15" customHeight="1" x14ac:dyDescent="0.25">
      <c r="B160" s="388" t="s">
        <v>456</v>
      </c>
      <c r="C160" s="307"/>
      <c r="AT160" s="308"/>
    </row>
    <row r="161" spans="2:46" s="305" customFormat="1" ht="15" customHeight="1" x14ac:dyDescent="0.25">
      <c r="B161" s="388" t="s">
        <v>457</v>
      </c>
      <c r="C161" s="307"/>
      <c r="AT161" s="308"/>
    </row>
    <row r="162" spans="2:46" s="305" customFormat="1" ht="15" customHeight="1" x14ac:dyDescent="0.25">
      <c r="B162" s="388" t="s">
        <v>458</v>
      </c>
      <c r="C162" s="307"/>
      <c r="AT162" s="308"/>
    </row>
    <row r="163" spans="2:46" s="305" customFormat="1" ht="15" customHeight="1" x14ac:dyDescent="0.25">
      <c r="B163" s="388" t="s">
        <v>459</v>
      </c>
      <c r="C163" s="888"/>
      <c r="D163" s="294"/>
      <c r="AT163" s="308"/>
    </row>
    <row r="164" spans="2:46" s="309" customFormat="1" ht="15" customHeight="1" x14ac:dyDescent="0.25">
      <c r="B164" s="323"/>
      <c r="C164" s="311"/>
      <c r="AB164" s="312"/>
      <c r="AC164" s="312"/>
      <c r="AD164" s="312"/>
      <c r="AE164" s="312"/>
      <c r="AF164" s="312"/>
      <c r="AG164" s="312"/>
      <c r="AH164" s="312"/>
      <c r="AI164" s="312"/>
      <c r="AJ164" s="312"/>
      <c r="AK164" s="312"/>
      <c r="AL164" s="312"/>
      <c r="AM164" s="312"/>
      <c r="AN164" s="312"/>
      <c r="AO164" s="312"/>
      <c r="AP164" s="312"/>
      <c r="AQ164" s="312"/>
      <c r="AR164" s="312"/>
      <c r="AT164" s="939"/>
    </row>
    <row r="165" spans="2:46" s="309" customFormat="1" ht="15" customHeight="1" x14ac:dyDescent="0.25">
      <c r="B165" s="315" t="s">
        <v>460</v>
      </c>
      <c r="C165" s="316"/>
      <c r="D165" s="316"/>
      <c r="E165" s="316"/>
      <c r="F165" s="316" t="s">
        <v>402</v>
      </c>
      <c r="G165" s="316"/>
      <c r="H165" s="316"/>
      <c r="I165" s="316"/>
      <c r="J165" s="316"/>
      <c r="K165" s="316"/>
      <c r="L165" s="316">
        <f>Financiering!D87</f>
        <v>0</v>
      </c>
      <c r="M165" s="316">
        <f>Financiering!E87</f>
        <v>0</v>
      </c>
      <c r="N165" s="316">
        <f>Financiering!F87</f>
        <v>0</v>
      </c>
      <c r="O165" s="316">
        <f>Financiering!G87</f>
        <v>0</v>
      </c>
      <c r="P165" s="316">
        <f>Financiering!H87</f>
        <v>0</v>
      </c>
      <c r="Q165" s="316">
        <f>Financiering!I87</f>
        <v>0</v>
      </c>
      <c r="R165" s="316">
        <f>Financiering!J87</f>
        <v>0</v>
      </c>
      <c r="S165" s="316">
        <f>Financiering!M87</f>
        <v>0</v>
      </c>
      <c r="T165" s="316">
        <f>Financiering!N87</f>
        <v>0</v>
      </c>
      <c r="U165" s="316">
        <f>Financiering!O87</f>
        <v>0</v>
      </c>
      <c r="V165" s="316">
        <f>Financiering!P87</f>
        <v>0</v>
      </c>
      <c r="W165" s="316">
        <f>Financiering!Q87</f>
        <v>0</v>
      </c>
      <c r="X165" s="316">
        <f>Financiering!R87</f>
        <v>0</v>
      </c>
      <c r="Y165" s="316">
        <f>Financiering!S87</f>
        <v>0</v>
      </c>
      <c r="Z165" s="316">
        <f>Financiering!T87</f>
        <v>0</v>
      </c>
      <c r="AA165" s="316">
        <f>Financiering!U87</f>
        <v>0</v>
      </c>
      <c r="AB165" s="316">
        <f>Financiering!V87</f>
        <v>0</v>
      </c>
      <c r="AC165" s="316">
        <f>Financiering!W87</f>
        <v>0</v>
      </c>
      <c r="AD165" s="316">
        <f>Financiering!X87</f>
        <v>0</v>
      </c>
      <c r="AE165" s="316">
        <f>Financiering!Y87</f>
        <v>0</v>
      </c>
      <c r="AF165" s="316">
        <f>Financiering!Z87</f>
        <v>0</v>
      </c>
      <c r="AG165" s="316">
        <f>Financiering!AA87</f>
        <v>0</v>
      </c>
      <c r="AH165" s="316">
        <f>Financiering!AB87</f>
        <v>0</v>
      </c>
      <c r="AI165" s="316">
        <f>Financiering!AC87</f>
        <v>0</v>
      </c>
      <c r="AJ165" s="316">
        <f>Financiering!AD87</f>
        <v>0</v>
      </c>
      <c r="AK165" s="316">
        <f>Financiering!AE87</f>
        <v>0</v>
      </c>
      <c r="AL165" s="316">
        <f>Financiering!AF87</f>
        <v>0</v>
      </c>
      <c r="AM165" s="316">
        <f>Financiering!AG87</f>
        <v>0</v>
      </c>
      <c r="AN165" s="316">
        <f>Financiering!AH87</f>
        <v>0</v>
      </c>
      <c r="AO165" s="316">
        <f>Financiering!AI87</f>
        <v>0</v>
      </c>
      <c r="AP165" s="316">
        <f>Financiering!AJ87</f>
        <v>0</v>
      </c>
      <c r="AQ165" s="316">
        <f>Financiering!AK87</f>
        <v>0</v>
      </c>
      <c r="AR165" s="316">
        <f>Financiering!AL87</f>
        <v>0</v>
      </c>
      <c r="AS165" s="316">
        <f>Financiering!AM87</f>
        <v>0</v>
      </c>
      <c r="AT165" s="335">
        <f>Financiering!AN87</f>
        <v>0</v>
      </c>
    </row>
    <row r="166" spans="2:46" s="309" customFormat="1" ht="15" customHeight="1" x14ac:dyDescent="0.25">
      <c r="B166" s="315" t="s">
        <v>461</v>
      </c>
      <c r="C166" s="316"/>
      <c r="D166" s="316"/>
      <c r="E166" s="316"/>
      <c r="F166" s="316" t="s">
        <v>402</v>
      </c>
      <c r="G166" s="316"/>
      <c r="H166" s="316"/>
      <c r="I166" s="316"/>
      <c r="J166" s="408"/>
      <c r="K166" s="316"/>
      <c r="L166" s="316">
        <f>Financiering!D63</f>
        <v>0</v>
      </c>
      <c r="M166" s="316">
        <f>Financiering!E63</f>
        <v>0</v>
      </c>
      <c r="N166" s="316">
        <f>Financiering!F63</f>
        <v>0</v>
      </c>
      <c r="O166" s="316">
        <f>Financiering!G63</f>
        <v>0</v>
      </c>
      <c r="P166" s="316">
        <f>Financiering!H63</f>
        <v>0</v>
      </c>
      <c r="Q166" s="316">
        <f>Financiering!I63</f>
        <v>0</v>
      </c>
      <c r="R166" s="316">
        <f>Financiering!J63</f>
        <v>0</v>
      </c>
      <c r="S166" s="316">
        <f>Financiering!M63</f>
        <v>0</v>
      </c>
      <c r="T166" s="316">
        <f>Financiering!N63</f>
        <v>0</v>
      </c>
      <c r="U166" s="316">
        <f>Financiering!O63</f>
        <v>0</v>
      </c>
      <c r="V166" s="316">
        <f>Financiering!P63</f>
        <v>0</v>
      </c>
      <c r="W166" s="316">
        <f>Financiering!Q63</f>
        <v>0</v>
      </c>
      <c r="X166" s="316">
        <f>Financiering!R63</f>
        <v>0</v>
      </c>
      <c r="Y166" s="316">
        <f>Financiering!S63</f>
        <v>0</v>
      </c>
      <c r="Z166" s="316">
        <f>Financiering!T63</f>
        <v>0</v>
      </c>
      <c r="AA166" s="316">
        <f>Financiering!U63</f>
        <v>0</v>
      </c>
      <c r="AB166" s="316">
        <f>Financiering!V63</f>
        <v>0</v>
      </c>
      <c r="AC166" s="316">
        <f>Financiering!W63</f>
        <v>0</v>
      </c>
      <c r="AD166" s="316">
        <f>Financiering!X63</f>
        <v>0</v>
      </c>
      <c r="AE166" s="316">
        <f>Financiering!Y63</f>
        <v>0</v>
      </c>
      <c r="AF166" s="316">
        <f>Financiering!Z63</f>
        <v>0</v>
      </c>
      <c r="AG166" s="316">
        <f>Financiering!AA63</f>
        <v>0</v>
      </c>
      <c r="AH166" s="316">
        <f>Financiering!AB63</f>
        <v>0</v>
      </c>
      <c r="AI166" s="316">
        <f>Financiering!AC63</f>
        <v>0</v>
      </c>
      <c r="AJ166" s="316">
        <f>Financiering!AD63</f>
        <v>0</v>
      </c>
      <c r="AK166" s="316">
        <f>Financiering!AE63</f>
        <v>0</v>
      </c>
      <c r="AL166" s="316">
        <f>Financiering!AF63</f>
        <v>0</v>
      </c>
      <c r="AM166" s="316">
        <f>Financiering!AG63</f>
        <v>0</v>
      </c>
      <c r="AN166" s="316">
        <f>Financiering!AH63</f>
        <v>0</v>
      </c>
      <c r="AO166" s="316">
        <f>Financiering!AI63</f>
        <v>0</v>
      </c>
      <c r="AP166" s="316">
        <f>Financiering!AJ63</f>
        <v>0</v>
      </c>
      <c r="AQ166" s="316">
        <f>Financiering!AK63</f>
        <v>0</v>
      </c>
      <c r="AR166" s="316">
        <f>Financiering!AL63</f>
        <v>0</v>
      </c>
      <c r="AS166" s="316">
        <f>Financiering!AM63</f>
        <v>0</v>
      </c>
      <c r="AT166" s="335">
        <f>Financiering!AN63</f>
        <v>0</v>
      </c>
    </row>
    <row r="167" spans="2:46" s="309" customFormat="1" ht="15" customHeight="1" x14ac:dyDescent="0.25">
      <c r="B167" s="315" t="s">
        <v>462</v>
      </c>
      <c r="C167" s="316"/>
      <c r="D167" s="316"/>
      <c r="E167" s="316"/>
      <c r="F167" s="316" t="s">
        <v>402</v>
      </c>
      <c r="G167" s="316"/>
      <c r="H167" s="316"/>
      <c r="I167" s="316"/>
      <c r="J167" s="408"/>
      <c r="K167" s="316"/>
      <c r="L167" s="326">
        <f t="shared" ref="L167:AT167" si="161">L165</f>
        <v>0</v>
      </c>
      <c r="M167" s="326">
        <f t="shared" si="161"/>
        <v>0</v>
      </c>
      <c r="N167" s="326">
        <f t="shared" si="161"/>
        <v>0</v>
      </c>
      <c r="O167" s="326">
        <f t="shared" si="161"/>
        <v>0</v>
      </c>
      <c r="P167" s="326">
        <f t="shared" si="161"/>
        <v>0</v>
      </c>
      <c r="Q167" s="326">
        <f t="shared" si="161"/>
        <v>0</v>
      </c>
      <c r="R167" s="326">
        <f t="shared" si="161"/>
        <v>0</v>
      </c>
      <c r="S167" s="326">
        <f t="shared" si="161"/>
        <v>0</v>
      </c>
      <c r="T167" s="326">
        <f t="shared" si="161"/>
        <v>0</v>
      </c>
      <c r="U167" s="326">
        <f t="shared" si="161"/>
        <v>0</v>
      </c>
      <c r="V167" s="326">
        <f t="shared" si="161"/>
        <v>0</v>
      </c>
      <c r="W167" s="326">
        <f t="shared" si="161"/>
        <v>0</v>
      </c>
      <c r="X167" s="326">
        <f t="shared" si="161"/>
        <v>0</v>
      </c>
      <c r="Y167" s="326">
        <f t="shared" si="161"/>
        <v>0</v>
      </c>
      <c r="Z167" s="326">
        <f t="shared" si="161"/>
        <v>0</v>
      </c>
      <c r="AA167" s="326">
        <f t="shared" si="161"/>
        <v>0</v>
      </c>
      <c r="AB167" s="326">
        <f t="shared" si="161"/>
        <v>0</v>
      </c>
      <c r="AC167" s="326">
        <f t="shared" si="161"/>
        <v>0</v>
      </c>
      <c r="AD167" s="326">
        <f t="shared" si="161"/>
        <v>0</v>
      </c>
      <c r="AE167" s="326">
        <f t="shared" si="161"/>
        <v>0</v>
      </c>
      <c r="AF167" s="326">
        <f t="shared" si="161"/>
        <v>0</v>
      </c>
      <c r="AG167" s="326">
        <f t="shared" si="161"/>
        <v>0</v>
      </c>
      <c r="AH167" s="326">
        <f t="shared" si="161"/>
        <v>0</v>
      </c>
      <c r="AI167" s="326">
        <f t="shared" si="161"/>
        <v>0</v>
      </c>
      <c r="AJ167" s="326">
        <f t="shared" si="161"/>
        <v>0</v>
      </c>
      <c r="AK167" s="326">
        <f t="shared" si="161"/>
        <v>0</v>
      </c>
      <c r="AL167" s="326">
        <f t="shared" si="161"/>
        <v>0</v>
      </c>
      <c r="AM167" s="326">
        <f t="shared" si="161"/>
        <v>0</v>
      </c>
      <c r="AN167" s="326">
        <f t="shared" si="161"/>
        <v>0</v>
      </c>
      <c r="AO167" s="326">
        <f t="shared" si="161"/>
        <v>0</v>
      </c>
      <c r="AP167" s="326">
        <f t="shared" si="161"/>
        <v>0</v>
      </c>
      <c r="AQ167" s="326">
        <f t="shared" si="161"/>
        <v>0</v>
      </c>
      <c r="AR167" s="326">
        <f t="shared" si="161"/>
        <v>0</v>
      </c>
      <c r="AS167" s="326">
        <f t="shared" si="161"/>
        <v>0</v>
      </c>
      <c r="AT167" s="326">
        <f t="shared" si="161"/>
        <v>0</v>
      </c>
    </row>
    <row r="168" spans="2:46" s="309" customFormat="1" ht="15" customHeight="1" x14ac:dyDescent="0.25">
      <c r="B168" s="315" t="s">
        <v>463</v>
      </c>
      <c r="C168" s="316"/>
      <c r="D168" s="316"/>
      <c r="E168" s="316"/>
      <c r="F168" s="316" t="s">
        <v>402</v>
      </c>
      <c r="G168" s="316"/>
      <c r="H168" s="316"/>
      <c r="I168" s="316"/>
      <c r="J168" s="408"/>
      <c r="K168" s="316"/>
      <c r="L168" s="326">
        <f t="shared" ref="L168:AT168" si="162">L166</f>
        <v>0</v>
      </c>
      <c r="M168" s="326">
        <f t="shared" si="162"/>
        <v>0</v>
      </c>
      <c r="N168" s="326">
        <f t="shared" si="162"/>
        <v>0</v>
      </c>
      <c r="O168" s="326">
        <f t="shared" si="162"/>
        <v>0</v>
      </c>
      <c r="P168" s="326">
        <f t="shared" si="162"/>
        <v>0</v>
      </c>
      <c r="Q168" s="326">
        <f t="shared" si="162"/>
        <v>0</v>
      </c>
      <c r="R168" s="326">
        <f t="shared" si="162"/>
        <v>0</v>
      </c>
      <c r="S168" s="326">
        <f t="shared" si="162"/>
        <v>0</v>
      </c>
      <c r="T168" s="326">
        <f t="shared" si="162"/>
        <v>0</v>
      </c>
      <c r="U168" s="326">
        <f t="shared" si="162"/>
        <v>0</v>
      </c>
      <c r="V168" s="326">
        <f t="shared" si="162"/>
        <v>0</v>
      </c>
      <c r="W168" s="326">
        <f t="shared" si="162"/>
        <v>0</v>
      </c>
      <c r="X168" s="326">
        <f t="shared" si="162"/>
        <v>0</v>
      </c>
      <c r="Y168" s="326">
        <f t="shared" si="162"/>
        <v>0</v>
      </c>
      <c r="Z168" s="326">
        <f t="shared" si="162"/>
        <v>0</v>
      </c>
      <c r="AA168" s="326">
        <f t="shared" si="162"/>
        <v>0</v>
      </c>
      <c r="AB168" s="326">
        <f t="shared" si="162"/>
        <v>0</v>
      </c>
      <c r="AC168" s="326">
        <f t="shared" si="162"/>
        <v>0</v>
      </c>
      <c r="AD168" s="326">
        <f t="shared" si="162"/>
        <v>0</v>
      </c>
      <c r="AE168" s="326">
        <f t="shared" si="162"/>
        <v>0</v>
      </c>
      <c r="AF168" s="326">
        <f t="shared" si="162"/>
        <v>0</v>
      </c>
      <c r="AG168" s="326">
        <f t="shared" si="162"/>
        <v>0</v>
      </c>
      <c r="AH168" s="326">
        <f t="shared" si="162"/>
        <v>0</v>
      </c>
      <c r="AI168" s="326">
        <f t="shared" si="162"/>
        <v>0</v>
      </c>
      <c r="AJ168" s="326">
        <f t="shared" si="162"/>
        <v>0</v>
      </c>
      <c r="AK168" s="326">
        <f t="shared" si="162"/>
        <v>0</v>
      </c>
      <c r="AL168" s="326">
        <f t="shared" si="162"/>
        <v>0</v>
      </c>
      <c r="AM168" s="326">
        <f t="shared" si="162"/>
        <v>0</v>
      </c>
      <c r="AN168" s="326">
        <f t="shared" si="162"/>
        <v>0</v>
      </c>
      <c r="AO168" s="326">
        <f t="shared" si="162"/>
        <v>0</v>
      </c>
      <c r="AP168" s="326">
        <f t="shared" si="162"/>
        <v>0</v>
      </c>
      <c r="AQ168" s="326">
        <f t="shared" si="162"/>
        <v>0</v>
      </c>
      <c r="AR168" s="326">
        <f t="shared" si="162"/>
        <v>0</v>
      </c>
      <c r="AS168" s="326">
        <f t="shared" si="162"/>
        <v>0</v>
      </c>
      <c r="AT168" s="326">
        <f t="shared" si="162"/>
        <v>0</v>
      </c>
    </row>
    <row r="169" spans="2:46" s="309" customFormat="1" ht="15" customHeight="1" x14ac:dyDescent="0.25">
      <c r="B169" s="315" t="s">
        <v>464</v>
      </c>
      <c r="C169" s="316"/>
      <c r="D169" s="316"/>
      <c r="E169" s="316"/>
      <c r="F169" s="316" t="s">
        <v>402</v>
      </c>
      <c r="G169" s="316"/>
      <c r="H169" s="316"/>
      <c r="I169" s="316"/>
      <c r="J169" s="408"/>
      <c r="K169" s="316"/>
      <c r="L169" s="316">
        <f>L121*Mijlpalenbegroting!$J$267</f>
        <v>0</v>
      </c>
      <c r="M169" s="316">
        <f>M121*Mijlpalenbegroting!$J$267</f>
        <v>0</v>
      </c>
      <c r="N169" s="316">
        <f>N121*Mijlpalenbegroting!$J$267</f>
        <v>0</v>
      </c>
      <c r="O169" s="316">
        <f>O121*Mijlpalenbegroting!$J$267</f>
        <v>0</v>
      </c>
      <c r="P169" s="316">
        <f>P121*Mijlpalenbegroting!$J$267</f>
        <v>0</v>
      </c>
      <c r="Q169" s="316">
        <f>Q121*Mijlpalenbegroting!$J$267</f>
        <v>0</v>
      </c>
      <c r="R169" s="316">
        <f>R121*Mijlpalenbegroting!$J$267</f>
        <v>0</v>
      </c>
      <c r="S169" s="316">
        <f>S121*Mijlpalenbegroting!$J$267</f>
        <v>0</v>
      </c>
      <c r="T169" s="316">
        <f>T121*Mijlpalenbegroting!$J$267</f>
        <v>0</v>
      </c>
      <c r="U169" s="316">
        <f>U121*Mijlpalenbegroting!$J$267</f>
        <v>0</v>
      </c>
      <c r="V169" s="316">
        <f>V121*Mijlpalenbegroting!$J$267</f>
        <v>0</v>
      </c>
      <c r="W169" s="316">
        <f>W121*Mijlpalenbegroting!$J$267</f>
        <v>0</v>
      </c>
      <c r="X169" s="316">
        <f>X121*Mijlpalenbegroting!$J$267</f>
        <v>0</v>
      </c>
      <c r="Y169" s="316">
        <f>Y121*Mijlpalenbegroting!$J$267</f>
        <v>0</v>
      </c>
      <c r="Z169" s="316">
        <f>Z121*Mijlpalenbegroting!$J$267</f>
        <v>0</v>
      </c>
      <c r="AA169" s="316">
        <f>AA121*Mijlpalenbegroting!$J$267</f>
        <v>0</v>
      </c>
      <c r="AB169" s="316">
        <f>AB121*Mijlpalenbegroting!$J$267</f>
        <v>0</v>
      </c>
      <c r="AC169" s="316">
        <f>AC121*Mijlpalenbegroting!$J$267</f>
        <v>0</v>
      </c>
      <c r="AD169" s="316">
        <f>AD121*Mijlpalenbegroting!$J$267</f>
        <v>0</v>
      </c>
      <c r="AE169" s="316">
        <f>AE121*Mijlpalenbegroting!$J$267</f>
        <v>0</v>
      </c>
      <c r="AF169" s="316">
        <f>AF121*Mijlpalenbegroting!$J$267</f>
        <v>0</v>
      </c>
      <c r="AG169" s="316">
        <f>AG121*Mijlpalenbegroting!$J$267</f>
        <v>0</v>
      </c>
      <c r="AH169" s="316">
        <f>AH121*Mijlpalenbegroting!$J$267</f>
        <v>0</v>
      </c>
      <c r="AI169" s="316">
        <f>AI121*Mijlpalenbegroting!$J$267</f>
        <v>0</v>
      </c>
      <c r="AJ169" s="316">
        <f>AJ121*Mijlpalenbegroting!$J$267</f>
        <v>0</v>
      </c>
      <c r="AK169" s="316">
        <f>AK121*Mijlpalenbegroting!$J$267</f>
        <v>0</v>
      </c>
      <c r="AL169" s="316">
        <f>AL121*Mijlpalenbegroting!$J$267</f>
        <v>0</v>
      </c>
      <c r="AM169" s="316">
        <f>AM121*Mijlpalenbegroting!$J$267</f>
        <v>0</v>
      </c>
      <c r="AN169" s="316">
        <f>AN121*Mijlpalenbegroting!$J$267</f>
        <v>0</v>
      </c>
      <c r="AO169" s="316">
        <f>AO121*Mijlpalenbegroting!$J$267</f>
        <v>0</v>
      </c>
      <c r="AP169" s="316">
        <f>AP121*Mijlpalenbegroting!$J$267</f>
        <v>0</v>
      </c>
      <c r="AQ169" s="316">
        <f>AQ121*Mijlpalenbegroting!$J$267</f>
        <v>0</v>
      </c>
      <c r="AR169" s="316">
        <f>AR121*Mijlpalenbegroting!$J$267</f>
        <v>0</v>
      </c>
      <c r="AS169" s="316">
        <f>AS121*Mijlpalenbegroting!$J$267</f>
        <v>0</v>
      </c>
      <c r="AT169" s="335">
        <f>AT121*Mijlpalenbegroting!$J$267</f>
        <v>0</v>
      </c>
    </row>
    <row r="170" spans="2:46" s="309" customFormat="1" ht="15" customHeight="1" x14ac:dyDescent="0.25">
      <c r="B170" s="315" t="s">
        <v>465</v>
      </c>
      <c r="C170" s="316"/>
      <c r="D170" s="316"/>
      <c r="E170" s="316"/>
      <c r="F170" s="316" t="s">
        <v>402</v>
      </c>
      <c r="G170" s="316"/>
      <c r="H170" s="316"/>
      <c r="I170" s="316"/>
      <c r="J170" s="408"/>
      <c r="K170" s="316"/>
      <c r="L170" s="316">
        <f t="shared" ref="L170:AT170" si="163">L56+L57+L77-L106-L151+L154-L167</f>
        <v>0</v>
      </c>
      <c r="M170" s="316">
        <f t="shared" si="163"/>
        <v>0</v>
      </c>
      <c r="N170" s="316">
        <f t="shared" si="163"/>
        <v>0</v>
      </c>
      <c r="O170" s="316">
        <f t="shared" si="163"/>
        <v>0</v>
      </c>
      <c r="P170" s="316">
        <f t="shared" si="163"/>
        <v>0</v>
      </c>
      <c r="Q170" s="316">
        <f t="shared" si="163"/>
        <v>0</v>
      </c>
      <c r="R170" s="316">
        <f t="shared" si="163"/>
        <v>0</v>
      </c>
      <c r="S170" s="316">
        <f t="shared" si="163"/>
        <v>0</v>
      </c>
      <c r="T170" s="316">
        <f t="shared" si="163"/>
        <v>0</v>
      </c>
      <c r="U170" s="316">
        <f t="shared" si="163"/>
        <v>0</v>
      </c>
      <c r="V170" s="316">
        <f t="shared" si="163"/>
        <v>0</v>
      </c>
      <c r="W170" s="316">
        <f t="shared" si="163"/>
        <v>0</v>
      </c>
      <c r="X170" s="316">
        <f t="shared" si="163"/>
        <v>0</v>
      </c>
      <c r="Y170" s="316">
        <f t="shared" si="163"/>
        <v>0</v>
      </c>
      <c r="Z170" s="316">
        <f t="shared" si="163"/>
        <v>0</v>
      </c>
      <c r="AA170" s="316">
        <f t="shared" si="163"/>
        <v>0</v>
      </c>
      <c r="AB170" s="316">
        <f t="shared" si="163"/>
        <v>0</v>
      </c>
      <c r="AC170" s="316">
        <f t="shared" si="163"/>
        <v>0</v>
      </c>
      <c r="AD170" s="316">
        <f t="shared" si="163"/>
        <v>0</v>
      </c>
      <c r="AE170" s="316">
        <f t="shared" si="163"/>
        <v>0</v>
      </c>
      <c r="AF170" s="316">
        <f t="shared" si="163"/>
        <v>0</v>
      </c>
      <c r="AG170" s="316">
        <f t="shared" si="163"/>
        <v>0</v>
      </c>
      <c r="AH170" s="316">
        <f t="shared" si="163"/>
        <v>0</v>
      </c>
      <c r="AI170" s="316">
        <f t="shared" si="163"/>
        <v>0</v>
      </c>
      <c r="AJ170" s="316">
        <f t="shared" si="163"/>
        <v>0</v>
      </c>
      <c r="AK170" s="316">
        <f t="shared" si="163"/>
        <v>0</v>
      </c>
      <c r="AL170" s="316">
        <f t="shared" si="163"/>
        <v>0</v>
      </c>
      <c r="AM170" s="316">
        <f t="shared" si="163"/>
        <v>0</v>
      </c>
      <c r="AN170" s="316">
        <f t="shared" si="163"/>
        <v>0</v>
      </c>
      <c r="AO170" s="316">
        <f t="shared" si="163"/>
        <v>0</v>
      </c>
      <c r="AP170" s="316">
        <f t="shared" si="163"/>
        <v>0</v>
      </c>
      <c r="AQ170" s="316">
        <f t="shared" si="163"/>
        <v>0</v>
      </c>
      <c r="AR170" s="316">
        <f t="shared" si="163"/>
        <v>0</v>
      </c>
      <c r="AS170" s="316">
        <f t="shared" si="163"/>
        <v>0</v>
      </c>
      <c r="AT170" s="335">
        <f t="shared" si="163"/>
        <v>0</v>
      </c>
    </row>
    <row r="171" spans="2:46" s="309" customFormat="1" ht="15" customHeight="1" x14ac:dyDescent="0.25">
      <c r="B171" s="323"/>
      <c r="C171" s="311"/>
      <c r="E171" s="331"/>
      <c r="F171" s="331"/>
      <c r="L171" s="401"/>
      <c r="M171" s="401"/>
      <c r="N171" s="401"/>
      <c r="O171" s="401"/>
      <c r="P171" s="401"/>
      <c r="Q171" s="401"/>
      <c r="R171" s="401"/>
      <c r="S171" s="401"/>
      <c r="T171" s="401"/>
      <c r="U171" s="401"/>
      <c r="V171" s="401"/>
      <c r="W171" s="401"/>
      <c r="X171" s="401"/>
      <c r="Y171" s="401"/>
      <c r="Z171" s="401"/>
      <c r="AA171" s="401"/>
      <c r="AB171" s="401"/>
      <c r="AC171" s="401"/>
      <c r="AD171" s="401"/>
      <c r="AE171" s="401"/>
      <c r="AF171" s="401"/>
      <c r="AG171" s="401"/>
      <c r="AH171" s="401"/>
      <c r="AI171" s="401"/>
      <c r="AJ171" s="401"/>
      <c r="AK171" s="401"/>
      <c r="AL171" s="401"/>
      <c r="AM171" s="401"/>
      <c r="AN171" s="401"/>
      <c r="AO171" s="401"/>
      <c r="AP171" s="401"/>
      <c r="AQ171" s="401"/>
      <c r="AR171" s="401"/>
      <c r="AS171" s="401"/>
      <c r="AT171" s="940"/>
    </row>
    <row r="172" spans="2:46" s="309" customFormat="1" ht="15" customHeight="1" x14ac:dyDescent="0.25">
      <c r="B172" s="315" t="s">
        <v>466</v>
      </c>
      <c r="C172" s="316"/>
      <c r="D172" s="392">
        <v>0.25600000000000001</v>
      </c>
      <c r="E172" s="331"/>
      <c r="F172" s="331"/>
      <c r="L172" s="401"/>
      <c r="M172" s="401"/>
      <c r="N172" s="401"/>
      <c r="O172" s="401"/>
      <c r="P172" s="401"/>
      <c r="Q172" s="401"/>
      <c r="R172" s="401"/>
      <c r="S172" s="401"/>
      <c r="T172" s="401"/>
      <c r="U172" s="401"/>
      <c r="V172" s="401"/>
      <c r="W172" s="401"/>
      <c r="X172" s="401"/>
      <c r="Y172" s="401"/>
      <c r="Z172" s="401"/>
      <c r="AA172" s="401"/>
      <c r="AB172" s="401"/>
      <c r="AC172" s="401"/>
      <c r="AD172" s="401"/>
      <c r="AE172" s="401"/>
      <c r="AF172" s="401"/>
      <c r="AG172" s="401"/>
      <c r="AH172" s="401"/>
      <c r="AI172" s="401"/>
      <c r="AJ172" s="401"/>
      <c r="AK172" s="401"/>
      <c r="AL172" s="401"/>
      <c r="AM172" s="401"/>
      <c r="AN172" s="401"/>
      <c r="AO172" s="401"/>
      <c r="AP172" s="401"/>
      <c r="AQ172" s="401"/>
      <c r="AR172" s="401"/>
      <c r="AS172" s="401"/>
      <c r="AT172" s="940"/>
    </row>
    <row r="173" spans="2:46" s="309" customFormat="1" ht="15" customHeight="1" x14ac:dyDescent="0.25">
      <c r="B173" s="315" t="s">
        <v>467</v>
      </c>
      <c r="C173" s="316"/>
      <c r="D173" s="316"/>
      <c r="E173" s="316"/>
      <c r="F173" s="316" t="s">
        <v>402</v>
      </c>
      <c r="G173" s="316"/>
      <c r="H173" s="316"/>
      <c r="I173" s="316"/>
      <c r="J173" s="408"/>
      <c r="K173" s="316"/>
      <c r="L173" s="316">
        <f>IF(L170&gt;0, L170*$D$172, 0)</f>
        <v>0</v>
      </c>
      <c r="M173" s="316">
        <f t="shared" ref="M173:AT173" si="164">IF(M170&gt;0, M170*$D$172, 0)</f>
        <v>0</v>
      </c>
      <c r="N173" s="316">
        <f t="shared" si="164"/>
        <v>0</v>
      </c>
      <c r="O173" s="316">
        <f t="shared" si="164"/>
        <v>0</v>
      </c>
      <c r="P173" s="316">
        <f t="shared" si="164"/>
        <v>0</v>
      </c>
      <c r="Q173" s="316">
        <f t="shared" si="164"/>
        <v>0</v>
      </c>
      <c r="R173" s="316">
        <f t="shared" si="164"/>
        <v>0</v>
      </c>
      <c r="S173" s="316">
        <f t="shared" si="164"/>
        <v>0</v>
      </c>
      <c r="T173" s="316">
        <f t="shared" si="164"/>
        <v>0</v>
      </c>
      <c r="U173" s="316">
        <f t="shared" si="164"/>
        <v>0</v>
      </c>
      <c r="V173" s="316">
        <f t="shared" si="164"/>
        <v>0</v>
      </c>
      <c r="W173" s="316">
        <f t="shared" si="164"/>
        <v>0</v>
      </c>
      <c r="X173" s="316">
        <f t="shared" si="164"/>
        <v>0</v>
      </c>
      <c r="Y173" s="316">
        <f t="shared" si="164"/>
        <v>0</v>
      </c>
      <c r="Z173" s="316">
        <f t="shared" si="164"/>
        <v>0</v>
      </c>
      <c r="AA173" s="316">
        <f t="shared" si="164"/>
        <v>0</v>
      </c>
      <c r="AB173" s="316">
        <f t="shared" si="164"/>
        <v>0</v>
      </c>
      <c r="AC173" s="316">
        <f t="shared" si="164"/>
        <v>0</v>
      </c>
      <c r="AD173" s="316">
        <f t="shared" si="164"/>
        <v>0</v>
      </c>
      <c r="AE173" s="316">
        <f t="shared" si="164"/>
        <v>0</v>
      </c>
      <c r="AF173" s="316">
        <f t="shared" si="164"/>
        <v>0</v>
      </c>
      <c r="AG173" s="316">
        <f t="shared" si="164"/>
        <v>0</v>
      </c>
      <c r="AH173" s="316">
        <f t="shared" si="164"/>
        <v>0</v>
      </c>
      <c r="AI173" s="316">
        <f t="shared" si="164"/>
        <v>0</v>
      </c>
      <c r="AJ173" s="316">
        <f t="shared" si="164"/>
        <v>0</v>
      </c>
      <c r="AK173" s="316">
        <f t="shared" si="164"/>
        <v>0</v>
      </c>
      <c r="AL173" s="316">
        <f t="shared" si="164"/>
        <v>0</v>
      </c>
      <c r="AM173" s="316">
        <f t="shared" si="164"/>
        <v>0</v>
      </c>
      <c r="AN173" s="316">
        <f t="shared" si="164"/>
        <v>0</v>
      </c>
      <c r="AO173" s="316">
        <f t="shared" si="164"/>
        <v>0</v>
      </c>
      <c r="AP173" s="316">
        <f t="shared" si="164"/>
        <v>0</v>
      </c>
      <c r="AQ173" s="316">
        <f t="shared" si="164"/>
        <v>0</v>
      </c>
      <c r="AR173" s="316">
        <f t="shared" si="164"/>
        <v>0</v>
      </c>
      <c r="AS173" s="316">
        <f t="shared" si="164"/>
        <v>0</v>
      </c>
      <c r="AT173" s="335">
        <f t="shared" si="164"/>
        <v>0</v>
      </c>
    </row>
    <row r="174" spans="2:46" s="309" customFormat="1" ht="15" customHeight="1" x14ac:dyDescent="0.25">
      <c r="B174" s="323"/>
      <c r="C174" s="311"/>
      <c r="D174" s="506"/>
      <c r="E174" s="353"/>
      <c r="F174" s="331"/>
      <c r="L174" s="401"/>
      <c r="M174" s="401"/>
      <c r="N174" s="401"/>
      <c r="O174" s="401"/>
      <c r="P174" s="401"/>
      <c r="Q174" s="401"/>
      <c r="R174" s="401"/>
      <c r="S174" s="401"/>
      <c r="T174" s="401"/>
      <c r="U174" s="401"/>
      <c r="V174" s="401"/>
      <c r="W174" s="401"/>
      <c r="X174" s="401"/>
      <c r="Y174" s="401"/>
      <c r="Z174" s="401"/>
      <c r="AA174" s="401"/>
      <c r="AB174" s="401"/>
      <c r="AC174" s="401"/>
      <c r="AD174" s="401"/>
      <c r="AE174" s="401"/>
      <c r="AF174" s="401"/>
      <c r="AG174" s="401"/>
      <c r="AH174" s="401"/>
      <c r="AI174" s="401"/>
      <c r="AJ174" s="401"/>
      <c r="AK174" s="401"/>
      <c r="AL174" s="401"/>
      <c r="AM174" s="401"/>
      <c r="AN174" s="401"/>
      <c r="AO174" s="401"/>
      <c r="AP174" s="401"/>
      <c r="AQ174" s="401"/>
      <c r="AR174" s="401"/>
      <c r="AS174" s="401"/>
      <c r="AT174" s="940"/>
    </row>
    <row r="175" spans="2:46" s="509" customFormat="1" ht="15" customHeight="1" x14ac:dyDescent="0.25">
      <c r="B175" s="340" t="s">
        <v>468</v>
      </c>
      <c r="C175" s="345"/>
      <c r="D175" s="345"/>
      <c r="E175" s="345"/>
      <c r="F175" s="316" t="s">
        <v>402</v>
      </c>
      <c r="G175" s="345"/>
      <c r="H175" s="345"/>
      <c r="I175" s="345"/>
      <c r="J175" s="837"/>
      <c r="K175" s="345"/>
      <c r="L175" s="345">
        <f t="shared" ref="L175:AT175" si="165">L170-L173</f>
        <v>0</v>
      </c>
      <c r="M175" s="345">
        <f>M170-M173</f>
        <v>0</v>
      </c>
      <c r="N175" s="345">
        <f t="shared" si="165"/>
        <v>0</v>
      </c>
      <c r="O175" s="345">
        <f t="shared" si="165"/>
        <v>0</v>
      </c>
      <c r="P175" s="345">
        <f t="shared" si="165"/>
        <v>0</v>
      </c>
      <c r="Q175" s="345">
        <f t="shared" si="165"/>
        <v>0</v>
      </c>
      <c r="R175" s="345">
        <f t="shared" si="165"/>
        <v>0</v>
      </c>
      <c r="S175" s="345">
        <f t="shared" si="165"/>
        <v>0</v>
      </c>
      <c r="T175" s="345">
        <f t="shared" si="165"/>
        <v>0</v>
      </c>
      <c r="U175" s="345">
        <f t="shared" si="165"/>
        <v>0</v>
      </c>
      <c r="V175" s="345">
        <f t="shared" si="165"/>
        <v>0</v>
      </c>
      <c r="W175" s="345">
        <f t="shared" si="165"/>
        <v>0</v>
      </c>
      <c r="X175" s="345">
        <f t="shared" si="165"/>
        <v>0</v>
      </c>
      <c r="Y175" s="345">
        <f t="shared" si="165"/>
        <v>0</v>
      </c>
      <c r="Z175" s="345">
        <f t="shared" si="165"/>
        <v>0</v>
      </c>
      <c r="AA175" s="345">
        <f t="shared" si="165"/>
        <v>0</v>
      </c>
      <c r="AB175" s="345">
        <f t="shared" si="165"/>
        <v>0</v>
      </c>
      <c r="AC175" s="345">
        <f t="shared" si="165"/>
        <v>0</v>
      </c>
      <c r="AD175" s="345">
        <f t="shared" si="165"/>
        <v>0</v>
      </c>
      <c r="AE175" s="345">
        <f t="shared" si="165"/>
        <v>0</v>
      </c>
      <c r="AF175" s="345">
        <f t="shared" si="165"/>
        <v>0</v>
      </c>
      <c r="AG175" s="345">
        <f t="shared" si="165"/>
        <v>0</v>
      </c>
      <c r="AH175" s="345">
        <f t="shared" si="165"/>
        <v>0</v>
      </c>
      <c r="AI175" s="345">
        <f t="shared" si="165"/>
        <v>0</v>
      </c>
      <c r="AJ175" s="345">
        <f t="shared" si="165"/>
        <v>0</v>
      </c>
      <c r="AK175" s="345">
        <f t="shared" si="165"/>
        <v>0</v>
      </c>
      <c r="AL175" s="345">
        <f t="shared" si="165"/>
        <v>0</v>
      </c>
      <c r="AM175" s="345">
        <f t="shared" si="165"/>
        <v>0</v>
      </c>
      <c r="AN175" s="345">
        <f t="shared" si="165"/>
        <v>0</v>
      </c>
      <c r="AO175" s="345">
        <f t="shared" si="165"/>
        <v>0</v>
      </c>
      <c r="AP175" s="345">
        <f t="shared" si="165"/>
        <v>0</v>
      </c>
      <c r="AQ175" s="345">
        <f t="shared" si="165"/>
        <v>0</v>
      </c>
      <c r="AR175" s="345">
        <f t="shared" si="165"/>
        <v>0</v>
      </c>
      <c r="AS175" s="345">
        <f t="shared" si="165"/>
        <v>0</v>
      </c>
      <c r="AT175" s="341">
        <f t="shared" si="165"/>
        <v>0</v>
      </c>
    </row>
    <row r="176" spans="2:46" s="309" customFormat="1" ht="15" customHeight="1" x14ac:dyDescent="0.25">
      <c r="B176" s="403"/>
      <c r="C176" s="311"/>
      <c r="E176" s="331"/>
      <c r="F176" s="331"/>
      <c r="L176" s="401"/>
      <c r="M176" s="401"/>
      <c r="N176" s="401"/>
      <c r="O176" s="401"/>
      <c r="P176" s="401"/>
      <c r="Q176" s="401"/>
      <c r="R176" s="401"/>
      <c r="S176" s="401"/>
      <c r="T176" s="401"/>
      <c r="U176" s="401"/>
      <c r="V176" s="401"/>
      <c r="W176" s="401"/>
      <c r="X176" s="401"/>
      <c r="Y176" s="401"/>
      <c r="Z176" s="401"/>
      <c r="AA176" s="401"/>
      <c r="AB176" s="401"/>
      <c r="AC176" s="401"/>
      <c r="AD176" s="401"/>
      <c r="AE176" s="401"/>
      <c r="AF176" s="401"/>
      <c r="AG176" s="401"/>
      <c r="AH176" s="401"/>
      <c r="AI176" s="401"/>
      <c r="AJ176" s="401"/>
      <c r="AK176" s="401"/>
      <c r="AL176" s="401"/>
      <c r="AM176" s="401"/>
      <c r="AN176" s="401"/>
      <c r="AO176" s="401"/>
      <c r="AP176" s="401"/>
      <c r="AQ176" s="401"/>
      <c r="AR176" s="401"/>
      <c r="AS176" s="401"/>
      <c r="AT176" s="940"/>
    </row>
    <row r="177" spans="2:46" s="309" customFormat="1" ht="15" customHeight="1" x14ac:dyDescent="0.25">
      <c r="B177" s="315" t="s">
        <v>469</v>
      </c>
      <c r="C177" s="316"/>
      <c r="D177" s="316"/>
      <c r="E177" s="316"/>
      <c r="F177" s="316" t="s">
        <v>402</v>
      </c>
      <c r="G177" s="345"/>
      <c r="H177" s="316"/>
      <c r="I177" s="316"/>
      <c r="J177" s="408"/>
      <c r="K177" s="316"/>
      <c r="L177" s="316">
        <f t="shared" ref="L177:AT177" si="166">L58+L77-L106-L137-L173</f>
        <v>0</v>
      </c>
      <c r="M177" s="316">
        <f t="shared" si="166"/>
        <v>0</v>
      </c>
      <c r="N177" s="316">
        <f t="shared" si="166"/>
        <v>0</v>
      </c>
      <c r="O177" s="316">
        <f t="shared" si="166"/>
        <v>0</v>
      </c>
      <c r="P177" s="316">
        <f t="shared" si="166"/>
        <v>0</v>
      </c>
      <c r="Q177" s="316">
        <f t="shared" si="166"/>
        <v>0</v>
      </c>
      <c r="R177" s="316">
        <f t="shared" si="166"/>
        <v>0</v>
      </c>
      <c r="S177" s="316">
        <f t="shared" si="166"/>
        <v>0</v>
      </c>
      <c r="T177" s="316">
        <f t="shared" si="166"/>
        <v>0</v>
      </c>
      <c r="U177" s="316">
        <f t="shared" si="166"/>
        <v>0</v>
      </c>
      <c r="V177" s="316">
        <f t="shared" si="166"/>
        <v>0</v>
      </c>
      <c r="W177" s="316">
        <f t="shared" si="166"/>
        <v>0</v>
      </c>
      <c r="X177" s="316">
        <f t="shared" si="166"/>
        <v>0</v>
      </c>
      <c r="Y177" s="316">
        <f t="shared" si="166"/>
        <v>0</v>
      </c>
      <c r="Z177" s="316">
        <f t="shared" si="166"/>
        <v>0</v>
      </c>
      <c r="AA177" s="316">
        <f t="shared" si="166"/>
        <v>0</v>
      </c>
      <c r="AB177" s="316">
        <f t="shared" si="166"/>
        <v>0</v>
      </c>
      <c r="AC177" s="316">
        <f t="shared" si="166"/>
        <v>0</v>
      </c>
      <c r="AD177" s="316">
        <f t="shared" si="166"/>
        <v>0</v>
      </c>
      <c r="AE177" s="316">
        <f t="shared" si="166"/>
        <v>0</v>
      </c>
      <c r="AF177" s="316">
        <f t="shared" si="166"/>
        <v>0</v>
      </c>
      <c r="AG177" s="316">
        <f t="shared" si="166"/>
        <v>0</v>
      </c>
      <c r="AH177" s="316">
        <f t="shared" si="166"/>
        <v>0</v>
      </c>
      <c r="AI177" s="316">
        <f t="shared" si="166"/>
        <v>0</v>
      </c>
      <c r="AJ177" s="316">
        <f t="shared" si="166"/>
        <v>0</v>
      </c>
      <c r="AK177" s="316">
        <f t="shared" si="166"/>
        <v>0</v>
      </c>
      <c r="AL177" s="316">
        <f t="shared" si="166"/>
        <v>0</v>
      </c>
      <c r="AM177" s="316">
        <f t="shared" si="166"/>
        <v>0</v>
      </c>
      <c r="AN177" s="316">
        <f t="shared" si="166"/>
        <v>0</v>
      </c>
      <c r="AO177" s="316">
        <f t="shared" si="166"/>
        <v>0</v>
      </c>
      <c r="AP177" s="316">
        <f t="shared" si="166"/>
        <v>0</v>
      </c>
      <c r="AQ177" s="316">
        <f t="shared" si="166"/>
        <v>0</v>
      </c>
      <c r="AR177" s="316">
        <f t="shared" si="166"/>
        <v>0</v>
      </c>
      <c r="AS177" s="316">
        <f t="shared" si="166"/>
        <v>0</v>
      </c>
      <c r="AT177" s="335">
        <f t="shared" si="166"/>
        <v>0</v>
      </c>
    </row>
    <row r="178" spans="2:46" s="309" customFormat="1" ht="15" customHeight="1" x14ac:dyDescent="0.25">
      <c r="B178" s="315" t="s">
        <v>470</v>
      </c>
      <c r="C178" s="316"/>
      <c r="D178" s="316"/>
      <c r="E178" s="316"/>
      <c r="F178" s="316" t="s">
        <v>402</v>
      </c>
      <c r="G178" s="345"/>
      <c r="H178" s="316"/>
      <c r="I178" s="316"/>
      <c r="J178" s="408"/>
      <c r="K178" s="316"/>
      <c r="L178" s="316">
        <f t="shared" ref="L178:AT178" si="167">L58+L77-L106-L137+L169-L173</f>
        <v>0</v>
      </c>
      <c r="M178" s="316">
        <f t="shared" si="167"/>
        <v>0</v>
      </c>
      <c r="N178" s="316">
        <f t="shared" si="167"/>
        <v>0</v>
      </c>
      <c r="O178" s="316">
        <f t="shared" si="167"/>
        <v>0</v>
      </c>
      <c r="P178" s="316">
        <f t="shared" si="167"/>
        <v>0</v>
      </c>
      <c r="Q178" s="316">
        <f t="shared" si="167"/>
        <v>0</v>
      </c>
      <c r="R178" s="316">
        <f t="shared" si="167"/>
        <v>0</v>
      </c>
      <c r="S178" s="316">
        <f t="shared" si="167"/>
        <v>0</v>
      </c>
      <c r="T178" s="316">
        <f t="shared" si="167"/>
        <v>0</v>
      </c>
      <c r="U178" s="316">
        <f t="shared" si="167"/>
        <v>0</v>
      </c>
      <c r="V178" s="316">
        <f t="shared" si="167"/>
        <v>0</v>
      </c>
      <c r="W178" s="316">
        <f t="shared" si="167"/>
        <v>0</v>
      </c>
      <c r="X178" s="316">
        <f t="shared" si="167"/>
        <v>0</v>
      </c>
      <c r="Y178" s="316">
        <f t="shared" si="167"/>
        <v>0</v>
      </c>
      <c r="Z178" s="316">
        <f t="shared" si="167"/>
        <v>0</v>
      </c>
      <c r="AA178" s="316">
        <f t="shared" si="167"/>
        <v>0</v>
      </c>
      <c r="AB178" s="316">
        <f t="shared" si="167"/>
        <v>0</v>
      </c>
      <c r="AC178" s="316">
        <f t="shared" si="167"/>
        <v>0</v>
      </c>
      <c r="AD178" s="316">
        <f t="shared" si="167"/>
        <v>0</v>
      </c>
      <c r="AE178" s="316">
        <f t="shared" si="167"/>
        <v>0</v>
      </c>
      <c r="AF178" s="316">
        <f t="shared" si="167"/>
        <v>0</v>
      </c>
      <c r="AG178" s="316">
        <f t="shared" si="167"/>
        <v>0</v>
      </c>
      <c r="AH178" s="316">
        <f t="shared" si="167"/>
        <v>0</v>
      </c>
      <c r="AI178" s="316">
        <f t="shared" si="167"/>
        <v>0</v>
      </c>
      <c r="AJ178" s="316">
        <f t="shared" si="167"/>
        <v>0</v>
      </c>
      <c r="AK178" s="316">
        <f t="shared" si="167"/>
        <v>0</v>
      </c>
      <c r="AL178" s="316">
        <f t="shared" si="167"/>
        <v>0</v>
      </c>
      <c r="AM178" s="316">
        <f t="shared" si="167"/>
        <v>0</v>
      </c>
      <c r="AN178" s="316">
        <f t="shared" si="167"/>
        <v>0</v>
      </c>
      <c r="AO178" s="316">
        <f t="shared" si="167"/>
        <v>0</v>
      </c>
      <c r="AP178" s="316">
        <f t="shared" si="167"/>
        <v>0</v>
      </c>
      <c r="AQ178" s="316">
        <f t="shared" si="167"/>
        <v>0</v>
      </c>
      <c r="AR178" s="316">
        <f t="shared" si="167"/>
        <v>0</v>
      </c>
      <c r="AS178" s="316">
        <f t="shared" si="167"/>
        <v>0</v>
      </c>
      <c r="AT178" s="335">
        <f t="shared" si="167"/>
        <v>0</v>
      </c>
    </row>
    <row r="179" spans="2:46" s="309" customFormat="1" ht="15" customHeight="1" x14ac:dyDescent="0.25">
      <c r="B179" s="315" t="s">
        <v>471</v>
      </c>
      <c r="C179" s="316"/>
      <c r="D179" s="316"/>
      <c r="E179" s="316"/>
      <c r="F179" s="316"/>
      <c r="G179" s="316"/>
      <c r="H179" s="316"/>
      <c r="I179" s="316"/>
      <c r="J179" s="316"/>
      <c r="K179" s="316"/>
      <c r="L179" s="316">
        <f t="shared" ref="L179:AT179" si="168">L58+L77-L106-L173</f>
        <v>0</v>
      </c>
      <c r="M179" s="316">
        <f t="shared" si="168"/>
        <v>0</v>
      </c>
      <c r="N179" s="316">
        <f t="shared" si="168"/>
        <v>0</v>
      </c>
      <c r="O179" s="316">
        <f t="shared" si="168"/>
        <v>0</v>
      </c>
      <c r="P179" s="316">
        <f t="shared" si="168"/>
        <v>0</v>
      </c>
      <c r="Q179" s="316">
        <f t="shared" si="168"/>
        <v>0</v>
      </c>
      <c r="R179" s="316">
        <f t="shared" si="168"/>
        <v>0</v>
      </c>
      <c r="S179" s="316">
        <f t="shared" si="168"/>
        <v>0</v>
      </c>
      <c r="T179" s="316">
        <f t="shared" si="168"/>
        <v>0</v>
      </c>
      <c r="U179" s="316">
        <f t="shared" si="168"/>
        <v>0</v>
      </c>
      <c r="V179" s="316">
        <f t="shared" si="168"/>
        <v>0</v>
      </c>
      <c r="W179" s="316">
        <f t="shared" si="168"/>
        <v>0</v>
      </c>
      <c r="X179" s="316">
        <f t="shared" si="168"/>
        <v>0</v>
      </c>
      <c r="Y179" s="316">
        <f t="shared" si="168"/>
        <v>0</v>
      </c>
      <c r="Z179" s="316">
        <f t="shared" si="168"/>
        <v>0</v>
      </c>
      <c r="AA179" s="316">
        <f t="shared" si="168"/>
        <v>0</v>
      </c>
      <c r="AB179" s="316">
        <f t="shared" si="168"/>
        <v>0</v>
      </c>
      <c r="AC179" s="316">
        <f t="shared" si="168"/>
        <v>0</v>
      </c>
      <c r="AD179" s="316">
        <f t="shared" si="168"/>
        <v>0</v>
      </c>
      <c r="AE179" s="316">
        <f t="shared" si="168"/>
        <v>0</v>
      </c>
      <c r="AF179" s="316">
        <f t="shared" si="168"/>
        <v>0</v>
      </c>
      <c r="AG179" s="316">
        <f t="shared" si="168"/>
        <v>0</v>
      </c>
      <c r="AH179" s="316">
        <f t="shared" si="168"/>
        <v>0</v>
      </c>
      <c r="AI179" s="316">
        <f t="shared" si="168"/>
        <v>0</v>
      </c>
      <c r="AJ179" s="316">
        <f t="shared" si="168"/>
        <v>0</v>
      </c>
      <c r="AK179" s="316">
        <f t="shared" si="168"/>
        <v>0</v>
      </c>
      <c r="AL179" s="316">
        <f t="shared" si="168"/>
        <v>0</v>
      </c>
      <c r="AM179" s="316">
        <f t="shared" si="168"/>
        <v>0</v>
      </c>
      <c r="AN179" s="316">
        <f t="shared" si="168"/>
        <v>0</v>
      </c>
      <c r="AO179" s="316">
        <f t="shared" si="168"/>
        <v>0</v>
      </c>
      <c r="AP179" s="316">
        <f t="shared" si="168"/>
        <v>0</v>
      </c>
      <c r="AQ179" s="316">
        <f t="shared" si="168"/>
        <v>0</v>
      </c>
      <c r="AR179" s="316">
        <f t="shared" si="168"/>
        <v>0</v>
      </c>
      <c r="AS179" s="316">
        <f t="shared" si="168"/>
        <v>0</v>
      </c>
      <c r="AT179" s="335">
        <f t="shared" si="168"/>
        <v>0</v>
      </c>
    </row>
    <row r="180" spans="2:46" s="309" customFormat="1" ht="15" customHeight="1" x14ac:dyDescent="0.25">
      <c r="B180" s="302"/>
      <c r="C180" s="283"/>
      <c r="D180" s="283"/>
      <c r="E180" s="283"/>
      <c r="F180" s="283"/>
      <c r="G180" s="283"/>
      <c r="H180" s="283"/>
      <c r="I180" s="283"/>
      <c r="J180" s="305"/>
      <c r="K180" s="283"/>
      <c r="L180" s="283"/>
      <c r="M180" s="283"/>
      <c r="N180" s="283"/>
      <c r="O180" s="283"/>
      <c r="P180" s="283"/>
      <c r="Q180" s="283"/>
      <c r="R180" s="283"/>
      <c r="S180" s="283"/>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300"/>
    </row>
    <row r="181" spans="2:46" s="309" customFormat="1" ht="15" customHeight="1" x14ac:dyDescent="0.25">
      <c r="B181" s="910" t="s">
        <v>472</v>
      </c>
      <c r="C181" s="911"/>
      <c r="D181" s="912">
        <f>IFERROR(IRR(L177:AT177,0%),0)</f>
        <v>0</v>
      </c>
      <c r="E181" s="283"/>
      <c r="F181" s="283"/>
      <c r="G181" s="283"/>
      <c r="H181" s="283"/>
      <c r="I181" s="283"/>
      <c r="J181" s="283"/>
      <c r="K181" s="283"/>
      <c r="L181" s="283"/>
      <c r="M181" s="283"/>
      <c r="N181" s="283"/>
      <c r="O181" s="283"/>
      <c r="P181" s="283"/>
      <c r="Q181" s="283"/>
      <c r="R181" s="283"/>
      <c r="S181" s="283"/>
      <c r="T181" s="283"/>
      <c r="U181" s="283"/>
      <c r="V181" s="283"/>
      <c r="W181" s="283"/>
      <c r="X181" s="283"/>
      <c r="Y181" s="283"/>
      <c r="Z181" s="283"/>
      <c r="AA181" s="283"/>
      <c r="AB181" s="283"/>
      <c r="AC181" s="283"/>
      <c r="AD181" s="283"/>
      <c r="AE181" s="283"/>
      <c r="AF181" s="283"/>
      <c r="AG181" s="283"/>
      <c r="AH181" s="283"/>
      <c r="AI181" s="283"/>
      <c r="AJ181" s="283"/>
      <c r="AK181" s="283"/>
      <c r="AL181" s="283"/>
      <c r="AM181" s="283"/>
      <c r="AN181" s="283"/>
      <c r="AO181" s="283"/>
      <c r="AP181" s="283"/>
      <c r="AQ181" s="283"/>
      <c r="AR181" s="283"/>
      <c r="AS181" s="283"/>
      <c r="AT181" s="300"/>
    </row>
    <row r="182" spans="2:46" s="309" customFormat="1" ht="15" customHeight="1" x14ac:dyDescent="0.25">
      <c r="B182" s="910" t="s">
        <v>473</v>
      </c>
      <c r="C182" s="911"/>
      <c r="D182" s="912">
        <f>IFERROR(IRR(L178:AT178,0%),0)</f>
        <v>0</v>
      </c>
      <c r="E182" s="331"/>
      <c r="F182" s="331"/>
      <c r="L182" s="401"/>
      <c r="M182" s="401"/>
      <c r="N182" s="401"/>
      <c r="O182" s="401"/>
      <c r="P182" s="401"/>
      <c r="Q182" s="401"/>
      <c r="R182" s="401"/>
      <c r="S182" s="401"/>
      <c r="T182" s="401"/>
      <c r="U182" s="401"/>
      <c r="V182" s="401"/>
      <c r="W182" s="401"/>
      <c r="X182" s="401"/>
      <c r="Y182" s="401"/>
      <c r="Z182" s="401"/>
      <c r="AA182" s="401"/>
      <c r="AB182" s="401"/>
      <c r="AC182" s="401"/>
      <c r="AD182" s="401"/>
      <c r="AE182" s="401"/>
      <c r="AF182" s="401"/>
      <c r="AG182" s="401"/>
      <c r="AH182" s="401"/>
      <c r="AI182" s="401"/>
      <c r="AJ182" s="401"/>
      <c r="AK182" s="401"/>
      <c r="AL182" s="401"/>
      <c r="AM182" s="401"/>
      <c r="AN182" s="401"/>
      <c r="AO182" s="401"/>
      <c r="AP182" s="401"/>
      <c r="AQ182" s="401"/>
      <c r="AR182" s="401"/>
      <c r="AS182" s="401"/>
      <c r="AT182" s="940"/>
    </row>
    <row r="183" spans="2:46" s="309" customFormat="1" ht="15" customHeight="1" x14ac:dyDescent="0.25">
      <c r="B183" s="323"/>
      <c r="C183" s="311"/>
      <c r="E183" s="331"/>
      <c r="F183" s="331"/>
      <c r="L183" s="401"/>
      <c r="M183" s="401"/>
      <c r="N183" s="401"/>
      <c r="O183" s="401"/>
      <c r="P183" s="401"/>
      <c r="Q183" s="401"/>
      <c r="R183" s="401"/>
      <c r="S183" s="401"/>
      <c r="T183" s="401"/>
      <c r="U183" s="401"/>
      <c r="V183" s="401"/>
      <c r="W183" s="401"/>
      <c r="X183" s="401"/>
      <c r="Y183" s="401"/>
      <c r="Z183" s="401"/>
      <c r="AA183" s="401"/>
      <c r="AB183" s="401"/>
      <c r="AC183" s="401"/>
      <c r="AD183" s="401"/>
      <c r="AE183" s="401"/>
      <c r="AF183" s="401"/>
      <c r="AG183" s="401"/>
      <c r="AH183" s="401"/>
      <c r="AI183" s="401"/>
      <c r="AJ183" s="401"/>
      <c r="AK183" s="401"/>
      <c r="AL183" s="401"/>
      <c r="AM183" s="401"/>
      <c r="AN183" s="401"/>
      <c r="AO183" s="401"/>
      <c r="AP183" s="401"/>
      <c r="AQ183" s="401"/>
      <c r="AR183" s="401"/>
      <c r="AS183" s="401"/>
      <c r="AT183" s="940"/>
    </row>
    <row r="184" spans="2:46" s="309" customFormat="1" ht="15" customHeight="1" x14ac:dyDescent="0.25">
      <c r="B184" s="315" t="s">
        <v>474</v>
      </c>
      <c r="C184" s="316"/>
      <c r="D184" s="316"/>
      <c r="E184" s="316"/>
      <c r="F184" s="316" t="s">
        <v>402</v>
      </c>
      <c r="G184" s="316"/>
      <c r="H184" s="316"/>
      <c r="I184" s="316"/>
      <c r="J184" s="316"/>
      <c r="K184" s="316"/>
      <c r="L184" s="316">
        <f>-Financiering!D100</f>
        <v>0</v>
      </c>
      <c r="M184" s="316">
        <f>-Financiering!E100</f>
        <v>0</v>
      </c>
      <c r="N184" s="316">
        <f>-Financiering!F100</f>
        <v>0</v>
      </c>
      <c r="O184" s="316">
        <f>-Financiering!G100</f>
        <v>0</v>
      </c>
      <c r="P184" s="316">
        <f>-Financiering!H100</f>
        <v>0</v>
      </c>
      <c r="Q184" s="316">
        <f>-Financiering!I100</f>
        <v>0</v>
      </c>
      <c r="R184" s="316">
        <f>-Financiering!J100</f>
        <v>0</v>
      </c>
      <c r="S184" s="316">
        <f>-Financiering!M100</f>
        <v>0</v>
      </c>
      <c r="T184" s="316">
        <f>-Financiering!N100</f>
        <v>0</v>
      </c>
      <c r="U184" s="316">
        <f>-Financiering!O100</f>
        <v>0</v>
      </c>
      <c r="V184" s="316">
        <f>-Financiering!P100</f>
        <v>0</v>
      </c>
      <c r="W184" s="316">
        <f>-Financiering!Q100</f>
        <v>0</v>
      </c>
      <c r="X184" s="316">
        <f>-Financiering!R100</f>
        <v>0</v>
      </c>
      <c r="Y184" s="316">
        <f>-Financiering!S100</f>
        <v>0</v>
      </c>
      <c r="Z184" s="316">
        <f>-Financiering!T100</f>
        <v>0</v>
      </c>
      <c r="AA184" s="316">
        <f>-Financiering!U100</f>
        <v>0</v>
      </c>
      <c r="AB184" s="316">
        <f>-Financiering!V100</f>
        <v>0</v>
      </c>
      <c r="AC184" s="316">
        <f>-Financiering!W100</f>
        <v>0</v>
      </c>
      <c r="AD184" s="316">
        <f>-Financiering!X100</f>
        <v>0</v>
      </c>
      <c r="AE184" s="316">
        <f>-Financiering!Y100</f>
        <v>0</v>
      </c>
      <c r="AF184" s="316">
        <f>-Financiering!Z100</f>
        <v>0</v>
      </c>
      <c r="AG184" s="316">
        <f>-Financiering!AA100</f>
        <v>0</v>
      </c>
      <c r="AH184" s="316">
        <f>-Financiering!AB100</f>
        <v>0</v>
      </c>
      <c r="AI184" s="316">
        <f>-Financiering!AC100</f>
        <v>0</v>
      </c>
      <c r="AJ184" s="316">
        <f>-Financiering!AD100</f>
        <v>0</v>
      </c>
      <c r="AK184" s="316">
        <f>-Financiering!AE100</f>
        <v>0</v>
      </c>
      <c r="AL184" s="316">
        <f>-Financiering!AF100</f>
        <v>0</v>
      </c>
      <c r="AM184" s="316">
        <f>-Financiering!AG100</f>
        <v>0</v>
      </c>
      <c r="AN184" s="316">
        <f>-Financiering!AH100</f>
        <v>0</v>
      </c>
      <c r="AO184" s="316">
        <f>-Financiering!AI100</f>
        <v>0</v>
      </c>
      <c r="AP184" s="316">
        <f>-Financiering!AJ100</f>
        <v>0</v>
      </c>
      <c r="AQ184" s="316">
        <f>-Financiering!AK100</f>
        <v>0</v>
      </c>
      <c r="AR184" s="316">
        <f>-Financiering!AL100</f>
        <v>0</v>
      </c>
      <c r="AS184" s="316">
        <f>-Financiering!AM100</f>
        <v>0</v>
      </c>
      <c r="AT184" s="335">
        <f>-Financiering!AN100</f>
        <v>0</v>
      </c>
    </row>
    <row r="185" spans="2:46" s="309" customFormat="1" ht="15" customHeight="1" x14ac:dyDescent="0.25">
      <c r="B185" s="302" t="s">
        <v>475</v>
      </c>
      <c r="C185" s="283"/>
      <c r="D185" s="331"/>
      <c r="E185" s="316"/>
      <c r="F185" s="316" t="s">
        <v>402</v>
      </c>
      <c r="G185" s="316"/>
      <c r="H185" s="316"/>
      <c r="I185" s="316"/>
      <c r="J185" s="316"/>
      <c r="K185" s="316"/>
      <c r="L185" s="316">
        <f t="shared" ref="L185:AT185" si="169">L184+L175+L151-L154-L168</f>
        <v>0</v>
      </c>
      <c r="M185" s="316">
        <f t="shared" si="169"/>
        <v>0</v>
      </c>
      <c r="N185" s="316">
        <f t="shared" si="169"/>
        <v>0</v>
      </c>
      <c r="O185" s="316">
        <f t="shared" si="169"/>
        <v>0</v>
      </c>
      <c r="P185" s="316">
        <f t="shared" si="169"/>
        <v>0</v>
      </c>
      <c r="Q185" s="316">
        <f t="shared" si="169"/>
        <v>0</v>
      </c>
      <c r="R185" s="316">
        <f t="shared" si="169"/>
        <v>0</v>
      </c>
      <c r="S185" s="316">
        <f t="shared" si="169"/>
        <v>0</v>
      </c>
      <c r="T185" s="316">
        <f t="shared" si="169"/>
        <v>0</v>
      </c>
      <c r="U185" s="316">
        <f t="shared" si="169"/>
        <v>0</v>
      </c>
      <c r="V185" s="316">
        <f t="shared" si="169"/>
        <v>0</v>
      </c>
      <c r="W185" s="316">
        <f t="shared" si="169"/>
        <v>0</v>
      </c>
      <c r="X185" s="316">
        <f t="shared" si="169"/>
        <v>0</v>
      </c>
      <c r="Y185" s="316">
        <f t="shared" si="169"/>
        <v>0</v>
      </c>
      <c r="Z185" s="316">
        <f t="shared" si="169"/>
        <v>0</v>
      </c>
      <c r="AA185" s="316">
        <f t="shared" si="169"/>
        <v>0</v>
      </c>
      <c r="AB185" s="316">
        <f t="shared" si="169"/>
        <v>0</v>
      </c>
      <c r="AC185" s="316">
        <f t="shared" si="169"/>
        <v>0</v>
      </c>
      <c r="AD185" s="316">
        <f t="shared" si="169"/>
        <v>0</v>
      </c>
      <c r="AE185" s="316">
        <f t="shared" si="169"/>
        <v>0</v>
      </c>
      <c r="AF185" s="316">
        <f t="shared" si="169"/>
        <v>0</v>
      </c>
      <c r="AG185" s="316">
        <f t="shared" si="169"/>
        <v>0</v>
      </c>
      <c r="AH185" s="316">
        <f t="shared" si="169"/>
        <v>0</v>
      </c>
      <c r="AI185" s="316">
        <f t="shared" si="169"/>
        <v>0</v>
      </c>
      <c r="AJ185" s="316">
        <f t="shared" si="169"/>
        <v>0</v>
      </c>
      <c r="AK185" s="316">
        <f t="shared" si="169"/>
        <v>0</v>
      </c>
      <c r="AL185" s="316">
        <f t="shared" si="169"/>
        <v>0</v>
      </c>
      <c r="AM185" s="316">
        <f t="shared" si="169"/>
        <v>0</v>
      </c>
      <c r="AN185" s="316">
        <f t="shared" si="169"/>
        <v>0</v>
      </c>
      <c r="AO185" s="316">
        <f t="shared" si="169"/>
        <v>0</v>
      </c>
      <c r="AP185" s="316">
        <f t="shared" si="169"/>
        <v>0</v>
      </c>
      <c r="AQ185" s="316">
        <f t="shared" si="169"/>
        <v>0</v>
      </c>
      <c r="AR185" s="316">
        <f t="shared" si="169"/>
        <v>0</v>
      </c>
      <c r="AS185" s="316">
        <f t="shared" si="169"/>
        <v>0</v>
      </c>
      <c r="AT185" s="335">
        <f t="shared" si="169"/>
        <v>0</v>
      </c>
    </row>
    <row r="186" spans="2:46" s="309" customFormat="1" ht="15" customHeight="1" x14ac:dyDescent="0.25">
      <c r="B186" s="910" t="s">
        <v>476</v>
      </c>
      <c r="C186" s="911"/>
      <c r="D186" s="912">
        <f>IFERROR(IRR(L185:AT185,0%),0)</f>
        <v>0</v>
      </c>
      <c r="E186" s="331"/>
      <c r="F186" s="331"/>
      <c r="L186" s="401"/>
      <c r="M186" s="401"/>
      <c r="N186" s="401"/>
      <c r="O186" s="401"/>
      <c r="P186" s="401"/>
      <c r="Q186" s="401"/>
      <c r="R186" s="401"/>
      <c r="S186" s="401"/>
      <c r="T186" s="401"/>
      <c r="U186" s="401"/>
      <c r="V186" s="401"/>
      <c r="W186" s="401"/>
      <c r="X186" s="401"/>
      <c r="Y186" s="401"/>
      <c r="Z186" s="401"/>
      <c r="AA186" s="401"/>
      <c r="AB186" s="401"/>
      <c r="AC186" s="401"/>
      <c r="AD186" s="401"/>
      <c r="AE186" s="401"/>
      <c r="AF186" s="401"/>
      <c r="AG186" s="401"/>
      <c r="AH186" s="401"/>
      <c r="AI186" s="401"/>
      <c r="AJ186" s="401"/>
      <c r="AK186" s="401"/>
      <c r="AL186" s="401"/>
      <c r="AM186" s="401"/>
      <c r="AN186" s="401"/>
      <c r="AO186" s="401"/>
      <c r="AP186" s="401"/>
      <c r="AQ186" s="401"/>
      <c r="AR186" s="401"/>
      <c r="AS186" s="401"/>
      <c r="AT186" s="940"/>
    </row>
    <row r="187" spans="2:46" s="309" customFormat="1" ht="15" customHeight="1" x14ac:dyDescent="0.25">
      <c r="B187" s="323"/>
      <c r="C187" s="311"/>
      <c r="E187" s="331"/>
      <c r="F187" s="331"/>
      <c r="L187" s="401"/>
      <c r="M187" s="401"/>
      <c r="N187" s="401"/>
      <c r="O187" s="401"/>
      <c r="P187" s="401"/>
      <c r="Q187" s="401"/>
      <c r="R187" s="401"/>
      <c r="S187" s="401"/>
      <c r="T187" s="401"/>
      <c r="U187" s="401"/>
      <c r="V187" s="401"/>
      <c r="W187" s="401"/>
      <c r="X187" s="401"/>
      <c r="Y187" s="401"/>
      <c r="Z187" s="401"/>
      <c r="AA187" s="401"/>
      <c r="AB187" s="401"/>
      <c r="AC187" s="401"/>
      <c r="AD187" s="401"/>
      <c r="AE187" s="401"/>
      <c r="AF187" s="401"/>
      <c r="AG187" s="401"/>
      <c r="AH187" s="401"/>
      <c r="AI187" s="401"/>
      <c r="AJ187" s="401"/>
      <c r="AK187" s="401"/>
      <c r="AL187" s="401"/>
      <c r="AM187" s="401"/>
      <c r="AN187" s="401"/>
      <c r="AO187" s="401"/>
      <c r="AP187" s="401"/>
      <c r="AQ187" s="401"/>
      <c r="AR187" s="401"/>
      <c r="AS187" s="401"/>
      <c r="AT187" s="940"/>
    </row>
    <row r="188" spans="2:46" s="309" customFormat="1" ht="15" customHeight="1" x14ac:dyDescent="0.25">
      <c r="B188" s="302" t="s">
        <v>477</v>
      </c>
      <c r="C188" s="283"/>
      <c r="D188" s="331"/>
      <c r="E188" s="316"/>
      <c r="F188" s="316" t="s">
        <v>478</v>
      </c>
      <c r="G188" s="316"/>
      <c r="H188" s="316"/>
      <c r="I188" s="316"/>
      <c r="J188" s="316"/>
      <c r="K188" s="316"/>
      <c r="L188" s="835" t="str">
        <f>IF(Financiering!$C$35&lt;100%,IF((L167+L168)&lt;0.1,"n.v.t.",L179/(L167+L168)),"n.v.t.")</f>
        <v>n.v.t.</v>
      </c>
      <c r="M188" s="835" t="str">
        <f>IF(Financiering!$C$35&lt;100%,IF((M167+M168)&lt;0.1,"n.v.t.",M179/(M167+M168)),"n.v.t.")</f>
        <v>n.v.t.</v>
      </c>
      <c r="N188" s="835" t="str">
        <f>IF(Financiering!$C$35&lt;100%,IF((N167+N168)&lt;0.1,"n.v.t.",N179/(N167+N168)),"n.v.t.")</f>
        <v>n.v.t.</v>
      </c>
      <c r="O188" s="835" t="str">
        <f>IF(Financiering!$C$35&lt;100%,IF((O167+O168)&lt;0.1,"n.v.t.",O179/(O167+O168)),"n.v.t.")</f>
        <v>n.v.t.</v>
      </c>
      <c r="P188" s="835" t="str">
        <f>IF(Financiering!$C$35&lt;100%,IF((P167+P168)&lt;0.1,"n.v.t.",P179/(P167+P168)),"n.v.t.")</f>
        <v>n.v.t.</v>
      </c>
      <c r="Q188" s="835" t="str">
        <f>IF(Financiering!$C$35&lt;100%,IF((Q167+Q168)&lt;0.1,"n.v.t.",Q179/(Q167+Q168)),"n.v.t.")</f>
        <v>n.v.t.</v>
      </c>
      <c r="R188" s="835" t="str">
        <f>IF(Financiering!$C$35&lt;100%,IF((R167+R168)&lt;0.1,"n.v.t.",R179/(R167+R168)),"n.v.t.")</f>
        <v>n.v.t.</v>
      </c>
      <c r="S188" s="835" t="str">
        <f>IF(Financiering!$C$35&lt;100%,IF((S167+S168)&lt;0.1,"n.v.t.",S179/(S167+S168)),"n.v.t.")</f>
        <v>n.v.t.</v>
      </c>
      <c r="T188" s="835" t="str">
        <f>IF(Financiering!$C$35&lt;100%,IF((T167+T168)&lt;0.1,"n.v.t.",T179/(T167+T168)),"n.v.t.")</f>
        <v>n.v.t.</v>
      </c>
      <c r="U188" s="835" t="str">
        <f>IF(Financiering!$C$35&lt;100%,IF((U167+U168)&lt;0.1,"n.v.t.",U179/(U167+U168)),"n.v.t.")</f>
        <v>n.v.t.</v>
      </c>
      <c r="V188" s="835" t="str">
        <f>IF(Financiering!$C$35&lt;100%,IF((V167+V168)&lt;0.1,"n.v.t.",V179/(V167+V168)),"n.v.t.")</f>
        <v>n.v.t.</v>
      </c>
      <c r="W188" s="835" t="str">
        <f>IF(Financiering!$C$35&lt;100%,IF((W167+W168)&lt;0.1,"n.v.t.",W179/(W167+W168)),"n.v.t.")</f>
        <v>n.v.t.</v>
      </c>
      <c r="X188" s="835" t="str">
        <f>IF(Financiering!$C$35&lt;100%,IF((X167+X168)&lt;0.1,"n.v.t.",X179/(X167+X168)),"n.v.t.")</f>
        <v>n.v.t.</v>
      </c>
      <c r="Y188" s="835" t="str">
        <f>IF(Financiering!$C$35&lt;100%,IF((Y167+Y168)&lt;0.1,"n.v.t.",Y179/(Y167+Y168)),"n.v.t.")</f>
        <v>n.v.t.</v>
      </c>
      <c r="Z188" s="835" t="str">
        <f>IF(Financiering!$C$35&lt;100%,IF((Z167+Z168)&lt;0.1,"n.v.t.",Z179/(Z167+Z168)),"n.v.t.")</f>
        <v>n.v.t.</v>
      </c>
      <c r="AA188" s="835" t="str">
        <f>IF(Financiering!$C$35&lt;100%,IF((AA167+AA168)&lt;0.1,"n.v.t.",AA179/(AA167+AA168)),"n.v.t.")</f>
        <v>n.v.t.</v>
      </c>
      <c r="AB188" s="835" t="str">
        <f>IF(Financiering!$C$35&lt;100%,IF((AB167+AB168)&lt;0.1,"n.v.t.",AB179/(AB167+AB168)),"n.v.t.")</f>
        <v>n.v.t.</v>
      </c>
      <c r="AC188" s="835" t="str">
        <f>IF(Financiering!$C$35&lt;100%,IF((AC167+AC168)&lt;0.1,"n.v.t.",AC179/(AC167+AC168)),"n.v.t.")</f>
        <v>n.v.t.</v>
      </c>
      <c r="AD188" s="835" t="str">
        <f>IF(Financiering!$C$35&lt;100%,IF((AD167+AD168)&lt;0.1,"n.v.t.",AD179/(AD167+AD168)),"n.v.t.")</f>
        <v>n.v.t.</v>
      </c>
      <c r="AE188" s="835" t="str">
        <f>IF(Financiering!$C$35&lt;100%,IF((AE167+AE168)&lt;0.1,"n.v.t.",AE179/(AE167+AE168)),"n.v.t.")</f>
        <v>n.v.t.</v>
      </c>
      <c r="AF188" s="835" t="str">
        <f>IF(Financiering!$C$35&lt;100%,IF((AF167+AF168)&lt;0.1,"n.v.t.",AF179/(AF167+AF168)),"n.v.t.")</f>
        <v>n.v.t.</v>
      </c>
      <c r="AG188" s="835" t="str">
        <f>IF(Financiering!$C$35&lt;100%,IF((AG167+AG168)&lt;0.1,"n.v.t.",AG179/(AG167+AG168)),"n.v.t.")</f>
        <v>n.v.t.</v>
      </c>
      <c r="AH188" s="835" t="str">
        <f>IF(Financiering!$C$35&lt;100%,IF((AH167+AH168)&lt;0.1,"n.v.t.",AH179/(AH167+AH168)),"n.v.t.")</f>
        <v>n.v.t.</v>
      </c>
      <c r="AI188" s="835" t="str">
        <f>IF(Financiering!$C$35&lt;100%,IF((AI167+AI168)&lt;0.1,"n.v.t.",AI179/(AI167+AI168)),"n.v.t.")</f>
        <v>n.v.t.</v>
      </c>
      <c r="AJ188" s="835" t="str">
        <f>IF(Financiering!$C$35&lt;100%,IF((AJ167+AJ168)&lt;0.1,"n.v.t.",AJ179/(AJ167+AJ168)),"n.v.t.")</f>
        <v>n.v.t.</v>
      </c>
      <c r="AK188" s="835" t="str">
        <f>IF(Financiering!$C$35&lt;100%,IF((AK167+AK168)&lt;0.1,"n.v.t.",AK179/(AK167+AK168)),"n.v.t.")</f>
        <v>n.v.t.</v>
      </c>
      <c r="AL188" s="835" t="str">
        <f>IF(Financiering!$C$35&lt;100%,IF((AL167+AL168)&lt;0.1,"n.v.t.",AL179/(AL167+AL168)),"n.v.t.")</f>
        <v>n.v.t.</v>
      </c>
      <c r="AM188" s="835" t="str">
        <f>IF(Financiering!$C$35&lt;100%,IF((AM167+AM168)&lt;0.1,"n.v.t.",AM179/(AM167+AM168)),"n.v.t.")</f>
        <v>n.v.t.</v>
      </c>
      <c r="AN188" s="835" t="str">
        <f>IF(Financiering!$C$35&lt;100%,IF((AN167+AN168)&lt;0.1,"n.v.t.",AN179/(AN167+AN168)),"n.v.t.")</f>
        <v>n.v.t.</v>
      </c>
      <c r="AO188" s="835" t="str">
        <f>IF(Financiering!$C$35&lt;100%,IF((AO167+AO168)&lt;0.1,"n.v.t.",AO179/(AO167+AO168)),"n.v.t.")</f>
        <v>n.v.t.</v>
      </c>
      <c r="AP188" s="835" t="str">
        <f>IF(Financiering!$C$35&lt;100%,IF((AP167+AP168)&lt;0.1,"n.v.t.",AP179/(AP167+AP168)),"n.v.t.")</f>
        <v>n.v.t.</v>
      </c>
      <c r="AQ188" s="835" t="str">
        <f>IF(Financiering!$C$35&lt;100%,IF((AQ167+AQ168)&lt;0.1,"n.v.t.",AQ179/(AQ167+AQ168)),"n.v.t.")</f>
        <v>n.v.t.</v>
      </c>
      <c r="AR188" s="835" t="str">
        <f>IF(Financiering!$C$35&lt;100%,IF((AR167+AR168)&lt;0.1,"n.v.t.",AR179/(AR167+AR168)),"n.v.t.")</f>
        <v>n.v.t.</v>
      </c>
      <c r="AS188" s="835" t="str">
        <f>IF(Financiering!$C$35&lt;100%,IF((AS167+AS168)&lt;0.1,"n.v.t.",AS179/(AS167+AS168)),"n.v.t.")</f>
        <v>n.v.t.</v>
      </c>
      <c r="AT188" s="941" t="str">
        <f>IF(Financiering!$C$35&lt;100%,IF((AT167+AT168)&lt;0.1,"n.v.t.",AT179/(AT167+AT168)),"n.v.t.")</f>
        <v>n.v.t.</v>
      </c>
    </row>
    <row r="189" spans="2:46" s="309" customFormat="1" ht="15" customHeight="1" x14ac:dyDescent="0.25">
      <c r="B189" s="910" t="s">
        <v>479</v>
      </c>
      <c r="C189" s="911"/>
      <c r="D189" s="913">
        <f>IFERROR(HLOOKUP(MAX(Financiering!L25:L32),Exploitatieberekening!L$156:AT$189,34,FALSE),0)</f>
        <v>0</v>
      </c>
      <c r="E189" s="331"/>
      <c r="F189" s="331" t="s">
        <v>480</v>
      </c>
      <c r="L189" s="836" t="str">
        <f>IFERROR(SUM($L179:L179)/(SUM($L167:L167)+SUM($L168:L168)),"n.v.t.")</f>
        <v>n.v.t.</v>
      </c>
      <c r="M189" s="836" t="str">
        <f>IFERROR(SUM($L179:M179)/(SUM($L167:M167)+SUM($L168:M168)),"n.v.t.")</f>
        <v>n.v.t.</v>
      </c>
      <c r="N189" s="836" t="str">
        <f>IFERROR(SUM($L179:N179)/(SUM($L167:N167)+SUM($L168:N168)),"n.v.t.")</f>
        <v>n.v.t.</v>
      </c>
      <c r="O189" s="836" t="str">
        <f>IFERROR(SUM($L179:O179)/(SUM($L167:O167)+SUM($L168:O168)),"n.v.t.")</f>
        <v>n.v.t.</v>
      </c>
      <c r="P189" s="836" t="str">
        <f>IFERROR(SUM($L179:P179)/(SUM($L167:P167)+SUM($L168:P168)),"n.v.t.")</f>
        <v>n.v.t.</v>
      </c>
      <c r="Q189" s="836" t="str">
        <f>IFERROR(SUM($L179:Q179)/(SUM($L167:Q167)+SUM($L168:Q168)),"n.v.t.")</f>
        <v>n.v.t.</v>
      </c>
      <c r="R189" s="836" t="str">
        <f>IFERROR(SUM($L179:R179)/(SUM($L167:R167)+SUM($L168:R168)),"n.v.t.")</f>
        <v>n.v.t.</v>
      </c>
      <c r="S189" s="836" t="str">
        <f>IFERROR(SUM($L179:S179)/(SUM($L167:S167)+SUM($L168:S168)),"n.v.t.")</f>
        <v>n.v.t.</v>
      </c>
      <c r="T189" s="836" t="str">
        <f>IFERROR(SUM($L179:T179)/(SUM($L167:T167)+SUM($L168:T168)),"n.v.t.")</f>
        <v>n.v.t.</v>
      </c>
      <c r="U189" s="836" t="str">
        <f>IFERROR(SUM($L179:U179)/(SUM($L167:U167)+SUM($L168:U168)),"n.v.t.")</f>
        <v>n.v.t.</v>
      </c>
      <c r="V189" s="836" t="str">
        <f>IFERROR(SUM($L179:V179)/(SUM($L167:V167)+SUM($L168:V168)),"n.v.t.")</f>
        <v>n.v.t.</v>
      </c>
      <c r="W189" s="836" t="str">
        <f>IFERROR(SUM($L179:W179)/(SUM($L167:W167)+SUM($L168:W168)),"n.v.t.")</f>
        <v>n.v.t.</v>
      </c>
      <c r="X189" s="836" t="str">
        <f>IFERROR(SUM($L179:X179)/(SUM($L167:X167)+SUM($L168:X168)),"n.v.t.")</f>
        <v>n.v.t.</v>
      </c>
      <c r="Y189" s="836" t="str">
        <f>IFERROR(SUM($L179:Y179)/(SUM($L167:Y167)+SUM($L168:Y168)),"n.v.t.")</f>
        <v>n.v.t.</v>
      </c>
      <c r="Z189" s="836" t="str">
        <f>IFERROR(SUM($L179:Z179)/(SUM($L167:Z167)+SUM($L168:Z168)),"n.v.t.")</f>
        <v>n.v.t.</v>
      </c>
      <c r="AA189" s="836" t="str">
        <f>IFERROR(SUM($L179:AA179)/(SUM($L167:AA167)+SUM($L168:AA168)),"n.v.t.")</f>
        <v>n.v.t.</v>
      </c>
      <c r="AB189" s="836" t="str">
        <f>IFERROR(SUM($L179:AB179)/(SUM($L167:AB167)+SUM($L168:AB168)),"n.v.t.")</f>
        <v>n.v.t.</v>
      </c>
      <c r="AC189" s="836" t="str">
        <f>IFERROR(SUM($L179:AC179)/(SUM($L167:AC167)+SUM($L168:AC168)),"n.v.t.")</f>
        <v>n.v.t.</v>
      </c>
      <c r="AD189" s="836" t="str">
        <f>IFERROR(SUM($L179:AD179)/(SUM($L167:AD167)+SUM($L168:AD168)),"n.v.t.")</f>
        <v>n.v.t.</v>
      </c>
      <c r="AE189" s="836" t="str">
        <f>IFERROR(SUM($L179:AE179)/(SUM($L167:AE167)+SUM($L168:AE168)),"n.v.t.")</f>
        <v>n.v.t.</v>
      </c>
      <c r="AF189" s="836" t="str">
        <f>IFERROR(SUM($L179:AF179)/(SUM($L167:AF167)+SUM($L168:AF168)),"n.v.t.")</f>
        <v>n.v.t.</v>
      </c>
      <c r="AG189" s="836" t="str">
        <f>IFERROR(SUM($L179:AG179)/(SUM($L167:AG167)+SUM($L168:AG168)),"n.v.t.")</f>
        <v>n.v.t.</v>
      </c>
      <c r="AH189" s="836" t="str">
        <f>IFERROR(SUM($L179:AH179)/(SUM($L167:AH167)+SUM($L168:AH168)),"n.v.t.")</f>
        <v>n.v.t.</v>
      </c>
      <c r="AI189" s="836" t="str">
        <f>IFERROR(SUM($L179:AI179)/(SUM($L167:AI167)+SUM($L168:AI168)),"n.v.t.")</f>
        <v>n.v.t.</v>
      </c>
      <c r="AJ189" s="836" t="str">
        <f>IFERROR(SUM($L179:AJ179)/(SUM($L167:AJ167)+SUM($L168:AJ168)),"n.v.t.")</f>
        <v>n.v.t.</v>
      </c>
      <c r="AK189" s="836" t="str">
        <f>IFERROR(SUM($L179:AK179)/(SUM($L167:AK167)+SUM($L168:AK168)),"n.v.t.")</f>
        <v>n.v.t.</v>
      </c>
      <c r="AL189" s="836" t="str">
        <f>IFERROR(SUM($L179:AL179)/(SUM($L167:AL167)+SUM($L168:AL168)),"n.v.t.")</f>
        <v>n.v.t.</v>
      </c>
      <c r="AM189" s="836" t="str">
        <f>IFERROR(SUM($L179:AM179)/(SUM($L167:AM167)+SUM($L168:AM168)),"n.v.t.")</f>
        <v>n.v.t.</v>
      </c>
      <c r="AN189" s="836" t="str">
        <f>IFERROR(SUM($L179:AN179)/(SUM($L167:AN167)+SUM($L168:AN168)),"n.v.t.")</f>
        <v>n.v.t.</v>
      </c>
      <c r="AO189" s="836" t="str">
        <f>IFERROR(SUM($L179:AO179)/(SUM($L167:AO167)+SUM($L168:AO168)),"n.v.t.")</f>
        <v>n.v.t.</v>
      </c>
      <c r="AP189" s="836" t="str">
        <f>IFERROR(SUM($L179:AP179)/(SUM($L167:AP167)+SUM($L168:AP168)),"n.v.t.")</f>
        <v>n.v.t.</v>
      </c>
      <c r="AQ189" s="836" t="str">
        <f>IFERROR(SUM($L179:AQ179)/(SUM($L167:AQ167)+SUM($L168:AQ168)),"n.v.t.")</f>
        <v>n.v.t.</v>
      </c>
      <c r="AR189" s="836" t="str">
        <f>IFERROR(SUM($L179:AR179)/(SUM($L167:AR167)+SUM($L168:AR168)),"n.v.t.")</f>
        <v>n.v.t.</v>
      </c>
      <c r="AS189" s="836" t="str">
        <f>IFERROR(SUM($L179:AS179)/(SUM($L167:AS167)+SUM($L168:AS168)),"n.v.t.")</f>
        <v>n.v.t.</v>
      </c>
      <c r="AT189" s="942" t="str">
        <f>IFERROR(SUM($L179:AT179)/(SUM($L167:AT167)+SUM($L168:AT168)),"n.v.t.")</f>
        <v>n.v.t.</v>
      </c>
    </row>
    <row r="190" spans="2:46" s="309" customFormat="1" ht="15" customHeight="1" x14ac:dyDescent="0.25">
      <c r="B190" s="323"/>
      <c r="C190" s="311"/>
      <c r="E190" s="331"/>
      <c r="F190" s="331"/>
      <c r="L190" s="401"/>
      <c r="M190" s="401"/>
      <c r="N190" s="401"/>
      <c r="O190" s="401"/>
      <c r="P190" s="401"/>
      <c r="Q190" s="401"/>
      <c r="R190" s="401"/>
      <c r="S190" s="401"/>
      <c r="T190" s="401"/>
      <c r="U190" s="401"/>
      <c r="V190" s="401"/>
      <c r="W190" s="401"/>
      <c r="X190" s="401"/>
      <c r="Y190" s="401"/>
      <c r="Z190" s="401"/>
      <c r="AA190" s="401"/>
      <c r="AB190" s="401"/>
      <c r="AC190" s="401"/>
      <c r="AD190" s="401"/>
      <c r="AE190" s="401"/>
      <c r="AF190" s="401"/>
      <c r="AG190" s="401"/>
      <c r="AH190" s="401"/>
      <c r="AI190" s="401"/>
      <c r="AJ190" s="401"/>
      <c r="AK190" s="401"/>
      <c r="AL190" s="401"/>
      <c r="AM190" s="401"/>
      <c r="AN190" s="401"/>
      <c r="AO190" s="401"/>
      <c r="AP190" s="401"/>
      <c r="AQ190" s="401"/>
      <c r="AR190" s="401"/>
      <c r="AS190" s="401"/>
      <c r="AT190" s="940"/>
    </row>
    <row r="191" spans="2:46" s="309" customFormat="1" ht="15" customHeight="1" x14ac:dyDescent="0.25">
      <c r="B191" s="315" t="s">
        <v>481</v>
      </c>
      <c r="C191" s="316"/>
      <c r="D191" s="348"/>
      <c r="E191" s="316"/>
      <c r="F191" s="316" t="s">
        <v>402</v>
      </c>
      <c r="G191" s="316"/>
      <c r="H191" s="316"/>
      <c r="I191" s="316"/>
      <c r="J191" s="316"/>
      <c r="K191" s="316"/>
      <c r="L191" s="316">
        <f>L177+L173</f>
        <v>0</v>
      </c>
      <c r="M191" s="316">
        <f t="shared" ref="M191:AT191" si="170">M177+M173</f>
        <v>0</v>
      </c>
      <c r="N191" s="316">
        <f t="shared" si="170"/>
        <v>0</v>
      </c>
      <c r="O191" s="316">
        <f t="shared" si="170"/>
        <v>0</v>
      </c>
      <c r="P191" s="316">
        <f t="shared" si="170"/>
        <v>0</v>
      </c>
      <c r="Q191" s="316">
        <f t="shared" si="170"/>
        <v>0</v>
      </c>
      <c r="R191" s="316">
        <f t="shared" si="170"/>
        <v>0</v>
      </c>
      <c r="S191" s="316">
        <f t="shared" si="170"/>
        <v>0</v>
      </c>
      <c r="T191" s="316">
        <f t="shared" si="170"/>
        <v>0</v>
      </c>
      <c r="U191" s="316">
        <f t="shared" si="170"/>
        <v>0</v>
      </c>
      <c r="V191" s="316">
        <f t="shared" si="170"/>
        <v>0</v>
      </c>
      <c r="W191" s="316">
        <f t="shared" si="170"/>
        <v>0</v>
      </c>
      <c r="X191" s="316">
        <f t="shared" si="170"/>
        <v>0</v>
      </c>
      <c r="Y191" s="316">
        <f t="shared" si="170"/>
        <v>0</v>
      </c>
      <c r="Z191" s="316">
        <f t="shared" si="170"/>
        <v>0</v>
      </c>
      <c r="AA191" s="316">
        <f t="shared" si="170"/>
        <v>0</v>
      </c>
      <c r="AB191" s="316">
        <f t="shared" si="170"/>
        <v>0</v>
      </c>
      <c r="AC191" s="316">
        <f t="shared" si="170"/>
        <v>0</v>
      </c>
      <c r="AD191" s="316">
        <f t="shared" si="170"/>
        <v>0</v>
      </c>
      <c r="AE191" s="316">
        <f t="shared" si="170"/>
        <v>0</v>
      </c>
      <c r="AF191" s="316">
        <f t="shared" si="170"/>
        <v>0</v>
      </c>
      <c r="AG191" s="316">
        <f t="shared" si="170"/>
        <v>0</v>
      </c>
      <c r="AH191" s="316">
        <f t="shared" si="170"/>
        <v>0</v>
      </c>
      <c r="AI191" s="316">
        <f t="shared" si="170"/>
        <v>0</v>
      </c>
      <c r="AJ191" s="316">
        <f t="shared" si="170"/>
        <v>0</v>
      </c>
      <c r="AK191" s="316">
        <f t="shared" si="170"/>
        <v>0</v>
      </c>
      <c r="AL191" s="316">
        <f t="shared" si="170"/>
        <v>0</v>
      </c>
      <c r="AM191" s="316">
        <f t="shared" si="170"/>
        <v>0</v>
      </c>
      <c r="AN191" s="316">
        <f t="shared" si="170"/>
        <v>0</v>
      </c>
      <c r="AO191" s="316">
        <f t="shared" si="170"/>
        <v>0</v>
      </c>
      <c r="AP191" s="316">
        <f t="shared" si="170"/>
        <v>0</v>
      </c>
      <c r="AQ191" s="316">
        <f t="shared" si="170"/>
        <v>0</v>
      </c>
      <c r="AR191" s="316">
        <f t="shared" si="170"/>
        <v>0</v>
      </c>
      <c r="AS191" s="316">
        <f t="shared" si="170"/>
        <v>0</v>
      </c>
      <c r="AT191" s="335">
        <f t="shared" si="170"/>
        <v>0</v>
      </c>
    </row>
    <row r="192" spans="2:46" s="309" customFormat="1" ht="15" customHeight="1" x14ac:dyDescent="0.25">
      <c r="B192" s="315" t="s">
        <v>482</v>
      </c>
      <c r="C192" s="316"/>
      <c r="D192" s="316"/>
      <c r="E192" s="316"/>
      <c r="F192" s="316" t="s">
        <v>402</v>
      </c>
      <c r="G192" s="316"/>
      <c r="H192" s="316"/>
      <c r="I192" s="316"/>
      <c r="J192" s="316"/>
      <c r="K192" s="316"/>
      <c r="L192" s="316">
        <f>L178+L173</f>
        <v>0</v>
      </c>
      <c r="M192" s="316">
        <f t="shared" ref="M192:AT192" si="171">M178+M173</f>
        <v>0</v>
      </c>
      <c r="N192" s="316">
        <f t="shared" si="171"/>
        <v>0</v>
      </c>
      <c r="O192" s="316">
        <f t="shared" si="171"/>
        <v>0</v>
      </c>
      <c r="P192" s="316">
        <f t="shared" si="171"/>
        <v>0</v>
      </c>
      <c r="Q192" s="316">
        <f t="shared" si="171"/>
        <v>0</v>
      </c>
      <c r="R192" s="316">
        <f t="shared" si="171"/>
        <v>0</v>
      </c>
      <c r="S192" s="316">
        <f t="shared" si="171"/>
        <v>0</v>
      </c>
      <c r="T192" s="316">
        <f t="shared" si="171"/>
        <v>0</v>
      </c>
      <c r="U192" s="316">
        <f t="shared" si="171"/>
        <v>0</v>
      </c>
      <c r="V192" s="316">
        <f t="shared" si="171"/>
        <v>0</v>
      </c>
      <c r="W192" s="316">
        <f t="shared" si="171"/>
        <v>0</v>
      </c>
      <c r="X192" s="316">
        <f t="shared" si="171"/>
        <v>0</v>
      </c>
      <c r="Y192" s="316">
        <f t="shared" si="171"/>
        <v>0</v>
      </c>
      <c r="Z192" s="316">
        <f t="shared" si="171"/>
        <v>0</v>
      </c>
      <c r="AA192" s="316">
        <f t="shared" si="171"/>
        <v>0</v>
      </c>
      <c r="AB192" s="316">
        <f t="shared" si="171"/>
        <v>0</v>
      </c>
      <c r="AC192" s="316">
        <f t="shared" si="171"/>
        <v>0</v>
      </c>
      <c r="AD192" s="316">
        <f t="shared" si="171"/>
        <v>0</v>
      </c>
      <c r="AE192" s="316">
        <f t="shared" si="171"/>
        <v>0</v>
      </c>
      <c r="AF192" s="316">
        <f t="shared" si="171"/>
        <v>0</v>
      </c>
      <c r="AG192" s="316">
        <f t="shared" si="171"/>
        <v>0</v>
      </c>
      <c r="AH192" s="316">
        <f t="shared" si="171"/>
        <v>0</v>
      </c>
      <c r="AI192" s="316">
        <f t="shared" si="171"/>
        <v>0</v>
      </c>
      <c r="AJ192" s="316">
        <f t="shared" si="171"/>
        <v>0</v>
      </c>
      <c r="AK192" s="316">
        <f t="shared" si="171"/>
        <v>0</v>
      </c>
      <c r="AL192" s="316">
        <f t="shared" si="171"/>
        <v>0</v>
      </c>
      <c r="AM192" s="316">
        <f t="shared" si="171"/>
        <v>0</v>
      </c>
      <c r="AN192" s="316">
        <f t="shared" si="171"/>
        <v>0</v>
      </c>
      <c r="AO192" s="316">
        <f t="shared" si="171"/>
        <v>0</v>
      </c>
      <c r="AP192" s="316">
        <f t="shared" si="171"/>
        <v>0</v>
      </c>
      <c r="AQ192" s="316">
        <f t="shared" si="171"/>
        <v>0</v>
      </c>
      <c r="AR192" s="316">
        <f t="shared" si="171"/>
        <v>0</v>
      </c>
      <c r="AS192" s="316">
        <f t="shared" si="171"/>
        <v>0</v>
      </c>
      <c r="AT192" s="335">
        <f t="shared" si="171"/>
        <v>0</v>
      </c>
    </row>
    <row r="193" spans="2:74" s="406" customFormat="1" ht="15" customHeight="1" x14ac:dyDescent="0.25">
      <c r="B193" s="503" t="s">
        <v>483</v>
      </c>
      <c r="C193" s="283"/>
      <c r="D193" s="283">
        <f>NPV($F193,L191:AT191)</f>
        <v>0</v>
      </c>
      <c r="E193" s="283"/>
      <c r="F193" s="841">
        <f>Rend_voor_bel</f>
        <v>6.8000000000000005E-2</v>
      </c>
      <c r="K193" s="405"/>
      <c r="M193" s="405"/>
      <c r="N193" s="404"/>
      <c r="O193" s="404"/>
      <c r="P193" s="404"/>
      <c r="Q193" s="404"/>
      <c r="R193" s="404"/>
      <c r="S193" s="404"/>
      <c r="T193" s="404"/>
      <c r="U193" s="404"/>
      <c r="V193" s="404"/>
      <c r="W193" s="404"/>
      <c r="X193" s="404"/>
      <c r="Y193" s="404"/>
      <c r="Z193" s="404"/>
      <c r="AA193" s="405"/>
      <c r="AB193" s="405"/>
      <c r="AC193" s="404"/>
      <c r="AD193" s="404"/>
      <c r="AE193" s="404"/>
      <c r="AF193" s="404"/>
      <c r="AG193" s="404"/>
      <c r="AH193" s="404"/>
      <c r="AI193" s="404"/>
      <c r="AJ193" s="404"/>
      <c r="AK193" s="404"/>
      <c r="AL193" s="404"/>
      <c r="AM193" s="404"/>
      <c r="AN193" s="404"/>
      <c r="AO193" s="404"/>
      <c r="AP193" s="404"/>
      <c r="AQ193" s="404"/>
      <c r="AR193" s="404"/>
      <c r="AS193" s="404"/>
      <c r="AT193" s="943"/>
      <c r="AU193" s="404"/>
      <c r="AV193" s="404"/>
      <c r="AW193" s="404"/>
      <c r="AX193" s="404"/>
      <c r="AY193" s="404"/>
      <c r="AZ193" s="404"/>
      <c r="BA193" s="404"/>
      <c r="BB193" s="404"/>
      <c r="BC193" s="404"/>
      <c r="BD193" s="404"/>
      <c r="BE193" s="404"/>
      <c r="BF193" s="404"/>
      <c r="BG193" s="404"/>
      <c r="BH193" s="404"/>
      <c r="BI193" s="404"/>
      <c r="BJ193" s="404"/>
      <c r="BK193" s="404"/>
      <c r="BL193" s="404"/>
      <c r="BM193" s="404"/>
      <c r="BN193" s="404"/>
      <c r="BO193" s="404"/>
      <c r="BP193" s="404"/>
      <c r="BQ193" s="404"/>
      <c r="BR193" s="404"/>
      <c r="BS193" s="404"/>
      <c r="BT193" s="404"/>
      <c r="BU193" s="404"/>
      <c r="BV193" s="404"/>
    </row>
    <row r="194" spans="2:74" s="406" customFormat="1" ht="15" customHeight="1" x14ac:dyDescent="0.25">
      <c r="B194" s="839" t="s">
        <v>484</v>
      </c>
      <c r="C194" s="303"/>
      <c r="D194" s="303">
        <f>NPV($F194,L192:AT192)</f>
        <v>0</v>
      </c>
      <c r="E194" s="777"/>
      <c r="F194" s="840">
        <f>Rend_voor_bel</f>
        <v>6.8000000000000005E-2</v>
      </c>
      <c r="G194" s="778"/>
      <c r="H194" s="778"/>
      <c r="I194" s="778"/>
      <c r="J194" s="778"/>
      <c r="K194" s="779"/>
      <c r="L194" s="777"/>
      <c r="M194" s="779"/>
      <c r="N194" s="779"/>
      <c r="O194" s="779"/>
      <c r="P194" s="779"/>
      <c r="Q194" s="779"/>
      <c r="R194" s="779"/>
      <c r="S194" s="779"/>
      <c r="T194" s="779"/>
      <c r="U194" s="779"/>
      <c r="V194" s="779"/>
      <c r="W194" s="779"/>
      <c r="X194" s="779"/>
      <c r="Y194" s="779"/>
      <c r="Z194" s="779"/>
      <c r="AA194" s="779"/>
      <c r="AB194" s="779"/>
      <c r="AC194" s="779"/>
      <c r="AD194" s="779"/>
      <c r="AE194" s="779"/>
      <c r="AF194" s="779"/>
      <c r="AG194" s="779"/>
      <c r="AH194" s="779"/>
      <c r="AI194" s="779"/>
      <c r="AJ194" s="779"/>
      <c r="AK194" s="779"/>
      <c r="AL194" s="779"/>
      <c r="AM194" s="779"/>
      <c r="AN194" s="779"/>
      <c r="AO194" s="779"/>
      <c r="AP194" s="779"/>
      <c r="AQ194" s="779"/>
      <c r="AR194" s="779"/>
      <c r="AS194" s="779"/>
      <c r="AT194" s="944"/>
      <c r="AU194" s="404"/>
      <c r="AV194" s="404"/>
      <c r="AW194" s="404"/>
      <c r="AX194" s="404"/>
      <c r="AY194" s="404"/>
      <c r="AZ194" s="404"/>
      <c r="BA194" s="404"/>
      <c r="BB194" s="404"/>
      <c r="BC194" s="404"/>
      <c r="BD194" s="404"/>
      <c r="BE194" s="404"/>
      <c r="BF194" s="404"/>
      <c r="BG194" s="404"/>
      <c r="BH194" s="404"/>
      <c r="BI194" s="404"/>
      <c r="BJ194" s="404"/>
      <c r="BK194" s="404"/>
      <c r="BL194" s="404"/>
      <c r="BM194" s="404"/>
      <c r="BN194" s="404"/>
      <c r="BO194" s="404"/>
      <c r="BP194" s="404"/>
      <c r="BQ194" s="404"/>
      <c r="BR194" s="404"/>
      <c r="BS194" s="404"/>
      <c r="BT194" s="404"/>
      <c r="BU194" s="404"/>
      <c r="BV194" s="404"/>
    </row>
    <row r="195" spans="2:74" s="293" customFormat="1" x14ac:dyDescent="0.25">
      <c r="B195" s="375"/>
      <c r="E195" s="280"/>
      <c r="F195" s="280"/>
      <c r="G195" s="280"/>
      <c r="H195" s="280"/>
      <c r="I195" s="280"/>
      <c r="J195" s="280"/>
      <c r="K195" s="283"/>
      <c r="L195" s="283"/>
      <c r="M195" s="283"/>
      <c r="N195" s="280"/>
      <c r="O195" s="280"/>
      <c r="P195" s="280"/>
      <c r="Q195" s="280"/>
      <c r="R195" s="292"/>
      <c r="S195" s="292"/>
      <c r="T195" s="292"/>
      <c r="U195" s="292"/>
      <c r="V195" s="292"/>
      <c r="W195" s="292"/>
      <c r="X195" s="374"/>
      <c r="Y195" s="374"/>
      <c r="Z195" s="374"/>
      <c r="AA195" s="373"/>
      <c r="AB195" s="283"/>
      <c r="AC195" s="280"/>
      <c r="AD195" s="280"/>
      <c r="AE195" s="280"/>
      <c r="AF195" s="280"/>
      <c r="AG195" s="280"/>
      <c r="AH195" s="280"/>
      <c r="AI195" s="280"/>
      <c r="AJ195" s="280"/>
      <c r="AK195" s="280"/>
      <c r="AL195" s="280"/>
      <c r="AM195" s="280"/>
      <c r="AN195" s="280"/>
      <c r="AO195" s="280"/>
      <c r="AP195" s="280"/>
      <c r="AQ195" s="280"/>
      <c r="AR195" s="280"/>
      <c r="AS195" s="280"/>
      <c r="AT195" s="280"/>
      <c r="AU195" s="280"/>
      <c r="AV195" s="280"/>
      <c r="AW195" s="280"/>
      <c r="AX195" s="280"/>
      <c r="AY195" s="280"/>
      <c r="AZ195" s="280"/>
      <c r="BA195" s="280"/>
      <c r="BB195" s="280"/>
      <c r="BC195" s="280"/>
      <c r="BD195" s="280"/>
      <c r="BE195" s="280"/>
      <c r="BF195" s="280"/>
      <c r="BG195" s="280"/>
      <c r="BH195" s="280"/>
      <c r="BI195" s="280"/>
      <c r="BJ195" s="280"/>
      <c r="BK195" s="280"/>
      <c r="BL195" s="280"/>
      <c r="BM195" s="280"/>
      <c r="BN195" s="280"/>
      <c r="BO195" s="280"/>
      <c r="BP195" s="280"/>
      <c r="BQ195" s="280"/>
      <c r="BR195" s="280"/>
      <c r="BS195" s="280"/>
      <c r="BT195" s="280"/>
      <c r="BU195" s="280"/>
      <c r="BV195" s="280"/>
    </row>
    <row r="196" spans="2:74" s="293" customFormat="1" x14ac:dyDescent="0.25">
      <c r="E196" s="280"/>
      <c r="F196" s="280"/>
      <c r="G196" s="280"/>
      <c r="H196" s="280"/>
      <c r="I196" s="280"/>
      <c r="J196" s="280"/>
      <c r="K196" s="283"/>
      <c r="L196" s="283"/>
      <c r="M196" s="283"/>
      <c r="N196" s="280"/>
      <c r="O196" s="280"/>
      <c r="P196" s="280"/>
      <c r="Q196" s="280"/>
      <c r="R196" s="292"/>
      <c r="S196" s="292"/>
      <c r="T196" s="292"/>
      <c r="U196" s="292"/>
      <c r="V196" s="292"/>
      <c r="W196" s="292"/>
      <c r="X196" s="374"/>
      <c r="Y196" s="374"/>
      <c r="Z196" s="374"/>
      <c r="AA196" s="373"/>
      <c r="AB196" s="283"/>
      <c r="AC196" s="280"/>
      <c r="AD196" s="280"/>
      <c r="AE196" s="280"/>
      <c r="AF196" s="280"/>
      <c r="AG196" s="280"/>
      <c r="AH196" s="280"/>
      <c r="AI196" s="280"/>
      <c r="AJ196" s="280"/>
      <c r="AK196" s="280"/>
      <c r="AL196" s="280"/>
      <c r="AM196" s="280"/>
      <c r="AN196" s="280"/>
      <c r="AO196" s="280"/>
      <c r="AP196" s="280"/>
      <c r="AQ196" s="280"/>
      <c r="AR196" s="280"/>
      <c r="AS196" s="280"/>
      <c r="AT196" s="280"/>
      <c r="AU196" s="280"/>
      <c r="AV196" s="280"/>
      <c r="AW196" s="280"/>
      <c r="AX196" s="280"/>
      <c r="AY196" s="280"/>
      <c r="AZ196" s="280"/>
      <c r="BA196" s="280"/>
      <c r="BB196" s="280"/>
      <c r="BC196" s="280"/>
      <c r="BD196" s="280"/>
      <c r="BE196" s="280"/>
      <c r="BF196" s="280"/>
      <c r="BG196" s="280"/>
      <c r="BH196" s="280"/>
      <c r="BI196" s="280"/>
      <c r="BJ196" s="280"/>
      <c r="BK196" s="280"/>
      <c r="BL196" s="280"/>
      <c r="BM196" s="280"/>
      <c r="BN196" s="280"/>
      <c r="BO196" s="280"/>
      <c r="BP196" s="280"/>
      <c r="BQ196" s="280"/>
      <c r="BR196" s="280"/>
      <c r="BS196" s="280"/>
      <c r="BT196" s="280"/>
      <c r="BU196" s="280"/>
      <c r="BV196" s="280"/>
    </row>
    <row r="197" spans="2:74" s="293" customFormat="1" x14ac:dyDescent="0.25">
      <c r="E197" s="280"/>
      <c r="F197" s="280"/>
      <c r="G197" s="280"/>
      <c r="H197" s="280"/>
      <c r="I197" s="280"/>
      <c r="J197" s="280"/>
      <c r="K197" s="283"/>
      <c r="L197" s="283"/>
      <c r="M197" s="283"/>
      <c r="N197" s="280"/>
      <c r="O197" s="280"/>
      <c r="P197" s="280"/>
      <c r="Q197" s="280"/>
      <c r="R197" s="292"/>
      <c r="S197" s="292"/>
      <c r="T197" s="292"/>
      <c r="U197" s="292"/>
      <c r="V197" s="292"/>
      <c r="W197" s="292"/>
      <c r="X197" s="374"/>
      <c r="Y197" s="374"/>
      <c r="Z197" s="374"/>
      <c r="AA197" s="373"/>
      <c r="AB197" s="283"/>
      <c r="AC197" s="280"/>
      <c r="AD197" s="280"/>
      <c r="AE197" s="280"/>
      <c r="AF197" s="280"/>
      <c r="AG197" s="280"/>
      <c r="AH197" s="280"/>
      <c r="AI197" s="280"/>
      <c r="AJ197" s="280"/>
      <c r="AK197" s="280"/>
      <c r="AL197" s="280"/>
      <c r="AM197" s="280"/>
      <c r="AN197" s="280"/>
      <c r="AO197" s="280"/>
      <c r="AP197" s="280"/>
      <c r="AQ197" s="280"/>
      <c r="AR197" s="280"/>
      <c r="AS197" s="280"/>
      <c r="AT197" s="280"/>
      <c r="AU197" s="280"/>
      <c r="AV197" s="280"/>
      <c r="AW197" s="280"/>
      <c r="AX197" s="280"/>
      <c r="AY197" s="280"/>
      <c r="AZ197" s="280"/>
      <c r="BA197" s="280"/>
      <c r="BB197" s="280"/>
      <c r="BC197" s="280"/>
      <c r="BD197" s="280"/>
      <c r="BE197" s="280"/>
      <c r="BF197" s="280"/>
      <c r="BG197" s="280"/>
      <c r="BH197" s="280"/>
      <c r="BI197" s="280"/>
      <c r="BJ197" s="280"/>
      <c r="BK197" s="280"/>
      <c r="BL197" s="280"/>
      <c r="BM197" s="280"/>
      <c r="BN197" s="280"/>
      <c r="BO197" s="280"/>
      <c r="BP197" s="280"/>
      <c r="BQ197" s="280"/>
      <c r="BR197" s="280"/>
      <c r="BS197" s="280"/>
      <c r="BT197" s="280"/>
      <c r="BU197" s="280"/>
      <c r="BV197" s="280"/>
    </row>
    <row r="198" spans="2:74" s="293" customFormat="1" x14ac:dyDescent="0.25">
      <c r="B198" s="280"/>
      <c r="C198" s="280"/>
      <c r="D198" s="280"/>
      <c r="E198" s="280"/>
      <c r="F198" s="280"/>
      <c r="G198" s="280"/>
      <c r="H198" s="280"/>
      <c r="I198" s="280"/>
      <c r="J198" s="280"/>
      <c r="K198" s="283"/>
      <c r="L198" s="283"/>
      <c r="M198" s="283"/>
      <c r="N198" s="280"/>
      <c r="O198" s="280"/>
      <c r="P198" s="280"/>
      <c r="Q198" s="280"/>
      <c r="R198" s="292"/>
      <c r="S198" s="292"/>
      <c r="T198" s="292"/>
      <c r="U198" s="292"/>
      <c r="V198" s="292"/>
      <c r="W198" s="292"/>
      <c r="X198" s="374"/>
      <c r="Y198" s="374"/>
      <c r="Z198" s="374"/>
      <c r="AA198" s="373"/>
      <c r="AB198" s="283"/>
      <c r="AC198" s="280"/>
      <c r="AD198" s="280"/>
      <c r="AE198" s="280"/>
      <c r="AF198" s="280"/>
      <c r="AG198" s="280"/>
      <c r="AH198" s="280"/>
      <c r="AI198" s="280"/>
      <c r="AJ198" s="280"/>
      <c r="AK198" s="280"/>
      <c r="AL198" s="280"/>
      <c r="AM198" s="280"/>
      <c r="AN198" s="280"/>
      <c r="AO198" s="280"/>
      <c r="AP198" s="280"/>
      <c r="AQ198" s="280"/>
      <c r="AR198" s="280"/>
      <c r="AS198" s="280"/>
      <c r="AT198" s="280"/>
      <c r="AU198" s="280"/>
      <c r="AV198" s="280"/>
      <c r="AW198" s="280"/>
      <c r="AX198" s="280"/>
      <c r="AY198" s="280"/>
      <c r="AZ198" s="280"/>
      <c r="BA198" s="280"/>
      <c r="BB198" s="280"/>
      <c r="BC198" s="280"/>
      <c r="BD198" s="280"/>
      <c r="BE198" s="280"/>
      <c r="BF198" s="280"/>
      <c r="BG198" s="280"/>
      <c r="BH198" s="280"/>
      <c r="BI198" s="280"/>
      <c r="BJ198" s="280"/>
      <c r="BK198" s="280"/>
      <c r="BL198" s="280"/>
      <c r="BM198" s="280"/>
      <c r="BN198" s="280"/>
      <c r="BO198" s="280"/>
      <c r="BP198" s="280"/>
      <c r="BQ198" s="280"/>
      <c r="BR198" s="280"/>
      <c r="BS198" s="280"/>
      <c r="BT198" s="280"/>
      <c r="BU198" s="280"/>
      <c r="BV198" s="280"/>
    </row>
    <row r="199" spans="2:74" s="293" customFormat="1" x14ac:dyDescent="0.25">
      <c r="E199" s="280"/>
      <c r="F199" s="280"/>
      <c r="G199" s="280"/>
      <c r="H199" s="280"/>
      <c r="I199" s="280"/>
      <c r="J199" s="280"/>
      <c r="K199" s="283"/>
      <c r="L199" s="283"/>
      <c r="M199" s="283"/>
      <c r="N199" s="280"/>
      <c r="O199" s="280"/>
      <c r="P199" s="280"/>
      <c r="Q199" s="280"/>
      <c r="R199" s="292"/>
      <c r="S199" s="292"/>
      <c r="T199" s="292"/>
      <c r="U199" s="292"/>
      <c r="V199" s="292"/>
      <c r="W199" s="292"/>
      <c r="X199" s="374"/>
      <c r="Y199" s="374"/>
      <c r="Z199" s="374"/>
      <c r="AA199" s="373"/>
      <c r="AB199" s="283"/>
      <c r="AC199" s="280"/>
      <c r="AD199" s="280"/>
      <c r="AE199" s="280"/>
      <c r="AF199" s="280"/>
      <c r="AG199" s="280"/>
      <c r="AH199" s="280"/>
      <c r="AI199" s="280"/>
      <c r="AJ199" s="280"/>
      <c r="AK199" s="280"/>
      <c r="AL199" s="280"/>
      <c r="AM199" s="280"/>
      <c r="AN199" s="280"/>
      <c r="AO199" s="280"/>
      <c r="AP199" s="280"/>
      <c r="AQ199" s="280"/>
      <c r="AR199" s="280"/>
      <c r="AS199" s="280"/>
      <c r="AT199" s="280"/>
      <c r="AU199" s="280"/>
      <c r="AV199" s="280"/>
      <c r="AW199" s="280"/>
      <c r="AX199" s="280"/>
      <c r="AY199" s="280"/>
      <c r="AZ199" s="280"/>
      <c r="BA199" s="280"/>
      <c r="BB199" s="280"/>
      <c r="BC199" s="280"/>
      <c r="BD199" s="280"/>
      <c r="BE199" s="280"/>
      <c r="BF199" s="280"/>
      <c r="BG199" s="280"/>
      <c r="BH199" s="280"/>
      <c r="BI199" s="280"/>
      <c r="BJ199" s="280"/>
      <c r="BK199" s="280"/>
      <c r="BL199" s="280"/>
      <c r="BM199" s="280"/>
      <c r="BN199" s="280"/>
      <c r="BO199" s="280"/>
      <c r="BP199" s="280"/>
      <c r="BQ199" s="280"/>
      <c r="BR199" s="280"/>
      <c r="BS199" s="280"/>
      <c r="BT199" s="280"/>
      <c r="BU199" s="280"/>
      <c r="BV199" s="280"/>
    </row>
    <row r="200" spans="2:74" s="293" customFormat="1" x14ac:dyDescent="0.25">
      <c r="B200" s="280"/>
      <c r="C200" s="280"/>
      <c r="D200" s="280"/>
      <c r="E200" s="280"/>
      <c r="F200" s="280"/>
      <c r="G200" s="280"/>
      <c r="H200" s="280"/>
      <c r="I200" s="280"/>
      <c r="J200" s="280"/>
      <c r="K200" s="283"/>
      <c r="L200" s="283"/>
      <c r="M200" s="283"/>
      <c r="N200" s="280"/>
      <c r="O200" s="280"/>
      <c r="P200" s="280"/>
      <c r="Q200" s="280"/>
      <c r="R200" s="292"/>
      <c r="S200" s="292"/>
      <c r="T200" s="292"/>
      <c r="U200" s="292"/>
      <c r="V200" s="292"/>
      <c r="W200" s="292"/>
      <c r="X200" s="374"/>
      <c r="Y200" s="374"/>
      <c r="Z200" s="374"/>
      <c r="AA200" s="373"/>
      <c r="AB200" s="283"/>
      <c r="AC200" s="280"/>
      <c r="AD200" s="280"/>
      <c r="AE200" s="280"/>
      <c r="AF200" s="280"/>
      <c r="AG200" s="280"/>
      <c r="AH200" s="280"/>
      <c r="AI200" s="280"/>
      <c r="AJ200" s="280"/>
      <c r="AK200" s="280"/>
      <c r="AL200" s="280"/>
      <c r="AM200" s="280"/>
      <c r="AN200" s="280"/>
      <c r="AO200" s="280"/>
      <c r="AP200" s="280"/>
      <c r="AQ200" s="280"/>
      <c r="AR200" s="280"/>
      <c r="AS200" s="280"/>
      <c r="AT200" s="280"/>
      <c r="AU200" s="280"/>
      <c r="AV200" s="280"/>
      <c r="AW200" s="280"/>
      <c r="AX200" s="280"/>
      <c r="AY200" s="280"/>
      <c r="AZ200" s="280"/>
      <c r="BA200" s="280"/>
      <c r="BB200" s="280"/>
      <c r="BC200" s="280"/>
      <c r="BD200" s="280"/>
      <c r="BE200" s="280"/>
      <c r="BF200" s="280"/>
      <c r="BG200" s="280"/>
      <c r="BH200" s="280"/>
      <c r="BI200" s="280"/>
      <c r="BJ200" s="280"/>
      <c r="BK200" s="280"/>
      <c r="BL200" s="280"/>
      <c r="BM200" s="280"/>
      <c r="BN200" s="280"/>
      <c r="BO200" s="280"/>
      <c r="BP200" s="280"/>
      <c r="BQ200" s="280"/>
      <c r="BR200" s="280"/>
      <c r="BS200" s="280"/>
      <c r="BT200" s="280"/>
      <c r="BU200" s="280"/>
      <c r="BV200" s="280"/>
    </row>
    <row r="201" spans="2:74" s="293" customFormat="1" x14ac:dyDescent="0.25">
      <c r="B201" s="280"/>
      <c r="C201" s="280"/>
      <c r="D201" s="280"/>
      <c r="E201" s="280"/>
      <c r="F201" s="280"/>
      <c r="G201" s="280"/>
      <c r="H201" s="280"/>
      <c r="I201" s="280"/>
      <c r="J201" s="280"/>
      <c r="K201" s="283"/>
      <c r="L201" s="283"/>
      <c r="M201" s="283"/>
      <c r="N201" s="280"/>
      <c r="O201" s="280"/>
      <c r="P201" s="280"/>
      <c r="Q201" s="280"/>
      <c r="R201" s="292"/>
      <c r="S201" s="292"/>
      <c r="T201" s="292"/>
      <c r="U201" s="292"/>
      <c r="V201" s="292"/>
      <c r="W201" s="292"/>
      <c r="X201" s="374"/>
      <c r="Y201" s="374"/>
      <c r="Z201" s="374"/>
      <c r="AA201" s="373"/>
      <c r="AB201" s="283"/>
      <c r="AC201" s="280"/>
      <c r="AD201" s="280"/>
      <c r="AE201" s="280"/>
      <c r="AF201" s="280"/>
      <c r="AG201" s="280"/>
      <c r="AH201" s="280"/>
      <c r="AI201" s="280"/>
      <c r="AJ201" s="280"/>
      <c r="AK201" s="280"/>
      <c r="AL201" s="280"/>
      <c r="AM201" s="280"/>
      <c r="AN201" s="280"/>
      <c r="AO201" s="280"/>
      <c r="AP201" s="280"/>
      <c r="AQ201" s="280"/>
      <c r="AR201" s="280"/>
      <c r="AS201" s="280"/>
      <c r="AT201" s="280"/>
      <c r="AU201" s="280"/>
      <c r="AV201" s="280"/>
      <c r="AW201" s="280"/>
      <c r="AX201" s="280"/>
      <c r="AY201" s="280"/>
      <c r="AZ201" s="280"/>
      <c r="BA201" s="280"/>
      <c r="BB201" s="280"/>
      <c r="BC201" s="280"/>
      <c r="BD201" s="280"/>
      <c r="BE201" s="280"/>
      <c r="BF201" s="280"/>
      <c r="BG201" s="280"/>
      <c r="BH201" s="280"/>
      <c r="BI201" s="280"/>
      <c r="BJ201" s="280"/>
      <c r="BK201" s="280"/>
      <c r="BL201" s="280"/>
      <c r="BM201" s="280"/>
      <c r="BN201" s="280"/>
      <c r="BO201" s="280"/>
      <c r="BP201" s="280"/>
      <c r="BQ201" s="280"/>
      <c r="BR201" s="280"/>
      <c r="BS201" s="280"/>
      <c r="BT201" s="280"/>
      <c r="BU201" s="280"/>
      <c r="BV201" s="280"/>
    </row>
    <row r="202" spans="2:74" s="293" customFormat="1" x14ac:dyDescent="0.25">
      <c r="B202" s="280"/>
      <c r="C202" s="280"/>
      <c r="D202" s="280"/>
      <c r="E202" s="280"/>
      <c r="F202" s="280"/>
      <c r="G202" s="280"/>
      <c r="H202" s="280"/>
      <c r="I202" s="280"/>
      <c r="J202" s="280"/>
      <c r="K202" s="283"/>
      <c r="L202" s="283"/>
      <c r="M202" s="283"/>
      <c r="N202" s="280"/>
      <c r="O202" s="280"/>
      <c r="P202" s="280"/>
      <c r="Q202" s="280"/>
      <c r="R202" s="292"/>
      <c r="S202" s="292"/>
      <c r="T202" s="292"/>
      <c r="U202" s="292"/>
      <c r="V202" s="292"/>
      <c r="W202" s="292"/>
      <c r="X202" s="374"/>
      <c r="Y202" s="374"/>
      <c r="Z202" s="374"/>
      <c r="AA202" s="373"/>
      <c r="AB202" s="283"/>
      <c r="AC202" s="280"/>
      <c r="AD202" s="280"/>
      <c r="AE202" s="280"/>
      <c r="AF202" s="280"/>
      <c r="AG202" s="280"/>
      <c r="AH202" s="280"/>
      <c r="AI202" s="280"/>
      <c r="AJ202" s="280"/>
      <c r="AK202" s="280"/>
      <c r="AL202" s="280"/>
      <c r="AM202" s="280"/>
      <c r="AN202" s="280"/>
      <c r="AO202" s="280"/>
      <c r="AP202" s="280"/>
      <c r="AQ202" s="280"/>
      <c r="AR202" s="280"/>
      <c r="AS202" s="280"/>
      <c r="AT202" s="280"/>
      <c r="AU202" s="280"/>
      <c r="AV202" s="280"/>
      <c r="AW202" s="280"/>
      <c r="AX202" s="280"/>
      <c r="AY202" s="280"/>
      <c r="AZ202" s="280"/>
      <c r="BA202" s="280"/>
      <c r="BB202" s="280"/>
      <c r="BC202" s="280"/>
      <c r="BD202" s="280"/>
      <c r="BE202" s="280"/>
      <c r="BF202" s="280"/>
      <c r="BG202" s="280"/>
      <c r="BH202" s="280"/>
      <c r="BI202" s="280"/>
      <c r="BJ202" s="280"/>
      <c r="BK202" s="280"/>
      <c r="BL202" s="280"/>
      <c r="BM202" s="280"/>
      <c r="BN202" s="280"/>
      <c r="BO202" s="280"/>
      <c r="BP202" s="280"/>
      <c r="BQ202" s="280"/>
      <c r="BR202" s="280"/>
      <c r="BS202" s="280"/>
      <c r="BT202" s="280"/>
      <c r="BU202" s="280"/>
      <c r="BV202" s="280"/>
    </row>
    <row r="203" spans="2:74" s="293" customFormat="1" x14ac:dyDescent="0.25">
      <c r="B203" s="280"/>
      <c r="C203" s="280"/>
      <c r="D203" s="280"/>
      <c r="E203" s="280"/>
      <c r="F203" s="280"/>
      <c r="G203" s="280"/>
      <c r="H203" s="280"/>
      <c r="I203" s="280"/>
      <c r="J203" s="280"/>
      <c r="K203" s="283"/>
      <c r="L203" s="283"/>
      <c r="M203" s="283"/>
      <c r="N203" s="280"/>
      <c r="O203" s="280"/>
      <c r="P203" s="280"/>
      <c r="Q203" s="280"/>
      <c r="R203" s="292"/>
      <c r="S203" s="292"/>
      <c r="T203" s="292"/>
      <c r="U203" s="292"/>
      <c r="V203" s="292"/>
      <c r="W203" s="292"/>
      <c r="X203" s="374"/>
      <c r="Y203" s="374"/>
      <c r="Z203" s="374"/>
      <c r="AA203" s="373"/>
      <c r="AB203" s="283"/>
      <c r="AC203" s="280"/>
      <c r="AD203" s="280"/>
      <c r="AE203" s="280"/>
      <c r="AF203" s="280"/>
      <c r="AG203" s="280"/>
      <c r="AH203" s="280"/>
      <c r="AI203" s="280"/>
      <c r="AJ203" s="280"/>
      <c r="AK203" s="280"/>
      <c r="AL203" s="280"/>
      <c r="AM203" s="280"/>
      <c r="AN203" s="280"/>
      <c r="AO203" s="280"/>
      <c r="AP203" s="280"/>
      <c r="AQ203" s="280"/>
      <c r="AR203" s="280"/>
      <c r="AS203" s="280"/>
      <c r="AT203" s="280"/>
      <c r="AU203" s="280"/>
      <c r="AV203" s="280"/>
      <c r="AW203" s="280"/>
      <c r="AX203" s="280"/>
      <c r="AY203" s="280"/>
      <c r="AZ203" s="280"/>
      <c r="BA203" s="280"/>
      <c r="BB203" s="280"/>
      <c r="BC203" s="280"/>
      <c r="BD203" s="280"/>
      <c r="BE203" s="280"/>
      <c r="BF203" s="280"/>
      <c r="BG203" s="280"/>
      <c r="BH203" s="280"/>
      <c r="BI203" s="280"/>
      <c r="BJ203" s="280"/>
      <c r="BK203" s="280"/>
      <c r="BL203" s="280"/>
      <c r="BM203" s="280"/>
      <c r="BN203" s="280"/>
      <c r="BO203" s="280"/>
      <c r="BP203" s="280"/>
      <c r="BQ203" s="280"/>
      <c r="BR203" s="280"/>
      <c r="BS203" s="280"/>
      <c r="BT203" s="280"/>
      <c r="BU203" s="280"/>
      <c r="BV203" s="280"/>
    </row>
    <row r="204" spans="2:74" s="293" customFormat="1" x14ac:dyDescent="0.25">
      <c r="B204" s="280"/>
      <c r="C204" s="280"/>
      <c r="D204" s="280"/>
      <c r="E204" s="280"/>
      <c r="F204" s="280"/>
      <c r="G204" s="280"/>
      <c r="H204" s="280"/>
      <c r="I204" s="280"/>
      <c r="J204" s="280"/>
      <c r="K204" s="283"/>
      <c r="L204" s="283"/>
      <c r="M204" s="283"/>
      <c r="N204" s="280"/>
      <c r="O204" s="280"/>
      <c r="P204" s="280"/>
      <c r="Q204" s="280"/>
      <c r="R204" s="292"/>
      <c r="S204" s="292"/>
      <c r="T204" s="292"/>
      <c r="U204" s="292"/>
      <c r="V204" s="292"/>
      <c r="W204" s="292"/>
      <c r="X204" s="374"/>
      <c r="Y204" s="374"/>
      <c r="Z204" s="374"/>
      <c r="AA204" s="373"/>
      <c r="AB204" s="283"/>
      <c r="AC204" s="280"/>
      <c r="AD204" s="280"/>
      <c r="AE204" s="280"/>
      <c r="AF204" s="280"/>
      <c r="AG204" s="280"/>
      <c r="AH204" s="280"/>
      <c r="AI204" s="280"/>
      <c r="AJ204" s="280"/>
      <c r="AK204" s="280"/>
      <c r="AL204" s="280"/>
      <c r="AM204" s="280"/>
      <c r="AN204" s="280"/>
      <c r="AO204" s="280"/>
      <c r="AP204" s="280"/>
      <c r="AQ204" s="280"/>
      <c r="AR204" s="280"/>
      <c r="AS204" s="280"/>
      <c r="AT204" s="280"/>
      <c r="AU204" s="280"/>
      <c r="AV204" s="280"/>
      <c r="AW204" s="280"/>
      <c r="AX204" s="280"/>
      <c r="AY204" s="280"/>
      <c r="AZ204" s="280"/>
      <c r="BA204" s="280"/>
      <c r="BB204" s="280"/>
      <c r="BC204" s="280"/>
      <c r="BD204" s="280"/>
      <c r="BE204" s="280"/>
      <c r="BF204" s="280"/>
      <c r="BG204" s="280"/>
      <c r="BH204" s="280"/>
      <c r="BI204" s="280"/>
      <c r="BJ204" s="280"/>
      <c r="BK204" s="280"/>
      <c r="BL204" s="280"/>
      <c r="BM204" s="280"/>
      <c r="BN204" s="280"/>
      <c r="BO204" s="280"/>
      <c r="BP204" s="280"/>
      <c r="BQ204" s="280"/>
      <c r="BR204" s="280"/>
      <c r="BS204" s="280"/>
      <c r="BT204" s="280"/>
      <c r="BU204" s="280"/>
      <c r="BV204" s="280"/>
    </row>
    <row r="205" spans="2:74" s="293" customFormat="1" x14ac:dyDescent="0.25">
      <c r="B205" s="280"/>
      <c r="C205" s="280"/>
      <c r="D205" s="280"/>
      <c r="E205" s="280"/>
      <c r="F205" s="280"/>
      <c r="G205" s="280"/>
      <c r="H205" s="280"/>
      <c r="I205" s="280"/>
      <c r="J205" s="280"/>
      <c r="K205" s="283"/>
      <c r="L205" s="283"/>
      <c r="M205" s="283"/>
      <c r="N205" s="280"/>
      <c r="O205" s="280"/>
      <c r="P205" s="280"/>
      <c r="Q205" s="280"/>
      <c r="R205" s="292"/>
      <c r="S205" s="292"/>
      <c r="T205" s="292"/>
      <c r="U205" s="292"/>
      <c r="V205" s="292"/>
      <c r="W205" s="292"/>
      <c r="X205" s="374"/>
      <c r="Y205" s="374"/>
      <c r="Z205" s="374"/>
      <c r="AA205" s="373"/>
      <c r="AB205" s="283"/>
      <c r="AC205" s="280"/>
      <c r="AD205" s="280"/>
      <c r="AE205" s="280"/>
      <c r="AF205" s="280"/>
      <c r="AG205" s="280"/>
      <c r="AH205" s="280"/>
      <c r="AI205" s="280"/>
      <c r="AJ205" s="280"/>
      <c r="AK205" s="280"/>
      <c r="AL205" s="280"/>
      <c r="AM205" s="280"/>
      <c r="AN205" s="280"/>
      <c r="AO205" s="280"/>
      <c r="AP205" s="280"/>
      <c r="AQ205" s="280"/>
      <c r="AR205" s="280"/>
      <c r="AS205" s="280"/>
      <c r="AT205" s="280"/>
      <c r="AU205" s="280"/>
      <c r="AV205" s="280"/>
      <c r="AW205" s="280"/>
      <c r="AX205" s="280"/>
      <c r="AY205" s="280"/>
      <c r="AZ205" s="280"/>
      <c r="BA205" s="280"/>
      <c r="BB205" s="280"/>
      <c r="BC205" s="280"/>
      <c r="BD205" s="280"/>
      <c r="BE205" s="280"/>
      <c r="BF205" s="280"/>
      <c r="BG205" s="280"/>
      <c r="BH205" s="280"/>
      <c r="BI205" s="280"/>
      <c r="BJ205" s="280"/>
      <c r="BK205" s="280"/>
      <c r="BL205" s="280"/>
      <c r="BM205" s="280"/>
      <c r="BN205" s="280"/>
      <c r="BO205" s="280"/>
      <c r="BP205" s="280"/>
      <c r="BQ205" s="280"/>
      <c r="BR205" s="280"/>
      <c r="BS205" s="280"/>
      <c r="BT205" s="280"/>
      <c r="BU205" s="280"/>
      <c r="BV205" s="280"/>
    </row>
    <row r="206" spans="2:74" s="293" customFormat="1" x14ac:dyDescent="0.25">
      <c r="B206" s="280"/>
      <c r="C206" s="280"/>
      <c r="D206" s="280"/>
      <c r="E206" s="280"/>
      <c r="F206" s="280"/>
      <c r="G206" s="280"/>
      <c r="H206" s="280"/>
      <c r="I206" s="280"/>
      <c r="J206" s="280"/>
      <c r="K206" s="283"/>
      <c r="L206" s="283"/>
      <c r="M206" s="283"/>
      <c r="N206" s="280"/>
      <c r="O206" s="280"/>
      <c r="P206" s="280"/>
      <c r="Q206" s="280"/>
      <c r="R206" s="292"/>
      <c r="S206" s="292"/>
      <c r="T206" s="292"/>
      <c r="U206" s="292"/>
      <c r="V206" s="292"/>
      <c r="W206" s="292"/>
      <c r="X206" s="374"/>
      <c r="Y206" s="374"/>
      <c r="Z206" s="374"/>
      <c r="AA206" s="373"/>
      <c r="AB206" s="283"/>
      <c r="AC206" s="280"/>
      <c r="AD206" s="280"/>
      <c r="AE206" s="280"/>
      <c r="AF206" s="280"/>
      <c r="AG206" s="280"/>
      <c r="AH206" s="280"/>
      <c r="AI206" s="280"/>
      <c r="AJ206" s="280"/>
      <c r="AK206" s="280"/>
      <c r="AL206" s="280"/>
      <c r="AM206" s="280"/>
      <c r="AN206" s="280"/>
      <c r="AO206" s="280"/>
      <c r="AP206" s="280"/>
      <c r="AQ206" s="280"/>
      <c r="AR206" s="280"/>
      <c r="AS206" s="280"/>
      <c r="AT206" s="280"/>
      <c r="AU206" s="280"/>
      <c r="AV206" s="280"/>
      <c r="AW206" s="280"/>
      <c r="AX206" s="280"/>
      <c r="AY206" s="280"/>
      <c r="AZ206" s="280"/>
      <c r="BA206" s="280"/>
      <c r="BB206" s="280"/>
      <c r="BC206" s="280"/>
      <c r="BD206" s="280"/>
      <c r="BE206" s="280"/>
      <c r="BF206" s="280"/>
      <c r="BG206" s="280"/>
      <c r="BH206" s="280"/>
      <c r="BI206" s="280"/>
      <c r="BJ206" s="280"/>
      <c r="BK206" s="280"/>
      <c r="BL206" s="280"/>
      <c r="BM206" s="280"/>
      <c r="BN206" s="280"/>
      <c r="BO206" s="280"/>
      <c r="BP206" s="280"/>
      <c r="BQ206" s="280"/>
      <c r="BR206" s="280"/>
      <c r="BS206" s="280"/>
      <c r="BT206" s="280"/>
      <c r="BU206" s="280"/>
      <c r="BV206" s="280"/>
    </row>
    <row r="207" spans="2:74" s="293" customFormat="1" x14ac:dyDescent="0.25">
      <c r="B207" s="280"/>
      <c r="C207" s="280"/>
      <c r="D207" s="280"/>
      <c r="E207" s="280"/>
      <c r="F207" s="280"/>
      <c r="G207" s="280"/>
      <c r="H207" s="280"/>
      <c r="I207" s="280"/>
      <c r="J207" s="280"/>
      <c r="K207" s="283"/>
      <c r="L207" s="283"/>
      <c r="M207" s="283"/>
      <c r="N207" s="280"/>
      <c r="O207" s="280"/>
      <c r="P207" s="280"/>
      <c r="Q207" s="280"/>
      <c r="R207" s="292"/>
      <c r="S207" s="292"/>
      <c r="T207" s="292"/>
      <c r="U207" s="292"/>
      <c r="V207" s="292"/>
      <c r="W207" s="292"/>
      <c r="X207" s="374"/>
      <c r="Y207" s="374"/>
      <c r="Z207" s="374"/>
      <c r="AA207" s="373"/>
      <c r="AB207" s="283"/>
      <c r="AC207" s="280"/>
      <c r="AD207" s="280"/>
      <c r="AE207" s="280"/>
      <c r="AF207" s="280"/>
      <c r="AG207" s="280"/>
      <c r="AH207" s="280"/>
      <c r="AI207" s="280"/>
      <c r="AJ207" s="280"/>
      <c r="AK207" s="280"/>
      <c r="AL207" s="280"/>
      <c r="AM207" s="280"/>
      <c r="AN207" s="280"/>
      <c r="AO207" s="280"/>
      <c r="AP207" s="280"/>
      <c r="AQ207" s="280"/>
      <c r="AR207" s="280"/>
      <c r="AS207" s="280"/>
      <c r="AT207" s="280"/>
      <c r="AU207" s="280"/>
      <c r="AV207" s="280"/>
      <c r="AW207" s="280"/>
      <c r="AX207" s="280"/>
      <c r="AY207" s="280"/>
      <c r="AZ207" s="280"/>
      <c r="BA207" s="280"/>
      <c r="BB207" s="280"/>
      <c r="BC207" s="280"/>
      <c r="BD207" s="280"/>
      <c r="BE207" s="280"/>
      <c r="BF207" s="280"/>
      <c r="BG207" s="280"/>
      <c r="BH207" s="280"/>
      <c r="BI207" s="280"/>
      <c r="BJ207" s="280"/>
      <c r="BK207" s="280"/>
      <c r="BL207" s="280"/>
      <c r="BM207" s="280"/>
      <c r="BN207" s="280"/>
      <c r="BO207" s="280"/>
      <c r="BP207" s="280"/>
      <c r="BQ207" s="280"/>
      <c r="BR207" s="280"/>
      <c r="BS207" s="280"/>
      <c r="BT207" s="280"/>
      <c r="BU207" s="280"/>
      <c r="BV207" s="280"/>
    </row>
    <row r="208" spans="2:74" s="293" customFormat="1" x14ac:dyDescent="0.25">
      <c r="B208" s="280"/>
      <c r="C208" s="280"/>
      <c r="D208" s="280"/>
      <c r="E208" s="280"/>
      <c r="F208" s="280"/>
      <c r="G208" s="280"/>
      <c r="H208" s="280"/>
      <c r="I208" s="280"/>
      <c r="J208" s="280"/>
      <c r="K208" s="283"/>
      <c r="L208" s="283"/>
      <c r="M208" s="283"/>
      <c r="N208" s="280"/>
      <c r="O208" s="280"/>
      <c r="P208" s="280"/>
      <c r="Q208" s="280"/>
      <c r="R208" s="292"/>
      <c r="S208" s="292"/>
      <c r="T208" s="292"/>
      <c r="U208" s="292"/>
      <c r="V208" s="292"/>
      <c r="W208" s="292"/>
      <c r="X208" s="374"/>
      <c r="Y208" s="374"/>
      <c r="Z208" s="374"/>
      <c r="AA208" s="373"/>
      <c r="AB208" s="283"/>
      <c r="AC208" s="280"/>
      <c r="AD208" s="280"/>
      <c r="AE208" s="280"/>
      <c r="AF208" s="280"/>
      <c r="AG208" s="280"/>
      <c r="AH208" s="280"/>
      <c r="AI208" s="280"/>
      <c r="AJ208" s="280"/>
      <c r="AK208" s="280"/>
      <c r="AL208" s="280"/>
      <c r="AM208" s="280"/>
      <c r="AN208" s="280"/>
      <c r="AO208" s="280"/>
      <c r="AP208" s="280"/>
      <c r="AQ208" s="280"/>
      <c r="AR208" s="280"/>
      <c r="AS208" s="280"/>
      <c r="AT208" s="280"/>
      <c r="AU208" s="280"/>
      <c r="AV208" s="280"/>
      <c r="AW208" s="280"/>
      <c r="AX208" s="280"/>
      <c r="AY208" s="280"/>
      <c r="AZ208" s="280"/>
      <c r="BA208" s="280"/>
      <c r="BB208" s="280"/>
      <c r="BC208" s="280"/>
      <c r="BD208" s="280"/>
      <c r="BE208" s="280"/>
      <c r="BF208" s="280"/>
      <c r="BG208" s="280"/>
      <c r="BH208" s="280"/>
      <c r="BI208" s="280"/>
      <c r="BJ208" s="280"/>
      <c r="BK208" s="280"/>
      <c r="BL208" s="280"/>
      <c r="BM208" s="280"/>
      <c r="BN208" s="280"/>
      <c r="BO208" s="280"/>
      <c r="BP208" s="280"/>
      <c r="BQ208" s="280"/>
      <c r="BR208" s="280"/>
      <c r="BS208" s="280"/>
      <c r="BT208" s="280"/>
      <c r="BU208" s="280"/>
      <c r="BV208" s="280"/>
    </row>
    <row r="209" spans="2:74" s="293" customFormat="1" x14ac:dyDescent="0.25">
      <c r="B209" s="280"/>
      <c r="C209" s="280"/>
      <c r="D209" s="280"/>
      <c r="E209" s="280"/>
      <c r="F209" s="280"/>
      <c r="G209" s="280"/>
      <c r="H209" s="280"/>
      <c r="I209" s="280"/>
      <c r="J209" s="280"/>
      <c r="K209" s="283"/>
      <c r="L209" s="283"/>
      <c r="M209" s="283"/>
      <c r="N209" s="280"/>
      <c r="O209" s="280"/>
      <c r="P209" s="280"/>
      <c r="Q209" s="280"/>
      <c r="R209" s="292"/>
      <c r="S209" s="292"/>
      <c r="T209" s="292"/>
      <c r="U209" s="292"/>
      <c r="V209" s="292"/>
      <c r="W209" s="292"/>
      <c r="X209" s="374"/>
      <c r="Y209" s="374"/>
      <c r="Z209" s="374"/>
      <c r="AA209" s="373"/>
      <c r="AB209" s="283"/>
      <c r="AC209" s="280"/>
      <c r="AD209" s="280"/>
      <c r="AE209" s="280"/>
      <c r="AF209" s="280"/>
      <c r="AG209" s="280"/>
      <c r="AH209" s="280"/>
      <c r="AI209" s="280"/>
      <c r="AJ209" s="280"/>
      <c r="AK209" s="280"/>
      <c r="AL209" s="280"/>
      <c r="AM209" s="280"/>
      <c r="AN209" s="280"/>
      <c r="AO209" s="280"/>
      <c r="AP209" s="280"/>
      <c r="AQ209" s="280"/>
      <c r="AR209" s="280"/>
      <c r="AS209" s="280"/>
      <c r="AT209" s="280"/>
      <c r="AU209" s="280"/>
      <c r="AV209" s="280"/>
      <c r="AW209" s="280"/>
      <c r="AX209" s="280"/>
      <c r="AY209" s="280"/>
      <c r="AZ209" s="280"/>
      <c r="BA209" s="280"/>
      <c r="BB209" s="280"/>
      <c r="BC209" s="280"/>
      <c r="BD209" s="280"/>
      <c r="BE209" s="280"/>
      <c r="BF209" s="280"/>
      <c r="BG209" s="280"/>
      <c r="BH209" s="280"/>
      <c r="BI209" s="280"/>
      <c r="BJ209" s="280"/>
      <c r="BK209" s="280"/>
      <c r="BL209" s="280"/>
      <c r="BM209" s="280"/>
      <c r="BN209" s="280"/>
      <c r="BO209" s="280"/>
      <c r="BP209" s="280"/>
      <c r="BQ209" s="280"/>
      <c r="BR209" s="280"/>
      <c r="BS209" s="280"/>
      <c r="BT209" s="280"/>
      <c r="BU209" s="280"/>
      <c r="BV209" s="280"/>
    </row>
    <row r="210" spans="2:74" s="293" customFormat="1" x14ac:dyDescent="0.25">
      <c r="B210" s="280"/>
      <c r="C210" s="280"/>
      <c r="D210" s="280"/>
      <c r="E210" s="280"/>
      <c r="F210" s="280"/>
      <c r="G210" s="280"/>
      <c r="H210" s="280"/>
      <c r="I210" s="280"/>
      <c r="J210" s="280"/>
      <c r="K210" s="283"/>
      <c r="L210" s="283"/>
      <c r="M210" s="283"/>
      <c r="N210" s="280"/>
      <c r="O210" s="280"/>
      <c r="P210" s="280"/>
      <c r="Q210" s="280"/>
      <c r="R210" s="292"/>
      <c r="S210" s="292"/>
      <c r="T210" s="292"/>
      <c r="U210" s="292"/>
      <c r="V210" s="292"/>
      <c r="W210" s="292"/>
      <c r="X210" s="374"/>
      <c r="Y210" s="374"/>
      <c r="Z210" s="374"/>
      <c r="AA210" s="373"/>
      <c r="AB210" s="283"/>
      <c r="AC210" s="280"/>
      <c r="AD210" s="280"/>
      <c r="AE210" s="280"/>
      <c r="AF210" s="280"/>
      <c r="AG210" s="280"/>
      <c r="AH210" s="280"/>
      <c r="AI210" s="280"/>
      <c r="AJ210" s="280"/>
      <c r="AK210" s="280"/>
      <c r="AL210" s="280"/>
      <c r="AM210" s="280"/>
      <c r="AN210" s="280"/>
      <c r="AO210" s="280"/>
      <c r="AP210" s="280"/>
      <c r="AQ210" s="280"/>
      <c r="AR210" s="280"/>
      <c r="AS210" s="280"/>
      <c r="AT210" s="280"/>
      <c r="AU210" s="280"/>
      <c r="AV210" s="280"/>
      <c r="AW210" s="280"/>
      <c r="AX210" s="280"/>
      <c r="AY210" s="280"/>
      <c r="AZ210" s="280"/>
      <c r="BA210" s="280"/>
      <c r="BB210" s="280"/>
      <c r="BC210" s="280"/>
      <c r="BD210" s="280"/>
      <c r="BE210" s="280"/>
      <c r="BF210" s="280"/>
      <c r="BG210" s="280"/>
      <c r="BH210" s="280"/>
      <c r="BI210" s="280"/>
      <c r="BJ210" s="280"/>
      <c r="BK210" s="280"/>
      <c r="BL210" s="280"/>
      <c r="BM210" s="280"/>
      <c r="BN210" s="280"/>
      <c r="BO210" s="280"/>
      <c r="BP210" s="280"/>
      <c r="BQ210" s="280"/>
      <c r="BR210" s="280"/>
      <c r="BS210" s="280"/>
      <c r="BT210" s="280"/>
      <c r="BU210" s="280"/>
      <c r="BV210" s="280"/>
    </row>
    <row r="211" spans="2:74" s="293" customFormat="1" x14ac:dyDescent="0.25">
      <c r="B211" s="280"/>
      <c r="C211" s="280"/>
      <c r="D211" s="280"/>
      <c r="E211" s="280"/>
      <c r="F211" s="280"/>
      <c r="G211" s="280"/>
      <c r="H211" s="280"/>
      <c r="I211" s="280"/>
      <c r="J211" s="280"/>
      <c r="K211" s="283"/>
      <c r="L211" s="283"/>
      <c r="M211" s="283"/>
      <c r="N211" s="280"/>
      <c r="O211" s="280"/>
      <c r="P211" s="280"/>
      <c r="Q211" s="280"/>
      <c r="R211" s="292"/>
      <c r="S211" s="292"/>
      <c r="T211" s="292"/>
      <c r="U211" s="292"/>
      <c r="V211" s="292"/>
      <c r="W211" s="292"/>
      <c r="X211" s="374"/>
      <c r="Y211" s="374"/>
      <c r="Z211" s="374"/>
      <c r="AA211" s="373"/>
      <c r="AB211" s="283"/>
      <c r="AC211" s="280"/>
      <c r="AD211" s="280"/>
      <c r="AE211" s="280"/>
      <c r="AF211" s="280"/>
      <c r="AG211" s="280"/>
      <c r="AH211" s="280"/>
      <c r="AI211" s="280"/>
      <c r="AJ211" s="280"/>
      <c r="AK211" s="280"/>
      <c r="AL211" s="280"/>
      <c r="AM211" s="280"/>
      <c r="AN211" s="280"/>
      <c r="AO211" s="280"/>
      <c r="AP211" s="280"/>
      <c r="AQ211" s="280"/>
      <c r="AR211" s="280"/>
      <c r="AS211" s="280"/>
      <c r="AT211" s="280"/>
      <c r="AU211" s="280"/>
      <c r="AV211" s="280"/>
      <c r="AW211" s="280"/>
      <c r="AX211" s="280"/>
      <c r="AY211" s="280"/>
      <c r="AZ211" s="280"/>
      <c r="BA211" s="280"/>
      <c r="BB211" s="280"/>
      <c r="BC211" s="280"/>
      <c r="BD211" s="280"/>
      <c r="BE211" s="280"/>
      <c r="BF211" s="280"/>
      <c r="BG211" s="280"/>
      <c r="BH211" s="280"/>
      <c r="BI211" s="280"/>
      <c r="BJ211" s="280"/>
      <c r="BK211" s="280"/>
      <c r="BL211" s="280"/>
      <c r="BM211" s="280"/>
      <c r="BN211" s="280"/>
      <c r="BO211" s="280"/>
      <c r="BP211" s="280"/>
      <c r="BQ211" s="280"/>
      <c r="BR211" s="280"/>
      <c r="BS211" s="280"/>
      <c r="BT211" s="280"/>
      <c r="BU211" s="280"/>
      <c r="BV211" s="280"/>
    </row>
    <row r="212" spans="2:74" s="293" customFormat="1" x14ac:dyDescent="0.25">
      <c r="B212" s="280"/>
      <c r="C212" s="280"/>
      <c r="D212" s="280"/>
      <c r="E212" s="280"/>
      <c r="F212" s="280"/>
      <c r="G212" s="280"/>
      <c r="H212" s="280"/>
      <c r="I212" s="280"/>
      <c r="J212" s="280"/>
      <c r="K212" s="283"/>
      <c r="L212" s="283"/>
      <c r="M212" s="283"/>
      <c r="N212" s="280"/>
      <c r="O212" s="280"/>
      <c r="P212" s="280"/>
      <c r="Q212" s="280"/>
      <c r="R212" s="292"/>
      <c r="S212" s="292"/>
      <c r="T212" s="292"/>
      <c r="U212" s="292"/>
      <c r="V212" s="292"/>
      <c r="W212" s="292"/>
      <c r="X212" s="374"/>
      <c r="Y212" s="374"/>
      <c r="Z212" s="374"/>
      <c r="AA212" s="373"/>
      <c r="AB212" s="283"/>
      <c r="AC212" s="280"/>
      <c r="AD212" s="280"/>
      <c r="AE212" s="280"/>
      <c r="AF212" s="280"/>
      <c r="AG212" s="280"/>
      <c r="AH212" s="280"/>
      <c r="AI212" s="280"/>
      <c r="AJ212" s="280"/>
      <c r="AK212" s="280"/>
      <c r="AL212" s="280"/>
      <c r="AM212" s="280"/>
      <c r="AN212" s="280"/>
      <c r="AO212" s="280"/>
      <c r="AP212" s="280"/>
      <c r="AQ212" s="280"/>
      <c r="AR212" s="280"/>
      <c r="AS212" s="280"/>
      <c r="AT212" s="280"/>
      <c r="AU212" s="280"/>
      <c r="AV212" s="280"/>
      <c r="AW212" s="280"/>
      <c r="AX212" s="280"/>
      <c r="AY212" s="280"/>
      <c r="AZ212" s="280"/>
      <c r="BA212" s="280"/>
      <c r="BB212" s="280"/>
      <c r="BC212" s="280"/>
      <c r="BD212" s="280"/>
      <c r="BE212" s="280"/>
      <c r="BF212" s="280"/>
      <c r="BG212" s="280"/>
      <c r="BH212" s="280"/>
      <c r="BI212" s="280"/>
      <c r="BJ212" s="280"/>
      <c r="BK212" s="280"/>
      <c r="BL212" s="280"/>
      <c r="BM212" s="280"/>
      <c r="BN212" s="280"/>
      <c r="BO212" s="280"/>
      <c r="BP212" s="280"/>
      <c r="BQ212" s="280"/>
      <c r="BR212" s="280"/>
      <c r="BS212" s="280"/>
      <c r="BT212" s="280"/>
      <c r="BU212" s="280"/>
      <c r="BV212" s="280"/>
    </row>
    <row r="213" spans="2:74" s="293" customFormat="1" x14ac:dyDescent="0.25">
      <c r="B213" s="280"/>
      <c r="C213" s="280"/>
      <c r="D213" s="280"/>
      <c r="E213" s="280"/>
      <c r="F213" s="280"/>
      <c r="G213" s="280"/>
      <c r="H213" s="280"/>
      <c r="I213" s="280"/>
      <c r="J213" s="280"/>
      <c r="K213" s="283"/>
      <c r="L213" s="283"/>
      <c r="M213" s="283"/>
      <c r="N213" s="280"/>
      <c r="O213" s="280"/>
      <c r="P213" s="280"/>
      <c r="Q213" s="280"/>
      <c r="R213" s="292"/>
      <c r="S213" s="292"/>
      <c r="T213" s="292"/>
      <c r="U213" s="292"/>
      <c r="V213" s="292"/>
      <c r="W213" s="292"/>
      <c r="X213" s="374"/>
      <c r="Y213" s="374"/>
      <c r="Z213" s="374"/>
      <c r="AA213" s="373"/>
      <c r="AB213" s="283"/>
      <c r="AC213" s="280"/>
      <c r="AD213" s="280"/>
      <c r="AE213" s="280"/>
      <c r="AF213" s="280"/>
      <c r="AG213" s="280"/>
      <c r="AH213" s="280"/>
      <c r="AI213" s="280"/>
      <c r="AJ213" s="280"/>
      <c r="AK213" s="280"/>
      <c r="AL213" s="280"/>
      <c r="AM213" s="280"/>
      <c r="AN213" s="280"/>
      <c r="AO213" s="280"/>
      <c r="AP213" s="280"/>
      <c r="AQ213" s="280"/>
      <c r="AR213" s="280"/>
      <c r="AS213" s="280"/>
      <c r="AT213" s="280"/>
      <c r="AU213" s="280"/>
      <c r="AV213" s="280"/>
      <c r="AW213" s="280"/>
      <c r="AX213" s="280"/>
      <c r="AY213" s="280"/>
      <c r="AZ213" s="280"/>
      <c r="BA213" s="280"/>
      <c r="BB213" s="280"/>
      <c r="BC213" s="280"/>
      <c r="BD213" s="280"/>
      <c r="BE213" s="280"/>
      <c r="BF213" s="280"/>
      <c r="BG213" s="280"/>
      <c r="BH213" s="280"/>
      <c r="BI213" s="280"/>
      <c r="BJ213" s="280"/>
      <c r="BK213" s="280"/>
      <c r="BL213" s="280"/>
      <c r="BM213" s="280"/>
      <c r="BN213" s="280"/>
      <c r="BO213" s="280"/>
      <c r="BP213" s="280"/>
      <c r="BQ213" s="280"/>
      <c r="BR213" s="280"/>
      <c r="BS213" s="280"/>
      <c r="BT213" s="280"/>
      <c r="BU213" s="280"/>
      <c r="BV213" s="280"/>
    </row>
    <row r="214" spans="2:74" s="293" customFormat="1" x14ac:dyDescent="0.25">
      <c r="B214" s="280"/>
      <c r="C214" s="280"/>
      <c r="D214" s="280"/>
      <c r="E214" s="280"/>
      <c r="F214" s="280"/>
      <c r="G214" s="280"/>
      <c r="H214" s="280"/>
      <c r="I214" s="280"/>
      <c r="J214" s="280"/>
      <c r="K214" s="283"/>
      <c r="L214" s="283"/>
      <c r="M214" s="283"/>
      <c r="N214" s="280"/>
      <c r="O214" s="280"/>
      <c r="P214" s="280"/>
      <c r="Q214" s="280"/>
      <c r="R214" s="292"/>
      <c r="S214" s="292"/>
      <c r="T214" s="292"/>
      <c r="U214" s="292"/>
      <c r="V214" s="292"/>
      <c r="W214" s="292"/>
      <c r="X214" s="374"/>
      <c r="Y214" s="374"/>
      <c r="Z214" s="374"/>
      <c r="AA214" s="373"/>
      <c r="AB214" s="283"/>
      <c r="AC214" s="280"/>
      <c r="AD214" s="280"/>
      <c r="AE214" s="280"/>
      <c r="AF214" s="280"/>
      <c r="AG214" s="280"/>
      <c r="AH214" s="280"/>
      <c r="AI214" s="280"/>
      <c r="AJ214" s="280"/>
      <c r="AK214" s="280"/>
      <c r="AL214" s="280"/>
      <c r="AM214" s="280"/>
      <c r="AN214" s="280"/>
      <c r="AO214" s="280"/>
      <c r="AP214" s="280"/>
      <c r="AQ214" s="280"/>
      <c r="AR214" s="280"/>
      <c r="AS214" s="280"/>
      <c r="AT214" s="280"/>
      <c r="AU214" s="280"/>
      <c r="AV214" s="280"/>
      <c r="AW214" s="280"/>
      <c r="AX214" s="280"/>
      <c r="AY214" s="280"/>
      <c r="AZ214" s="280"/>
      <c r="BA214" s="280"/>
      <c r="BB214" s="280"/>
      <c r="BC214" s="280"/>
      <c r="BD214" s="280"/>
      <c r="BE214" s="280"/>
      <c r="BF214" s="280"/>
      <c r="BG214" s="280"/>
      <c r="BH214" s="280"/>
      <c r="BI214" s="280"/>
      <c r="BJ214" s="280"/>
      <c r="BK214" s="280"/>
      <c r="BL214" s="280"/>
      <c r="BM214" s="280"/>
      <c r="BN214" s="280"/>
      <c r="BO214" s="280"/>
      <c r="BP214" s="280"/>
      <c r="BQ214" s="280"/>
      <c r="BR214" s="280"/>
      <c r="BS214" s="280"/>
      <c r="BT214" s="280"/>
      <c r="BU214" s="280"/>
      <c r="BV214" s="280"/>
    </row>
    <row r="215" spans="2:74" s="293" customFormat="1" x14ac:dyDescent="0.25">
      <c r="B215" s="280"/>
      <c r="C215" s="280"/>
      <c r="D215" s="280"/>
      <c r="E215" s="280"/>
      <c r="F215" s="280"/>
      <c r="G215" s="280"/>
      <c r="H215" s="280"/>
      <c r="I215" s="280"/>
      <c r="J215" s="280"/>
      <c r="K215" s="283"/>
      <c r="L215" s="283"/>
      <c r="M215" s="283"/>
      <c r="N215" s="280"/>
      <c r="O215" s="280"/>
      <c r="P215" s="280"/>
      <c r="Q215" s="280"/>
      <c r="R215" s="292"/>
      <c r="S215" s="292"/>
      <c r="T215" s="292"/>
      <c r="U215" s="292"/>
      <c r="V215" s="292"/>
      <c r="W215" s="292"/>
      <c r="X215" s="374"/>
      <c r="Y215" s="374"/>
      <c r="Z215" s="374"/>
      <c r="AA215" s="373"/>
      <c r="AB215" s="283"/>
      <c r="AC215" s="280"/>
      <c r="AD215" s="280"/>
      <c r="AE215" s="280"/>
      <c r="AF215" s="280"/>
      <c r="AG215" s="280"/>
      <c r="AH215" s="280"/>
      <c r="AI215" s="280"/>
      <c r="AJ215" s="280"/>
      <c r="AK215" s="280"/>
      <c r="AL215" s="280"/>
      <c r="AM215" s="280"/>
      <c r="AN215" s="280"/>
      <c r="AO215" s="280"/>
      <c r="AP215" s="280"/>
      <c r="AQ215" s="280"/>
      <c r="AR215" s="280"/>
      <c r="AS215" s="280"/>
      <c r="AT215" s="280"/>
      <c r="AU215" s="280"/>
      <c r="AV215" s="280"/>
      <c r="AW215" s="280"/>
      <c r="AX215" s="280"/>
      <c r="AY215" s="280"/>
      <c r="AZ215" s="280"/>
      <c r="BA215" s="280"/>
      <c r="BB215" s="280"/>
      <c r="BC215" s="280"/>
      <c r="BD215" s="280"/>
      <c r="BE215" s="280"/>
      <c r="BF215" s="280"/>
      <c r="BG215" s="280"/>
      <c r="BH215" s="280"/>
      <c r="BI215" s="280"/>
      <c r="BJ215" s="280"/>
      <c r="BK215" s="280"/>
      <c r="BL215" s="280"/>
      <c r="BM215" s="280"/>
      <c r="BN215" s="280"/>
      <c r="BO215" s="280"/>
      <c r="BP215" s="280"/>
      <c r="BQ215" s="280"/>
      <c r="BR215" s="280"/>
      <c r="BS215" s="280"/>
      <c r="BT215" s="280"/>
      <c r="BU215" s="280"/>
      <c r="BV215" s="280"/>
    </row>
    <row r="216" spans="2:74" s="293" customFormat="1" x14ac:dyDescent="0.25">
      <c r="B216" s="280"/>
      <c r="C216" s="280"/>
      <c r="D216" s="280"/>
      <c r="E216" s="280"/>
      <c r="F216" s="280"/>
      <c r="G216" s="280"/>
      <c r="H216" s="280"/>
      <c r="I216" s="280"/>
      <c r="J216" s="280"/>
      <c r="K216" s="283"/>
      <c r="L216" s="283"/>
      <c r="M216" s="283"/>
      <c r="N216" s="280"/>
      <c r="O216" s="280"/>
      <c r="P216" s="280"/>
      <c r="Q216" s="280"/>
      <c r="R216" s="292"/>
      <c r="S216" s="292"/>
      <c r="T216" s="292"/>
      <c r="U216" s="292"/>
      <c r="V216" s="292"/>
      <c r="W216" s="292"/>
      <c r="X216" s="374"/>
      <c r="Y216" s="374"/>
      <c r="Z216" s="374"/>
      <c r="AA216" s="373"/>
      <c r="AB216" s="283"/>
      <c r="AC216" s="280"/>
      <c r="AD216" s="280"/>
      <c r="AE216" s="280"/>
      <c r="AF216" s="280"/>
      <c r="AG216" s="280"/>
      <c r="AH216" s="280"/>
      <c r="AI216" s="280"/>
      <c r="AJ216" s="280"/>
      <c r="AK216" s="280"/>
      <c r="AL216" s="280"/>
      <c r="AM216" s="280"/>
      <c r="AN216" s="280"/>
      <c r="AO216" s="280"/>
      <c r="AP216" s="280"/>
      <c r="AQ216" s="280"/>
      <c r="AR216" s="280"/>
      <c r="AS216" s="280"/>
      <c r="AT216" s="280"/>
      <c r="AU216" s="280"/>
      <c r="AV216" s="280"/>
      <c r="AW216" s="280"/>
      <c r="AX216" s="280"/>
      <c r="AY216" s="280"/>
      <c r="AZ216" s="280"/>
      <c r="BA216" s="280"/>
      <c r="BB216" s="280"/>
      <c r="BC216" s="280"/>
      <c r="BD216" s="280"/>
      <c r="BE216" s="280"/>
      <c r="BF216" s="280"/>
      <c r="BG216" s="280"/>
      <c r="BH216" s="280"/>
      <c r="BI216" s="280"/>
      <c r="BJ216" s="280"/>
      <c r="BK216" s="280"/>
      <c r="BL216" s="280"/>
      <c r="BM216" s="280"/>
      <c r="BN216" s="280"/>
      <c r="BO216" s="280"/>
      <c r="BP216" s="280"/>
      <c r="BQ216" s="280"/>
      <c r="BR216" s="280"/>
      <c r="BS216" s="280"/>
      <c r="BT216" s="280"/>
      <c r="BU216" s="280"/>
      <c r="BV216" s="280"/>
    </row>
    <row r="217" spans="2:74" s="293" customFormat="1" x14ac:dyDescent="0.25">
      <c r="B217" s="280"/>
      <c r="C217" s="280"/>
      <c r="D217" s="280"/>
      <c r="E217" s="280"/>
      <c r="F217" s="280"/>
      <c r="G217" s="280"/>
      <c r="H217" s="280"/>
      <c r="I217" s="280"/>
      <c r="J217" s="280"/>
      <c r="K217" s="283"/>
      <c r="L217" s="283"/>
      <c r="M217" s="283"/>
      <c r="N217" s="280"/>
      <c r="O217" s="280"/>
      <c r="P217" s="280"/>
      <c r="Q217" s="280"/>
      <c r="R217" s="292"/>
      <c r="S217" s="292"/>
      <c r="T217" s="292"/>
      <c r="U217" s="292"/>
      <c r="V217" s="292"/>
      <c r="W217" s="292"/>
      <c r="X217" s="374"/>
      <c r="Y217" s="374"/>
      <c r="Z217" s="374"/>
      <c r="AA217" s="373"/>
      <c r="AB217" s="283"/>
      <c r="AC217" s="280"/>
      <c r="AD217" s="280"/>
      <c r="AE217" s="280"/>
      <c r="AF217" s="280"/>
      <c r="AG217" s="280"/>
      <c r="AH217" s="280"/>
      <c r="AI217" s="280"/>
      <c r="AJ217" s="280"/>
      <c r="AK217" s="280"/>
      <c r="AL217" s="280"/>
      <c r="AM217" s="280"/>
      <c r="AN217" s="280"/>
      <c r="AO217" s="280"/>
      <c r="AP217" s="280"/>
      <c r="AQ217" s="280"/>
      <c r="AR217" s="280"/>
      <c r="AS217" s="280"/>
      <c r="AT217" s="280"/>
      <c r="AU217" s="280"/>
      <c r="AV217" s="280"/>
      <c r="AW217" s="280"/>
      <c r="AX217" s="280"/>
      <c r="AY217" s="280"/>
      <c r="AZ217" s="280"/>
      <c r="BA217" s="280"/>
      <c r="BB217" s="280"/>
      <c r="BC217" s="280"/>
      <c r="BD217" s="280"/>
      <c r="BE217" s="280"/>
      <c r="BF217" s="280"/>
      <c r="BG217" s="280"/>
      <c r="BH217" s="280"/>
      <c r="BI217" s="280"/>
      <c r="BJ217" s="280"/>
      <c r="BK217" s="280"/>
      <c r="BL217" s="280"/>
      <c r="BM217" s="280"/>
      <c r="BN217" s="280"/>
      <c r="BO217" s="280"/>
      <c r="BP217" s="280"/>
      <c r="BQ217" s="280"/>
      <c r="BR217" s="280"/>
      <c r="BS217" s="280"/>
      <c r="BT217" s="280"/>
      <c r="BU217" s="280"/>
      <c r="BV217" s="280"/>
    </row>
    <row r="218" spans="2:74" s="293" customFormat="1" x14ac:dyDescent="0.25">
      <c r="B218" s="280"/>
      <c r="C218" s="280"/>
      <c r="D218" s="280"/>
      <c r="E218" s="280"/>
      <c r="F218" s="280"/>
      <c r="G218" s="280"/>
      <c r="H218" s="280"/>
      <c r="I218" s="280"/>
      <c r="J218" s="280"/>
      <c r="K218" s="283"/>
      <c r="L218" s="283"/>
      <c r="M218" s="283"/>
      <c r="N218" s="280"/>
      <c r="O218" s="280"/>
      <c r="P218" s="280"/>
      <c r="Q218" s="280"/>
      <c r="R218" s="292"/>
      <c r="S218" s="292"/>
      <c r="T218" s="292"/>
      <c r="U218" s="292"/>
      <c r="V218" s="292"/>
      <c r="W218" s="292"/>
      <c r="X218" s="374"/>
      <c r="Y218" s="374"/>
      <c r="Z218" s="374"/>
      <c r="AA218" s="373"/>
      <c r="AB218" s="283"/>
      <c r="AC218" s="280"/>
      <c r="AD218" s="280"/>
      <c r="AE218" s="280"/>
      <c r="AF218" s="280"/>
      <c r="AG218" s="280"/>
      <c r="AH218" s="280"/>
      <c r="AI218" s="280"/>
      <c r="AJ218" s="280"/>
      <c r="AK218" s="280"/>
      <c r="AL218" s="280"/>
      <c r="AM218" s="280"/>
      <c r="AN218" s="280"/>
      <c r="AO218" s="280"/>
      <c r="AP218" s="280"/>
      <c r="AQ218" s="280"/>
      <c r="AR218" s="280"/>
      <c r="AS218" s="280"/>
      <c r="AT218" s="280"/>
      <c r="AU218" s="280"/>
      <c r="AV218" s="280"/>
      <c r="AW218" s="280"/>
      <c r="AX218" s="280"/>
      <c r="AY218" s="280"/>
      <c r="AZ218" s="280"/>
      <c r="BA218" s="280"/>
      <c r="BB218" s="280"/>
      <c r="BC218" s="280"/>
      <c r="BD218" s="280"/>
      <c r="BE218" s="280"/>
      <c r="BF218" s="280"/>
      <c r="BG218" s="280"/>
      <c r="BH218" s="280"/>
      <c r="BI218" s="280"/>
      <c r="BJ218" s="280"/>
      <c r="BK218" s="280"/>
      <c r="BL218" s="280"/>
      <c r="BM218" s="280"/>
      <c r="BN218" s="280"/>
      <c r="BO218" s="280"/>
      <c r="BP218" s="280"/>
      <c r="BQ218" s="280"/>
      <c r="BR218" s="280"/>
      <c r="BS218" s="280"/>
      <c r="BT218" s="280"/>
      <c r="BU218" s="280"/>
      <c r="BV218" s="280"/>
    </row>
    <row r="219" spans="2:74" s="293" customFormat="1" x14ac:dyDescent="0.25">
      <c r="B219" s="280"/>
      <c r="C219" s="280"/>
      <c r="D219" s="280"/>
      <c r="E219" s="280"/>
      <c r="F219" s="280"/>
      <c r="G219" s="280"/>
      <c r="H219" s="280"/>
      <c r="I219" s="280"/>
      <c r="J219" s="280"/>
      <c r="K219" s="283"/>
      <c r="L219" s="283"/>
      <c r="M219" s="283"/>
      <c r="N219" s="280"/>
      <c r="O219" s="280"/>
      <c r="P219" s="280"/>
      <c r="Q219" s="280"/>
      <c r="R219" s="292"/>
      <c r="S219" s="292"/>
      <c r="T219" s="292"/>
      <c r="U219" s="292"/>
      <c r="V219" s="292"/>
      <c r="W219" s="292"/>
      <c r="X219" s="374"/>
      <c r="Y219" s="374"/>
      <c r="Z219" s="374"/>
      <c r="AA219" s="373"/>
      <c r="AB219" s="283"/>
      <c r="AC219" s="280"/>
      <c r="AD219" s="280"/>
      <c r="AE219" s="280"/>
      <c r="AF219" s="280"/>
      <c r="AG219" s="280"/>
      <c r="AH219" s="280"/>
      <c r="AI219" s="280"/>
      <c r="AJ219" s="280"/>
      <c r="AK219" s="280"/>
      <c r="AL219" s="280"/>
      <c r="AM219" s="280"/>
      <c r="AN219" s="280"/>
      <c r="AO219" s="280"/>
      <c r="AP219" s="280"/>
      <c r="AQ219" s="280"/>
      <c r="AR219" s="280"/>
      <c r="AS219" s="280"/>
      <c r="AT219" s="280"/>
      <c r="AU219" s="280"/>
      <c r="AV219" s="280"/>
      <c r="AW219" s="280"/>
      <c r="AX219" s="280"/>
      <c r="AY219" s="280"/>
      <c r="AZ219" s="280"/>
      <c r="BA219" s="280"/>
      <c r="BB219" s="280"/>
      <c r="BC219" s="280"/>
      <c r="BD219" s="280"/>
      <c r="BE219" s="280"/>
      <c r="BF219" s="280"/>
      <c r="BG219" s="280"/>
      <c r="BH219" s="280"/>
      <c r="BI219" s="280"/>
      <c r="BJ219" s="280"/>
      <c r="BK219" s="280"/>
      <c r="BL219" s="280"/>
      <c r="BM219" s="280"/>
      <c r="BN219" s="280"/>
      <c r="BO219" s="280"/>
      <c r="BP219" s="280"/>
      <c r="BQ219" s="280"/>
      <c r="BR219" s="280"/>
      <c r="BS219" s="280"/>
      <c r="BT219" s="280"/>
      <c r="BU219" s="280"/>
      <c r="BV219" s="280"/>
    </row>
    <row r="220" spans="2:74" s="293" customFormat="1" x14ac:dyDescent="0.25">
      <c r="B220" s="280"/>
      <c r="C220" s="280"/>
      <c r="D220" s="280"/>
      <c r="E220" s="280"/>
      <c r="F220" s="280"/>
      <c r="G220" s="280"/>
      <c r="H220" s="280"/>
      <c r="I220" s="280"/>
      <c r="J220" s="280"/>
      <c r="K220" s="283"/>
      <c r="L220" s="283"/>
      <c r="M220" s="283"/>
      <c r="N220" s="280"/>
      <c r="O220" s="280"/>
      <c r="P220" s="280"/>
      <c r="Q220" s="280"/>
      <c r="R220" s="292"/>
      <c r="S220" s="292"/>
      <c r="T220" s="292"/>
      <c r="U220" s="292"/>
      <c r="V220" s="292"/>
      <c r="W220" s="292"/>
      <c r="X220" s="374"/>
      <c r="Y220" s="374"/>
      <c r="Z220" s="374"/>
      <c r="AA220" s="373"/>
      <c r="AB220" s="283"/>
      <c r="AC220" s="280"/>
      <c r="AD220" s="280"/>
      <c r="AE220" s="280"/>
      <c r="AF220" s="280"/>
      <c r="AG220" s="280"/>
      <c r="AH220" s="280"/>
      <c r="AI220" s="280"/>
      <c r="AJ220" s="280"/>
      <c r="AK220" s="280"/>
      <c r="AL220" s="280"/>
      <c r="AM220" s="280"/>
      <c r="AN220" s="280"/>
      <c r="AO220" s="280"/>
      <c r="AP220" s="280"/>
      <c r="AQ220" s="280"/>
      <c r="AR220" s="280"/>
      <c r="AS220" s="280"/>
      <c r="AT220" s="280"/>
      <c r="AU220" s="280"/>
      <c r="AV220" s="280"/>
      <c r="AW220" s="280"/>
      <c r="AX220" s="280"/>
      <c r="AY220" s="280"/>
      <c r="AZ220" s="280"/>
      <c r="BA220" s="280"/>
      <c r="BB220" s="280"/>
      <c r="BC220" s="280"/>
      <c r="BD220" s="280"/>
      <c r="BE220" s="280"/>
      <c r="BF220" s="280"/>
      <c r="BG220" s="280"/>
      <c r="BH220" s="280"/>
      <c r="BI220" s="280"/>
      <c r="BJ220" s="280"/>
      <c r="BK220" s="280"/>
      <c r="BL220" s="280"/>
      <c r="BM220" s="280"/>
      <c r="BN220" s="280"/>
      <c r="BO220" s="280"/>
      <c r="BP220" s="280"/>
      <c r="BQ220" s="280"/>
      <c r="BR220" s="280"/>
      <c r="BS220" s="280"/>
      <c r="BT220" s="280"/>
      <c r="BU220" s="280"/>
      <c r="BV220" s="280"/>
    </row>
    <row r="221" spans="2:74" s="293" customFormat="1" x14ac:dyDescent="0.25">
      <c r="B221" s="280"/>
      <c r="C221" s="280"/>
      <c r="D221" s="280"/>
      <c r="E221" s="280"/>
      <c r="F221" s="280"/>
      <c r="G221" s="280"/>
      <c r="H221" s="280"/>
      <c r="I221" s="280"/>
      <c r="J221" s="280"/>
      <c r="K221" s="283"/>
      <c r="L221" s="283"/>
      <c r="M221" s="283"/>
      <c r="N221" s="280"/>
      <c r="O221" s="280"/>
      <c r="P221" s="280"/>
      <c r="Q221" s="280"/>
      <c r="R221" s="292"/>
      <c r="S221" s="292"/>
      <c r="T221" s="292"/>
      <c r="U221" s="292"/>
      <c r="V221" s="292"/>
      <c r="W221" s="292"/>
      <c r="X221" s="374"/>
      <c r="Y221" s="374"/>
      <c r="Z221" s="374"/>
      <c r="AA221" s="373"/>
      <c r="AB221" s="283"/>
      <c r="AC221" s="280"/>
      <c r="AD221" s="280"/>
      <c r="AE221" s="280"/>
      <c r="AF221" s="280"/>
      <c r="AG221" s="280"/>
      <c r="AH221" s="280"/>
      <c r="AI221" s="280"/>
      <c r="AJ221" s="280"/>
      <c r="AK221" s="280"/>
      <c r="AL221" s="280"/>
      <c r="AM221" s="280"/>
      <c r="AN221" s="280"/>
      <c r="AO221" s="280"/>
      <c r="AP221" s="280"/>
      <c r="AQ221" s="280"/>
      <c r="AR221" s="280"/>
      <c r="AS221" s="280"/>
      <c r="AT221" s="280"/>
      <c r="AU221" s="280"/>
      <c r="AV221" s="280"/>
      <c r="AW221" s="280"/>
      <c r="AX221" s="280"/>
      <c r="AY221" s="280"/>
      <c r="AZ221" s="280"/>
      <c r="BA221" s="280"/>
      <c r="BB221" s="280"/>
      <c r="BC221" s="280"/>
      <c r="BD221" s="280"/>
      <c r="BE221" s="280"/>
      <c r="BF221" s="280"/>
      <c r="BG221" s="280"/>
      <c r="BH221" s="280"/>
      <c r="BI221" s="280"/>
      <c r="BJ221" s="280"/>
      <c r="BK221" s="280"/>
      <c r="BL221" s="280"/>
      <c r="BM221" s="280"/>
      <c r="BN221" s="280"/>
      <c r="BO221" s="280"/>
      <c r="BP221" s="280"/>
      <c r="BQ221" s="280"/>
      <c r="BR221" s="280"/>
      <c r="BS221" s="280"/>
      <c r="BT221" s="280"/>
      <c r="BU221" s="280"/>
      <c r="BV221" s="280"/>
    </row>
    <row r="222" spans="2:74" s="293" customFormat="1" x14ac:dyDescent="0.25">
      <c r="B222" s="280"/>
      <c r="C222" s="280"/>
      <c r="D222" s="280"/>
      <c r="E222" s="280"/>
      <c r="F222" s="280"/>
      <c r="G222" s="280"/>
      <c r="H222" s="280"/>
      <c r="I222" s="280"/>
      <c r="J222" s="280"/>
      <c r="K222" s="283"/>
      <c r="L222" s="283"/>
      <c r="M222" s="283"/>
      <c r="N222" s="280"/>
      <c r="O222" s="280"/>
      <c r="P222" s="280"/>
      <c r="Q222" s="280"/>
      <c r="R222" s="292"/>
      <c r="S222" s="292"/>
      <c r="T222" s="292"/>
      <c r="U222" s="292"/>
      <c r="V222" s="292"/>
      <c r="W222" s="292"/>
      <c r="X222" s="374"/>
      <c r="Y222" s="374"/>
      <c r="Z222" s="374"/>
      <c r="AA222" s="373"/>
      <c r="AB222" s="283"/>
      <c r="AC222" s="280"/>
      <c r="AD222" s="280"/>
      <c r="AE222" s="280"/>
      <c r="AF222" s="280"/>
      <c r="AG222" s="280"/>
      <c r="AH222" s="280"/>
      <c r="AI222" s="280"/>
      <c r="AJ222" s="280"/>
      <c r="AK222" s="280"/>
      <c r="AL222" s="280"/>
      <c r="AM222" s="280"/>
      <c r="AN222" s="280"/>
      <c r="AO222" s="280"/>
      <c r="AP222" s="280"/>
      <c r="AQ222" s="280"/>
      <c r="AR222" s="280"/>
      <c r="AS222" s="280"/>
      <c r="AT222" s="280"/>
      <c r="AU222" s="280"/>
      <c r="AV222" s="280"/>
      <c r="AW222" s="280"/>
      <c r="AX222" s="280"/>
      <c r="AY222" s="280"/>
      <c r="AZ222" s="280"/>
      <c r="BA222" s="280"/>
      <c r="BB222" s="280"/>
      <c r="BC222" s="280"/>
      <c r="BD222" s="280"/>
      <c r="BE222" s="280"/>
      <c r="BF222" s="280"/>
      <c r="BG222" s="280"/>
      <c r="BH222" s="280"/>
      <c r="BI222" s="280"/>
      <c r="BJ222" s="280"/>
      <c r="BK222" s="280"/>
      <c r="BL222" s="280"/>
      <c r="BM222" s="280"/>
      <c r="BN222" s="280"/>
      <c r="BO222" s="280"/>
      <c r="BP222" s="280"/>
      <c r="BQ222" s="280"/>
      <c r="BR222" s="280"/>
      <c r="BS222" s="280"/>
      <c r="BT222" s="280"/>
      <c r="BU222" s="280"/>
      <c r="BV222" s="280"/>
    </row>
    <row r="223" spans="2:74" s="293" customFormat="1" x14ac:dyDescent="0.25">
      <c r="B223" s="280"/>
      <c r="C223" s="280"/>
      <c r="D223" s="280"/>
      <c r="E223" s="280"/>
      <c r="F223" s="280"/>
      <c r="G223" s="280"/>
      <c r="H223" s="280"/>
      <c r="I223" s="280"/>
      <c r="J223" s="280"/>
      <c r="K223" s="283"/>
      <c r="L223" s="283"/>
      <c r="M223" s="283"/>
      <c r="N223" s="280"/>
      <c r="O223" s="280"/>
      <c r="P223" s="280"/>
      <c r="Q223" s="280"/>
      <c r="R223" s="292"/>
      <c r="S223" s="292"/>
      <c r="T223" s="292"/>
      <c r="U223" s="292"/>
      <c r="V223" s="292"/>
      <c r="W223" s="292"/>
      <c r="X223" s="374"/>
      <c r="Y223" s="374"/>
      <c r="Z223" s="374"/>
      <c r="AA223" s="373"/>
      <c r="AB223" s="283"/>
      <c r="AC223" s="280"/>
      <c r="AD223" s="280"/>
      <c r="AE223" s="280"/>
      <c r="AF223" s="280"/>
      <c r="AG223" s="280"/>
      <c r="AH223" s="280"/>
      <c r="AI223" s="280"/>
      <c r="AJ223" s="280"/>
      <c r="AK223" s="280"/>
      <c r="AL223" s="280"/>
      <c r="AM223" s="280"/>
      <c r="AN223" s="280"/>
      <c r="AO223" s="280"/>
      <c r="AP223" s="280"/>
      <c r="AQ223" s="280"/>
      <c r="AR223" s="280"/>
      <c r="AS223" s="280"/>
      <c r="AT223" s="280"/>
      <c r="AU223" s="280"/>
      <c r="AV223" s="280"/>
      <c r="AW223" s="280"/>
      <c r="AX223" s="280"/>
      <c r="AY223" s="280"/>
      <c r="AZ223" s="280"/>
      <c r="BA223" s="280"/>
      <c r="BB223" s="280"/>
      <c r="BC223" s="280"/>
      <c r="BD223" s="280"/>
      <c r="BE223" s="280"/>
      <c r="BF223" s="280"/>
      <c r="BG223" s="280"/>
      <c r="BH223" s="280"/>
      <c r="BI223" s="280"/>
      <c r="BJ223" s="280"/>
      <c r="BK223" s="280"/>
      <c r="BL223" s="280"/>
      <c r="BM223" s="280"/>
      <c r="BN223" s="280"/>
      <c r="BO223" s="280"/>
      <c r="BP223" s="280"/>
      <c r="BQ223" s="280"/>
      <c r="BR223" s="280"/>
      <c r="BS223" s="280"/>
      <c r="BT223" s="280"/>
      <c r="BU223" s="280"/>
      <c r="BV223" s="280"/>
    </row>
    <row r="224" spans="2:74" s="293" customFormat="1" x14ac:dyDescent="0.25">
      <c r="B224" s="280"/>
      <c r="C224" s="280"/>
      <c r="D224" s="280"/>
      <c r="E224" s="280"/>
      <c r="F224" s="280"/>
      <c r="G224" s="280"/>
      <c r="H224" s="280"/>
      <c r="I224" s="280"/>
      <c r="J224" s="280"/>
      <c r="K224" s="283"/>
      <c r="L224" s="283"/>
      <c r="M224" s="283"/>
      <c r="N224" s="280"/>
      <c r="O224" s="280"/>
      <c r="P224" s="280"/>
      <c r="Q224" s="280"/>
      <c r="R224" s="292"/>
      <c r="S224" s="292"/>
      <c r="T224" s="292"/>
      <c r="U224" s="292"/>
      <c r="V224" s="292"/>
      <c r="W224" s="292"/>
      <c r="X224" s="374"/>
      <c r="Y224" s="374"/>
      <c r="Z224" s="374"/>
      <c r="AA224" s="373"/>
      <c r="AB224" s="283"/>
      <c r="AC224" s="280"/>
      <c r="AD224" s="280"/>
      <c r="AE224" s="280"/>
      <c r="AF224" s="280"/>
      <c r="AG224" s="280"/>
      <c r="AH224" s="280"/>
      <c r="AI224" s="280"/>
      <c r="AJ224" s="280"/>
      <c r="AK224" s="280"/>
      <c r="AL224" s="280"/>
      <c r="AM224" s="280"/>
      <c r="AN224" s="280"/>
      <c r="AO224" s="280"/>
      <c r="AP224" s="280"/>
      <c r="AQ224" s="280"/>
      <c r="AR224" s="280"/>
      <c r="AS224" s="280"/>
      <c r="AT224" s="280"/>
      <c r="AU224" s="280"/>
      <c r="AV224" s="280"/>
      <c r="AW224" s="280"/>
      <c r="AX224" s="280"/>
      <c r="AY224" s="280"/>
      <c r="AZ224" s="280"/>
      <c r="BA224" s="280"/>
      <c r="BB224" s="280"/>
      <c r="BC224" s="280"/>
      <c r="BD224" s="280"/>
      <c r="BE224" s="280"/>
      <c r="BF224" s="280"/>
      <c r="BG224" s="280"/>
      <c r="BH224" s="280"/>
      <c r="BI224" s="280"/>
      <c r="BJ224" s="280"/>
      <c r="BK224" s="280"/>
      <c r="BL224" s="280"/>
      <c r="BM224" s="280"/>
      <c r="BN224" s="280"/>
      <c r="BO224" s="280"/>
      <c r="BP224" s="280"/>
      <c r="BQ224" s="280"/>
      <c r="BR224" s="280"/>
      <c r="BS224" s="280"/>
      <c r="BT224" s="280"/>
      <c r="BU224" s="280"/>
      <c r="BV224" s="280"/>
    </row>
    <row r="225" spans="2:74" s="293" customFormat="1" x14ac:dyDescent="0.25">
      <c r="B225" s="280"/>
      <c r="C225" s="280"/>
      <c r="D225" s="280"/>
      <c r="E225" s="280"/>
      <c r="F225" s="280"/>
      <c r="G225" s="280"/>
      <c r="H225" s="280"/>
      <c r="I225" s="280"/>
      <c r="J225" s="280"/>
      <c r="K225" s="283"/>
      <c r="L225" s="283"/>
      <c r="M225" s="283"/>
      <c r="N225" s="280"/>
      <c r="O225" s="280"/>
      <c r="P225" s="280"/>
      <c r="Q225" s="280"/>
      <c r="R225" s="292"/>
      <c r="S225" s="292"/>
      <c r="T225" s="292"/>
      <c r="U225" s="292"/>
      <c r="V225" s="292"/>
      <c r="W225" s="292"/>
      <c r="X225" s="374"/>
      <c r="Y225" s="374"/>
      <c r="Z225" s="374"/>
      <c r="AA225" s="373"/>
      <c r="AB225" s="283"/>
      <c r="AC225" s="280"/>
      <c r="AD225" s="280"/>
      <c r="AE225" s="280"/>
      <c r="AF225" s="280"/>
      <c r="AG225" s="280"/>
      <c r="AH225" s="280"/>
      <c r="AI225" s="280"/>
      <c r="AJ225" s="280"/>
      <c r="AK225" s="280"/>
      <c r="AL225" s="280"/>
      <c r="AM225" s="280"/>
      <c r="AN225" s="280"/>
      <c r="AO225" s="280"/>
      <c r="AP225" s="280"/>
      <c r="AQ225" s="280"/>
      <c r="AR225" s="280"/>
      <c r="AS225" s="280"/>
      <c r="AT225" s="280"/>
      <c r="AU225" s="280"/>
      <c r="AV225" s="280"/>
      <c r="AW225" s="280"/>
      <c r="AX225" s="280"/>
      <c r="AY225" s="280"/>
      <c r="AZ225" s="280"/>
      <c r="BA225" s="280"/>
      <c r="BB225" s="280"/>
      <c r="BC225" s="280"/>
      <c r="BD225" s="280"/>
      <c r="BE225" s="280"/>
      <c r="BF225" s="280"/>
      <c r="BG225" s="280"/>
      <c r="BH225" s="280"/>
      <c r="BI225" s="280"/>
      <c r="BJ225" s="280"/>
      <c r="BK225" s="280"/>
      <c r="BL225" s="280"/>
      <c r="BM225" s="280"/>
      <c r="BN225" s="280"/>
      <c r="BO225" s="280"/>
      <c r="BP225" s="280"/>
      <c r="BQ225" s="280"/>
      <c r="BR225" s="280"/>
      <c r="BS225" s="280"/>
      <c r="BT225" s="280"/>
      <c r="BU225" s="280"/>
      <c r="BV225" s="280"/>
    </row>
    <row r="226" spans="2:74" s="293" customFormat="1" x14ac:dyDescent="0.25">
      <c r="B226" s="280"/>
      <c r="C226" s="280"/>
      <c r="D226" s="280"/>
      <c r="E226" s="280"/>
      <c r="F226" s="280"/>
      <c r="G226" s="280"/>
      <c r="H226" s="280"/>
      <c r="I226" s="280"/>
      <c r="J226" s="280"/>
      <c r="K226" s="283"/>
      <c r="L226" s="283"/>
      <c r="M226" s="283"/>
      <c r="N226" s="280"/>
      <c r="O226" s="280"/>
      <c r="P226" s="280"/>
      <c r="Q226" s="280"/>
      <c r="R226" s="292"/>
      <c r="S226" s="292"/>
      <c r="T226" s="292"/>
      <c r="U226" s="292"/>
      <c r="V226" s="292"/>
      <c r="W226" s="292"/>
      <c r="X226" s="374"/>
      <c r="Y226" s="374"/>
      <c r="Z226" s="374"/>
      <c r="AA226" s="373"/>
      <c r="AB226" s="283"/>
      <c r="AC226" s="280"/>
      <c r="AD226" s="280"/>
      <c r="AE226" s="280"/>
      <c r="AF226" s="280"/>
      <c r="AG226" s="280"/>
      <c r="AH226" s="280"/>
      <c r="AI226" s="280"/>
      <c r="AJ226" s="280"/>
      <c r="AK226" s="280"/>
      <c r="AL226" s="280"/>
      <c r="AM226" s="280"/>
      <c r="AN226" s="280"/>
      <c r="AO226" s="280"/>
      <c r="AP226" s="280"/>
      <c r="AQ226" s="280"/>
      <c r="AR226" s="280"/>
      <c r="AS226" s="280"/>
      <c r="AT226" s="280"/>
      <c r="AU226" s="280"/>
      <c r="AV226" s="280"/>
      <c r="AW226" s="280"/>
      <c r="AX226" s="280"/>
      <c r="AY226" s="280"/>
      <c r="AZ226" s="280"/>
      <c r="BA226" s="280"/>
      <c r="BB226" s="280"/>
      <c r="BC226" s="280"/>
      <c r="BD226" s="280"/>
      <c r="BE226" s="280"/>
      <c r="BF226" s="280"/>
      <c r="BG226" s="280"/>
      <c r="BH226" s="280"/>
      <c r="BI226" s="280"/>
      <c r="BJ226" s="280"/>
      <c r="BK226" s="280"/>
      <c r="BL226" s="280"/>
      <c r="BM226" s="280"/>
      <c r="BN226" s="280"/>
      <c r="BO226" s="280"/>
      <c r="BP226" s="280"/>
      <c r="BQ226" s="280"/>
      <c r="BR226" s="280"/>
      <c r="BS226" s="280"/>
      <c r="BT226" s="280"/>
      <c r="BU226" s="280"/>
      <c r="BV226" s="280"/>
    </row>
    <row r="227" spans="2:74" s="293" customFormat="1" x14ac:dyDescent="0.25">
      <c r="B227" s="280"/>
      <c r="C227" s="280"/>
      <c r="D227" s="280"/>
      <c r="E227" s="280"/>
      <c r="F227" s="280"/>
      <c r="G227" s="280"/>
      <c r="H227" s="280"/>
      <c r="I227" s="280"/>
      <c r="J227" s="280"/>
      <c r="K227" s="283"/>
      <c r="L227" s="283"/>
      <c r="M227" s="283"/>
      <c r="N227" s="280"/>
      <c r="O227" s="280"/>
      <c r="P227" s="280"/>
      <c r="Q227" s="280"/>
      <c r="R227" s="292"/>
      <c r="S227" s="292"/>
      <c r="T227" s="292"/>
      <c r="U227" s="292"/>
      <c r="V227" s="292"/>
      <c r="W227" s="292"/>
      <c r="X227" s="374"/>
      <c r="Y227" s="374"/>
      <c r="Z227" s="374"/>
      <c r="AA227" s="373"/>
      <c r="AB227" s="283"/>
      <c r="AC227" s="280"/>
      <c r="AD227" s="280"/>
      <c r="AE227" s="280"/>
      <c r="AF227" s="280"/>
      <c r="AG227" s="280"/>
      <c r="AH227" s="280"/>
      <c r="AI227" s="280"/>
      <c r="AJ227" s="280"/>
      <c r="AK227" s="280"/>
      <c r="AL227" s="280"/>
      <c r="AM227" s="280"/>
      <c r="AN227" s="280"/>
      <c r="AO227" s="280"/>
      <c r="AP227" s="280"/>
      <c r="AQ227" s="280"/>
      <c r="AR227" s="280"/>
      <c r="AS227" s="280"/>
      <c r="AT227" s="280"/>
      <c r="AU227" s="280"/>
      <c r="AV227" s="280"/>
      <c r="AW227" s="280"/>
      <c r="AX227" s="280"/>
      <c r="AY227" s="280"/>
      <c r="AZ227" s="280"/>
      <c r="BA227" s="280"/>
      <c r="BB227" s="280"/>
      <c r="BC227" s="280"/>
      <c r="BD227" s="280"/>
      <c r="BE227" s="280"/>
      <c r="BF227" s="280"/>
      <c r="BG227" s="280"/>
      <c r="BH227" s="280"/>
      <c r="BI227" s="280"/>
      <c r="BJ227" s="280"/>
      <c r="BK227" s="280"/>
      <c r="BL227" s="280"/>
      <c r="BM227" s="280"/>
      <c r="BN227" s="280"/>
      <c r="BO227" s="280"/>
      <c r="BP227" s="280"/>
      <c r="BQ227" s="280"/>
      <c r="BR227" s="280"/>
      <c r="BS227" s="280"/>
      <c r="BT227" s="280"/>
      <c r="BU227" s="280"/>
      <c r="BV227" s="280"/>
    </row>
    <row r="228" spans="2:74" s="293" customFormat="1" x14ac:dyDescent="0.25">
      <c r="B228" s="280"/>
      <c r="C228" s="280"/>
      <c r="D228" s="280"/>
      <c r="E228" s="280"/>
      <c r="F228" s="280"/>
      <c r="G228" s="280"/>
      <c r="H228" s="280"/>
      <c r="I228" s="280"/>
      <c r="J228" s="280"/>
      <c r="K228" s="283"/>
      <c r="L228" s="283"/>
      <c r="M228" s="283"/>
      <c r="N228" s="280"/>
      <c r="O228" s="280"/>
      <c r="P228" s="280"/>
      <c r="Q228" s="280"/>
      <c r="R228" s="292"/>
      <c r="S228" s="292"/>
      <c r="T228" s="292"/>
      <c r="U228" s="292"/>
      <c r="V228" s="292"/>
      <c r="W228" s="292"/>
      <c r="X228" s="374"/>
      <c r="Y228" s="374"/>
      <c r="Z228" s="374"/>
      <c r="AA228" s="373"/>
      <c r="AB228" s="283"/>
      <c r="AC228" s="280"/>
      <c r="AD228" s="280"/>
      <c r="AE228" s="280"/>
      <c r="AF228" s="280"/>
      <c r="AG228" s="280"/>
      <c r="AH228" s="280"/>
      <c r="AI228" s="280"/>
      <c r="AJ228" s="280"/>
      <c r="AK228" s="280"/>
      <c r="AL228" s="280"/>
      <c r="AM228" s="280"/>
      <c r="AN228" s="280"/>
      <c r="AO228" s="280"/>
      <c r="AP228" s="280"/>
      <c r="AQ228" s="280"/>
      <c r="AR228" s="280"/>
      <c r="AS228" s="280"/>
      <c r="AT228" s="280"/>
      <c r="AU228" s="280"/>
      <c r="AV228" s="280"/>
      <c r="AW228" s="280"/>
      <c r="AX228" s="280"/>
      <c r="AY228" s="280"/>
      <c r="AZ228" s="280"/>
      <c r="BA228" s="280"/>
      <c r="BB228" s="280"/>
      <c r="BC228" s="280"/>
      <c r="BD228" s="280"/>
      <c r="BE228" s="280"/>
      <c r="BF228" s="280"/>
      <c r="BG228" s="280"/>
      <c r="BH228" s="280"/>
      <c r="BI228" s="280"/>
      <c r="BJ228" s="280"/>
      <c r="BK228" s="280"/>
      <c r="BL228" s="280"/>
      <c r="BM228" s="280"/>
      <c r="BN228" s="280"/>
      <c r="BO228" s="280"/>
      <c r="BP228" s="280"/>
      <c r="BQ228" s="280"/>
      <c r="BR228" s="280"/>
      <c r="BS228" s="280"/>
      <c r="BT228" s="280"/>
      <c r="BU228" s="280"/>
      <c r="BV228" s="280"/>
    </row>
    <row r="229" spans="2:74" s="293" customFormat="1" x14ac:dyDescent="0.25">
      <c r="B229" s="280"/>
      <c r="C229" s="280"/>
      <c r="D229" s="280"/>
      <c r="E229" s="280"/>
      <c r="F229" s="280"/>
      <c r="G229" s="280"/>
      <c r="H229" s="280"/>
      <c r="I229" s="280"/>
      <c r="J229" s="280"/>
      <c r="K229" s="283"/>
      <c r="L229" s="283"/>
      <c r="M229" s="283"/>
      <c r="N229" s="280"/>
      <c r="O229" s="280"/>
      <c r="P229" s="280"/>
      <c r="Q229" s="280"/>
      <c r="R229" s="292"/>
      <c r="S229" s="292"/>
      <c r="T229" s="292"/>
      <c r="U229" s="292"/>
      <c r="V229" s="292"/>
      <c r="W229" s="292"/>
      <c r="X229" s="374"/>
      <c r="Y229" s="374"/>
      <c r="Z229" s="374"/>
      <c r="AA229" s="373"/>
      <c r="AB229" s="283"/>
      <c r="AC229" s="280"/>
      <c r="AD229" s="280"/>
      <c r="AE229" s="280"/>
      <c r="AF229" s="280"/>
      <c r="AG229" s="280"/>
      <c r="AH229" s="280"/>
      <c r="AI229" s="280"/>
      <c r="AJ229" s="280"/>
      <c r="AK229" s="280"/>
      <c r="AL229" s="280"/>
      <c r="AM229" s="280"/>
      <c r="AN229" s="280"/>
      <c r="AO229" s="280"/>
      <c r="AP229" s="280"/>
      <c r="AQ229" s="280"/>
      <c r="AR229" s="280"/>
      <c r="AS229" s="280"/>
      <c r="AT229" s="280"/>
      <c r="AU229" s="280"/>
      <c r="AV229" s="280"/>
      <c r="AW229" s="280"/>
      <c r="AX229" s="280"/>
      <c r="AY229" s="280"/>
      <c r="AZ229" s="280"/>
      <c r="BA229" s="280"/>
      <c r="BB229" s="280"/>
      <c r="BC229" s="280"/>
      <c r="BD229" s="280"/>
      <c r="BE229" s="280"/>
      <c r="BF229" s="280"/>
      <c r="BG229" s="280"/>
      <c r="BH229" s="280"/>
      <c r="BI229" s="280"/>
      <c r="BJ229" s="280"/>
      <c r="BK229" s="280"/>
      <c r="BL229" s="280"/>
      <c r="BM229" s="280"/>
      <c r="BN229" s="280"/>
      <c r="BO229" s="280"/>
      <c r="BP229" s="280"/>
      <c r="BQ229" s="280"/>
      <c r="BR229" s="280"/>
      <c r="BS229" s="280"/>
      <c r="BT229" s="280"/>
      <c r="BU229" s="280"/>
      <c r="BV229" s="280"/>
    </row>
    <row r="230" spans="2:74" s="293" customFormat="1" x14ac:dyDescent="0.25">
      <c r="B230" s="280"/>
      <c r="C230" s="280"/>
      <c r="D230" s="280"/>
      <c r="E230" s="280"/>
      <c r="F230" s="280"/>
      <c r="G230" s="280"/>
      <c r="H230" s="280"/>
      <c r="I230" s="280"/>
      <c r="J230" s="280"/>
      <c r="K230" s="283"/>
      <c r="L230" s="283"/>
      <c r="M230" s="283"/>
      <c r="N230" s="280"/>
      <c r="O230" s="280"/>
      <c r="P230" s="280"/>
      <c r="Q230" s="280"/>
      <c r="R230" s="292"/>
      <c r="S230" s="292"/>
      <c r="T230" s="292"/>
      <c r="U230" s="292"/>
      <c r="V230" s="292"/>
      <c r="W230" s="292"/>
      <c r="X230" s="374"/>
      <c r="Y230" s="374"/>
      <c r="Z230" s="374"/>
      <c r="AA230" s="373"/>
      <c r="AB230" s="283"/>
      <c r="AC230" s="280"/>
      <c r="AD230" s="280"/>
      <c r="AE230" s="280"/>
      <c r="AF230" s="280"/>
      <c r="AG230" s="280"/>
      <c r="AH230" s="280"/>
      <c r="AI230" s="280"/>
      <c r="AJ230" s="280"/>
      <c r="AK230" s="280"/>
      <c r="AL230" s="280"/>
      <c r="AM230" s="280"/>
      <c r="AN230" s="280"/>
      <c r="AO230" s="280"/>
      <c r="AP230" s="280"/>
      <c r="AQ230" s="280"/>
      <c r="AR230" s="280"/>
      <c r="AS230" s="280"/>
      <c r="AT230" s="280"/>
      <c r="AU230" s="280"/>
      <c r="AV230" s="280"/>
      <c r="AW230" s="280"/>
      <c r="AX230" s="280"/>
      <c r="AY230" s="280"/>
      <c r="AZ230" s="280"/>
      <c r="BA230" s="280"/>
      <c r="BB230" s="280"/>
      <c r="BC230" s="280"/>
      <c r="BD230" s="280"/>
      <c r="BE230" s="280"/>
      <c r="BF230" s="280"/>
      <c r="BG230" s="280"/>
      <c r="BH230" s="280"/>
      <c r="BI230" s="280"/>
      <c r="BJ230" s="280"/>
      <c r="BK230" s="280"/>
      <c r="BL230" s="280"/>
      <c r="BM230" s="280"/>
      <c r="BN230" s="280"/>
      <c r="BO230" s="280"/>
      <c r="BP230" s="280"/>
      <c r="BQ230" s="280"/>
      <c r="BR230" s="280"/>
      <c r="BS230" s="280"/>
      <c r="BT230" s="280"/>
      <c r="BU230" s="280"/>
      <c r="BV230" s="280"/>
    </row>
    <row r="231" spans="2:74" s="293" customFormat="1" x14ac:dyDescent="0.25">
      <c r="B231" s="280"/>
      <c r="C231" s="280"/>
      <c r="D231" s="280"/>
      <c r="E231" s="280"/>
      <c r="F231" s="280"/>
      <c r="G231" s="280"/>
      <c r="H231" s="280"/>
      <c r="I231" s="280"/>
      <c r="J231" s="280"/>
      <c r="K231" s="283"/>
      <c r="L231" s="283"/>
      <c r="M231" s="283"/>
      <c r="N231" s="280"/>
      <c r="O231" s="280"/>
      <c r="P231" s="280"/>
      <c r="Q231" s="280"/>
      <c r="R231" s="292"/>
      <c r="S231" s="292"/>
      <c r="T231" s="292"/>
      <c r="U231" s="292"/>
      <c r="V231" s="292"/>
      <c r="W231" s="292"/>
      <c r="X231" s="374"/>
      <c r="Y231" s="374"/>
      <c r="Z231" s="374"/>
      <c r="AA231" s="373"/>
      <c r="AB231" s="283"/>
      <c r="AC231" s="280"/>
      <c r="AD231" s="280"/>
      <c r="AE231" s="280"/>
      <c r="AF231" s="280"/>
      <c r="AG231" s="280"/>
      <c r="AH231" s="280"/>
      <c r="AI231" s="280"/>
      <c r="AJ231" s="280"/>
      <c r="AK231" s="280"/>
      <c r="AL231" s="280"/>
      <c r="AM231" s="280"/>
      <c r="AN231" s="280"/>
      <c r="AO231" s="280"/>
      <c r="AP231" s="280"/>
      <c r="AQ231" s="280"/>
      <c r="AR231" s="280"/>
      <c r="AS231" s="280"/>
      <c r="AT231" s="280"/>
      <c r="AU231" s="280"/>
      <c r="AV231" s="280"/>
      <c r="AW231" s="280"/>
      <c r="AX231" s="280"/>
      <c r="AY231" s="280"/>
      <c r="AZ231" s="280"/>
      <c r="BA231" s="280"/>
      <c r="BB231" s="280"/>
      <c r="BC231" s="280"/>
      <c r="BD231" s="280"/>
      <c r="BE231" s="280"/>
      <c r="BF231" s="280"/>
      <c r="BG231" s="280"/>
      <c r="BH231" s="280"/>
      <c r="BI231" s="280"/>
      <c r="BJ231" s="280"/>
      <c r="BK231" s="280"/>
      <c r="BL231" s="280"/>
      <c r="BM231" s="280"/>
      <c r="BN231" s="280"/>
      <c r="BO231" s="280"/>
      <c r="BP231" s="280"/>
      <c r="BQ231" s="280"/>
      <c r="BR231" s="280"/>
      <c r="BS231" s="280"/>
      <c r="BT231" s="280"/>
      <c r="BU231" s="280"/>
      <c r="BV231" s="280"/>
    </row>
    <row r="232" spans="2:74" s="293" customFormat="1" x14ac:dyDescent="0.25">
      <c r="B232" s="280"/>
      <c r="C232" s="280"/>
      <c r="D232" s="280"/>
      <c r="E232" s="280"/>
      <c r="F232" s="280"/>
      <c r="G232" s="280"/>
      <c r="H232" s="280"/>
      <c r="I232" s="280"/>
      <c r="J232" s="280"/>
      <c r="K232" s="283"/>
      <c r="L232" s="283"/>
      <c r="M232" s="283"/>
      <c r="N232" s="280"/>
      <c r="O232" s="280"/>
      <c r="P232" s="280"/>
      <c r="Q232" s="280"/>
      <c r="R232" s="292"/>
      <c r="S232" s="292"/>
      <c r="T232" s="292"/>
      <c r="U232" s="292"/>
      <c r="V232" s="292"/>
      <c r="W232" s="292"/>
      <c r="X232" s="374"/>
      <c r="Y232" s="374"/>
      <c r="Z232" s="374"/>
      <c r="AA232" s="373"/>
      <c r="AB232" s="283"/>
      <c r="AC232" s="280"/>
      <c r="AD232" s="280"/>
      <c r="AE232" s="280"/>
      <c r="AF232" s="280"/>
      <c r="AG232" s="280"/>
      <c r="AH232" s="280"/>
      <c r="AI232" s="280"/>
      <c r="AJ232" s="280"/>
      <c r="AK232" s="280"/>
      <c r="AL232" s="280"/>
      <c r="AM232" s="280"/>
      <c r="AN232" s="280"/>
      <c r="AO232" s="280"/>
      <c r="AP232" s="280"/>
      <c r="AQ232" s="280"/>
      <c r="AR232" s="280"/>
      <c r="AS232" s="280"/>
      <c r="AT232" s="280"/>
      <c r="AU232" s="280"/>
      <c r="AV232" s="280"/>
      <c r="AW232" s="280"/>
      <c r="AX232" s="280"/>
      <c r="AY232" s="280"/>
      <c r="AZ232" s="280"/>
      <c r="BA232" s="280"/>
      <c r="BB232" s="280"/>
      <c r="BC232" s="280"/>
      <c r="BD232" s="280"/>
      <c r="BE232" s="280"/>
      <c r="BF232" s="280"/>
      <c r="BG232" s="280"/>
      <c r="BH232" s="280"/>
      <c r="BI232" s="280"/>
      <c r="BJ232" s="280"/>
      <c r="BK232" s="280"/>
      <c r="BL232" s="280"/>
      <c r="BM232" s="280"/>
      <c r="BN232" s="280"/>
      <c r="BO232" s="280"/>
      <c r="BP232" s="280"/>
      <c r="BQ232" s="280"/>
      <c r="BR232" s="280"/>
      <c r="BS232" s="280"/>
      <c r="BT232" s="280"/>
      <c r="BU232" s="280"/>
      <c r="BV232" s="280"/>
    </row>
    <row r="233" spans="2:74" s="293" customFormat="1" x14ac:dyDescent="0.25">
      <c r="B233" s="280"/>
      <c r="C233" s="280"/>
      <c r="D233" s="280"/>
      <c r="E233" s="280"/>
      <c r="F233" s="280"/>
      <c r="G233" s="280"/>
      <c r="H233" s="280"/>
      <c r="I233" s="280"/>
      <c r="J233" s="280"/>
      <c r="K233" s="283"/>
      <c r="L233" s="283"/>
      <c r="M233" s="283"/>
      <c r="N233" s="280"/>
      <c r="O233" s="280"/>
      <c r="P233" s="280"/>
      <c r="Q233" s="280"/>
      <c r="R233" s="292"/>
      <c r="S233" s="292"/>
      <c r="T233" s="292"/>
      <c r="U233" s="292"/>
      <c r="V233" s="292"/>
      <c r="W233" s="292"/>
      <c r="X233" s="374"/>
      <c r="Y233" s="374"/>
      <c r="Z233" s="374"/>
      <c r="AA233" s="373"/>
      <c r="AB233" s="283"/>
      <c r="AC233" s="280"/>
      <c r="AD233" s="280"/>
      <c r="AE233" s="280"/>
      <c r="AF233" s="280"/>
      <c r="AG233" s="280"/>
      <c r="AH233" s="280"/>
      <c r="AI233" s="280"/>
      <c r="AJ233" s="280"/>
      <c r="AK233" s="280"/>
      <c r="AL233" s="280"/>
      <c r="AM233" s="280"/>
      <c r="AN233" s="280"/>
      <c r="AO233" s="280"/>
      <c r="AP233" s="280"/>
      <c r="AQ233" s="280"/>
      <c r="AR233" s="280"/>
      <c r="AS233" s="280"/>
      <c r="AT233" s="280"/>
      <c r="AU233" s="280"/>
      <c r="AV233" s="280"/>
      <c r="AW233" s="280"/>
      <c r="AX233" s="280"/>
      <c r="AY233" s="280"/>
      <c r="AZ233" s="280"/>
      <c r="BA233" s="280"/>
      <c r="BB233" s="280"/>
      <c r="BC233" s="280"/>
      <c r="BD233" s="280"/>
      <c r="BE233" s="280"/>
      <c r="BF233" s="280"/>
      <c r="BG233" s="280"/>
      <c r="BH233" s="280"/>
      <c r="BI233" s="280"/>
      <c r="BJ233" s="280"/>
      <c r="BK233" s="280"/>
      <c r="BL233" s="280"/>
      <c r="BM233" s="280"/>
      <c r="BN233" s="280"/>
      <c r="BO233" s="280"/>
      <c r="BP233" s="280"/>
      <c r="BQ233" s="280"/>
      <c r="BR233" s="280"/>
      <c r="BS233" s="280"/>
      <c r="BT233" s="280"/>
      <c r="BU233" s="280"/>
      <c r="BV233" s="280"/>
    </row>
    <row r="234" spans="2:74" s="293" customFormat="1" x14ac:dyDescent="0.25">
      <c r="B234" s="280"/>
      <c r="C234" s="280"/>
      <c r="D234" s="280"/>
      <c r="E234" s="280"/>
      <c r="F234" s="280"/>
      <c r="G234" s="280"/>
      <c r="H234" s="280"/>
      <c r="I234" s="280"/>
      <c r="J234" s="280"/>
      <c r="K234" s="283"/>
      <c r="L234" s="283"/>
      <c r="M234" s="283"/>
      <c r="N234" s="280"/>
      <c r="O234" s="280"/>
      <c r="P234" s="280"/>
      <c r="Q234" s="280"/>
      <c r="R234" s="292"/>
      <c r="S234" s="292"/>
      <c r="T234" s="292"/>
      <c r="U234" s="292"/>
      <c r="V234" s="292"/>
      <c r="W234" s="292"/>
      <c r="X234" s="374"/>
      <c r="Y234" s="374"/>
      <c r="Z234" s="374"/>
      <c r="AA234" s="373"/>
      <c r="AB234" s="283"/>
      <c r="AC234" s="280"/>
      <c r="AD234" s="280"/>
      <c r="AE234" s="280"/>
      <c r="AF234" s="280"/>
      <c r="AG234" s="280"/>
      <c r="AH234" s="280"/>
      <c r="AI234" s="280"/>
      <c r="AJ234" s="280"/>
      <c r="AK234" s="280"/>
      <c r="AL234" s="280"/>
      <c r="AM234" s="280"/>
      <c r="AN234" s="280"/>
      <c r="AO234" s="280"/>
      <c r="AP234" s="280"/>
      <c r="AQ234" s="280"/>
      <c r="AR234" s="280"/>
      <c r="AS234" s="280"/>
      <c r="AT234" s="280"/>
      <c r="AU234" s="280"/>
      <c r="AV234" s="280"/>
      <c r="AW234" s="280"/>
      <c r="AX234" s="280"/>
      <c r="AY234" s="280"/>
      <c r="AZ234" s="280"/>
      <c r="BA234" s="280"/>
      <c r="BB234" s="280"/>
      <c r="BC234" s="280"/>
      <c r="BD234" s="280"/>
      <c r="BE234" s="280"/>
      <c r="BF234" s="280"/>
      <c r="BG234" s="280"/>
      <c r="BH234" s="280"/>
      <c r="BI234" s="280"/>
      <c r="BJ234" s="280"/>
      <c r="BK234" s="280"/>
      <c r="BL234" s="280"/>
      <c r="BM234" s="280"/>
      <c r="BN234" s="280"/>
      <c r="BO234" s="280"/>
      <c r="BP234" s="280"/>
      <c r="BQ234" s="280"/>
      <c r="BR234" s="280"/>
      <c r="BS234" s="280"/>
      <c r="BT234" s="280"/>
      <c r="BU234" s="280"/>
      <c r="BV234" s="280"/>
    </row>
    <row r="235" spans="2:74" s="293" customFormat="1" x14ac:dyDescent="0.25">
      <c r="B235" s="280"/>
      <c r="C235" s="280"/>
      <c r="D235" s="280"/>
      <c r="E235" s="280"/>
      <c r="F235" s="280"/>
      <c r="G235" s="280"/>
      <c r="H235" s="280"/>
      <c r="I235" s="280"/>
      <c r="J235" s="280"/>
      <c r="K235" s="283"/>
      <c r="L235" s="283"/>
      <c r="M235" s="283"/>
      <c r="N235" s="280"/>
      <c r="O235" s="280"/>
      <c r="P235" s="280"/>
      <c r="Q235" s="280"/>
      <c r="R235" s="292"/>
      <c r="S235" s="292"/>
      <c r="T235" s="292"/>
      <c r="U235" s="292"/>
      <c r="V235" s="292"/>
      <c r="W235" s="292"/>
      <c r="X235" s="374"/>
      <c r="Y235" s="374"/>
      <c r="Z235" s="374"/>
      <c r="AA235" s="373"/>
      <c r="AB235" s="283"/>
      <c r="AC235" s="280"/>
      <c r="AD235" s="280"/>
      <c r="AE235" s="280"/>
      <c r="AF235" s="280"/>
      <c r="AG235" s="280"/>
      <c r="AH235" s="280"/>
      <c r="AI235" s="280"/>
      <c r="AJ235" s="280"/>
      <c r="AK235" s="280"/>
      <c r="AL235" s="280"/>
      <c r="AM235" s="280"/>
      <c r="AN235" s="280"/>
      <c r="AO235" s="280"/>
      <c r="AP235" s="280"/>
      <c r="AQ235" s="280"/>
      <c r="AR235" s="280"/>
      <c r="AS235" s="280"/>
      <c r="AT235" s="280"/>
      <c r="AU235" s="280"/>
      <c r="AV235" s="280"/>
      <c r="AW235" s="280"/>
      <c r="AX235" s="280"/>
      <c r="AY235" s="280"/>
      <c r="AZ235" s="280"/>
      <c r="BA235" s="280"/>
      <c r="BB235" s="280"/>
      <c r="BC235" s="280"/>
      <c r="BD235" s="280"/>
      <c r="BE235" s="280"/>
      <c r="BF235" s="280"/>
      <c r="BG235" s="280"/>
      <c r="BH235" s="280"/>
      <c r="BI235" s="280"/>
      <c r="BJ235" s="280"/>
      <c r="BK235" s="280"/>
      <c r="BL235" s="280"/>
      <c r="BM235" s="280"/>
      <c r="BN235" s="280"/>
      <c r="BO235" s="280"/>
      <c r="BP235" s="280"/>
      <c r="BQ235" s="280"/>
      <c r="BR235" s="280"/>
      <c r="BS235" s="280"/>
      <c r="BT235" s="280"/>
      <c r="BU235" s="280"/>
      <c r="BV235" s="280"/>
    </row>
    <row r="236" spans="2:74" s="293" customFormat="1" x14ac:dyDescent="0.25">
      <c r="B236" s="280"/>
      <c r="C236" s="280"/>
      <c r="D236" s="280"/>
      <c r="E236" s="280"/>
      <c r="F236" s="280"/>
      <c r="G236" s="280"/>
      <c r="H236" s="280"/>
      <c r="I236" s="280"/>
      <c r="J236" s="280"/>
      <c r="K236" s="283"/>
      <c r="L236" s="283"/>
      <c r="M236" s="283"/>
      <c r="N236" s="280"/>
      <c r="O236" s="280"/>
      <c r="P236" s="280"/>
      <c r="Q236" s="280"/>
      <c r="R236" s="292"/>
      <c r="S236" s="292"/>
      <c r="T236" s="292"/>
      <c r="U236" s="292"/>
      <c r="V236" s="292"/>
      <c r="W236" s="292"/>
      <c r="X236" s="374"/>
      <c r="Y236" s="374"/>
      <c r="Z236" s="374"/>
      <c r="AA236" s="373"/>
      <c r="AB236" s="283"/>
      <c r="AC236" s="280"/>
      <c r="AD236" s="280"/>
      <c r="AE236" s="280"/>
      <c r="AF236" s="280"/>
      <c r="AG236" s="280"/>
      <c r="AH236" s="280"/>
      <c r="AI236" s="280"/>
      <c r="AJ236" s="280"/>
      <c r="AK236" s="280"/>
      <c r="AL236" s="280"/>
      <c r="AM236" s="280"/>
      <c r="AN236" s="280"/>
      <c r="AO236" s="280"/>
      <c r="AP236" s="280"/>
      <c r="AQ236" s="280"/>
      <c r="AR236" s="280"/>
      <c r="AS236" s="280"/>
      <c r="AT236" s="280"/>
      <c r="AU236" s="280"/>
      <c r="AV236" s="280"/>
      <c r="AW236" s="280"/>
      <c r="AX236" s="280"/>
      <c r="AY236" s="280"/>
      <c r="AZ236" s="280"/>
      <c r="BA236" s="280"/>
      <c r="BB236" s="280"/>
      <c r="BC236" s="280"/>
      <c r="BD236" s="280"/>
      <c r="BE236" s="280"/>
      <c r="BF236" s="280"/>
      <c r="BG236" s="280"/>
      <c r="BH236" s="280"/>
      <c r="BI236" s="280"/>
      <c r="BJ236" s="280"/>
      <c r="BK236" s="280"/>
      <c r="BL236" s="280"/>
      <c r="BM236" s="280"/>
      <c r="BN236" s="280"/>
      <c r="BO236" s="280"/>
      <c r="BP236" s="280"/>
      <c r="BQ236" s="280"/>
      <c r="BR236" s="280"/>
      <c r="BS236" s="280"/>
      <c r="BT236" s="280"/>
      <c r="BU236" s="280"/>
      <c r="BV236" s="280"/>
    </row>
    <row r="237" spans="2:74" s="293" customFormat="1" x14ac:dyDescent="0.25">
      <c r="B237" s="280"/>
      <c r="C237" s="280"/>
      <c r="D237" s="280"/>
      <c r="E237" s="280"/>
      <c r="F237" s="280"/>
      <c r="G237" s="280"/>
      <c r="H237" s="280"/>
      <c r="I237" s="280"/>
      <c r="J237" s="280"/>
      <c r="K237" s="283"/>
      <c r="L237" s="283"/>
      <c r="M237" s="283"/>
      <c r="N237" s="280"/>
      <c r="O237" s="280"/>
      <c r="P237" s="280"/>
      <c r="Q237" s="280"/>
      <c r="R237" s="292"/>
      <c r="S237" s="292"/>
      <c r="T237" s="292"/>
      <c r="U237" s="292"/>
      <c r="V237" s="292"/>
      <c r="W237" s="292"/>
      <c r="X237" s="374"/>
      <c r="Y237" s="374"/>
      <c r="Z237" s="374"/>
      <c r="AA237" s="373"/>
      <c r="AB237" s="283"/>
      <c r="AC237" s="280"/>
      <c r="AD237" s="280"/>
      <c r="AE237" s="280"/>
      <c r="AF237" s="280"/>
      <c r="AG237" s="280"/>
      <c r="AH237" s="280"/>
      <c r="AI237" s="280"/>
      <c r="AJ237" s="280"/>
      <c r="AK237" s="280"/>
      <c r="AL237" s="280"/>
      <c r="AM237" s="280"/>
      <c r="AN237" s="280"/>
      <c r="AO237" s="280"/>
      <c r="AP237" s="280"/>
      <c r="AQ237" s="280"/>
      <c r="AR237" s="280"/>
      <c r="AS237" s="280"/>
      <c r="AT237" s="280"/>
      <c r="AU237" s="280"/>
      <c r="AV237" s="280"/>
      <c r="AW237" s="280"/>
      <c r="AX237" s="280"/>
      <c r="AY237" s="280"/>
      <c r="AZ237" s="280"/>
      <c r="BA237" s="280"/>
      <c r="BB237" s="280"/>
      <c r="BC237" s="280"/>
      <c r="BD237" s="280"/>
      <c r="BE237" s="280"/>
      <c r="BF237" s="280"/>
      <c r="BG237" s="280"/>
      <c r="BH237" s="280"/>
      <c r="BI237" s="280"/>
      <c r="BJ237" s="280"/>
      <c r="BK237" s="280"/>
      <c r="BL237" s="280"/>
      <c r="BM237" s="280"/>
      <c r="BN237" s="280"/>
      <c r="BO237" s="280"/>
      <c r="BP237" s="280"/>
      <c r="BQ237" s="280"/>
      <c r="BR237" s="280"/>
      <c r="BS237" s="280"/>
      <c r="BT237" s="280"/>
      <c r="BU237" s="280"/>
      <c r="BV237" s="280"/>
    </row>
    <row r="238" spans="2:74" s="293" customFormat="1" x14ac:dyDescent="0.25">
      <c r="B238" s="280"/>
      <c r="C238" s="280"/>
      <c r="D238" s="280"/>
      <c r="E238" s="280"/>
      <c r="F238" s="280"/>
      <c r="G238" s="280"/>
      <c r="H238" s="280"/>
      <c r="I238" s="280"/>
      <c r="J238" s="280"/>
      <c r="K238" s="283"/>
      <c r="L238" s="283"/>
      <c r="M238" s="283"/>
      <c r="N238" s="280"/>
      <c r="O238" s="280"/>
      <c r="P238" s="280"/>
      <c r="Q238" s="280"/>
      <c r="R238" s="292"/>
      <c r="S238" s="292"/>
      <c r="T238" s="292"/>
      <c r="U238" s="292"/>
      <c r="V238" s="292"/>
      <c r="W238" s="292"/>
      <c r="X238" s="374"/>
      <c r="Y238" s="374"/>
      <c r="Z238" s="374"/>
      <c r="AA238" s="373"/>
      <c r="AB238" s="283"/>
      <c r="AC238" s="280"/>
      <c r="AD238" s="280"/>
      <c r="AE238" s="280"/>
      <c r="AF238" s="280"/>
      <c r="AG238" s="280"/>
      <c r="AH238" s="280"/>
      <c r="AI238" s="280"/>
      <c r="AJ238" s="280"/>
      <c r="AK238" s="280"/>
      <c r="AL238" s="280"/>
      <c r="AM238" s="280"/>
      <c r="AN238" s="280"/>
      <c r="AO238" s="280"/>
      <c r="AP238" s="280"/>
      <c r="AQ238" s="280"/>
      <c r="AR238" s="280"/>
      <c r="AS238" s="280"/>
      <c r="AT238" s="280"/>
      <c r="AU238" s="280"/>
      <c r="AV238" s="280"/>
      <c r="AW238" s="280"/>
      <c r="AX238" s="280"/>
      <c r="AY238" s="280"/>
      <c r="AZ238" s="280"/>
      <c r="BA238" s="280"/>
      <c r="BB238" s="280"/>
      <c r="BC238" s="280"/>
      <c r="BD238" s="280"/>
      <c r="BE238" s="280"/>
      <c r="BF238" s="280"/>
      <c r="BG238" s="280"/>
      <c r="BH238" s="280"/>
      <c r="BI238" s="280"/>
      <c r="BJ238" s="280"/>
      <c r="BK238" s="280"/>
      <c r="BL238" s="280"/>
      <c r="BM238" s="280"/>
      <c r="BN238" s="280"/>
      <c r="BO238" s="280"/>
      <c r="BP238" s="280"/>
      <c r="BQ238" s="280"/>
      <c r="BR238" s="280"/>
      <c r="BS238" s="280"/>
      <c r="BT238" s="280"/>
      <c r="BU238" s="280"/>
      <c r="BV238" s="280"/>
    </row>
    <row r="239" spans="2:74" s="293" customFormat="1" x14ac:dyDescent="0.25">
      <c r="B239" s="280"/>
      <c r="C239" s="280"/>
      <c r="D239" s="280"/>
      <c r="E239" s="280"/>
      <c r="F239" s="280"/>
      <c r="G239" s="280"/>
      <c r="H239" s="280"/>
      <c r="I239" s="280"/>
      <c r="J239" s="280"/>
      <c r="K239" s="283"/>
      <c r="L239" s="283"/>
      <c r="M239" s="283"/>
      <c r="N239" s="280"/>
      <c r="O239" s="280"/>
      <c r="P239" s="280"/>
      <c r="Q239" s="280"/>
      <c r="R239" s="292"/>
      <c r="S239" s="292"/>
      <c r="T239" s="292"/>
      <c r="U239" s="292"/>
      <c r="V239" s="292"/>
      <c r="W239" s="292"/>
      <c r="X239" s="374"/>
      <c r="Y239" s="374"/>
      <c r="Z239" s="374"/>
      <c r="AA239" s="373"/>
      <c r="AB239" s="283"/>
      <c r="AC239" s="280"/>
      <c r="AD239" s="280"/>
      <c r="AE239" s="280"/>
      <c r="AF239" s="280"/>
      <c r="AG239" s="280"/>
      <c r="AH239" s="280"/>
      <c r="AI239" s="280"/>
      <c r="AJ239" s="280"/>
      <c r="AK239" s="280"/>
      <c r="AL239" s="280"/>
      <c r="AM239" s="280"/>
      <c r="AN239" s="280"/>
      <c r="AO239" s="280"/>
      <c r="AP239" s="280"/>
      <c r="AQ239" s="280"/>
      <c r="AR239" s="280"/>
      <c r="AS239" s="280"/>
      <c r="AT239" s="280"/>
      <c r="AU239" s="280"/>
      <c r="AV239" s="280"/>
      <c r="AW239" s="280"/>
      <c r="AX239" s="280"/>
      <c r="AY239" s="280"/>
      <c r="AZ239" s="280"/>
      <c r="BA239" s="280"/>
      <c r="BB239" s="280"/>
      <c r="BC239" s="280"/>
      <c r="BD239" s="280"/>
      <c r="BE239" s="280"/>
      <c r="BF239" s="280"/>
      <c r="BG239" s="280"/>
      <c r="BH239" s="280"/>
      <c r="BI239" s="280"/>
      <c r="BJ239" s="280"/>
      <c r="BK239" s="280"/>
      <c r="BL239" s="280"/>
      <c r="BM239" s="280"/>
      <c r="BN239" s="280"/>
      <c r="BO239" s="280"/>
      <c r="BP239" s="280"/>
      <c r="BQ239" s="280"/>
      <c r="BR239" s="280"/>
      <c r="BS239" s="280"/>
      <c r="BT239" s="280"/>
      <c r="BU239" s="280"/>
      <c r="BV239" s="280"/>
    </row>
    <row r="240" spans="2:74" s="293" customFormat="1" x14ac:dyDescent="0.25">
      <c r="B240" s="280"/>
      <c r="C240" s="280"/>
      <c r="D240" s="280"/>
      <c r="E240" s="280"/>
      <c r="F240" s="280"/>
      <c r="G240" s="280"/>
      <c r="H240" s="280"/>
      <c r="I240" s="280"/>
      <c r="J240" s="280"/>
      <c r="K240" s="283"/>
      <c r="L240" s="283"/>
      <c r="M240" s="283"/>
      <c r="N240" s="280"/>
      <c r="O240" s="280"/>
      <c r="P240" s="280"/>
      <c r="Q240" s="280"/>
      <c r="R240" s="292"/>
      <c r="S240" s="292"/>
      <c r="T240" s="292"/>
      <c r="U240" s="292"/>
      <c r="V240" s="292"/>
      <c r="W240" s="292"/>
      <c r="X240" s="374"/>
      <c r="Y240" s="374"/>
      <c r="Z240" s="374"/>
      <c r="AA240" s="373"/>
      <c r="AB240" s="283"/>
      <c r="AC240" s="280"/>
      <c r="AD240" s="280"/>
      <c r="AE240" s="280"/>
      <c r="AF240" s="280"/>
      <c r="AG240" s="280"/>
      <c r="AH240" s="280"/>
      <c r="AI240" s="280"/>
      <c r="AJ240" s="280"/>
      <c r="AK240" s="280"/>
      <c r="AL240" s="280"/>
      <c r="AM240" s="280"/>
      <c r="AN240" s="280"/>
      <c r="AO240" s="280"/>
      <c r="AP240" s="280"/>
      <c r="AQ240" s="280"/>
      <c r="AR240" s="280"/>
      <c r="AS240" s="280"/>
      <c r="AT240" s="280"/>
      <c r="AU240" s="280"/>
      <c r="AV240" s="280"/>
      <c r="AW240" s="280"/>
      <c r="AX240" s="280"/>
      <c r="AY240" s="280"/>
      <c r="AZ240" s="280"/>
      <c r="BA240" s="280"/>
      <c r="BB240" s="280"/>
      <c r="BC240" s="280"/>
      <c r="BD240" s="280"/>
      <c r="BE240" s="280"/>
      <c r="BF240" s="280"/>
      <c r="BG240" s="280"/>
      <c r="BH240" s="280"/>
      <c r="BI240" s="280"/>
      <c r="BJ240" s="280"/>
      <c r="BK240" s="280"/>
      <c r="BL240" s="280"/>
      <c r="BM240" s="280"/>
      <c r="BN240" s="280"/>
      <c r="BO240" s="280"/>
      <c r="BP240" s="280"/>
      <c r="BQ240" s="280"/>
      <c r="BR240" s="280"/>
      <c r="BS240" s="280"/>
      <c r="BT240" s="280"/>
      <c r="BU240" s="280"/>
      <c r="BV240" s="280"/>
    </row>
    <row r="241" spans="2:74" s="293" customFormat="1" x14ac:dyDescent="0.25">
      <c r="B241" s="280"/>
      <c r="C241" s="280"/>
      <c r="D241" s="280"/>
      <c r="E241" s="280"/>
      <c r="F241" s="280"/>
      <c r="G241" s="280"/>
      <c r="H241" s="280"/>
      <c r="I241" s="280"/>
      <c r="J241" s="280"/>
      <c r="K241" s="283"/>
      <c r="L241" s="283"/>
      <c r="M241" s="283"/>
      <c r="N241" s="280"/>
      <c r="O241" s="280"/>
      <c r="P241" s="280"/>
      <c r="Q241" s="280"/>
      <c r="R241" s="292"/>
      <c r="S241" s="292"/>
      <c r="T241" s="292"/>
      <c r="U241" s="292"/>
      <c r="V241" s="292"/>
      <c r="W241" s="292"/>
      <c r="X241" s="374"/>
      <c r="Y241" s="374"/>
      <c r="Z241" s="374"/>
      <c r="AA241" s="373"/>
      <c r="AB241" s="283"/>
      <c r="AC241" s="280"/>
      <c r="AD241" s="280"/>
      <c r="AE241" s="280"/>
      <c r="AF241" s="280"/>
      <c r="AG241" s="280"/>
      <c r="AH241" s="280"/>
      <c r="AI241" s="280"/>
      <c r="AJ241" s="280"/>
      <c r="AK241" s="280"/>
      <c r="AL241" s="280"/>
      <c r="AM241" s="280"/>
      <c r="AN241" s="280"/>
      <c r="AO241" s="280"/>
      <c r="AP241" s="280"/>
      <c r="AQ241" s="280"/>
      <c r="AR241" s="280"/>
      <c r="AS241" s="280"/>
      <c r="AT241" s="280"/>
      <c r="AU241" s="280"/>
      <c r="AV241" s="280"/>
      <c r="AW241" s="280"/>
      <c r="AX241" s="280"/>
      <c r="AY241" s="280"/>
      <c r="AZ241" s="280"/>
      <c r="BA241" s="280"/>
      <c r="BB241" s="280"/>
      <c r="BC241" s="280"/>
      <c r="BD241" s="280"/>
      <c r="BE241" s="280"/>
      <c r="BF241" s="280"/>
      <c r="BG241" s="280"/>
      <c r="BH241" s="280"/>
      <c r="BI241" s="280"/>
      <c r="BJ241" s="280"/>
      <c r="BK241" s="280"/>
      <c r="BL241" s="280"/>
      <c r="BM241" s="280"/>
      <c r="BN241" s="280"/>
      <c r="BO241" s="280"/>
      <c r="BP241" s="280"/>
      <c r="BQ241" s="280"/>
      <c r="BR241" s="280"/>
      <c r="BS241" s="280"/>
      <c r="BT241" s="280"/>
      <c r="BU241" s="280"/>
      <c r="BV241" s="280"/>
    </row>
    <row r="242" spans="2:74" s="293" customFormat="1" x14ac:dyDescent="0.25">
      <c r="B242" s="280"/>
      <c r="C242" s="280"/>
      <c r="D242" s="280"/>
      <c r="E242" s="280"/>
      <c r="F242" s="280"/>
      <c r="G242" s="280"/>
      <c r="H242" s="280"/>
      <c r="I242" s="280"/>
      <c r="J242" s="280"/>
      <c r="K242" s="283"/>
      <c r="L242" s="283"/>
      <c r="M242" s="283"/>
      <c r="N242" s="280"/>
      <c r="O242" s="280"/>
      <c r="P242" s="280"/>
      <c r="Q242" s="280"/>
      <c r="R242" s="292"/>
      <c r="S242" s="292"/>
      <c r="T242" s="292"/>
      <c r="U242" s="292"/>
      <c r="V242" s="292"/>
      <c r="W242" s="292"/>
      <c r="X242" s="374"/>
      <c r="Y242" s="374"/>
      <c r="Z242" s="374"/>
      <c r="AA242" s="373"/>
      <c r="AB242" s="283"/>
      <c r="AC242" s="280"/>
      <c r="AD242" s="280"/>
      <c r="AE242" s="280"/>
      <c r="AF242" s="280"/>
      <c r="AG242" s="280"/>
      <c r="AH242" s="280"/>
      <c r="AI242" s="280"/>
      <c r="AJ242" s="280"/>
      <c r="AK242" s="280"/>
      <c r="AL242" s="280"/>
      <c r="AM242" s="280"/>
      <c r="AN242" s="280"/>
      <c r="AO242" s="280"/>
      <c r="AP242" s="280"/>
      <c r="AQ242" s="280"/>
      <c r="AR242" s="280"/>
      <c r="AS242" s="280"/>
      <c r="AT242" s="280"/>
      <c r="AU242" s="280"/>
      <c r="AV242" s="280"/>
      <c r="AW242" s="280"/>
      <c r="AX242" s="280"/>
      <c r="AY242" s="280"/>
      <c r="AZ242" s="280"/>
      <c r="BA242" s="280"/>
      <c r="BB242" s="280"/>
      <c r="BC242" s="280"/>
      <c r="BD242" s="280"/>
      <c r="BE242" s="280"/>
      <c r="BF242" s="280"/>
      <c r="BG242" s="280"/>
      <c r="BH242" s="280"/>
      <c r="BI242" s="280"/>
      <c r="BJ242" s="280"/>
      <c r="BK242" s="280"/>
      <c r="BL242" s="280"/>
      <c r="BM242" s="280"/>
      <c r="BN242" s="280"/>
      <c r="BO242" s="280"/>
      <c r="BP242" s="280"/>
      <c r="BQ242" s="280"/>
      <c r="BR242" s="280"/>
      <c r="BS242" s="280"/>
      <c r="BT242" s="280"/>
      <c r="BU242" s="280"/>
      <c r="BV242" s="280"/>
    </row>
    <row r="243" spans="2:74" s="293" customFormat="1" x14ac:dyDescent="0.25">
      <c r="B243" s="280"/>
      <c r="C243" s="280"/>
      <c r="D243" s="280"/>
      <c r="E243" s="280"/>
      <c r="F243" s="280"/>
      <c r="G243" s="280"/>
      <c r="H243" s="280"/>
      <c r="I243" s="280"/>
      <c r="J243" s="280"/>
      <c r="K243" s="283"/>
      <c r="L243" s="283"/>
      <c r="M243" s="283"/>
      <c r="N243" s="280"/>
      <c r="O243" s="280"/>
      <c r="P243" s="280"/>
      <c r="Q243" s="280"/>
      <c r="R243" s="292"/>
      <c r="S243" s="292"/>
      <c r="T243" s="292"/>
      <c r="U243" s="292"/>
      <c r="V243" s="292"/>
      <c r="W243" s="292"/>
      <c r="X243" s="374"/>
      <c r="Y243" s="374"/>
      <c r="Z243" s="374"/>
      <c r="AA243" s="373"/>
      <c r="AB243" s="283"/>
      <c r="AC243" s="280"/>
      <c r="AD243" s="280"/>
      <c r="AE243" s="280"/>
      <c r="AF243" s="280"/>
      <c r="AG243" s="280"/>
      <c r="AH243" s="280"/>
      <c r="AI243" s="280"/>
      <c r="AJ243" s="280"/>
      <c r="AK243" s="280"/>
      <c r="AL243" s="280"/>
      <c r="AM243" s="280"/>
      <c r="AN243" s="280"/>
      <c r="AO243" s="280"/>
      <c r="AP243" s="280"/>
      <c r="AQ243" s="280"/>
      <c r="AR243" s="280"/>
      <c r="AS243" s="280"/>
      <c r="AT243" s="280"/>
      <c r="AU243" s="280"/>
      <c r="AV243" s="280"/>
      <c r="AW243" s="280"/>
      <c r="AX243" s="280"/>
      <c r="AY243" s="280"/>
      <c r="AZ243" s="280"/>
      <c r="BA243" s="280"/>
      <c r="BB243" s="280"/>
      <c r="BC243" s="280"/>
      <c r="BD243" s="280"/>
      <c r="BE243" s="280"/>
      <c r="BF243" s="280"/>
      <c r="BG243" s="280"/>
      <c r="BH243" s="280"/>
      <c r="BI243" s="280"/>
      <c r="BJ243" s="280"/>
      <c r="BK243" s="280"/>
      <c r="BL243" s="280"/>
      <c r="BM243" s="280"/>
      <c r="BN243" s="280"/>
      <c r="BO243" s="280"/>
      <c r="BP243" s="280"/>
      <c r="BQ243" s="280"/>
      <c r="BR243" s="280"/>
      <c r="BS243" s="280"/>
      <c r="BT243" s="280"/>
      <c r="BU243" s="280"/>
      <c r="BV243" s="280"/>
    </row>
    <row r="244" spans="2:74" s="293" customFormat="1" x14ac:dyDescent="0.25">
      <c r="B244" s="280"/>
      <c r="C244" s="280"/>
      <c r="D244" s="280"/>
      <c r="E244" s="280"/>
      <c r="F244" s="280"/>
      <c r="G244" s="280"/>
      <c r="H244" s="280"/>
      <c r="I244" s="280"/>
      <c r="J244" s="280"/>
      <c r="K244" s="283"/>
      <c r="L244" s="283"/>
      <c r="M244" s="283"/>
      <c r="N244" s="280"/>
      <c r="O244" s="280"/>
      <c r="P244" s="280"/>
      <c r="Q244" s="280"/>
      <c r="R244" s="292"/>
      <c r="S244" s="292"/>
      <c r="T244" s="292"/>
      <c r="U244" s="292"/>
      <c r="V244" s="292"/>
      <c r="W244" s="292"/>
      <c r="X244" s="374"/>
      <c r="Y244" s="374"/>
      <c r="Z244" s="374"/>
      <c r="AA244" s="373"/>
      <c r="AB244" s="283"/>
      <c r="AC244" s="280"/>
      <c r="AD244" s="280"/>
      <c r="AE244" s="280"/>
      <c r="AF244" s="280"/>
      <c r="AG244" s="280"/>
      <c r="AH244" s="280"/>
      <c r="AI244" s="280"/>
      <c r="AJ244" s="280"/>
      <c r="AK244" s="280"/>
      <c r="AL244" s="280"/>
      <c r="AM244" s="280"/>
      <c r="AN244" s="280"/>
      <c r="AO244" s="280"/>
      <c r="AP244" s="280"/>
      <c r="AQ244" s="280"/>
      <c r="AR244" s="280"/>
      <c r="AS244" s="280"/>
      <c r="AT244" s="280"/>
      <c r="AU244" s="280"/>
      <c r="AV244" s="280"/>
      <c r="AW244" s="280"/>
      <c r="AX244" s="280"/>
      <c r="AY244" s="280"/>
      <c r="AZ244" s="280"/>
      <c r="BA244" s="280"/>
      <c r="BB244" s="280"/>
      <c r="BC244" s="280"/>
      <c r="BD244" s="280"/>
      <c r="BE244" s="280"/>
      <c r="BF244" s="280"/>
      <c r="BG244" s="280"/>
      <c r="BH244" s="280"/>
      <c r="BI244" s="280"/>
      <c r="BJ244" s="280"/>
      <c r="BK244" s="280"/>
      <c r="BL244" s="280"/>
      <c r="BM244" s="280"/>
      <c r="BN244" s="280"/>
      <c r="BO244" s="280"/>
      <c r="BP244" s="280"/>
      <c r="BQ244" s="280"/>
      <c r="BR244" s="280"/>
      <c r="BS244" s="280"/>
      <c r="BT244" s="280"/>
      <c r="BU244" s="280"/>
      <c r="BV244" s="280"/>
    </row>
    <row r="245" spans="2:74" s="293" customFormat="1" x14ac:dyDescent="0.25">
      <c r="B245" s="280"/>
      <c r="C245" s="280"/>
      <c r="D245" s="280"/>
      <c r="E245" s="280"/>
      <c r="F245" s="280"/>
      <c r="G245" s="280"/>
      <c r="H245" s="280"/>
      <c r="I245" s="280"/>
      <c r="J245" s="280"/>
      <c r="K245" s="283"/>
      <c r="L245" s="283"/>
      <c r="M245" s="283"/>
      <c r="N245" s="280"/>
      <c r="O245" s="280"/>
      <c r="P245" s="280"/>
      <c r="Q245" s="280"/>
      <c r="R245" s="292"/>
      <c r="S245" s="292"/>
      <c r="T245" s="292"/>
      <c r="U245" s="292"/>
      <c r="V245" s="292"/>
      <c r="W245" s="292"/>
      <c r="X245" s="374"/>
      <c r="Y245" s="374"/>
      <c r="Z245" s="374"/>
      <c r="AA245" s="373"/>
      <c r="AB245" s="283"/>
      <c r="AC245" s="280"/>
      <c r="AD245" s="280"/>
      <c r="AE245" s="280"/>
      <c r="AF245" s="280"/>
      <c r="AG245" s="280"/>
      <c r="AH245" s="280"/>
      <c r="AI245" s="280"/>
      <c r="AJ245" s="280"/>
      <c r="AK245" s="280"/>
      <c r="AL245" s="280"/>
      <c r="AM245" s="280"/>
      <c r="AN245" s="280"/>
      <c r="AO245" s="280"/>
      <c r="AP245" s="280"/>
      <c r="AQ245" s="280"/>
      <c r="AR245" s="280"/>
      <c r="AS245" s="280"/>
      <c r="AT245" s="280"/>
      <c r="AU245" s="280"/>
      <c r="AV245" s="280"/>
      <c r="AW245" s="280"/>
      <c r="AX245" s="280"/>
      <c r="AY245" s="280"/>
      <c r="AZ245" s="280"/>
      <c r="BA245" s="280"/>
      <c r="BB245" s="280"/>
      <c r="BC245" s="280"/>
      <c r="BD245" s="280"/>
      <c r="BE245" s="280"/>
      <c r="BF245" s="280"/>
      <c r="BG245" s="280"/>
      <c r="BH245" s="280"/>
      <c r="BI245" s="280"/>
      <c r="BJ245" s="280"/>
      <c r="BK245" s="280"/>
      <c r="BL245" s="280"/>
      <c r="BM245" s="280"/>
      <c r="BN245" s="280"/>
      <c r="BO245" s="280"/>
      <c r="BP245" s="280"/>
      <c r="BQ245" s="280"/>
      <c r="BR245" s="280"/>
      <c r="BS245" s="280"/>
      <c r="BT245" s="280"/>
      <c r="BU245" s="280"/>
      <c r="BV245" s="280"/>
    </row>
    <row r="246" spans="2:74" s="293" customFormat="1" x14ac:dyDescent="0.25">
      <c r="B246" s="280"/>
      <c r="C246" s="280"/>
      <c r="D246" s="280"/>
      <c r="E246" s="280"/>
      <c r="F246" s="280"/>
      <c r="G246" s="280"/>
      <c r="H246" s="280"/>
      <c r="I246" s="280"/>
      <c r="J246" s="280"/>
      <c r="K246" s="283"/>
      <c r="L246" s="283"/>
      <c r="M246" s="283"/>
      <c r="N246" s="280"/>
      <c r="O246" s="280"/>
      <c r="P246" s="280"/>
      <c r="Q246" s="280"/>
      <c r="R246" s="292"/>
      <c r="S246" s="292"/>
      <c r="T246" s="292"/>
      <c r="U246" s="292"/>
      <c r="V246" s="292"/>
      <c r="W246" s="292"/>
      <c r="X246" s="374"/>
      <c r="Y246" s="374"/>
      <c r="Z246" s="374"/>
      <c r="AA246" s="373"/>
      <c r="AB246" s="283"/>
      <c r="AC246" s="280"/>
      <c r="AD246" s="280"/>
      <c r="AE246" s="280"/>
      <c r="AF246" s="280"/>
      <c r="AG246" s="280"/>
      <c r="AH246" s="280"/>
      <c r="AI246" s="280"/>
      <c r="AJ246" s="280"/>
      <c r="AK246" s="280"/>
      <c r="AL246" s="280"/>
      <c r="AM246" s="280"/>
      <c r="AN246" s="280"/>
      <c r="AO246" s="280"/>
      <c r="AP246" s="280"/>
      <c r="AQ246" s="280"/>
      <c r="AR246" s="280"/>
      <c r="AS246" s="280"/>
      <c r="AT246" s="280"/>
      <c r="AU246" s="280"/>
      <c r="AV246" s="280"/>
      <c r="AW246" s="280"/>
      <c r="AX246" s="280"/>
      <c r="AY246" s="280"/>
      <c r="AZ246" s="280"/>
      <c r="BA246" s="280"/>
      <c r="BB246" s="280"/>
      <c r="BC246" s="280"/>
      <c r="BD246" s="280"/>
      <c r="BE246" s="280"/>
      <c r="BF246" s="280"/>
      <c r="BG246" s="280"/>
      <c r="BH246" s="280"/>
      <c r="BI246" s="280"/>
      <c r="BJ246" s="280"/>
      <c r="BK246" s="280"/>
      <c r="BL246" s="280"/>
      <c r="BM246" s="280"/>
      <c r="BN246" s="280"/>
      <c r="BO246" s="280"/>
      <c r="BP246" s="280"/>
      <c r="BQ246" s="280"/>
      <c r="BR246" s="280"/>
      <c r="BS246" s="280"/>
      <c r="BT246" s="280"/>
      <c r="BU246" s="280"/>
      <c r="BV246" s="280"/>
    </row>
    <row r="247" spans="2:74" s="293" customFormat="1" x14ac:dyDescent="0.25">
      <c r="B247" s="280"/>
      <c r="C247" s="280"/>
      <c r="D247" s="280"/>
      <c r="E247" s="280"/>
      <c r="F247" s="280"/>
      <c r="G247" s="280"/>
      <c r="H247" s="280"/>
      <c r="I247" s="280"/>
      <c r="J247" s="280"/>
      <c r="K247" s="283"/>
      <c r="L247" s="283"/>
      <c r="M247" s="283"/>
      <c r="N247" s="280"/>
      <c r="O247" s="280"/>
      <c r="P247" s="280"/>
      <c r="Q247" s="280"/>
      <c r="R247" s="292"/>
      <c r="S247" s="292"/>
      <c r="T247" s="292"/>
      <c r="U247" s="292"/>
      <c r="V247" s="292"/>
      <c r="W247" s="292"/>
      <c r="X247" s="374"/>
      <c r="Y247" s="374"/>
      <c r="Z247" s="374"/>
      <c r="AA247" s="373"/>
      <c r="AB247" s="283"/>
      <c r="AC247" s="280"/>
      <c r="AD247" s="280"/>
      <c r="AE247" s="280"/>
      <c r="AF247" s="280"/>
      <c r="AG247" s="280"/>
      <c r="AH247" s="280"/>
      <c r="AI247" s="280"/>
      <c r="AJ247" s="280"/>
      <c r="AK247" s="280"/>
      <c r="AL247" s="280"/>
      <c r="AM247" s="280"/>
      <c r="AN247" s="280"/>
      <c r="AO247" s="280"/>
      <c r="AP247" s="280"/>
      <c r="AQ247" s="280"/>
      <c r="AR247" s="280"/>
      <c r="AS247" s="280"/>
      <c r="AT247" s="280"/>
      <c r="AU247" s="280"/>
      <c r="AV247" s="280"/>
      <c r="AW247" s="280"/>
      <c r="AX247" s="280"/>
      <c r="AY247" s="280"/>
      <c r="AZ247" s="280"/>
      <c r="BA247" s="280"/>
      <c r="BB247" s="280"/>
      <c r="BC247" s="280"/>
      <c r="BD247" s="280"/>
      <c r="BE247" s="280"/>
      <c r="BF247" s="280"/>
      <c r="BG247" s="280"/>
      <c r="BH247" s="280"/>
      <c r="BI247" s="280"/>
      <c r="BJ247" s="280"/>
      <c r="BK247" s="280"/>
      <c r="BL247" s="280"/>
      <c r="BM247" s="280"/>
      <c r="BN247" s="280"/>
      <c r="BO247" s="280"/>
      <c r="BP247" s="280"/>
      <c r="BQ247" s="280"/>
      <c r="BR247" s="280"/>
      <c r="BS247" s="280"/>
      <c r="BT247" s="280"/>
      <c r="BU247" s="280"/>
      <c r="BV247" s="280"/>
    </row>
    <row r="248" spans="2:74" s="293" customFormat="1" x14ac:dyDescent="0.25">
      <c r="B248" s="280"/>
      <c r="C248" s="280"/>
      <c r="D248" s="280"/>
      <c r="E248" s="280"/>
      <c r="F248" s="280"/>
      <c r="G248" s="280"/>
      <c r="H248" s="280"/>
      <c r="I248" s="280"/>
      <c r="J248" s="280"/>
      <c r="K248" s="283"/>
      <c r="L248" s="283"/>
      <c r="M248" s="283"/>
      <c r="N248" s="280"/>
      <c r="O248" s="280"/>
      <c r="P248" s="280"/>
      <c r="Q248" s="280"/>
      <c r="R248" s="292"/>
      <c r="S248" s="292"/>
      <c r="T248" s="292"/>
      <c r="U248" s="292"/>
      <c r="V248" s="292"/>
      <c r="W248" s="292"/>
      <c r="X248" s="374"/>
      <c r="Y248" s="374"/>
      <c r="Z248" s="374"/>
      <c r="AA248" s="373"/>
      <c r="AB248" s="283"/>
      <c r="AC248" s="280"/>
      <c r="AD248" s="280"/>
      <c r="AE248" s="280"/>
      <c r="AF248" s="280"/>
      <c r="AG248" s="280"/>
      <c r="AH248" s="280"/>
      <c r="AI248" s="280"/>
      <c r="AJ248" s="280"/>
      <c r="AK248" s="280"/>
      <c r="AL248" s="280"/>
      <c r="AM248" s="280"/>
      <c r="AN248" s="280"/>
      <c r="AO248" s="280"/>
      <c r="AP248" s="280"/>
      <c r="AQ248" s="280"/>
      <c r="AR248" s="280"/>
      <c r="AS248" s="280"/>
      <c r="AT248" s="280"/>
      <c r="AU248" s="280"/>
      <c r="AV248" s="280"/>
      <c r="AW248" s="280"/>
      <c r="AX248" s="280"/>
      <c r="AY248" s="280"/>
      <c r="AZ248" s="280"/>
      <c r="BA248" s="280"/>
      <c r="BB248" s="280"/>
      <c r="BC248" s="280"/>
      <c r="BD248" s="280"/>
      <c r="BE248" s="280"/>
      <c r="BF248" s="280"/>
      <c r="BG248" s="280"/>
      <c r="BH248" s="280"/>
      <c r="BI248" s="280"/>
      <c r="BJ248" s="280"/>
      <c r="BK248" s="280"/>
      <c r="BL248" s="280"/>
      <c r="BM248" s="280"/>
      <c r="BN248" s="280"/>
      <c r="BO248" s="280"/>
      <c r="BP248" s="280"/>
      <c r="BQ248" s="280"/>
      <c r="BR248" s="280"/>
      <c r="BS248" s="280"/>
      <c r="BT248" s="280"/>
      <c r="BU248" s="280"/>
      <c r="BV248" s="280"/>
    </row>
    <row r="249" spans="2:74" s="293" customFormat="1" x14ac:dyDescent="0.25">
      <c r="B249" s="280"/>
      <c r="C249" s="280"/>
      <c r="D249" s="280"/>
      <c r="E249" s="280"/>
      <c r="F249" s="280"/>
      <c r="G249" s="280"/>
      <c r="H249" s="280"/>
      <c r="I249" s="280"/>
      <c r="J249" s="280"/>
      <c r="K249" s="283"/>
      <c r="L249" s="283"/>
      <c r="M249" s="283"/>
      <c r="N249" s="280"/>
      <c r="O249" s="280"/>
      <c r="P249" s="280"/>
      <c r="Q249" s="280"/>
      <c r="R249" s="292"/>
      <c r="S249" s="292"/>
      <c r="T249" s="292"/>
      <c r="U249" s="292"/>
      <c r="V249" s="292"/>
      <c r="W249" s="292"/>
      <c r="X249" s="374"/>
      <c r="Y249" s="374"/>
      <c r="Z249" s="374"/>
      <c r="AA249" s="373"/>
      <c r="AB249" s="283"/>
      <c r="AC249" s="280"/>
      <c r="AD249" s="280"/>
      <c r="AE249" s="280"/>
      <c r="AF249" s="280"/>
      <c r="AG249" s="280"/>
      <c r="AH249" s="280"/>
      <c r="AI249" s="280"/>
      <c r="AJ249" s="280"/>
      <c r="AK249" s="280"/>
      <c r="AL249" s="280"/>
      <c r="AM249" s="280"/>
      <c r="AN249" s="280"/>
      <c r="AO249" s="280"/>
      <c r="AP249" s="280"/>
      <c r="AQ249" s="280"/>
      <c r="AR249" s="280"/>
      <c r="AS249" s="280"/>
      <c r="AT249" s="280"/>
      <c r="AU249" s="280"/>
      <c r="AV249" s="280"/>
      <c r="AW249" s="280"/>
      <c r="AX249" s="280"/>
      <c r="AY249" s="280"/>
      <c r="AZ249" s="280"/>
      <c r="BA249" s="280"/>
      <c r="BB249" s="280"/>
      <c r="BC249" s="280"/>
      <c r="BD249" s="280"/>
      <c r="BE249" s="280"/>
      <c r="BF249" s="280"/>
      <c r="BG249" s="280"/>
      <c r="BH249" s="280"/>
      <c r="BI249" s="280"/>
      <c r="BJ249" s="280"/>
      <c r="BK249" s="280"/>
      <c r="BL249" s="280"/>
      <c r="BM249" s="280"/>
      <c r="BN249" s="280"/>
      <c r="BO249" s="280"/>
      <c r="BP249" s="280"/>
      <c r="BQ249" s="280"/>
      <c r="BR249" s="280"/>
      <c r="BS249" s="280"/>
      <c r="BT249" s="280"/>
      <c r="BU249" s="280"/>
      <c r="BV249" s="280"/>
    </row>
    <row r="250" spans="2:74" s="293" customFormat="1" x14ac:dyDescent="0.25">
      <c r="B250" s="280"/>
      <c r="C250" s="280"/>
      <c r="D250" s="280"/>
      <c r="E250" s="280"/>
      <c r="F250" s="280"/>
      <c r="G250" s="280"/>
      <c r="H250" s="280"/>
      <c r="I250" s="280"/>
      <c r="J250" s="280"/>
      <c r="K250" s="283"/>
      <c r="L250" s="283"/>
      <c r="M250" s="283"/>
      <c r="N250" s="280"/>
      <c r="O250" s="280"/>
      <c r="P250" s="280"/>
      <c r="Q250" s="280"/>
      <c r="R250" s="292"/>
      <c r="S250" s="292"/>
      <c r="T250" s="292"/>
      <c r="U250" s="292"/>
      <c r="V250" s="292"/>
      <c r="W250" s="292"/>
      <c r="X250" s="374"/>
      <c r="Y250" s="374"/>
      <c r="Z250" s="374"/>
      <c r="AA250" s="373"/>
      <c r="AB250" s="283"/>
      <c r="AC250" s="280"/>
      <c r="AD250" s="280"/>
      <c r="AE250" s="280"/>
      <c r="AF250" s="280"/>
      <c r="AG250" s="280"/>
      <c r="AH250" s="280"/>
      <c r="AI250" s="280"/>
      <c r="AJ250" s="280"/>
      <c r="AK250" s="280"/>
      <c r="AL250" s="280"/>
      <c r="AM250" s="280"/>
      <c r="AN250" s="280"/>
      <c r="AO250" s="280"/>
      <c r="AP250" s="280"/>
      <c r="AQ250" s="280"/>
      <c r="AR250" s="280"/>
      <c r="AS250" s="280"/>
      <c r="AT250" s="280"/>
      <c r="AU250" s="280"/>
      <c r="AV250" s="280"/>
      <c r="AW250" s="280"/>
      <c r="AX250" s="280"/>
      <c r="AY250" s="280"/>
      <c r="AZ250" s="280"/>
      <c r="BA250" s="280"/>
      <c r="BB250" s="280"/>
      <c r="BC250" s="280"/>
      <c r="BD250" s="280"/>
      <c r="BE250" s="280"/>
      <c r="BF250" s="280"/>
      <c r="BG250" s="280"/>
      <c r="BH250" s="280"/>
      <c r="BI250" s="280"/>
      <c r="BJ250" s="280"/>
      <c r="BK250" s="280"/>
      <c r="BL250" s="280"/>
      <c r="BM250" s="280"/>
      <c r="BN250" s="280"/>
      <c r="BO250" s="280"/>
      <c r="BP250" s="280"/>
      <c r="BQ250" s="280"/>
      <c r="BR250" s="280"/>
      <c r="BS250" s="280"/>
      <c r="BT250" s="280"/>
      <c r="BU250" s="280"/>
      <c r="BV250" s="280"/>
    </row>
    <row r="251" spans="2:74" s="293" customFormat="1" x14ac:dyDescent="0.25">
      <c r="B251" s="280"/>
      <c r="C251" s="280"/>
      <c r="D251" s="280"/>
      <c r="E251" s="280"/>
      <c r="F251" s="280"/>
      <c r="G251" s="280"/>
      <c r="H251" s="280"/>
      <c r="I251" s="280"/>
      <c r="J251" s="280"/>
      <c r="K251" s="283"/>
      <c r="L251" s="283"/>
      <c r="M251" s="283"/>
      <c r="N251" s="280"/>
      <c r="O251" s="280"/>
      <c r="P251" s="280"/>
      <c r="Q251" s="280"/>
      <c r="R251" s="292"/>
      <c r="S251" s="292"/>
      <c r="T251" s="292"/>
      <c r="U251" s="292"/>
      <c r="V251" s="292"/>
      <c r="W251" s="292"/>
      <c r="X251" s="374"/>
      <c r="Y251" s="374"/>
      <c r="Z251" s="374"/>
      <c r="AA251" s="373"/>
      <c r="AB251" s="283"/>
      <c r="AC251" s="280"/>
      <c r="AD251" s="280"/>
      <c r="AE251" s="280"/>
      <c r="AF251" s="280"/>
      <c r="AG251" s="280"/>
      <c r="AH251" s="280"/>
      <c r="AI251" s="280"/>
      <c r="AJ251" s="280"/>
      <c r="AK251" s="280"/>
      <c r="AL251" s="280"/>
      <c r="AM251" s="280"/>
      <c r="AN251" s="280"/>
      <c r="AO251" s="280"/>
      <c r="AP251" s="280"/>
      <c r="AQ251" s="280"/>
      <c r="AR251" s="280"/>
      <c r="AS251" s="280"/>
      <c r="AT251" s="280"/>
      <c r="AU251" s="280"/>
      <c r="AV251" s="280"/>
      <c r="AW251" s="280"/>
      <c r="AX251" s="280"/>
      <c r="AY251" s="280"/>
      <c r="AZ251" s="280"/>
      <c r="BA251" s="280"/>
      <c r="BB251" s="280"/>
      <c r="BC251" s="280"/>
      <c r="BD251" s="280"/>
      <c r="BE251" s="280"/>
      <c r="BF251" s="280"/>
      <c r="BG251" s="280"/>
      <c r="BH251" s="280"/>
      <c r="BI251" s="280"/>
      <c r="BJ251" s="280"/>
      <c r="BK251" s="280"/>
      <c r="BL251" s="280"/>
      <c r="BM251" s="280"/>
      <c r="BN251" s="280"/>
      <c r="BO251" s="280"/>
      <c r="BP251" s="280"/>
      <c r="BQ251" s="280"/>
      <c r="BR251" s="280"/>
      <c r="BS251" s="280"/>
      <c r="BT251" s="280"/>
      <c r="BU251" s="280"/>
      <c r="BV251" s="280"/>
    </row>
    <row r="252" spans="2:74" s="293" customFormat="1" x14ac:dyDescent="0.25">
      <c r="B252" s="280"/>
      <c r="C252" s="280"/>
      <c r="D252" s="280"/>
      <c r="E252" s="280"/>
      <c r="F252" s="280"/>
      <c r="G252" s="280"/>
      <c r="H252" s="280"/>
      <c r="I252" s="280"/>
      <c r="J252" s="280"/>
      <c r="K252" s="283"/>
      <c r="L252" s="283"/>
      <c r="M252" s="283"/>
      <c r="N252" s="280"/>
      <c r="O252" s="280"/>
      <c r="P252" s="280"/>
      <c r="Q252" s="280"/>
      <c r="R252" s="292"/>
      <c r="S252" s="292"/>
      <c r="T252" s="292"/>
      <c r="U252" s="292"/>
      <c r="V252" s="292"/>
      <c r="W252" s="292"/>
      <c r="X252" s="374"/>
      <c r="Y252" s="374"/>
      <c r="Z252" s="374"/>
      <c r="AA252" s="373"/>
      <c r="AB252" s="283"/>
      <c r="AC252" s="280"/>
      <c r="AD252" s="280"/>
      <c r="AE252" s="280"/>
      <c r="AF252" s="280"/>
      <c r="AG252" s="280"/>
      <c r="AH252" s="280"/>
      <c r="AI252" s="280"/>
      <c r="AJ252" s="280"/>
      <c r="AK252" s="280"/>
      <c r="AL252" s="280"/>
      <c r="AM252" s="280"/>
      <c r="AN252" s="280"/>
      <c r="AO252" s="280"/>
      <c r="AP252" s="280"/>
      <c r="AQ252" s="280"/>
      <c r="AR252" s="280"/>
      <c r="AS252" s="280"/>
      <c r="AT252" s="280"/>
      <c r="AU252" s="280"/>
      <c r="AV252" s="280"/>
      <c r="AW252" s="280"/>
      <c r="AX252" s="280"/>
      <c r="AY252" s="280"/>
      <c r="AZ252" s="280"/>
      <c r="BA252" s="280"/>
      <c r="BB252" s="280"/>
      <c r="BC252" s="280"/>
      <c r="BD252" s="280"/>
      <c r="BE252" s="280"/>
      <c r="BF252" s="280"/>
      <c r="BG252" s="280"/>
      <c r="BH252" s="280"/>
      <c r="BI252" s="280"/>
      <c r="BJ252" s="280"/>
      <c r="BK252" s="280"/>
      <c r="BL252" s="280"/>
      <c r="BM252" s="280"/>
      <c r="BN252" s="280"/>
      <c r="BO252" s="280"/>
      <c r="BP252" s="280"/>
      <c r="BQ252" s="280"/>
      <c r="BR252" s="280"/>
      <c r="BS252" s="280"/>
      <c r="BT252" s="280"/>
      <c r="BU252" s="280"/>
      <c r="BV252" s="280"/>
    </row>
    <row r="253" spans="2:74" s="293" customFormat="1" x14ac:dyDescent="0.25">
      <c r="B253" s="280"/>
      <c r="C253" s="280"/>
      <c r="D253" s="280"/>
      <c r="E253" s="280"/>
      <c r="F253" s="280"/>
      <c r="G253" s="280"/>
      <c r="H253" s="280"/>
      <c r="I253" s="280"/>
      <c r="J253" s="280"/>
      <c r="K253" s="283"/>
      <c r="L253" s="283"/>
      <c r="M253" s="283"/>
      <c r="N253" s="280"/>
      <c r="O253" s="280"/>
      <c r="P253" s="280"/>
      <c r="Q253" s="280"/>
      <c r="R253" s="292"/>
      <c r="S253" s="292"/>
      <c r="T253" s="292"/>
      <c r="U253" s="292"/>
      <c r="V253" s="292"/>
      <c r="W253" s="292"/>
      <c r="X253" s="374"/>
      <c r="Y253" s="374"/>
      <c r="Z253" s="374"/>
      <c r="AA253" s="373"/>
      <c r="AB253" s="283"/>
      <c r="AC253" s="280"/>
      <c r="AD253" s="280"/>
      <c r="AE253" s="280"/>
      <c r="AF253" s="280"/>
      <c r="AG253" s="280"/>
      <c r="AH253" s="280"/>
      <c r="AI253" s="280"/>
      <c r="AJ253" s="280"/>
      <c r="AK253" s="280"/>
      <c r="AL253" s="280"/>
      <c r="AM253" s="280"/>
      <c r="AN253" s="280"/>
      <c r="AO253" s="280"/>
      <c r="AP253" s="280"/>
      <c r="AQ253" s="280"/>
      <c r="AR253" s="280"/>
      <c r="AS253" s="280"/>
      <c r="AT253" s="280"/>
      <c r="AU253" s="280"/>
      <c r="AV253" s="280"/>
      <c r="AW253" s="280"/>
      <c r="AX253" s="280"/>
      <c r="AY253" s="280"/>
      <c r="AZ253" s="280"/>
      <c r="BA253" s="280"/>
      <c r="BB253" s="280"/>
      <c r="BC253" s="280"/>
      <c r="BD253" s="280"/>
      <c r="BE253" s="280"/>
      <c r="BF253" s="280"/>
      <c r="BG253" s="280"/>
      <c r="BH253" s="280"/>
      <c r="BI253" s="280"/>
      <c r="BJ253" s="280"/>
      <c r="BK253" s="280"/>
      <c r="BL253" s="280"/>
      <c r="BM253" s="280"/>
      <c r="BN253" s="280"/>
      <c r="BO253" s="280"/>
      <c r="BP253" s="280"/>
      <c r="BQ253" s="280"/>
      <c r="BR253" s="280"/>
      <c r="BS253" s="280"/>
      <c r="BT253" s="280"/>
      <c r="BU253" s="280"/>
      <c r="BV253" s="280"/>
    </row>
    <row r="254" spans="2:74" s="293" customFormat="1" x14ac:dyDescent="0.25">
      <c r="B254" s="280"/>
      <c r="C254" s="280"/>
      <c r="D254" s="280"/>
      <c r="E254" s="280"/>
      <c r="F254" s="280"/>
      <c r="G254" s="280"/>
      <c r="H254" s="280"/>
      <c r="I254" s="280"/>
      <c r="J254" s="280"/>
      <c r="K254" s="283"/>
      <c r="L254" s="283"/>
      <c r="M254" s="283"/>
      <c r="N254" s="280"/>
      <c r="O254" s="280"/>
      <c r="P254" s="280"/>
      <c r="Q254" s="280"/>
      <c r="R254" s="292"/>
      <c r="S254" s="292"/>
      <c r="T254" s="292"/>
      <c r="U254" s="292"/>
      <c r="V254" s="292"/>
      <c r="W254" s="292"/>
      <c r="X254" s="374"/>
      <c r="Y254" s="374"/>
      <c r="Z254" s="374"/>
      <c r="AA254" s="373"/>
      <c r="AB254" s="283"/>
      <c r="AC254" s="280"/>
      <c r="AD254" s="280"/>
      <c r="AE254" s="280"/>
      <c r="AF254" s="280"/>
      <c r="AG254" s="280"/>
      <c r="AH254" s="280"/>
      <c r="AI254" s="280"/>
      <c r="AJ254" s="280"/>
      <c r="AK254" s="280"/>
      <c r="AL254" s="280"/>
      <c r="AM254" s="280"/>
      <c r="AN254" s="280"/>
      <c r="AO254" s="280"/>
      <c r="AP254" s="280"/>
      <c r="AQ254" s="280"/>
      <c r="AR254" s="280"/>
      <c r="AS254" s="280"/>
      <c r="AT254" s="280"/>
      <c r="AU254" s="280"/>
      <c r="AV254" s="280"/>
      <c r="AW254" s="280"/>
      <c r="AX254" s="280"/>
      <c r="AY254" s="280"/>
      <c r="AZ254" s="280"/>
      <c r="BA254" s="280"/>
      <c r="BB254" s="280"/>
      <c r="BC254" s="280"/>
      <c r="BD254" s="280"/>
      <c r="BE254" s="280"/>
      <c r="BF254" s="280"/>
      <c r="BG254" s="280"/>
      <c r="BH254" s="280"/>
      <c r="BI254" s="280"/>
      <c r="BJ254" s="280"/>
      <c r="BK254" s="280"/>
      <c r="BL254" s="280"/>
      <c r="BM254" s="280"/>
      <c r="BN254" s="280"/>
      <c r="BO254" s="280"/>
      <c r="BP254" s="280"/>
      <c r="BQ254" s="280"/>
      <c r="BR254" s="280"/>
      <c r="BS254" s="280"/>
      <c r="BT254" s="280"/>
      <c r="BU254" s="280"/>
      <c r="BV254" s="280"/>
    </row>
    <row r="255" spans="2:74" s="293" customFormat="1" x14ac:dyDescent="0.25">
      <c r="B255" s="280"/>
      <c r="C255" s="280"/>
      <c r="D255" s="280"/>
      <c r="E255" s="280"/>
      <c r="F255" s="280"/>
      <c r="G255" s="280"/>
      <c r="H255" s="280"/>
      <c r="I255" s="280"/>
      <c r="J255" s="280"/>
      <c r="K255" s="283"/>
      <c r="L255" s="283"/>
      <c r="M255" s="283"/>
      <c r="N255" s="280"/>
      <c r="O255" s="280"/>
      <c r="P255" s="280"/>
      <c r="Q255" s="280"/>
      <c r="R255" s="292"/>
      <c r="S255" s="292"/>
      <c r="T255" s="292"/>
      <c r="U255" s="292"/>
      <c r="V255" s="292"/>
      <c r="W255" s="292"/>
      <c r="X255" s="374"/>
      <c r="Y255" s="374"/>
      <c r="Z255" s="374"/>
      <c r="AA255" s="373"/>
      <c r="AB255" s="283"/>
      <c r="AC255" s="280"/>
      <c r="AD255" s="280"/>
      <c r="AE255" s="280"/>
      <c r="AF255" s="280"/>
      <c r="AG255" s="280"/>
      <c r="AH255" s="280"/>
      <c r="AI255" s="280"/>
      <c r="AJ255" s="280"/>
      <c r="AK255" s="280"/>
      <c r="AL255" s="280"/>
      <c r="AM255" s="280"/>
      <c r="AN255" s="280"/>
      <c r="AO255" s="280"/>
      <c r="AP255" s="280"/>
      <c r="AQ255" s="280"/>
      <c r="AR255" s="280"/>
      <c r="AS255" s="280"/>
      <c r="AT255" s="280"/>
      <c r="AU255" s="280"/>
      <c r="AV255" s="280"/>
      <c r="AW255" s="280"/>
      <c r="AX255" s="280"/>
      <c r="AY255" s="280"/>
      <c r="AZ255" s="280"/>
      <c r="BA255" s="280"/>
      <c r="BB255" s="280"/>
      <c r="BC255" s="280"/>
      <c r="BD255" s="280"/>
      <c r="BE255" s="280"/>
      <c r="BF255" s="280"/>
      <c r="BG255" s="280"/>
      <c r="BH255" s="280"/>
      <c r="BI255" s="280"/>
      <c r="BJ255" s="280"/>
      <c r="BK255" s="280"/>
      <c r="BL255" s="280"/>
      <c r="BM255" s="280"/>
      <c r="BN255" s="280"/>
      <c r="BO255" s="280"/>
      <c r="BP255" s="280"/>
      <c r="BQ255" s="280"/>
      <c r="BR255" s="280"/>
      <c r="BS255" s="280"/>
      <c r="BT255" s="280"/>
      <c r="BU255" s="280"/>
      <c r="BV255" s="280"/>
    </row>
    <row r="256" spans="2:74" s="293" customFormat="1" x14ac:dyDescent="0.25">
      <c r="B256" s="280"/>
      <c r="C256" s="280"/>
      <c r="D256" s="280"/>
      <c r="E256" s="280"/>
      <c r="F256" s="280"/>
      <c r="G256" s="280"/>
      <c r="H256" s="280"/>
      <c r="I256" s="280"/>
      <c r="J256" s="280"/>
      <c r="K256" s="283"/>
      <c r="L256" s="283"/>
      <c r="M256" s="283"/>
      <c r="N256" s="280"/>
      <c r="O256" s="280"/>
      <c r="P256" s="280"/>
      <c r="Q256" s="280"/>
      <c r="R256" s="292"/>
      <c r="S256" s="292"/>
      <c r="T256" s="292"/>
      <c r="U256" s="292"/>
      <c r="V256" s="292"/>
      <c r="W256" s="292"/>
      <c r="X256" s="374"/>
      <c r="Y256" s="374"/>
      <c r="Z256" s="374"/>
      <c r="AA256" s="373"/>
      <c r="AB256" s="283"/>
      <c r="AC256" s="280"/>
      <c r="AD256" s="280"/>
      <c r="AE256" s="280"/>
      <c r="AF256" s="280"/>
      <c r="AG256" s="280"/>
      <c r="AH256" s="280"/>
      <c r="AI256" s="280"/>
      <c r="AJ256" s="280"/>
      <c r="AK256" s="280"/>
      <c r="AL256" s="280"/>
      <c r="AM256" s="280"/>
      <c r="AN256" s="280"/>
      <c r="AO256" s="280"/>
      <c r="AP256" s="280"/>
      <c r="AQ256" s="280"/>
      <c r="AR256" s="280"/>
      <c r="AS256" s="280"/>
      <c r="AT256" s="280"/>
      <c r="AU256" s="280"/>
      <c r="AV256" s="280"/>
      <c r="AW256" s="280"/>
      <c r="AX256" s="280"/>
      <c r="AY256" s="280"/>
      <c r="AZ256" s="280"/>
      <c r="BA256" s="280"/>
      <c r="BB256" s="280"/>
      <c r="BC256" s="280"/>
      <c r="BD256" s="280"/>
      <c r="BE256" s="280"/>
      <c r="BF256" s="280"/>
      <c r="BG256" s="280"/>
      <c r="BH256" s="280"/>
      <c r="BI256" s="280"/>
      <c r="BJ256" s="280"/>
      <c r="BK256" s="280"/>
      <c r="BL256" s="280"/>
      <c r="BM256" s="280"/>
      <c r="BN256" s="280"/>
      <c r="BO256" s="280"/>
      <c r="BP256" s="280"/>
      <c r="BQ256" s="280"/>
      <c r="BR256" s="280"/>
      <c r="BS256" s="280"/>
      <c r="BT256" s="280"/>
      <c r="BU256" s="280"/>
      <c r="BV256" s="280"/>
    </row>
    <row r="257" spans="2:74" s="293" customFormat="1" x14ac:dyDescent="0.25">
      <c r="B257" s="280"/>
      <c r="C257" s="280"/>
      <c r="D257" s="280"/>
      <c r="E257" s="280"/>
      <c r="F257" s="280"/>
      <c r="G257" s="280"/>
      <c r="H257" s="280"/>
      <c r="I257" s="280"/>
      <c r="J257" s="280"/>
      <c r="K257" s="283"/>
      <c r="L257" s="283"/>
      <c r="M257" s="283"/>
      <c r="N257" s="280"/>
      <c r="O257" s="280"/>
      <c r="P257" s="280"/>
      <c r="Q257" s="280"/>
      <c r="R257" s="292"/>
      <c r="S257" s="292"/>
      <c r="T257" s="292"/>
      <c r="U257" s="292"/>
      <c r="V257" s="292"/>
      <c r="W257" s="292"/>
      <c r="X257" s="374"/>
      <c r="Y257" s="374"/>
      <c r="Z257" s="374"/>
      <c r="AA257" s="373"/>
      <c r="AB257" s="283"/>
      <c r="AC257" s="280"/>
      <c r="AD257" s="280"/>
      <c r="AE257" s="280"/>
      <c r="AF257" s="280"/>
      <c r="AG257" s="280"/>
      <c r="AH257" s="280"/>
      <c r="AI257" s="280"/>
      <c r="AJ257" s="280"/>
      <c r="AK257" s="280"/>
      <c r="AL257" s="280"/>
      <c r="AM257" s="280"/>
      <c r="AN257" s="280"/>
      <c r="AO257" s="280"/>
      <c r="AP257" s="280"/>
      <c r="AQ257" s="280"/>
      <c r="AR257" s="280"/>
      <c r="AS257" s="280"/>
      <c r="AT257" s="280"/>
      <c r="AU257" s="280"/>
      <c r="AV257" s="280"/>
      <c r="AW257" s="280"/>
      <c r="AX257" s="280"/>
      <c r="AY257" s="280"/>
      <c r="AZ257" s="280"/>
      <c r="BA257" s="280"/>
      <c r="BB257" s="280"/>
      <c r="BC257" s="280"/>
      <c r="BD257" s="280"/>
      <c r="BE257" s="280"/>
      <c r="BF257" s="280"/>
      <c r="BG257" s="280"/>
      <c r="BH257" s="280"/>
      <c r="BI257" s="280"/>
      <c r="BJ257" s="280"/>
      <c r="BK257" s="280"/>
      <c r="BL257" s="280"/>
      <c r="BM257" s="280"/>
      <c r="BN257" s="280"/>
      <c r="BO257" s="280"/>
      <c r="BP257" s="280"/>
      <c r="BQ257" s="280"/>
      <c r="BR257" s="280"/>
      <c r="BS257" s="280"/>
      <c r="BT257" s="280"/>
      <c r="BU257" s="280"/>
      <c r="BV257" s="280"/>
    </row>
    <row r="258" spans="2:74" s="293" customFormat="1" x14ac:dyDescent="0.25">
      <c r="B258" s="280"/>
      <c r="C258" s="280"/>
      <c r="D258" s="280"/>
      <c r="E258" s="280"/>
      <c r="F258" s="280"/>
      <c r="G258" s="280"/>
      <c r="H258" s="280"/>
      <c r="I258" s="280"/>
      <c r="J258" s="280"/>
      <c r="K258" s="283"/>
      <c r="L258" s="283"/>
      <c r="M258" s="283"/>
      <c r="N258" s="280"/>
      <c r="O258" s="280"/>
      <c r="P258" s="280"/>
      <c r="Q258" s="280"/>
      <c r="R258" s="292"/>
      <c r="S258" s="292"/>
      <c r="T258" s="292"/>
      <c r="U258" s="292"/>
      <c r="V258" s="292"/>
      <c r="W258" s="292"/>
      <c r="X258" s="374"/>
      <c r="Y258" s="374"/>
      <c r="Z258" s="374"/>
      <c r="AA258" s="373"/>
      <c r="AB258" s="283"/>
      <c r="AC258" s="280"/>
      <c r="AD258" s="280"/>
      <c r="AE258" s="280"/>
      <c r="AF258" s="280"/>
      <c r="AG258" s="280"/>
      <c r="AH258" s="280"/>
      <c r="AI258" s="280"/>
      <c r="AJ258" s="280"/>
      <c r="AK258" s="280"/>
      <c r="AL258" s="280"/>
      <c r="AM258" s="280"/>
      <c r="AN258" s="280"/>
      <c r="AO258" s="280"/>
      <c r="AP258" s="280"/>
      <c r="AQ258" s="280"/>
      <c r="AR258" s="280"/>
      <c r="AS258" s="280"/>
      <c r="AT258" s="280"/>
      <c r="AU258" s="280"/>
      <c r="AV258" s="280"/>
      <c r="AW258" s="280"/>
      <c r="AX258" s="280"/>
      <c r="AY258" s="280"/>
      <c r="AZ258" s="280"/>
      <c r="BA258" s="280"/>
      <c r="BB258" s="280"/>
      <c r="BC258" s="280"/>
      <c r="BD258" s="280"/>
      <c r="BE258" s="280"/>
      <c r="BF258" s="280"/>
      <c r="BG258" s="280"/>
      <c r="BH258" s="280"/>
      <c r="BI258" s="280"/>
      <c r="BJ258" s="280"/>
      <c r="BK258" s="280"/>
      <c r="BL258" s="280"/>
      <c r="BM258" s="280"/>
      <c r="BN258" s="280"/>
      <c r="BO258" s="280"/>
      <c r="BP258" s="280"/>
      <c r="BQ258" s="280"/>
      <c r="BR258" s="280"/>
      <c r="BS258" s="280"/>
      <c r="BT258" s="280"/>
      <c r="BU258" s="280"/>
      <c r="BV258" s="280"/>
    </row>
    <row r="259" spans="2:74" s="293" customFormat="1" x14ac:dyDescent="0.25">
      <c r="B259" s="280"/>
      <c r="C259" s="280"/>
      <c r="D259" s="280"/>
      <c r="E259" s="280"/>
      <c r="F259" s="280"/>
      <c r="G259" s="280"/>
      <c r="H259" s="280"/>
      <c r="I259" s="280"/>
      <c r="J259" s="280"/>
      <c r="K259" s="283"/>
      <c r="L259" s="283"/>
      <c r="M259" s="283"/>
      <c r="N259" s="280"/>
      <c r="O259" s="280"/>
      <c r="P259" s="280"/>
      <c r="Q259" s="280"/>
      <c r="R259" s="292"/>
      <c r="S259" s="292"/>
      <c r="T259" s="292"/>
      <c r="U259" s="292"/>
      <c r="V259" s="292"/>
      <c r="W259" s="292"/>
      <c r="X259" s="374"/>
      <c r="Y259" s="374"/>
      <c r="Z259" s="374"/>
      <c r="AA259" s="373"/>
      <c r="AB259" s="283"/>
      <c r="AC259" s="280"/>
      <c r="AD259" s="280"/>
      <c r="AE259" s="280"/>
      <c r="AF259" s="280"/>
      <c r="AG259" s="280"/>
      <c r="AH259" s="280"/>
      <c r="AI259" s="280"/>
      <c r="AJ259" s="280"/>
      <c r="AK259" s="280"/>
      <c r="AL259" s="280"/>
      <c r="AM259" s="280"/>
      <c r="AN259" s="280"/>
      <c r="AO259" s="280"/>
      <c r="AP259" s="280"/>
      <c r="AQ259" s="280"/>
      <c r="AR259" s="280"/>
      <c r="AS259" s="280"/>
      <c r="AT259" s="280"/>
      <c r="AU259" s="280"/>
      <c r="AV259" s="280"/>
      <c r="AW259" s="280"/>
      <c r="AX259" s="280"/>
      <c r="AY259" s="280"/>
      <c r="AZ259" s="280"/>
      <c r="BA259" s="280"/>
      <c r="BB259" s="280"/>
      <c r="BC259" s="280"/>
      <c r="BD259" s="280"/>
      <c r="BE259" s="280"/>
      <c r="BF259" s="280"/>
      <c r="BG259" s="280"/>
      <c r="BH259" s="280"/>
      <c r="BI259" s="280"/>
      <c r="BJ259" s="280"/>
      <c r="BK259" s="280"/>
      <c r="BL259" s="280"/>
      <c r="BM259" s="280"/>
      <c r="BN259" s="280"/>
      <c r="BO259" s="280"/>
      <c r="BP259" s="280"/>
      <c r="BQ259" s="280"/>
      <c r="BR259" s="280"/>
      <c r="BS259" s="280"/>
      <c r="BT259" s="280"/>
      <c r="BU259" s="280"/>
      <c r="BV259" s="280"/>
    </row>
    <row r="260" spans="2:74" s="293" customFormat="1" x14ac:dyDescent="0.25">
      <c r="B260" s="280"/>
      <c r="C260" s="280"/>
      <c r="D260" s="280"/>
      <c r="E260" s="280"/>
      <c r="F260" s="280"/>
      <c r="G260" s="280"/>
      <c r="H260" s="280"/>
      <c r="I260" s="280"/>
      <c r="J260" s="280"/>
      <c r="K260" s="283"/>
      <c r="L260" s="283"/>
      <c r="M260" s="283"/>
      <c r="N260" s="280"/>
      <c r="O260" s="280"/>
      <c r="P260" s="280"/>
      <c r="Q260" s="280"/>
      <c r="R260" s="292"/>
      <c r="S260" s="292"/>
      <c r="T260" s="292"/>
      <c r="U260" s="292"/>
      <c r="V260" s="292"/>
      <c r="W260" s="292"/>
      <c r="X260" s="374"/>
      <c r="Y260" s="374"/>
      <c r="Z260" s="374"/>
      <c r="AA260" s="373"/>
      <c r="AB260" s="283"/>
      <c r="AC260" s="280"/>
      <c r="AD260" s="280"/>
      <c r="AE260" s="280"/>
      <c r="AF260" s="280"/>
      <c r="AG260" s="280"/>
      <c r="AH260" s="280"/>
      <c r="AI260" s="280"/>
      <c r="AJ260" s="280"/>
      <c r="AK260" s="280"/>
      <c r="AL260" s="280"/>
      <c r="AM260" s="280"/>
      <c r="AN260" s="280"/>
      <c r="AO260" s="280"/>
      <c r="AP260" s="280"/>
      <c r="AQ260" s="280"/>
      <c r="AR260" s="280"/>
      <c r="AS260" s="280"/>
      <c r="AT260" s="280"/>
      <c r="AU260" s="280"/>
      <c r="AV260" s="280"/>
      <c r="AW260" s="280"/>
      <c r="AX260" s="280"/>
      <c r="AY260" s="280"/>
      <c r="AZ260" s="280"/>
      <c r="BA260" s="280"/>
      <c r="BB260" s="280"/>
      <c r="BC260" s="280"/>
      <c r="BD260" s="280"/>
      <c r="BE260" s="280"/>
      <c r="BF260" s="280"/>
      <c r="BG260" s="280"/>
      <c r="BH260" s="280"/>
      <c r="BI260" s="280"/>
      <c r="BJ260" s="280"/>
      <c r="BK260" s="280"/>
      <c r="BL260" s="280"/>
      <c r="BM260" s="280"/>
      <c r="BN260" s="280"/>
      <c r="BO260" s="280"/>
      <c r="BP260" s="280"/>
      <c r="BQ260" s="280"/>
      <c r="BR260" s="280"/>
      <c r="BS260" s="280"/>
      <c r="BT260" s="280"/>
      <c r="BU260" s="280"/>
      <c r="BV260" s="280"/>
    </row>
    <row r="261" spans="2:74" s="293" customFormat="1" x14ac:dyDescent="0.25">
      <c r="B261" s="280"/>
      <c r="C261" s="280"/>
      <c r="D261" s="280"/>
      <c r="E261" s="280"/>
      <c r="F261" s="280"/>
      <c r="G261" s="280"/>
      <c r="H261" s="280"/>
      <c r="I261" s="280"/>
      <c r="J261" s="280"/>
      <c r="K261" s="283"/>
      <c r="L261" s="283"/>
      <c r="M261" s="283"/>
      <c r="N261" s="280"/>
      <c r="O261" s="280"/>
      <c r="P261" s="280"/>
      <c r="Q261" s="280"/>
      <c r="R261" s="292"/>
      <c r="S261" s="292"/>
      <c r="T261" s="292"/>
      <c r="U261" s="292"/>
      <c r="V261" s="292"/>
      <c r="W261" s="292"/>
      <c r="X261" s="374"/>
      <c r="Y261" s="374"/>
      <c r="Z261" s="374"/>
      <c r="AA261" s="373"/>
      <c r="AB261" s="283"/>
      <c r="AC261" s="280"/>
      <c r="AD261" s="280"/>
      <c r="AE261" s="280"/>
      <c r="AF261" s="280"/>
      <c r="AG261" s="280"/>
      <c r="AH261" s="280"/>
      <c r="AI261" s="280"/>
      <c r="AJ261" s="280"/>
      <c r="AK261" s="280"/>
      <c r="AL261" s="280"/>
      <c r="AM261" s="280"/>
      <c r="AN261" s="280"/>
      <c r="AO261" s="280"/>
      <c r="AP261" s="280"/>
      <c r="AQ261" s="280"/>
      <c r="AR261" s="280"/>
      <c r="AS261" s="280"/>
      <c r="AT261" s="280"/>
      <c r="AU261" s="280"/>
      <c r="AV261" s="280"/>
      <c r="AW261" s="280"/>
      <c r="AX261" s="280"/>
      <c r="AY261" s="280"/>
      <c r="AZ261" s="280"/>
      <c r="BA261" s="280"/>
      <c r="BB261" s="280"/>
      <c r="BC261" s="280"/>
      <c r="BD261" s="280"/>
      <c r="BE261" s="280"/>
      <c r="BF261" s="280"/>
      <c r="BG261" s="280"/>
      <c r="BH261" s="280"/>
      <c r="BI261" s="280"/>
      <c r="BJ261" s="280"/>
      <c r="BK261" s="280"/>
      <c r="BL261" s="280"/>
      <c r="BM261" s="280"/>
      <c r="BN261" s="280"/>
      <c r="BO261" s="280"/>
      <c r="BP261" s="280"/>
      <c r="BQ261" s="280"/>
      <c r="BR261" s="280"/>
      <c r="BS261" s="280"/>
      <c r="BT261" s="280"/>
      <c r="BU261" s="280"/>
      <c r="BV261" s="280"/>
    </row>
    <row r="262" spans="2:74" s="293" customFormat="1" x14ac:dyDescent="0.25">
      <c r="B262" s="280"/>
      <c r="C262" s="280"/>
      <c r="D262" s="280"/>
      <c r="E262" s="280"/>
      <c r="F262" s="280"/>
      <c r="G262" s="280"/>
      <c r="H262" s="280"/>
      <c r="I262" s="280"/>
      <c r="J262" s="280"/>
      <c r="K262" s="283"/>
      <c r="L262" s="283"/>
      <c r="M262" s="283"/>
      <c r="N262" s="280"/>
      <c r="O262" s="280"/>
      <c r="P262" s="280"/>
      <c r="Q262" s="280"/>
      <c r="R262" s="292"/>
      <c r="S262" s="292"/>
      <c r="T262" s="292"/>
      <c r="U262" s="292"/>
      <c r="V262" s="292"/>
      <c r="W262" s="292"/>
      <c r="X262" s="374"/>
      <c r="Y262" s="374"/>
      <c r="Z262" s="374"/>
      <c r="AA262" s="373"/>
      <c r="AB262" s="283"/>
      <c r="AC262" s="280"/>
      <c r="AD262" s="280"/>
      <c r="AE262" s="280"/>
      <c r="AF262" s="280"/>
      <c r="AG262" s="280"/>
      <c r="AH262" s="280"/>
      <c r="AI262" s="280"/>
      <c r="AJ262" s="280"/>
      <c r="AK262" s="280"/>
      <c r="AL262" s="280"/>
      <c r="AM262" s="280"/>
      <c r="AN262" s="280"/>
      <c r="AO262" s="280"/>
      <c r="AP262" s="280"/>
      <c r="AQ262" s="280"/>
      <c r="AR262" s="280"/>
      <c r="AS262" s="280"/>
      <c r="AT262" s="280"/>
      <c r="AU262" s="280"/>
      <c r="AV262" s="280"/>
      <c r="AW262" s="280"/>
      <c r="AX262" s="280"/>
      <c r="AY262" s="280"/>
      <c r="AZ262" s="280"/>
      <c r="BA262" s="280"/>
      <c r="BB262" s="280"/>
      <c r="BC262" s="280"/>
      <c r="BD262" s="280"/>
      <c r="BE262" s="280"/>
      <c r="BF262" s="280"/>
      <c r="BG262" s="280"/>
      <c r="BH262" s="280"/>
      <c r="BI262" s="280"/>
      <c r="BJ262" s="280"/>
      <c r="BK262" s="280"/>
      <c r="BL262" s="280"/>
      <c r="BM262" s="280"/>
      <c r="BN262" s="280"/>
      <c r="BO262" s="280"/>
      <c r="BP262" s="280"/>
      <c r="BQ262" s="280"/>
      <c r="BR262" s="280"/>
      <c r="BS262" s="280"/>
      <c r="BT262" s="280"/>
      <c r="BU262" s="280"/>
      <c r="BV262" s="280"/>
    </row>
    <row r="263" spans="2:74" s="293" customFormat="1" x14ac:dyDescent="0.25">
      <c r="B263" s="280"/>
      <c r="C263" s="280"/>
      <c r="D263" s="280"/>
      <c r="E263" s="280"/>
      <c r="F263" s="280"/>
      <c r="G263" s="280"/>
      <c r="H263" s="280"/>
      <c r="I263" s="280"/>
      <c r="J263" s="280"/>
      <c r="K263" s="283"/>
      <c r="L263" s="283"/>
      <c r="M263" s="283"/>
      <c r="N263" s="280"/>
      <c r="O263" s="280"/>
      <c r="P263" s="280"/>
      <c r="Q263" s="280"/>
      <c r="R263" s="292"/>
      <c r="S263" s="292"/>
      <c r="T263" s="292"/>
      <c r="U263" s="292"/>
      <c r="V263" s="292"/>
      <c r="W263" s="292"/>
      <c r="X263" s="374"/>
      <c r="Y263" s="374"/>
      <c r="Z263" s="374"/>
      <c r="AA263" s="373"/>
      <c r="AB263" s="283"/>
      <c r="AC263" s="280"/>
      <c r="AD263" s="280"/>
      <c r="AE263" s="280"/>
      <c r="AF263" s="280"/>
      <c r="AG263" s="280"/>
      <c r="AH263" s="280"/>
      <c r="AI263" s="280"/>
      <c r="AJ263" s="280"/>
      <c r="AK263" s="280"/>
      <c r="AL263" s="280"/>
      <c r="AM263" s="280"/>
      <c r="AN263" s="280"/>
      <c r="AO263" s="280"/>
      <c r="AP263" s="280"/>
      <c r="AQ263" s="280"/>
      <c r="AR263" s="280"/>
      <c r="AS263" s="280"/>
      <c r="AT263" s="280"/>
      <c r="AU263" s="280"/>
      <c r="AV263" s="280"/>
      <c r="AW263" s="280"/>
      <c r="AX263" s="280"/>
      <c r="AY263" s="280"/>
      <c r="AZ263" s="280"/>
      <c r="BA263" s="280"/>
      <c r="BB263" s="280"/>
      <c r="BC263" s="280"/>
      <c r="BD263" s="280"/>
      <c r="BE263" s="280"/>
      <c r="BF263" s="280"/>
      <c r="BG263" s="280"/>
      <c r="BH263" s="280"/>
      <c r="BI263" s="280"/>
      <c r="BJ263" s="280"/>
      <c r="BK263" s="280"/>
      <c r="BL263" s="280"/>
      <c r="BM263" s="280"/>
      <c r="BN263" s="280"/>
      <c r="BO263" s="280"/>
      <c r="BP263" s="280"/>
      <c r="BQ263" s="280"/>
      <c r="BR263" s="280"/>
      <c r="BS263" s="280"/>
      <c r="BT263" s="280"/>
      <c r="BU263" s="280"/>
      <c r="BV263" s="280"/>
    </row>
    <row r="264" spans="2:74" s="293" customFormat="1" x14ac:dyDescent="0.25">
      <c r="B264" s="280"/>
      <c r="C264" s="280"/>
      <c r="D264" s="280"/>
      <c r="E264" s="280"/>
      <c r="F264" s="280"/>
      <c r="G264" s="280"/>
      <c r="H264" s="280"/>
      <c r="I264" s="280"/>
      <c r="J264" s="280"/>
      <c r="K264" s="283"/>
      <c r="L264" s="283"/>
      <c r="M264" s="283"/>
      <c r="N264" s="280"/>
      <c r="O264" s="280"/>
      <c r="P264" s="280"/>
      <c r="Q264" s="280"/>
      <c r="R264" s="292"/>
      <c r="S264" s="292"/>
      <c r="T264" s="292"/>
      <c r="U264" s="292"/>
      <c r="V264" s="292"/>
      <c r="W264" s="292"/>
      <c r="X264" s="374"/>
      <c r="Y264" s="374"/>
      <c r="Z264" s="374"/>
      <c r="AA264" s="373"/>
      <c r="AB264" s="283"/>
      <c r="AC264" s="280"/>
      <c r="AD264" s="280"/>
      <c r="AE264" s="280"/>
      <c r="AF264" s="280"/>
      <c r="AG264" s="280"/>
      <c r="AH264" s="280"/>
      <c r="AI264" s="280"/>
      <c r="AJ264" s="280"/>
      <c r="AK264" s="280"/>
      <c r="AL264" s="280"/>
      <c r="AM264" s="280"/>
      <c r="AN264" s="280"/>
      <c r="AO264" s="280"/>
      <c r="AP264" s="280"/>
      <c r="AQ264" s="280"/>
      <c r="AR264" s="280"/>
      <c r="AS264" s="280"/>
      <c r="AT264" s="280"/>
      <c r="AU264" s="280"/>
      <c r="AV264" s="280"/>
      <c r="AW264" s="280"/>
      <c r="AX264" s="280"/>
      <c r="AY264" s="280"/>
      <c r="AZ264" s="280"/>
      <c r="BA264" s="280"/>
      <c r="BB264" s="280"/>
      <c r="BC264" s="280"/>
      <c r="BD264" s="280"/>
      <c r="BE264" s="280"/>
      <c r="BF264" s="280"/>
      <c r="BG264" s="280"/>
      <c r="BH264" s="280"/>
      <c r="BI264" s="280"/>
      <c r="BJ264" s="280"/>
      <c r="BK264" s="280"/>
      <c r="BL264" s="280"/>
      <c r="BM264" s="280"/>
      <c r="BN264" s="280"/>
      <c r="BO264" s="280"/>
      <c r="BP264" s="280"/>
      <c r="BQ264" s="280"/>
      <c r="BR264" s="280"/>
      <c r="BS264" s="280"/>
      <c r="BT264" s="280"/>
      <c r="BU264" s="280"/>
      <c r="BV264" s="280"/>
    </row>
    <row r="265" spans="2:74" s="293" customFormat="1" x14ac:dyDescent="0.25">
      <c r="B265" s="280"/>
      <c r="C265" s="280"/>
      <c r="D265" s="280"/>
      <c r="E265" s="280"/>
      <c r="F265" s="280"/>
      <c r="G265" s="280"/>
      <c r="H265" s="280"/>
      <c r="I265" s="280"/>
      <c r="J265" s="280"/>
      <c r="K265" s="283"/>
      <c r="L265" s="283"/>
      <c r="M265" s="283"/>
      <c r="N265" s="280"/>
      <c r="O265" s="280"/>
      <c r="P265" s="280"/>
      <c r="Q265" s="280"/>
      <c r="R265" s="292"/>
      <c r="S265" s="292"/>
      <c r="T265" s="292"/>
      <c r="U265" s="292"/>
      <c r="V265" s="292"/>
      <c r="W265" s="292"/>
      <c r="X265" s="374"/>
      <c r="Y265" s="374"/>
      <c r="Z265" s="374"/>
      <c r="AA265" s="373"/>
      <c r="AB265" s="283"/>
      <c r="AC265" s="280"/>
      <c r="AD265" s="280"/>
      <c r="AE265" s="280"/>
      <c r="AF265" s="280"/>
      <c r="AG265" s="280"/>
      <c r="AH265" s="280"/>
      <c r="AI265" s="280"/>
      <c r="AJ265" s="280"/>
      <c r="AK265" s="280"/>
      <c r="AL265" s="280"/>
      <c r="AM265" s="280"/>
      <c r="AN265" s="280"/>
      <c r="AO265" s="280"/>
      <c r="AP265" s="280"/>
      <c r="AQ265" s="280"/>
      <c r="AR265" s="280"/>
      <c r="AS265" s="280"/>
      <c r="AT265" s="280"/>
      <c r="AU265" s="280"/>
      <c r="AV265" s="280"/>
      <c r="AW265" s="280"/>
      <c r="AX265" s="280"/>
      <c r="AY265" s="280"/>
      <c r="AZ265" s="280"/>
      <c r="BA265" s="280"/>
      <c r="BB265" s="280"/>
      <c r="BC265" s="280"/>
      <c r="BD265" s="280"/>
      <c r="BE265" s="280"/>
      <c r="BF265" s="280"/>
      <c r="BG265" s="280"/>
      <c r="BH265" s="280"/>
      <c r="BI265" s="280"/>
      <c r="BJ265" s="280"/>
      <c r="BK265" s="280"/>
      <c r="BL265" s="280"/>
      <c r="BM265" s="280"/>
      <c r="BN265" s="280"/>
      <c r="BO265" s="280"/>
      <c r="BP265" s="280"/>
      <c r="BQ265" s="280"/>
      <c r="BR265" s="280"/>
      <c r="BS265" s="280"/>
      <c r="BT265" s="280"/>
      <c r="BU265" s="280"/>
      <c r="BV265" s="280"/>
    </row>
    <row r="266" spans="2:74" s="293" customFormat="1" x14ac:dyDescent="0.25">
      <c r="B266" s="280"/>
      <c r="C266" s="280"/>
      <c r="D266" s="280"/>
      <c r="E266" s="280"/>
      <c r="F266" s="280"/>
      <c r="G266" s="280"/>
      <c r="H266" s="280"/>
      <c r="I266" s="280"/>
      <c r="J266" s="280"/>
      <c r="K266" s="283"/>
      <c r="L266" s="283"/>
      <c r="M266" s="283"/>
      <c r="N266" s="280"/>
      <c r="O266" s="280"/>
      <c r="P266" s="280"/>
      <c r="Q266" s="280"/>
      <c r="R266" s="292"/>
      <c r="S266" s="292"/>
      <c r="T266" s="292"/>
      <c r="U266" s="292"/>
      <c r="V266" s="292"/>
      <c r="W266" s="292"/>
      <c r="X266" s="374"/>
      <c r="Y266" s="374"/>
      <c r="Z266" s="374"/>
      <c r="AA266" s="373"/>
      <c r="AB266" s="283"/>
      <c r="AC266" s="280"/>
      <c r="AD266" s="280"/>
      <c r="AE266" s="280"/>
      <c r="AF266" s="280"/>
      <c r="AG266" s="280"/>
      <c r="AH266" s="280"/>
      <c r="AI266" s="280"/>
      <c r="AJ266" s="280"/>
      <c r="AK266" s="280"/>
      <c r="AL266" s="280"/>
      <c r="AM266" s="280"/>
      <c r="AN266" s="280"/>
      <c r="AO266" s="280"/>
      <c r="AP266" s="280"/>
      <c r="AQ266" s="280"/>
      <c r="AR266" s="280"/>
      <c r="AS266" s="280"/>
      <c r="AT266" s="280"/>
      <c r="AU266" s="280"/>
      <c r="AV266" s="280"/>
      <c r="AW266" s="280"/>
      <c r="AX266" s="280"/>
      <c r="AY266" s="280"/>
      <c r="AZ266" s="280"/>
      <c r="BA266" s="280"/>
      <c r="BB266" s="280"/>
      <c r="BC266" s="280"/>
      <c r="BD266" s="280"/>
      <c r="BE266" s="280"/>
      <c r="BF266" s="280"/>
      <c r="BG266" s="280"/>
      <c r="BH266" s="280"/>
      <c r="BI266" s="280"/>
      <c r="BJ266" s="280"/>
      <c r="BK266" s="280"/>
      <c r="BL266" s="280"/>
      <c r="BM266" s="280"/>
      <c r="BN266" s="280"/>
      <c r="BO266" s="280"/>
      <c r="BP266" s="280"/>
      <c r="BQ266" s="280"/>
      <c r="BR266" s="280"/>
      <c r="BS266" s="280"/>
      <c r="BT266" s="280"/>
      <c r="BU266" s="280"/>
      <c r="BV266" s="280"/>
    </row>
    <row r="267" spans="2:74" s="293" customFormat="1" x14ac:dyDescent="0.25">
      <c r="B267" s="280"/>
      <c r="C267" s="280"/>
      <c r="D267" s="280"/>
      <c r="E267" s="280"/>
      <c r="F267" s="280"/>
      <c r="G267" s="280"/>
      <c r="H267" s="280"/>
      <c r="I267" s="280"/>
      <c r="J267" s="280"/>
      <c r="K267" s="283"/>
      <c r="L267" s="283"/>
      <c r="M267" s="283"/>
      <c r="N267" s="280"/>
      <c r="O267" s="280"/>
      <c r="P267" s="280"/>
      <c r="Q267" s="280"/>
      <c r="R267" s="292"/>
      <c r="S267" s="292"/>
      <c r="T267" s="292"/>
      <c r="U267" s="292"/>
      <c r="V267" s="292"/>
      <c r="W267" s="292"/>
      <c r="X267" s="374"/>
      <c r="Y267" s="374"/>
      <c r="Z267" s="374"/>
      <c r="AA267" s="373"/>
      <c r="AB267" s="283"/>
      <c r="AC267" s="280"/>
      <c r="AD267" s="280"/>
      <c r="AE267" s="280"/>
      <c r="AF267" s="280"/>
      <c r="AG267" s="280"/>
      <c r="AH267" s="280"/>
      <c r="AI267" s="280"/>
      <c r="AJ267" s="280"/>
      <c r="AK267" s="280"/>
      <c r="AL267" s="280"/>
      <c r="AM267" s="280"/>
      <c r="AN267" s="280"/>
      <c r="AO267" s="280"/>
      <c r="AP267" s="280"/>
      <c r="AQ267" s="280"/>
      <c r="AR267" s="280"/>
      <c r="AS267" s="280"/>
      <c r="AT267" s="280"/>
      <c r="AU267" s="280"/>
      <c r="AV267" s="280"/>
      <c r="AW267" s="280"/>
      <c r="AX267" s="280"/>
      <c r="AY267" s="280"/>
      <c r="AZ267" s="280"/>
      <c r="BA267" s="280"/>
      <c r="BB267" s="280"/>
      <c r="BC267" s="280"/>
      <c r="BD267" s="280"/>
      <c r="BE267" s="280"/>
      <c r="BF267" s="280"/>
      <c r="BG267" s="280"/>
      <c r="BH267" s="280"/>
      <c r="BI267" s="280"/>
      <c r="BJ267" s="280"/>
      <c r="BK267" s="280"/>
      <c r="BL267" s="280"/>
      <c r="BM267" s="280"/>
      <c r="BN267" s="280"/>
      <c r="BO267" s="280"/>
      <c r="BP267" s="280"/>
      <c r="BQ267" s="280"/>
      <c r="BR267" s="280"/>
      <c r="BS267" s="280"/>
      <c r="BT267" s="280"/>
      <c r="BU267" s="280"/>
      <c r="BV267" s="280"/>
    </row>
    <row r="268" spans="2:74" s="293" customFormat="1" x14ac:dyDescent="0.25">
      <c r="B268" s="280"/>
      <c r="C268" s="280"/>
      <c r="D268" s="280"/>
      <c r="E268" s="280"/>
      <c r="F268" s="280"/>
      <c r="G268" s="280"/>
      <c r="H268" s="280"/>
      <c r="I268" s="280"/>
      <c r="J268" s="280"/>
      <c r="K268" s="280"/>
      <c r="L268" s="283"/>
      <c r="M268" s="283"/>
      <c r="N268" s="280"/>
      <c r="O268" s="280"/>
      <c r="P268" s="280"/>
      <c r="Q268" s="280"/>
      <c r="R268" s="292"/>
      <c r="S268" s="292"/>
      <c r="T268" s="292"/>
      <c r="U268" s="292"/>
      <c r="V268" s="292"/>
      <c r="W268" s="292"/>
      <c r="X268" s="374"/>
      <c r="Y268" s="374"/>
      <c r="Z268" s="374"/>
      <c r="AA268" s="373"/>
      <c r="AB268" s="283"/>
      <c r="AC268" s="280"/>
      <c r="AD268" s="280"/>
      <c r="AE268" s="280"/>
      <c r="AF268" s="280"/>
      <c r="AG268" s="280"/>
      <c r="AH268" s="280"/>
      <c r="AI268" s="280"/>
      <c r="AJ268" s="280"/>
      <c r="AK268" s="280"/>
      <c r="AL268" s="280"/>
      <c r="AM268" s="280"/>
      <c r="AN268" s="280"/>
      <c r="AO268" s="280"/>
      <c r="AP268" s="280"/>
      <c r="AQ268" s="280"/>
      <c r="AR268" s="280"/>
      <c r="AS268" s="280"/>
      <c r="AT268" s="280"/>
      <c r="AU268" s="280"/>
      <c r="AV268" s="280"/>
      <c r="AW268" s="280"/>
      <c r="AX268" s="280"/>
      <c r="AY268" s="280"/>
      <c r="AZ268" s="280"/>
      <c r="BA268" s="280"/>
      <c r="BB268" s="280"/>
      <c r="BC268" s="280"/>
      <c r="BD268" s="280"/>
      <c r="BE268" s="280"/>
      <c r="BF268" s="280"/>
      <c r="BG268" s="280"/>
      <c r="BH268" s="280"/>
      <c r="BI268" s="280"/>
      <c r="BJ268" s="280"/>
      <c r="BK268" s="280"/>
      <c r="BL268" s="280"/>
      <c r="BM268" s="280"/>
      <c r="BN268" s="280"/>
      <c r="BO268" s="280"/>
      <c r="BP268" s="280"/>
      <c r="BQ268" s="280"/>
      <c r="BR268" s="280"/>
      <c r="BS268" s="280"/>
      <c r="BT268" s="280"/>
      <c r="BU268" s="280"/>
      <c r="BV268" s="280"/>
    </row>
    <row r="269" spans="2:74" s="293" customFormat="1" x14ac:dyDescent="0.25">
      <c r="B269" s="280"/>
      <c r="C269" s="280"/>
      <c r="D269" s="280"/>
      <c r="E269" s="280"/>
      <c r="F269" s="280"/>
      <c r="G269" s="280"/>
      <c r="H269" s="280"/>
      <c r="I269" s="280"/>
      <c r="J269" s="280"/>
      <c r="K269" s="280"/>
      <c r="L269" s="283"/>
      <c r="M269" s="283"/>
      <c r="N269" s="280"/>
      <c r="O269" s="280"/>
      <c r="P269" s="280"/>
      <c r="Q269" s="280"/>
      <c r="R269" s="292"/>
      <c r="S269" s="292"/>
      <c r="T269" s="292"/>
      <c r="U269" s="292"/>
      <c r="V269" s="292"/>
      <c r="W269" s="292"/>
      <c r="X269" s="374"/>
      <c r="Y269" s="374"/>
      <c r="Z269" s="374"/>
      <c r="AA269" s="373"/>
      <c r="AB269" s="283"/>
      <c r="AC269" s="280"/>
      <c r="AD269" s="280"/>
      <c r="AE269" s="280"/>
      <c r="AF269" s="280"/>
      <c r="AG269" s="280"/>
      <c r="AH269" s="280"/>
      <c r="AI269" s="280"/>
      <c r="AJ269" s="280"/>
      <c r="AK269" s="280"/>
      <c r="AL269" s="280"/>
      <c r="AM269" s="280"/>
      <c r="AN269" s="280"/>
      <c r="AO269" s="280"/>
      <c r="AP269" s="280"/>
      <c r="AQ269" s="280"/>
      <c r="AR269" s="280"/>
      <c r="AS269" s="280"/>
      <c r="AT269" s="280"/>
      <c r="AU269" s="280"/>
      <c r="AV269" s="280"/>
      <c r="AW269" s="280"/>
      <c r="AX269" s="280"/>
      <c r="AY269" s="280"/>
      <c r="AZ269" s="280"/>
      <c r="BA269" s="280"/>
      <c r="BB269" s="280"/>
      <c r="BC269" s="280"/>
      <c r="BD269" s="280"/>
      <c r="BE269" s="280"/>
      <c r="BF269" s="280"/>
      <c r="BG269" s="280"/>
      <c r="BH269" s="280"/>
      <c r="BI269" s="280"/>
      <c r="BJ269" s="280"/>
      <c r="BK269" s="280"/>
      <c r="BL269" s="280"/>
      <c r="BM269" s="280"/>
      <c r="BN269" s="280"/>
      <c r="BO269" s="280"/>
      <c r="BP269" s="280"/>
      <c r="BQ269" s="280"/>
      <c r="BR269" s="280"/>
      <c r="BS269" s="280"/>
      <c r="BT269" s="280"/>
      <c r="BU269" s="280"/>
      <c r="BV269" s="280"/>
    </row>
    <row r="270" spans="2:74" s="293" customFormat="1" x14ac:dyDescent="0.25">
      <c r="B270" s="280"/>
      <c r="C270" s="280"/>
      <c r="D270" s="280"/>
      <c r="E270" s="280"/>
      <c r="F270" s="280"/>
      <c r="G270" s="280"/>
      <c r="H270" s="280"/>
      <c r="I270" s="280"/>
      <c r="J270" s="280"/>
      <c r="K270" s="280"/>
      <c r="L270" s="283"/>
      <c r="M270" s="283"/>
      <c r="N270" s="280"/>
      <c r="O270" s="280"/>
      <c r="P270" s="280"/>
      <c r="Q270" s="280"/>
      <c r="R270" s="292"/>
      <c r="S270" s="292"/>
      <c r="T270" s="292"/>
      <c r="U270" s="292"/>
      <c r="V270" s="292"/>
      <c r="W270" s="292"/>
      <c r="X270" s="374"/>
      <c r="Y270" s="374"/>
      <c r="Z270" s="374"/>
      <c r="AA270" s="373"/>
      <c r="AB270" s="283"/>
      <c r="AC270" s="280"/>
      <c r="AD270" s="280"/>
      <c r="AE270" s="280"/>
      <c r="AF270" s="280"/>
      <c r="AG270" s="280"/>
      <c r="AH270" s="280"/>
      <c r="AI270" s="280"/>
      <c r="AJ270" s="280"/>
      <c r="AK270" s="280"/>
      <c r="AL270" s="280"/>
      <c r="AM270" s="280"/>
      <c r="AN270" s="280"/>
      <c r="AO270" s="280"/>
      <c r="AP270" s="280"/>
      <c r="AQ270" s="280"/>
      <c r="AR270" s="280"/>
      <c r="AS270" s="280"/>
      <c r="AT270" s="280"/>
      <c r="AU270" s="280"/>
      <c r="AV270" s="280"/>
      <c r="AW270" s="280"/>
      <c r="AX270" s="280"/>
      <c r="AY270" s="280"/>
      <c r="AZ270" s="280"/>
      <c r="BA270" s="280"/>
      <c r="BB270" s="280"/>
      <c r="BC270" s="280"/>
      <c r="BD270" s="280"/>
      <c r="BE270" s="280"/>
      <c r="BF270" s="280"/>
      <c r="BG270" s="280"/>
      <c r="BH270" s="280"/>
      <c r="BI270" s="280"/>
      <c r="BJ270" s="280"/>
      <c r="BK270" s="280"/>
      <c r="BL270" s="280"/>
      <c r="BM270" s="280"/>
      <c r="BN270" s="280"/>
      <c r="BO270" s="280"/>
      <c r="BP270" s="280"/>
      <c r="BQ270" s="280"/>
      <c r="BR270" s="280"/>
      <c r="BS270" s="280"/>
      <c r="BT270" s="280"/>
      <c r="BU270" s="280"/>
      <c r="BV270" s="280"/>
    </row>
    <row r="271" spans="2:74" s="293" customFormat="1" x14ac:dyDescent="0.25">
      <c r="B271" s="280"/>
      <c r="C271" s="280"/>
      <c r="D271" s="280"/>
      <c r="E271" s="280"/>
      <c r="F271" s="280"/>
      <c r="G271" s="280"/>
      <c r="H271" s="280"/>
      <c r="I271" s="280"/>
      <c r="J271" s="280"/>
      <c r="K271" s="280"/>
      <c r="L271" s="283"/>
      <c r="M271" s="283"/>
      <c r="N271" s="280"/>
      <c r="O271" s="280"/>
      <c r="P271" s="280"/>
      <c r="Q271" s="280"/>
      <c r="R271" s="292"/>
      <c r="S271" s="292"/>
      <c r="T271" s="292"/>
      <c r="U271" s="292"/>
      <c r="V271" s="292"/>
      <c r="W271" s="292"/>
      <c r="X271" s="374"/>
      <c r="Y271" s="374"/>
      <c r="Z271" s="374"/>
      <c r="AA271" s="373"/>
      <c r="AB271" s="283"/>
      <c r="AC271" s="280"/>
      <c r="AD271" s="280"/>
      <c r="AE271" s="280"/>
      <c r="AF271" s="280"/>
      <c r="AG271" s="280"/>
      <c r="AH271" s="280"/>
      <c r="AI271" s="280"/>
      <c r="AJ271" s="280"/>
      <c r="AK271" s="280"/>
      <c r="AL271" s="280"/>
      <c r="AM271" s="280"/>
      <c r="AN271" s="280"/>
      <c r="AO271" s="280"/>
      <c r="AP271" s="280"/>
      <c r="AQ271" s="280"/>
      <c r="AR271" s="280"/>
      <c r="AS271" s="280"/>
      <c r="AT271" s="280"/>
      <c r="AU271" s="280"/>
      <c r="AV271" s="280"/>
      <c r="AW271" s="280"/>
      <c r="AX271" s="280"/>
      <c r="AY271" s="280"/>
      <c r="AZ271" s="280"/>
      <c r="BA271" s="280"/>
      <c r="BB271" s="280"/>
      <c r="BC271" s="280"/>
      <c r="BD271" s="280"/>
      <c r="BE271" s="280"/>
      <c r="BF271" s="280"/>
      <c r="BG271" s="280"/>
      <c r="BH271" s="280"/>
      <c r="BI271" s="280"/>
      <c r="BJ271" s="280"/>
      <c r="BK271" s="280"/>
      <c r="BL271" s="280"/>
      <c r="BM271" s="280"/>
      <c r="BN271" s="280"/>
      <c r="BO271" s="280"/>
      <c r="BP271" s="280"/>
      <c r="BQ271" s="280"/>
      <c r="BR271" s="280"/>
      <c r="BS271" s="280"/>
      <c r="BT271" s="280"/>
      <c r="BU271" s="280"/>
      <c r="BV271" s="280"/>
    </row>
    <row r="272" spans="2:74" s="293" customFormat="1" x14ac:dyDescent="0.25">
      <c r="B272" s="280"/>
      <c r="C272" s="280"/>
      <c r="D272" s="280"/>
      <c r="E272" s="280"/>
      <c r="F272" s="280"/>
      <c r="G272" s="280"/>
      <c r="H272" s="280"/>
      <c r="I272" s="280"/>
      <c r="J272" s="280"/>
      <c r="K272" s="280"/>
      <c r="L272" s="283"/>
      <c r="M272" s="283"/>
      <c r="N272" s="280"/>
      <c r="O272" s="280"/>
      <c r="P272" s="280"/>
      <c r="Q272" s="280"/>
      <c r="R272" s="292"/>
      <c r="S272" s="292"/>
      <c r="T272" s="292"/>
      <c r="U272" s="292"/>
      <c r="V272" s="292"/>
      <c r="W272" s="292"/>
      <c r="X272" s="374"/>
      <c r="Y272" s="374"/>
      <c r="Z272" s="374"/>
      <c r="AA272" s="373"/>
      <c r="AB272" s="283"/>
      <c r="AC272" s="280"/>
      <c r="AD272" s="280"/>
      <c r="AE272" s="280"/>
      <c r="AF272" s="280"/>
      <c r="AG272" s="280"/>
      <c r="AH272" s="280"/>
      <c r="AI272" s="280"/>
      <c r="AJ272" s="280"/>
      <c r="AK272" s="280"/>
      <c r="AL272" s="280"/>
      <c r="AM272" s="280"/>
      <c r="AN272" s="280"/>
      <c r="AO272" s="280"/>
      <c r="AP272" s="280"/>
      <c r="AQ272" s="280"/>
      <c r="AR272" s="280"/>
      <c r="AS272" s="280"/>
      <c r="AT272" s="280"/>
      <c r="AU272" s="280"/>
      <c r="AV272" s="280"/>
      <c r="AW272" s="280"/>
      <c r="AX272" s="280"/>
      <c r="AY272" s="280"/>
      <c r="AZ272" s="280"/>
      <c r="BA272" s="280"/>
      <c r="BB272" s="280"/>
      <c r="BC272" s="280"/>
      <c r="BD272" s="280"/>
      <c r="BE272" s="280"/>
      <c r="BF272" s="280"/>
      <c r="BG272" s="280"/>
      <c r="BH272" s="280"/>
      <c r="BI272" s="280"/>
      <c r="BJ272" s="280"/>
      <c r="BK272" s="280"/>
      <c r="BL272" s="280"/>
      <c r="BM272" s="280"/>
      <c r="BN272" s="280"/>
      <c r="BO272" s="280"/>
      <c r="BP272" s="280"/>
      <c r="BQ272" s="280"/>
      <c r="BR272" s="280"/>
      <c r="BS272" s="280"/>
      <c r="BT272" s="280"/>
      <c r="BU272" s="280"/>
      <c r="BV272" s="280"/>
    </row>
    <row r="273" spans="2:74" s="293" customFormat="1" x14ac:dyDescent="0.25">
      <c r="B273" s="280"/>
      <c r="C273" s="280"/>
      <c r="D273" s="280"/>
      <c r="E273" s="280"/>
      <c r="F273" s="280"/>
      <c r="G273" s="280"/>
      <c r="H273" s="280"/>
      <c r="I273" s="280"/>
      <c r="J273" s="280"/>
      <c r="K273" s="280"/>
      <c r="L273" s="283"/>
      <c r="M273" s="283"/>
      <c r="N273" s="280"/>
      <c r="O273" s="280"/>
      <c r="P273" s="280"/>
      <c r="Q273" s="280"/>
      <c r="R273" s="292"/>
      <c r="S273" s="292"/>
      <c r="T273" s="292"/>
      <c r="U273" s="292"/>
      <c r="V273" s="292"/>
      <c r="W273" s="292"/>
      <c r="X273" s="374"/>
      <c r="Y273" s="374"/>
      <c r="Z273" s="374"/>
      <c r="AA273" s="373"/>
      <c r="AB273" s="283"/>
      <c r="AC273" s="280"/>
      <c r="AD273" s="280"/>
      <c r="AE273" s="280"/>
      <c r="AF273" s="280"/>
      <c r="AG273" s="280"/>
      <c r="AH273" s="280"/>
      <c r="AI273" s="280"/>
      <c r="AJ273" s="280"/>
      <c r="AK273" s="280"/>
      <c r="AL273" s="280"/>
      <c r="AM273" s="280"/>
      <c r="AN273" s="280"/>
      <c r="AO273" s="280"/>
      <c r="AP273" s="280"/>
      <c r="AQ273" s="280"/>
      <c r="AR273" s="280"/>
      <c r="AS273" s="280"/>
      <c r="AT273" s="280"/>
      <c r="AU273" s="280"/>
      <c r="AV273" s="280"/>
      <c r="AW273" s="280"/>
      <c r="AX273" s="280"/>
      <c r="AY273" s="280"/>
      <c r="AZ273" s="280"/>
      <c r="BA273" s="280"/>
      <c r="BB273" s="280"/>
      <c r="BC273" s="280"/>
      <c r="BD273" s="280"/>
      <c r="BE273" s="280"/>
      <c r="BF273" s="280"/>
      <c r="BG273" s="280"/>
      <c r="BH273" s="280"/>
      <c r="BI273" s="280"/>
      <c r="BJ273" s="280"/>
      <c r="BK273" s="280"/>
      <c r="BL273" s="280"/>
      <c r="BM273" s="280"/>
      <c r="BN273" s="280"/>
      <c r="BO273" s="280"/>
      <c r="BP273" s="280"/>
      <c r="BQ273" s="280"/>
      <c r="BR273" s="280"/>
      <c r="BS273" s="280"/>
      <c r="BT273" s="280"/>
      <c r="BU273" s="280"/>
      <c r="BV273" s="280"/>
    </row>
    <row r="274" spans="2:74" s="293" customFormat="1" x14ac:dyDescent="0.25">
      <c r="B274" s="280"/>
      <c r="C274" s="280"/>
      <c r="D274" s="280"/>
      <c r="E274" s="280"/>
      <c r="F274" s="280"/>
      <c r="G274" s="280"/>
      <c r="H274" s="280"/>
      <c r="I274" s="280"/>
      <c r="J274" s="280"/>
      <c r="K274" s="280"/>
      <c r="L274" s="283"/>
      <c r="M274" s="283"/>
      <c r="N274" s="280"/>
      <c r="O274" s="280"/>
      <c r="P274" s="280"/>
      <c r="Q274" s="280"/>
      <c r="R274" s="292"/>
      <c r="S274" s="292"/>
      <c r="T274" s="292"/>
      <c r="U274" s="292"/>
      <c r="V274" s="292"/>
      <c r="W274" s="292"/>
      <c r="X274" s="374"/>
      <c r="Y274" s="374"/>
      <c r="Z274" s="374"/>
      <c r="AA274" s="373"/>
      <c r="AB274" s="283"/>
      <c r="AC274" s="280"/>
      <c r="AD274" s="280"/>
      <c r="AE274" s="280"/>
      <c r="AF274" s="280"/>
      <c r="AG274" s="280"/>
      <c r="AH274" s="280"/>
      <c r="AI274" s="280"/>
      <c r="AJ274" s="280"/>
      <c r="AK274" s="280"/>
      <c r="AL274" s="280"/>
      <c r="AM274" s="280"/>
      <c r="AN274" s="280"/>
      <c r="AO274" s="280"/>
      <c r="AP274" s="280"/>
      <c r="AQ274" s="280"/>
      <c r="AR274" s="280"/>
      <c r="AS274" s="280"/>
      <c r="AT274" s="280"/>
      <c r="AU274" s="280"/>
      <c r="AV274" s="280"/>
      <c r="AW274" s="280"/>
      <c r="AX274" s="280"/>
      <c r="AY274" s="280"/>
      <c r="AZ274" s="280"/>
      <c r="BA274" s="280"/>
      <c r="BB274" s="280"/>
      <c r="BC274" s="280"/>
      <c r="BD274" s="280"/>
      <c r="BE274" s="280"/>
      <c r="BF274" s="280"/>
      <c r="BG274" s="280"/>
      <c r="BH274" s="280"/>
      <c r="BI274" s="280"/>
      <c r="BJ274" s="280"/>
      <c r="BK274" s="280"/>
      <c r="BL274" s="280"/>
      <c r="BM274" s="280"/>
      <c r="BN274" s="280"/>
      <c r="BO274" s="280"/>
      <c r="BP274" s="280"/>
      <c r="BQ274" s="280"/>
      <c r="BR274" s="280"/>
      <c r="BS274" s="280"/>
      <c r="BT274" s="280"/>
      <c r="BU274" s="280"/>
      <c r="BV274" s="280"/>
    </row>
    <row r="275" spans="2:74" s="293" customFormat="1" x14ac:dyDescent="0.25">
      <c r="B275" s="280"/>
      <c r="C275" s="280"/>
      <c r="D275" s="280"/>
      <c r="E275" s="280"/>
      <c r="F275" s="280"/>
      <c r="G275" s="280"/>
      <c r="H275" s="280"/>
      <c r="I275" s="280"/>
      <c r="J275" s="280"/>
      <c r="K275" s="280"/>
      <c r="L275" s="283"/>
      <c r="M275" s="283"/>
      <c r="N275" s="280"/>
      <c r="O275" s="280"/>
      <c r="P275" s="280"/>
      <c r="Q275" s="280"/>
      <c r="R275" s="292"/>
      <c r="S275" s="292"/>
      <c r="T275" s="292"/>
      <c r="U275" s="292"/>
      <c r="V275" s="292"/>
      <c r="W275" s="292"/>
      <c r="X275" s="374"/>
      <c r="Y275" s="374"/>
      <c r="Z275" s="374"/>
      <c r="AA275" s="373"/>
      <c r="AB275" s="283"/>
      <c r="AC275" s="280"/>
      <c r="AD275" s="280"/>
      <c r="AE275" s="280"/>
      <c r="AF275" s="280"/>
      <c r="AG275" s="280"/>
      <c r="AH275" s="280"/>
      <c r="AI275" s="280"/>
      <c r="AJ275" s="280"/>
      <c r="AK275" s="280"/>
      <c r="AL275" s="280"/>
      <c r="AM275" s="280"/>
      <c r="AN275" s="280"/>
      <c r="AO275" s="280"/>
      <c r="AP275" s="280"/>
      <c r="AQ275" s="280"/>
      <c r="AR275" s="280"/>
      <c r="AS275" s="280"/>
      <c r="AT275" s="280"/>
      <c r="AU275" s="280"/>
      <c r="AV275" s="280"/>
      <c r="AW275" s="280"/>
      <c r="AX275" s="280"/>
      <c r="AY275" s="280"/>
      <c r="AZ275" s="280"/>
      <c r="BA275" s="280"/>
      <c r="BB275" s="280"/>
      <c r="BC275" s="280"/>
      <c r="BD275" s="280"/>
      <c r="BE275" s="280"/>
      <c r="BF275" s="280"/>
      <c r="BG275" s="280"/>
      <c r="BH275" s="280"/>
      <c r="BI275" s="280"/>
      <c r="BJ275" s="280"/>
      <c r="BK275" s="280"/>
      <c r="BL275" s="280"/>
      <c r="BM275" s="280"/>
      <c r="BN275" s="280"/>
      <c r="BO275" s="280"/>
      <c r="BP275" s="280"/>
      <c r="BQ275" s="280"/>
      <c r="BR275" s="280"/>
      <c r="BS275" s="280"/>
      <c r="BT275" s="280"/>
      <c r="BU275" s="280"/>
      <c r="BV275" s="280"/>
    </row>
    <row r="276" spans="2:74" s="293" customFormat="1" x14ac:dyDescent="0.25">
      <c r="B276" s="280"/>
      <c r="C276" s="280"/>
      <c r="D276" s="280"/>
      <c r="E276" s="280"/>
      <c r="F276" s="280"/>
      <c r="G276" s="280"/>
      <c r="H276" s="280"/>
      <c r="I276" s="280"/>
      <c r="J276" s="280"/>
      <c r="K276" s="280"/>
      <c r="L276" s="283"/>
      <c r="M276" s="283"/>
      <c r="N276" s="280"/>
      <c r="O276" s="280"/>
      <c r="P276" s="280"/>
      <c r="Q276" s="280"/>
      <c r="R276" s="292"/>
      <c r="S276" s="292"/>
      <c r="T276" s="292"/>
      <c r="U276" s="292"/>
      <c r="V276" s="292"/>
      <c r="W276" s="292"/>
      <c r="X276" s="374"/>
      <c r="Y276" s="374"/>
      <c r="Z276" s="374"/>
      <c r="AA276" s="373"/>
      <c r="AB276" s="283"/>
      <c r="AC276" s="280"/>
      <c r="AD276" s="280"/>
      <c r="AE276" s="280"/>
      <c r="AF276" s="280"/>
      <c r="AG276" s="280"/>
      <c r="AH276" s="280"/>
      <c r="AI276" s="280"/>
      <c r="AJ276" s="280"/>
      <c r="AK276" s="280"/>
      <c r="AL276" s="280"/>
      <c r="AM276" s="280"/>
      <c r="AN276" s="280"/>
      <c r="AO276" s="280"/>
      <c r="AP276" s="280"/>
      <c r="AQ276" s="280"/>
      <c r="AR276" s="280"/>
      <c r="AS276" s="280"/>
      <c r="AT276" s="280"/>
      <c r="AU276" s="280"/>
      <c r="AV276" s="280"/>
      <c r="AW276" s="280"/>
      <c r="AX276" s="280"/>
      <c r="AY276" s="280"/>
      <c r="AZ276" s="280"/>
      <c r="BA276" s="280"/>
      <c r="BB276" s="280"/>
      <c r="BC276" s="280"/>
      <c r="BD276" s="280"/>
      <c r="BE276" s="280"/>
      <c r="BF276" s="280"/>
      <c r="BG276" s="280"/>
      <c r="BH276" s="280"/>
      <c r="BI276" s="280"/>
      <c r="BJ276" s="280"/>
      <c r="BK276" s="280"/>
      <c r="BL276" s="280"/>
      <c r="BM276" s="280"/>
      <c r="BN276" s="280"/>
      <c r="BO276" s="280"/>
      <c r="BP276" s="280"/>
      <c r="BQ276" s="280"/>
      <c r="BR276" s="280"/>
      <c r="BS276" s="280"/>
      <c r="BT276" s="280"/>
      <c r="BU276" s="280"/>
      <c r="BV276" s="280"/>
    </row>
    <row r="277" spans="2:74" s="293" customFormat="1" x14ac:dyDescent="0.25">
      <c r="B277" s="280"/>
      <c r="C277" s="280"/>
      <c r="D277" s="280"/>
      <c r="E277" s="280"/>
      <c r="F277" s="280"/>
      <c r="G277" s="280"/>
      <c r="H277" s="280"/>
      <c r="I277" s="280"/>
      <c r="J277" s="280"/>
      <c r="K277" s="280"/>
      <c r="L277" s="283"/>
      <c r="M277" s="283"/>
      <c r="N277" s="280"/>
      <c r="O277" s="280"/>
      <c r="P277" s="280"/>
      <c r="Q277" s="280"/>
      <c r="R277" s="292"/>
      <c r="S277" s="292"/>
      <c r="T277" s="292"/>
      <c r="U277" s="292"/>
      <c r="V277" s="292"/>
      <c r="W277" s="292"/>
      <c r="X277" s="374"/>
      <c r="Y277" s="374"/>
      <c r="Z277" s="374"/>
      <c r="AA277" s="373"/>
      <c r="AB277" s="283"/>
      <c r="AC277" s="280"/>
      <c r="AD277" s="280"/>
      <c r="AE277" s="280"/>
      <c r="AF277" s="280"/>
      <c r="AG277" s="280"/>
      <c r="AH277" s="280"/>
      <c r="AI277" s="280"/>
      <c r="AJ277" s="280"/>
      <c r="AK277" s="280"/>
      <c r="AL277" s="280"/>
      <c r="AM277" s="280"/>
      <c r="AN277" s="280"/>
      <c r="AO277" s="280"/>
      <c r="AP277" s="280"/>
      <c r="AQ277" s="280"/>
      <c r="AR277" s="280"/>
      <c r="AS277" s="280"/>
      <c r="AT277" s="280"/>
      <c r="AU277" s="280"/>
      <c r="AV277" s="280"/>
      <c r="AW277" s="280"/>
      <c r="AX277" s="280"/>
      <c r="AY277" s="280"/>
      <c r="AZ277" s="280"/>
      <c r="BA277" s="280"/>
      <c r="BB277" s="280"/>
      <c r="BC277" s="280"/>
      <c r="BD277" s="280"/>
      <c r="BE277" s="280"/>
      <c r="BF277" s="280"/>
      <c r="BG277" s="280"/>
      <c r="BH277" s="280"/>
      <c r="BI277" s="280"/>
      <c r="BJ277" s="280"/>
      <c r="BK277" s="280"/>
      <c r="BL277" s="280"/>
      <c r="BM277" s="280"/>
      <c r="BN277" s="280"/>
      <c r="BO277" s="280"/>
      <c r="BP277" s="280"/>
      <c r="BQ277" s="280"/>
      <c r="BR277" s="280"/>
      <c r="BS277" s="280"/>
      <c r="BT277" s="280"/>
      <c r="BU277" s="280"/>
      <c r="BV277" s="280"/>
    </row>
    <row r="278" spans="2:74" s="293" customFormat="1" x14ac:dyDescent="0.25">
      <c r="B278" s="280"/>
      <c r="C278" s="280"/>
      <c r="D278" s="280"/>
      <c r="E278" s="280"/>
      <c r="F278" s="280"/>
      <c r="G278" s="280"/>
      <c r="H278" s="280"/>
      <c r="I278" s="280"/>
      <c r="J278" s="280"/>
      <c r="K278" s="280"/>
      <c r="L278" s="283"/>
      <c r="M278" s="283"/>
      <c r="N278" s="280"/>
      <c r="O278" s="280"/>
      <c r="P278" s="280"/>
      <c r="Q278" s="280"/>
      <c r="R278" s="292"/>
      <c r="S278" s="292"/>
      <c r="T278" s="292"/>
      <c r="U278" s="292"/>
      <c r="V278" s="292"/>
      <c r="W278" s="292"/>
      <c r="X278" s="374"/>
      <c r="Y278" s="374"/>
      <c r="Z278" s="374"/>
      <c r="AA278" s="373"/>
      <c r="AB278" s="283"/>
      <c r="AC278" s="280"/>
      <c r="AD278" s="280"/>
      <c r="AE278" s="280"/>
      <c r="AF278" s="280"/>
      <c r="AG278" s="280"/>
      <c r="AH278" s="280"/>
      <c r="AI278" s="280"/>
      <c r="AJ278" s="280"/>
      <c r="AK278" s="280"/>
      <c r="AL278" s="280"/>
      <c r="AM278" s="280"/>
      <c r="AN278" s="280"/>
      <c r="AO278" s="280"/>
      <c r="AP278" s="280"/>
      <c r="AQ278" s="280"/>
      <c r="AR278" s="280"/>
      <c r="AS278" s="280"/>
      <c r="AT278" s="280"/>
      <c r="AU278" s="280"/>
      <c r="AV278" s="280"/>
      <c r="AW278" s="280"/>
      <c r="AX278" s="280"/>
      <c r="AY278" s="280"/>
      <c r="AZ278" s="280"/>
      <c r="BA278" s="280"/>
      <c r="BB278" s="280"/>
      <c r="BC278" s="280"/>
      <c r="BD278" s="280"/>
      <c r="BE278" s="280"/>
      <c r="BF278" s="280"/>
      <c r="BG278" s="280"/>
      <c r="BH278" s="280"/>
      <c r="BI278" s="280"/>
      <c r="BJ278" s="280"/>
      <c r="BK278" s="280"/>
      <c r="BL278" s="280"/>
      <c r="BM278" s="280"/>
      <c r="BN278" s="280"/>
      <c r="BO278" s="280"/>
      <c r="BP278" s="280"/>
      <c r="BQ278" s="280"/>
      <c r="BR278" s="280"/>
      <c r="BS278" s="280"/>
      <c r="BT278" s="280"/>
      <c r="BU278" s="280"/>
      <c r="BV278" s="280"/>
    </row>
    <row r="279" spans="2:74" s="293" customFormat="1" x14ac:dyDescent="0.25">
      <c r="B279" s="280"/>
      <c r="C279" s="280"/>
      <c r="D279" s="280"/>
      <c r="E279" s="280"/>
      <c r="F279" s="280"/>
      <c r="G279" s="280"/>
      <c r="H279" s="280"/>
      <c r="I279" s="280"/>
      <c r="J279" s="280"/>
      <c r="K279" s="280"/>
      <c r="L279" s="283"/>
      <c r="M279" s="283"/>
      <c r="N279" s="280"/>
      <c r="O279" s="280"/>
      <c r="P279" s="280"/>
      <c r="Q279" s="280"/>
      <c r="R279" s="292"/>
      <c r="S279" s="292"/>
      <c r="T279" s="292"/>
      <c r="U279" s="292"/>
      <c r="V279" s="292"/>
      <c r="W279" s="292"/>
      <c r="X279" s="374"/>
      <c r="Y279" s="374"/>
      <c r="Z279" s="374"/>
      <c r="AA279" s="373"/>
      <c r="AB279" s="283"/>
      <c r="AC279" s="280"/>
      <c r="AD279" s="280"/>
      <c r="AE279" s="280"/>
      <c r="AF279" s="280"/>
      <c r="AG279" s="280"/>
      <c r="AH279" s="280"/>
      <c r="AI279" s="280"/>
      <c r="AJ279" s="280"/>
      <c r="AK279" s="280"/>
      <c r="AL279" s="280"/>
      <c r="AM279" s="280"/>
      <c r="AN279" s="280"/>
      <c r="AO279" s="280"/>
      <c r="AP279" s="280"/>
      <c r="AQ279" s="280"/>
      <c r="AR279" s="280"/>
      <c r="AS279" s="280"/>
      <c r="AT279" s="280"/>
      <c r="AU279" s="280"/>
      <c r="AV279" s="280"/>
      <c r="AW279" s="280"/>
      <c r="AX279" s="280"/>
      <c r="AY279" s="280"/>
      <c r="AZ279" s="280"/>
      <c r="BA279" s="280"/>
      <c r="BB279" s="280"/>
      <c r="BC279" s="280"/>
      <c r="BD279" s="280"/>
      <c r="BE279" s="280"/>
      <c r="BF279" s="280"/>
      <c r="BG279" s="280"/>
      <c r="BH279" s="280"/>
      <c r="BI279" s="280"/>
      <c r="BJ279" s="280"/>
      <c r="BK279" s="280"/>
      <c r="BL279" s="280"/>
      <c r="BM279" s="280"/>
      <c r="BN279" s="280"/>
      <c r="BO279" s="280"/>
      <c r="BP279" s="280"/>
      <c r="BQ279" s="280"/>
      <c r="BR279" s="280"/>
      <c r="BS279" s="280"/>
      <c r="BT279" s="280"/>
      <c r="BU279" s="280"/>
      <c r="BV279" s="280"/>
    </row>
    <row r="280" spans="2:74" s="293" customFormat="1" x14ac:dyDescent="0.25">
      <c r="B280" s="280"/>
      <c r="C280" s="280"/>
      <c r="D280" s="280"/>
      <c r="E280" s="280"/>
      <c r="F280" s="280"/>
      <c r="G280" s="280"/>
      <c r="H280" s="280"/>
      <c r="I280" s="280"/>
      <c r="J280" s="280"/>
      <c r="K280" s="280"/>
      <c r="L280" s="283"/>
      <c r="M280" s="283"/>
      <c r="N280" s="280"/>
      <c r="O280" s="280"/>
      <c r="P280" s="280"/>
      <c r="Q280" s="280"/>
      <c r="R280" s="292"/>
      <c r="S280" s="292"/>
      <c r="T280" s="292"/>
      <c r="U280" s="292"/>
      <c r="V280" s="292"/>
      <c r="W280" s="292"/>
      <c r="X280" s="374"/>
      <c r="Y280" s="374"/>
      <c r="Z280" s="374"/>
      <c r="AA280" s="373"/>
      <c r="AB280" s="283"/>
      <c r="AC280" s="280"/>
      <c r="AD280" s="280"/>
      <c r="AE280" s="280"/>
      <c r="AF280" s="280"/>
      <c r="AG280" s="280"/>
      <c r="AH280" s="280"/>
      <c r="AI280" s="280"/>
      <c r="AJ280" s="280"/>
      <c r="AK280" s="280"/>
      <c r="AL280" s="280"/>
      <c r="AM280" s="280"/>
      <c r="AN280" s="280"/>
      <c r="AO280" s="280"/>
      <c r="AP280" s="280"/>
      <c r="AQ280" s="280"/>
      <c r="AR280" s="280"/>
      <c r="AS280" s="280"/>
      <c r="AT280" s="280"/>
      <c r="AU280" s="280"/>
      <c r="AV280" s="280"/>
      <c r="AW280" s="280"/>
      <c r="AX280" s="280"/>
      <c r="AY280" s="280"/>
      <c r="AZ280" s="280"/>
      <c r="BA280" s="280"/>
      <c r="BB280" s="280"/>
      <c r="BC280" s="280"/>
      <c r="BD280" s="280"/>
      <c r="BE280" s="280"/>
      <c r="BF280" s="280"/>
      <c r="BG280" s="280"/>
      <c r="BH280" s="280"/>
      <c r="BI280" s="280"/>
      <c r="BJ280" s="280"/>
      <c r="BK280" s="280"/>
      <c r="BL280" s="280"/>
      <c r="BM280" s="280"/>
      <c r="BN280" s="280"/>
      <c r="BO280" s="280"/>
      <c r="BP280" s="280"/>
      <c r="BQ280" s="280"/>
      <c r="BR280" s="280"/>
      <c r="BS280" s="280"/>
      <c r="BT280" s="280"/>
      <c r="BU280" s="280"/>
      <c r="BV280" s="280"/>
    </row>
    <row r="281" spans="2:74" s="293" customFormat="1" x14ac:dyDescent="0.25">
      <c r="B281" s="280"/>
      <c r="C281" s="280"/>
      <c r="D281" s="280"/>
      <c r="E281" s="280"/>
      <c r="F281" s="280"/>
      <c r="G281" s="280"/>
      <c r="H281" s="280"/>
      <c r="I281" s="280"/>
      <c r="J281" s="280"/>
      <c r="K281" s="280"/>
      <c r="L281" s="283"/>
      <c r="M281" s="283"/>
      <c r="N281" s="280"/>
      <c r="O281" s="280"/>
      <c r="P281" s="280"/>
      <c r="Q281" s="280"/>
      <c r="R281" s="292"/>
      <c r="S281" s="292"/>
      <c r="T281" s="292"/>
      <c r="U281" s="292"/>
      <c r="V281" s="292"/>
      <c r="W281" s="292"/>
      <c r="X281" s="374"/>
      <c r="Y281" s="374"/>
      <c r="Z281" s="374"/>
      <c r="AA281" s="373"/>
      <c r="AB281" s="283"/>
      <c r="AC281" s="280"/>
      <c r="AD281" s="280"/>
      <c r="AE281" s="280"/>
      <c r="AF281" s="280"/>
      <c r="AG281" s="280"/>
      <c r="AH281" s="280"/>
      <c r="AI281" s="280"/>
      <c r="AJ281" s="280"/>
      <c r="AK281" s="280"/>
      <c r="AL281" s="280"/>
      <c r="AM281" s="280"/>
      <c r="AN281" s="280"/>
      <c r="AO281" s="280"/>
      <c r="AP281" s="280"/>
      <c r="AQ281" s="280"/>
      <c r="AR281" s="280"/>
      <c r="AS281" s="280"/>
      <c r="AT281" s="280"/>
      <c r="AU281" s="280"/>
      <c r="AV281" s="280"/>
      <c r="AW281" s="280"/>
      <c r="AX281" s="280"/>
      <c r="AY281" s="280"/>
      <c r="AZ281" s="280"/>
      <c r="BA281" s="280"/>
      <c r="BB281" s="280"/>
      <c r="BC281" s="280"/>
      <c r="BD281" s="280"/>
      <c r="BE281" s="280"/>
      <c r="BF281" s="280"/>
      <c r="BG281" s="280"/>
      <c r="BH281" s="280"/>
      <c r="BI281" s="280"/>
      <c r="BJ281" s="280"/>
      <c r="BK281" s="280"/>
      <c r="BL281" s="280"/>
      <c r="BM281" s="280"/>
      <c r="BN281" s="280"/>
      <c r="BO281" s="280"/>
      <c r="BP281" s="280"/>
      <c r="BQ281" s="280"/>
      <c r="BR281" s="280"/>
      <c r="BS281" s="280"/>
      <c r="BT281" s="280"/>
      <c r="BU281" s="280"/>
      <c r="BV281" s="280"/>
    </row>
    <row r="282" spans="2:74" s="293" customFormat="1" x14ac:dyDescent="0.25">
      <c r="B282" s="280"/>
      <c r="C282" s="280"/>
      <c r="D282" s="280"/>
      <c r="E282" s="280"/>
      <c r="F282" s="280"/>
      <c r="G282" s="280"/>
      <c r="H282" s="280"/>
      <c r="I282" s="280"/>
      <c r="J282" s="280"/>
      <c r="K282" s="280"/>
      <c r="L282" s="283"/>
      <c r="M282" s="283"/>
      <c r="N282" s="280"/>
      <c r="O282" s="280"/>
      <c r="P282" s="280"/>
      <c r="Q282" s="280"/>
      <c r="R282" s="292"/>
      <c r="S282" s="292"/>
      <c r="T282" s="292"/>
      <c r="U282" s="292"/>
      <c r="V282" s="292"/>
      <c r="W282" s="292"/>
      <c r="X282" s="374"/>
      <c r="Y282" s="374"/>
      <c r="Z282" s="374"/>
      <c r="AA282" s="373"/>
      <c r="AB282" s="283"/>
      <c r="AC282" s="280"/>
      <c r="AD282" s="280"/>
      <c r="AE282" s="280"/>
      <c r="AF282" s="280"/>
      <c r="AG282" s="280"/>
      <c r="AH282" s="280"/>
      <c r="AI282" s="280"/>
      <c r="AJ282" s="280"/>
      <c r="AK282" s="280"/>
      <c r="AL282" s="280"/>
      <c r="AM282" s="280"/>
      <c r="AN282" s="280"/>
      <c r="AO282" s="280"/>
      <c r="AP282" s="280"/>
      <c r="AQ282" s="280"/>
      <c r="AR282" s="280"/>
      <c r="AS282" s="280"/>
      <c r="AT282" s="280"/>
      <c r="AU282" s="280"/>
      <c r="AV282" s="280"/>
      <c r="AW282" s="280"/>
      <c r="AX282" s="280"/>
      <c r="AY282" s="280"/>
      <c r="AZ282" s="280"/>
      <c r="BA282" s="280"/>
      <c r="BB282" s="280"/>
      <c r="BC282" s="280"/>
      <c r="BD282" s="280"/>
      <c r="BE282" s="280"/>
      <c r="BF282" s="280"/>
      <c r="BG282" s="280"/>
      <c r="BH282" s="280"/>
      <c r="BI282" s="280"/>
      <c r="BJ282" s="280"/>
      <c r="BK282" s="280"/>
      <c r="BL282" s="280"/>
      <c r="BM282" s="280"/>
      <c r="BN282" s="280"/>
      <c r="BO282" s="280"/>
      <c r="BP282" s="280"/>
      <c r="BQ282" s="280"/>
      <c r="BR282" s="280"/>
      <c r="BS282" s="280"/>
      <c r="BT282" s="280"/>
      <c r="BU282" s="280"/>
      <c r="BV282" s="280"/>
    </row>
    <row r="283" spans="2:74" s="293" customFormat="1" x14ac:dyDescent="0.25">
      <c r="B283" s="280"/>
      <c r="C283" s="280"/>
      <c r="D283" s="280"/>
      <c r="E283" s="280"/>
      <c r="F283" s="280"/>
      <c r="G283" s="280"/>
      <c r="H283" s="280"/>
      <c r="I283" s="280"/>
      <c r="J283" s="280"/>
      <c r="K283" s="280"/>
      <c r="L283" s="283"/>
      <c r="M283" s="283"/>
      <c r="N283" s="280"/>
      <c r="O283" s="280"/>
      <c r="P283" s="280"/>
      <c r="Q283" s="280"/>
      <c r="R283" s="292"/>
      <c r="S283" s="292"/>
      <c r="T283" s="292"/>
      <c r="U283" s="292"/>
      <c r="V283" s="292"/>
      <c r="W283" s="292"/>
      <c r="X283" s="374"/>
      <c r="Y283" s="374"/>
      <c r="Z283" s="374"/>
      <c r="AA283" s="373"/>
      <c r="AB283" s="283"/>
      <c r="AC283" s="280"/>
      <c r="AD283" s="280"/>
      <c r="AE283" s="280"/>
      <c r="AF283" s="280"/>
      <c r="AG283" s="280"/>
      <c r="AH283" s="280"/>
      <c r="AI283" s="280"/>
      <c r="AJ283" s="280"/>
      <c r="AK283" s="280"/>
      <c r="AL283" s="280"/>
      <c r="AM283" s="280"/>
      <c r="AN283" s="280"/>
      <c r="AO283" s="280"/>
      <c r="AP283" s="280"/>
      <c r="AQ283" s="280"/>
      <c r="AR283" s="280"/>
      <c r="AS283" s="280"/>
      <c r="AT283" s="280"/>
      <c r="AU283" s="280"/>
      <c r="AV283" s="280"/>
      <c r="AW283" s="280"/>
      <c r="AX283" s="280"/>
      <c r="AY283" s="280"/>
      <c r="AZ283" s="280"/>
      <c r="BA283" s="280"/>
      <c r="BB283" s="280"/>
      <c r="BC283" s="280"/>
      <c r="BD283" s="280"/>
      <c r="BE283" s="280"/>
      <c r="BF283" s="280"/>
      <c r="BG283" s="280"/>
      <c r="BH283" s="280"/>
      <c r="BI283" s="280"/>
      <c r="BJ283" s="280"/>
      <c r="BK283" s="280"/>
      <c r="BL283" s="280"/>
      <c r="BM283" s="280"/>
      <c r="BN283" s="280"/>
      <c r="BO283" s="280"/>
      <c r="BP283" s="280"/>
      <c r="BQ283" s="280"/>
      <c r="BR283" s="280"/>
      <c r="BS283" s="280"/>
      <c r="BT283" s="280"/>
      <c r="BU283" s="280"/>
      <c r="BV283" s="280"/>
    </row>
    <row r="284" spans="2:74" s="293" customFormat="1" x14ac:dyDescent="0.25">
      <c r="B284" s="280"/>
      <c r="C284" s="280"/>
      <c r="D284" s="280"/>
      <c r="E284" s="280"/>
      <c r="F284" s="280"/>
      <c r="G284" s="280"/>
      <c r="H284" s="280"/>
      <c r="I284" s="280"/>
      <c r="J284" s="280"/>
      <c r="K284" s="280"/>
      <c r="L284" s="283"/>
      <c r="M284" s="283"/>
      <c r="N284" s="280"/>
      <c r="O284" s="280"/>
      <c r="P284" s="280"/>
      <c r="Q284" s="280"/>
      <c r="R284" s="292"/>
      <c r="S284" s="292"/>
      <c r="T284" s="292"/>
      <c r="U284" s="292"/>
      <c r="V284" s="292"/>
      <c r="W284" s="292"/>
      <c r="X284" s="374"/>
      <c r="Y284" s="374"/>
      <c r="Z284" s="374"/>
      <c r="AA284" s="373"/>
      <c r="AB284" s="283"/>
      <c r="AC284" s="280"/>
      <c r="AD284" s="280"/>
      <c r="AE284" s="280"/>
      <c r="AF284" s="280"/>
      <c r="AG284" s="280"/>
      <c r="AH284" s="280"/>
      <c r="AI284" s="280"/>
      <c r="AJ284" s="280"/>
      <c r="AK284" s="280"/>
      <c r="AL284" s="280"/>
      <c r="AM284" s="280"/>
      <c r="AN284" s="280"/>
      <c r="AO284" s="280"/>
      <c r="AP284" s="280"/>
      <c r="AQ284" s="280"/>
      <c r="AR284" s="280"/>
      <c r="AS284" s="280"/>
      <c r="AT284" s="280"/>
      <c r="AU284" s="280"/>
      <c r="AV284" s="280"/>
      <c r="AW284" s="280"/>
      <c r="AX284" s="280"/>
      <c r="AY284" s="280"/>
      <c r="AZ284" s="280"/>
      <c r="BA284" s="280"/>
      <c r="BB284" s="280"/>
      <c r="BC284" s="280"/>
      <c r="BD284" s="280"/>
      <c r="BE284" s="280"/>
      <c r="BF284" s="280"/>
      <c r="BG284" s="280"/>
      <c r="BH284" s="280"/>
      <c r="BI284" s="280"/>
      <c r="BJ284" s="280"/>
      <c r="BK284" s="280"/>
      <c r="BL284" s="280"/>
      <c r="BM284" s="280"/>
      <c r="BN284" s="280"/>
      <c r="BO284" s="280"/>
      <c r="BP284" s="280"/>
      <c r="BQ284" s="280"/>
      <c r="BR284" s="280"/>
      <c r="BS284" s="280"/>
      <c r="BT284" s="280"/>
      <c r="BU284" s="280"/>
      <c r="BV284" s="280"/>
    </row>
    <row r="285" spans="2:74" s="293" customFormat="1" x14ac:dyDescent="0.25">
      <c r="B285" s="280"/>
      <c r="C285" s="280"/>
      <c r="D285" s="280"/>
      <c r="E285" s="280"/>
      <c r="F285" s="280"/>
      <c r="G285" s="280"/>
      <c r="H285" s="280"/>
      <c r="I285" s="280"/>
      <c r="J285" s="280"/>
      <c r="K285" s="280"/>
      <c r="L285" s="283"/>
      <c r="M285" s="283"/>
      <c r="N285" s="280"/>
      <c r="O285" s="280"/>
      <c r="P285" s="280"/>
      <c r="Q285" s="280"/>
      <c r="R285" s="292"/>
      <c r="S285" s="292"/>
      <c r="T285" s="292"/>
      <c r="U285" s="292"/>
      <c r="V285" s="292"/>
      <c r="W285" s="292"/>
      <c r="X285" s="374"/>
      <c r="Y285" s="374"/>
      <c r="Z285" s="374"/>
      <c r="AA285" s="373"/>
      <c r="AB285" s="283"/>
      <c r="AC285" s="280"/>
      <c r="AD285" s="280"/>
      <c r="AE285" s="280"/>
      <c r="AF285" s="280"/>
      <c r="AG285" s="280"/>
      <c r="AH285" s="280"/>
      <c r="AI285" s="280"/>
      <c r="AJ285" s="280"/>
      <c r="AK285" s="280"/>
      <c r="AL285" s="280"/>
      <c r="AM285" s="280"/>
      <c r="AN285" s="280"/>
      <c r="AO285" s="280"/>
      <c r="AP285" s="280"/>
      <c r="AQ285" s="280"/>
      <c r="AR285" s="280"/>
      <c r="AS285" s="280"/>
      <c r="AT285" s="280"/>
      <c r="AU285" s="280"/>
      <c r="AV285" s="280"/>
      <c r="AW285" s="280"/>
      <c r="AX285" s="280"/>
      <c r="AY285" s="280"/>
      <c r="AZ285" s="280"/>
      <c r="BA285" s="280"/>
      <c r="BB285" s="280"/>
      <c r="BC285" s="280"/>
      <c r="BD285" s="280"/>
      <c r="BE285" s="280"/>
      <c r="BF285" s="280"/>
      <c r="BG285" s="280"/>
      <c r="BH285" s="280"/>
      <c r="BI285" s="280"/>
      <c r="BJ285" s="280"/>
      <c r="BK285" s="280"/>
      <c r="BL285" s="280"/>
      <c r="BM285" s="280"/>
      <c r="BN285" s="280"/>
      <c r="BO285" s="280"/>
      <c r="BP285" s="280"/>
      <c r="BQ285" s="280"/>
      <c r="BR285" s="280"/>
      <c r="BS285" s="280"/>
      <c r="BT285" s="280"/>
      <c r="BU285" s="280"/>
      <c r="BV285" s="280"/>
    </row>
    <row r="286" spans="2:74" s="293" customFormat="1" x14ac:dyDescent="0.25">
      <c r="B286" s="280"/>
      <c r="C286" s="280"/>
      <c r="D286" s="280"/>
      <c r="E286" s="280"/>
      <c r="F286" s="280"/>
      <c r="G286" s="280"/>
      <c r="H286" s="280"/>
      <c r="I286" s="280"/>
      <c r="J286" s="280"/>
      <c r="K286" s="280"/>
      <c r="L286" s="283"/>
      <c r="M286" s="283"/>
      <c r="N286" s="280"/>
      <c r="O286" s="280"/>
      <c r="P286" s="280"/>
      <c r="Q286" s="280"/>
      <c r="R286" s="292"/>
      <c r="S286" s="292"/>
      <c r="T286" s="292"/>
      <c r="U286" s="292"/>
      <c r="V286" s="292"/>
      <c r="W286" s="292"/>
      <c r="X286" s="374"/>
      <c r="Y286" s="374"/>
      <c r="Z286" s="374"/>
      <c r="AA286" s="373"/>
      <c r="AB286" s="283"/>
      <c r="AC286" s="280"/>
      <c r="AD286" s="280"/>
      <c r="AE286" s="280"/>
      <c r="AF286" s="280"/>
      <c r="AG286" s="280"/>
      <c r="AH286" s="280"/>
      <c r="AI286" s="280"/>
      <c r="AJ286" s="280"/>
      <c r="AK286" s="280"/>
      <c r="AL286" s="280"/>
      <c r="AM286" s="280"/>
      <c r="AN286" s="280"/>
      <c r="AO286" s="280"/>
      <c r="AP286" s="280"/>
      <c r="AQ286" s="280"/>
      <c r="AR286" s="280"/>
      <c r="AS286" s="280"/>
      <c r="AT286" s="280"/>
      <c r="AU286" s="280"/>
      <c r="AV286" s="280"/>
      <c r="AW286" s="280"/>
      <c r="AX286" s="280"/>
      <c r="AY286" s="280"/>
      <c r="AZ286" s="280"/>
      <c r="BA286" s="280"/>
      <c r="BB286" s="280"/>
      <c r="BC286" s="280"/>
      <c r="BD286" s="280"/>
      <c r="BE286" s="280"/>
      <c r="BF286" s="280"/>
      <c r="BG286" s="280"/>
      <c r="BH286" s="280"/>
      <c r="BI286" s="280"/>
      <c r="BJ286" s="280"/>
      <c r="BK286" s="280"/>
      <c r="BL286" s="280"/>
      <c r="BM286" s="280"/>
      <c r="BN286" s="280"/>
      <c r="BO286" s="280"/>
      <c r="BP286" s="280"/>
      <c r="BQ286" s="280"/>
      <c r="BR286" s="280"/>
      <c r="BS286" s="280"/>
      <c r="BT286" s="280"/>
      <c r="BU286" s="280"/>
      <c r="BV286" s="280"/>
    </row>
    <row r="287" spans="2:74" s="293" customFormat="1" x14ac:dyDescent="0.25">
      <c r="B287" s="280"/>
      <c r="C287" s="280"/>
      <c r="D287" s="280"/>
      <c r="E287" s="280"/>
      <c r="F287" s="280"/>
      <c r="G287" s="280"/>
      <c r="H287" s="280"/>
      <c r="I287" s="280"/>
      <c r="J287" s="280"/>
      <c r="K287" s="280"/>
      <c r="L287" s="283"/>
      <c r="M287" s="283"/>
      <c r="N287" s="280"/>
      <c r="O287" s="280"/>
      <c r="P287" s="280"/>
      <c r="Q287" s="280"/>
      <c r="R287" s="292"/>
      <c r="S287" s="292"/>
      <c r="T287" s="292"/>
      <c r="U287" s="292"/>
      <c r="V287" s="292"/>
      <c r="W287" s="292"/>
      <c r="X287" s="374"/>
      <c r="Y287" s="374"/>
      <c r="Z287" s="374"/>
      <c r="AA287" s="373"/>
      <c r="AB287" s="283"/>
      <c r="AC287" s="280"/>
      <c r="AD287" s="280"/>
      <c r="AE287" s="280"/>
      <c r="AF287" s="280"/>
      <c r="AG287" s="280"/>
      <c r="AH287" s="280"/>
      <c r="AI287" s="280"/>
      <c r="AJ287" s="280"/>
      <c r="AK287" s="280"/>
      <c r="AL287" s="280"/>
      <c r="AM287" s="280"/>
      <c r="AN287" s="280"/>
      <c r="AO287" s="280"/>
      <c r="AP287" s="280"/>
      <c r="AQ287" s="280"/>
      <c r="AR287" s="280"/>
      <c r="AS287" s="280"/>
      <c r="AT287" s="280"/>
      <c r="AU287" s="280"/>
      <c r="AV287" s="280"/>
      <c r="AW287" s="280"/>
      <c r="AX287" s="280"/>
      <c r="AY287" s="280"/>
      <c r="AZ287" s="280"/>
      <c r="BA287" s="280"/>
      <c r="BB287" s="280"/>
      <c r="BC287" s="280"/>
      <c r="BD287" s="280"/>
      <c r="BE287" s="280"/>
      <c r="BF287" s="280"/>
      <c r="BG287" s="280"/>
      <c r="BH287" s="280"/>
      <c r="BI287" s="280"/>
      <c r="BJ287" s="280"/>
      <c r="BK287" s="280"/>
      <c r="BL287" s="280"/>
      <c r="BM287" s="280"/>
      <c r="BN287" s="280"/>
      <c r="BO287" s="280"/>
      <c r="BP287" s="280"/>
      <c r="BQ287" s="280"/>
      <c r="BR287" s="280"/>
      <c r="BS287" s="280"/>
      <c r="BT287" s="280"/>
      <c r="BU287" s="280"/>
      <c r="BV287" s="280"/>
    </row>
    <row r="288" spans="2:74" s="293" customFormat="1" x14ac:dyDescent="0.25">
      <c r="B288" s="280"/>
      <c r="C288" s="280"/>
      <c r="D288" s="280"/>
      <c r="E288" s="280"/>
      <c r="F288" s="280"/>
      <c r="G288" s="280"/>
      <c r="H288" s="280"/>
      <c r="I288" s="280"/>
      <c r="J288" s="280"/>
      <c r="K288" s="280"/>
      <c r="L288" s="283"/>
      <c r="M288" s="283"/>
      <c r="N288" s="280"/>
      <c r="O288" s="280"/>
      <c r="P288" s="280"/>
      <c r="Q288" s="280"/>
      <c r="R288" s="292"/>
      <c r="S288" s="292"/>
      <c r="T288" s="292"/>
      <c r="U288" s="292"/>
      <c r="V288" s="292"/>
      <c r="W288" s="292"/>
      <c r="X288" s="374"/>
      <c r="Y288" s="374"/>
      <c r="Z288" s="374"/>
      <c r="AA288" s="373"/>
      <c r="AB288" s="283"/>
      <c r="AC288" s="280"/>
      <c r="AD288" s="280"/>
      <c r="AE288" s="280"/>
      <c r="AF288" s="280"/>
      <c r="AG288" s="280"/>
      <c r="AH288" s="280"/>
      <c r="AI288" s="280"/>
      <c r="AJ288" s="280"/>
      <c r="AK288" s="280"/>
      <c r="AL288" s="280"/>
      <c r="AM288" s="280"/>
      <c r="AN288" s="280"/>
      <c r="AO288" s="280"/>
      <c r="AP288" s="280"/>
      <c r="AQ288" s="280"/>
      <c r="AR288" s="280"/>
      <c r="AS288" s="280"/>
      <c r="AT288" s="280"/>
      <c r="AU288" s="280"/>
      <c r="AV288" s="280"/>
      <c r="AW288" s="280"/>
      <c r="AX288" s="280"/>
      <c r="AY288" s="280"/>
      <c r="AZ288" s="280"/>
      <c r="BA288" s="280"/>
      <c r="BB288" s="280"/>
      <c r="BC288" s="280"/>
      <c r="BD288" s="280"/>
      <c r="BE288" s="280"/>
      <c r="BF288" s="280"/>
      <c r="BG288" s="280"/>
      <c r="BH288" s="280"/>
      <c r="BI288" s="280"/>
      <c r="BJ288" s="280"/>
      <c r="BK288" s="280"/>
      <c r="BL288" s="280"/>
      <c r="BM288" s="280"/>
      <c r="BN288" s="280"/>
      <c r="BO288" s="280"/>
      <c r="BP288" s="280"/>
      <c r="BQ288" s="280"/>
      <c r="BR288" s="280"/>
      <c r="BS288" s="280"/>
      <c r="BT288" s="280"/>
      <c r="BU288" s="280"/>
      <c r="BV288" s="280"/>
    </row>
    <row r="289" spans="2:74" s="293" customFormat="1" x14ac:dyDescent="0.25">
      <c r="B289" s="280"/>
      <c r="C289" s="280"/>
      <c r="D289" s="280"/>
      <c r="E289" s="280"/>
      <c r="F289" s="280"/>
      <c r="G289" s="280"/>
      <c r="H289" s="280"/>
      <c r="I289" s="280"/>
      <c r="J289" s="280"/>
      <c r="K289" s="280"/>
      <c r="L289" s="283"/>
      <c r="M289" s="283"/>
      <c r="N289" s="280"/>
      <c r="O289" s="280"/>
      <c r="P289" s="280"/>
      <c r="Q289" s="280"/>
      <c r="R289" s="292"/>
      <c r="S289" s="292"/>
      <c r="T289" s="292"/>
      <c r="U289" s="292"/>
      <c r="V289" s="292"/>
      <c r="W289" s="292"/>
      <c r="X289" s="374"/>
      <c r="Y289" s="374"/>
      <c r="Z289" s="374"/>
      <c r="AA289" s="373"/>
      <c r="AB289" s="283"/>
      <c r="AC289" s="280"/>
      <c r="AD289" s="280"/>
      <c r="AE289" s="280"/>
      <c r="AF289" s="280"/>
      <c r="AG289" s="280"/>
      <c r="AH289" s="280"/>
      <c r="AI289" s="280"/>
      <c r="AJ289" s="280"/>
      <c r="AK289" s="280"/>
      <c r="AL289" s="280"/>
      <c r="AM289" s="280"/>
      <c r="AN289" s="280"/>
      <c r="AO289" s="280"/>
      <c r="AP289" s="280"/>
      <c r="AQ289" s="280"/>
      <c r="AR289" s="280"/>
      <c r="AS289" s="280"/>
      <c r="AT289" s="280"/>
      <c r="AU289" s="280"/>
      <c r="AV289" s="280"/>
      <c r="AW289" s="280"/>
      <c r="AX289" s="280"/>
      <c r="AY289" s="280"/>
      <c r="AZ289" s="280"/>
      <c r="BA289" s="280"/>
      <c r="BB289" s="280"/>
      <c r="BC289" s="280"/>
      <c r="BD289" s="280"/>
      <c r="BE289" s="280"/>
      <c r="BF289" s="280"/>
      <c r="BG289" s="280"/>
      <c r="BH289" s="280"/>
      <c r="BI289" s="280"/>
      <c r="BJ289" s="280"/>
      <c r="BK289" s="280"/>
      <c r="BL289" s="280"/>
      <c r="BM289" s="280"/>
      <c r="BN289" s="280"/>
      <c r="BO289" s="280"/>
      <c r="BP289" s="280"/>
      <c r="BQ289" s="280"/>
      <c r="BR289" s="280"/>
      <c r="BS289" s="280"/>
      <c r="BT289" s="280"/>
      <c r="BU289" s="280"/>
      <c r="BV289" s="280"/>
    </row>
    <row r="290" spans="2:74" s="293" customFormat="1" x14ac:dyDescent="0.25">
      <c r="B290" s="280"/>
      <c r="C290" s="280"/>
      <c r="D290" s="280"/>
      <c r="E290" s="280"/>
      <c r="F290" s="280"/>
      <c r="G290" s="280"/>
      <c r="H290" s="280"/>
      <c r="I290" s="280"/>
      <c r="J290" s="280"/>
      <c r="K290" s="280"/>
      <c r="L290" s="283"/>
      <c r="M290" s="283"/>
      <c r="N290" s="280"/>
      <c r="O290" s="280"/>
      <c r="P290" s="280"/>
      <c r="Q290" s="280"/>
      <c r="R290" s="292"/>
      <c r="S290" s="292"/>
      <c r="T290" s="292"/>
      <c r="U290" s="292"/>
      <c r="V290" s="292"/>
      <c r="W290" s="292"/>
      <c r="X290" s="374"/>
      <c r="Y290" s="374"/>
      <c r="Z290" s="374"/>
      <c r="AA290" s="373"/>
      <c r="AB290" s="283"/>
      <c r="AC290" s="280"/>
      <c r="AD290" s="280"/>
      <c r="AE290" s="280"/>
      <c r="AF290" s="280"/>
      <c r="AG290" s="280"/>
      <c r="AH290" s="280"/>
      <c r="AI290" s="280"/>
      <c r="AJ290" s="280"/>
      <c r="AK290" s="280"/>
      <c r="AL290" s="280"/>
      <c r="AM290" s="280"/>
      <c r="AN290" s="280"/>
      <c r="AO290" s="280"/>
      <c r="AP290" s="280"/>
      <c r="AQ290" s="280"/>
      <c r="AR290" s="280"/>
      <c r="AS290" s="280"/>
      <c r="AT290" s="280"/>
      <c r="AU290" s="280"/>
      <c r="AV290" s="280"/>
      <c r="AW290" s="280"/>
      <c r="AX290" s="280"/>
      <c r="AY290" s="280"/>
      <c r="AZ290" s="280"/>
      <c r="BA290" s="280"/>
      <c r="BB290" s="280"/>
      <c r="BC290" s="280"/>
      <c r="BD290" s="280"/>
      <c r="BE290" s="280"/>
      <c r="BF290" s="280"/>
      <c r="BG290" s="280"/>
      <c r="BH290" s="280"/>
      <c r="BI290" s="280"/>
      <c r="BJ290" s="280"/>
      <c r="BK290" s="280"/>
      <c r="BL290" s="280"/>
      <c r="BM290" s="280"/>
      <c r="BN290" s="280"/>
      <c r="BO290" s="280"/>
      <c r="BP290" s="280"/>
      <c r="BQ290" s="280"/>
      <c r="BR290" s="280"/>
      <c r="BS290" s="280"/>
      <c r="BT290" s="280"/>
      <c r="BU290" s="280"/>
      <c r="BV290" s="280"/>
    </row>
    <row r="291" spans="2:74" s="293" customFormat="1" x14ac:dyDescent="0.25">
      <c r="B291" s="280"/>
      <c r="C291" s="280"/>
      <c r="D291" s="280"/>
      <c r="E291" s="280"/>
      <c r="F291" s="280"/>
      <c r="G291" s="280"/>
      <c r="H291" s="280"/>
      <c r="I291" s="280"/>
      <c r="J291" s="280"/>
      <c r="K291" s="280"/>
      <c r="L291" s="283"/>
      <c r="M291" s="283"/>
      <c r="N291" s="280"/>
      <c r="O291" s="280"/>
      <c r="P291" s="280"/>
      <c r="Q291" s="280"/>
      <c r="R291" s="292"/>
      <c r="S291" s="292"/>
      <c r="T291" s="292"/>
      <c r="U291" s="292"/>
      <c r="V291" s="292"/>
      <c r="W291" s="292"/>
      <c r="X291" s="374"/>
      <c r="Y291" s="374"/>
      <c r="Z291" s="374"/>
      <c r="AA291" s="373"/>
      <c r="AB291" s="283"/>
      <c r="AC291" s="280"/>
      <c r="AD291" s="280"/>
      <c r="AE291" s="280"/>
      <c r="AF291" s="280"/>
      <c r="AG291" s="280"/>
      <c r="AH291" s="280"/>
      <c r="AI291" s="280"/>
      <c r="AJ291" s="280"/>
      <c r="AK291" s="280"/>
      <c r="AL291" s="280"/>
      <c r="AM291" s="280"/>
      <c r="AN291" s="280"/>
      <c r="AO291" s="280"/>
      <c r="AP291" s="280"/>
      <c r="AQ291" s="280"/>
      <c r="AR291" s="280"/>
      <c r="AS291" s="280"/>
      <c r="AT291" s="280"/>
      <c r="AU291" s="280"/>
      <c r="AV291" s="280"/>
      <c r="AW291" s="280"/>
      <c r="AX291" s="280"/>
      <c r="AY291" s="280"/>
      <c r="AZ291" s="280"/>
      <c r="BA291" s="280"/>
      <c r="BB291" s="280"/>
      <c r="BC291" s="280"/>
      <c r="BD291" s="280"/>
      <c r="BE291" s="280"/>
      <c r="BF291" s="280"/>
      <c r="BG291" s="280"/>
      <c r="BH291" s="280"/>
      <c r="BI291" s="280"/>
      <c r="BJ291" s="280"/>
      <c r="BK291" s="280"/>
      <c r="BL291" s="280"/>
      <c r="BM291" s="280"/>
      <c r="BN291" s="280"/>
      <c r="BO291" s="280"/>
      <c r="BP291" s="280"/>
      <c r="BQ291" s="280"/>
      <c r="BR291" s="280"/>
      <c r="BS291" s="280"/>
      <c r="BT291" s="280"/>
      <c r="BU291" s="280"/>
      <c r="BV291" s="280"/>
    </row>
    <row r="292" spans="2:74" s="293" customFormat="1" x14ac:dyDescent="0.25">
      <c r="B292" s="280"/>
      <c r="C292" s="280"/>
      <c r="D292" s="280"/>
      <c r="E292" s="280"/>
      <c r="F292" s="280"/>
      <c r="G292" s="280"/>
      <c r="H292" s="280"/>
      <c r="I292" s="280"/>
      <c r="J292" s="280"/>
      <c r="K292" s="280"/>
      <c r="L292" s="283"/>
      <c r="M292" s="283"/>
      <c r="N292" s="280"/>
      <c r="O292" s="280"/>
      <c r="P292" s="280"/>
      <c r="Q292" s="280"/>
      <c r="R292" s="292"/>
      <c r="S292" s="292"/>
      <c r="T292" s="292"/>
      <c r="U292" s="292"/>
      <c r="V292" s="292"/>
      <c r="W292" s="292"/>
      <c r="X292" s="374"/>
      <c r="Y292" s="374"/>
      <c r="Z292" s="374"/>
      <c r="AA292" s="373"/>
      <c r="AB292" s="283"/>
      <c r="AC292" s="280"/>
      <c r="AD292" s="280"/>
      <c r="AE292" s="280"/>
      <c r="AF292" s="280"/>
      <c r="AG292" s="280"/>
      <c r="AH292" s="280"/>
      <c r="AI292" s="280"/>
      <c r="AJ292" s="280"/>
      <c r="AK292" s="280"/>
      <c r="AL292" s="280"/>
      <c r="AM292" s="280"/>
      <c r="AN292" s="280"/>
      <c r="AO292" s="280"/>
      <c r="AP292" s="280"/>
      <c r="AQ292" s="280"/>
      <c r="AR292" s="280"/>
      <c r="AS292" s="280"/>
      <c r="AT292" s="280"/>
      <c r="AU292" s="280"/>
      <c r="AV292" s="280"/>
      <c r="AW292" s="280"/>
      <c r="AX292" s="280"/>
      <c r="AY292" s="280"/>
      <c r="AZ292" s="280"/>
      <c r="BA292" s="280"/>
      <c r="BB292" s="280"/>
      <c r="BC292" s="280"/>
      <c r="BD292" s="280"/>
      <c r="BE292" s="280"/>
      <c r="BF292" s="280"/>
      <c r="BG292" s="280"/>
      <c r="BH292" s="280"/>
      <c r="BI292" s="280"/>
      <c r="BJ292" s="280"/>
      <c r="BK292" s="280"/>
      <c r="BL292" s="280"/>
      <c r="BM292" s="280"/>
      <c r="BN292" s="280"/>
      <c r="BO292" s="280"/>
      <c r="BP292" s="280"/>
      <c r="BQ292" s="280"/>
      <c r="BR292" s="280"/>
      <c r="BS292" s="280"/>
      <c r="BT292" s="280"/>
      <c r="BU292" s="280"/>
      <c r="BV292" s="280"/>
    </row>
    <row r="293" spans="2:74" s="293" customFormat="1" x14ac:dyDescent="0.25">
      <c r="B293" s="280"/>
      <c r="C293" s="280"/>
      <c r="D293" s="280"/>
      <c r="E293" s="280"/>
      <c r="F293" s="280"/>
      <c r="G293" s="280"/>
      <c r="H293" s="280"/>
      <c r="I293" s="280"/>
      <c r="J293" s="280"/>
      <c r="K293" s="280"/>
      <c r="L293" s="283"/>
      <c r="M293" s="283"/>
      <c r="N293" s="280"/>
      <c r="O293" s="280"/>
      <c r="P293" s="280"/>
      <c r="Q293" s="280"/>
      <c r="R293" s="292"/>
      <c r="S293" s="292"/>
      <c r="T293" s="292"/>
      <c r="U293" s="292"/>
      <c r="V293" s="292"/>
      <c r="W293" s="292"/>
      <c r="X293" s="374"/>
      <c r="Y293" s="374"/>
      <c r="Z293" s="374"/>
      <c r="AA293" s="373"/>
      <c r="AB293" s="283"/>
      <c r="AC293" s="280"/>
      <c r="AD293" s="280"/>
      <c r="AE293" s="280"/>
      <c r="AF293" s="280"/>
      <c r="AG293" s="280"/>
      <c r="AH293" s="280"/>
      <c r="AI293" s="280"/>
      <c r="AJ293" s="280"/>
      <c r="AK293" s="280"/>
      <c r="AL293" s="280"/>
      <c r="AM293" s="280"/>
      <c r="AN293" s="280"/>
      <c r="AO293" s="280"/>
      <c r="AP293" s="280"/>
      <c r="AQ293" s="280"/>
      <c r="AR293" s="280"/>
      <c r="AS293" s="280"/>
      <c r="AT293" s="280"/>
      <c r="AU293" s="280"/>
      <c r="AV293" s="280"/>
      <c r="AW293" s="280"/>
      <c r="AX293" s="280"/>
      <c r="AY293" s="280"/>
      <c r="AZ293" s="280"/>
      <c r="BA293" s="280"/>
      <c r="BB293" s="280"/>
      <c r="BC293" s="280"/>
      <c r="BD293" s="280"/>
      <c r="BE293" s="280"/>
      <c r="BF293" s="280"/>
      <c r="BG293" s="280"/>
      <c r="BH293" s="280"/>
      <c r="BI293" s="280"/>
      <c r="BJ293" s="280"/>
      <c r="BK293" s="280"/>
      <c r="BL293" s="280"/>
      <c r="BM293" s="280"/>
      <c r="BN293" s="280"/>
      <c r="BO293" s="280"/>
      <c r="BP293" s="280"/>
      <c r="BQ293" s="280"/>
      <c r="BR293" s="280"/>
      <c r="BS293" s="280"/>
      <c r="BT293" s="280"/>
      <c r="BU293" s="280"/>
      <c r="BV293" s="280"/>
    </row>
    <row r="294" spans="2:74" s="293" customFormat="1" x14ac:dyDescent="0.25">
      <c r="B294" s="280"/>
      <c r="C294" s="280"/>
      <c r="D294" s="280"/>
      <c r="E294" s="280"/>
      <c r="F294" s="280"/>
      <c r="G294" s="280"/>
      <c r="H294" s="280"/>
      <c r="I294" s="280"/>
      <c r="J294" s="280"/>
      <c r="K294" s="280"/>
      <c r="L294" s="283"/>
      <c r="M294" s="283"/>
      <c r="N294" s="280"/>
      <c r="O294" s="280"/>
      <c r="P294" s="280"/>
      <c r="Q294" s="280"/>
      <c r="R294" s="292"/>
      <c r="S294" s="292"/>
      <c r="T294" s="292"/>
      <c r="U294" s="292"/>
      <c r="V294" s="292"/>
      <c r="W294" s="292"/>
      <c r="X294" s="374"/>
      <c r="Y294" s="374"/>
      <c r="Z294" s="374"/>
      <c r="AA294" s="373"/>
      <c r="AB294" s="283"/>
      <c r="AC294" s="280"/>
      <c r="AD294" s="280"/>
      <c r="AE294" s="280"/>
      <c r="AF294" s="280"/>
      <c r="AG294" s="280"/>
      <c r="AH294" s="280"/>
      <c r="AI294" s="280"/>
      <c r="AJ294" s="280"/>
      <c r="AK294" s="280"/>
      <c r="AL294" s="280"/>
      <c r="AM294" s="280"/>
      <c r="AN294" s="280"/>
      <c r="AO294" s="280"/>
      <c r="AP294" s="280"/>
      <c r="AQ294" s="280"/>
      <c r="AR294" s="280"/>
      <c r="AS294" s="280"/>
      <c r="AT294" s="280"/>
      <c r="AU294" s="280"/>
      <c r="AV294" s="280"/>
      <c r="AW294" s="280"/>
      <c r="AX294" s="280"/>
      <c r="AY294" s="280"/>
      <c r="AZ294" s="280"/>
      <c r="BA294" s="280"/>
      <c r="BB294" s="280"/>
      <c r="BC294" s="280"/>
      <c r="BD294" s="280"/>
      <c r="BE294" s="280"/>
      <c r="BF294" s="280"/>
      <c r="BG294" s="280"/>
      <c r="BH294" s="280"/>
      <c r="BI294" s="280"/>
      <c r="BJ294" s="280"/>
      <c r="BK294" s="280"/>
      <c r="BL294" s="280"/>
      <c r="BM294" s="280"/>
      <c r="BN294" s="280"/>
      <c r="BO294" s="280"/>
      <c r="BP294" s="280"/>
      <c r="BQ294" s="280"/>
      <c r="BR294" s="280"/>
      <c r="BS294" s="280"/>
      <c r="BT294" s="280"/>
      <c r="BU294" s="280"/>
      <c r="BV294" s="280"/>
    </row>
    <row r="295" spans="2:74" s="293" customFormat="1" x14ac:dyDescent="0.25">
      <c r="B295" s="280"/>
      <c r="C295" s="280"/>
      <c r="D295" s="280"/>
      <c r="E295" s="280"/>
      <c r="F295" s="280"/>
      <c r="G295" s="280"/>
      <c r="H295" s="280"/>
      <c r="I295" s="280"/>
      <c r="J295" s="280"/>
      <c r="K295" s="280"/>
      <c r="L295" s="283"/>
      <c r="M295" s="283"/>
      <c r="N295" s="280"/>
      <c r="O295" s="280"/>
      <c r="P295" s="280"/>
      <c r="Q295" s="280"/>
      <c r="R295" s="292"/>
      <c r="S295" s="292"/>
      <c r="T295" s="292"/>
      <c r="U295" s="292"/>
      <c r="V295" s="292"/>
      <c r="W295" s="292"/>
      <c r="X295" s="374"/>
      <c r="Y295" s="374"/>
      <c r="Z295" s="374"/>
      <c r="AA295" s="373"/>
      <c r="AB295" s="283"/>
      <c r="AC295" s="280"/>
      <c r="AD295" s="280"/>
      <c r="AE295" s="280"/>
      <c r="AF295" s="280"/>
      <c r="AG295" s="280"/>
      <c r="AH295" s="280"/>
      <c r="AI295" s="280"/>
      <c r="AJ295" s="280"/>
      <c r="AK295" s="280"/>
      <c r="AL295" s="280"/>
      <c r="AM295" s="280"/>
      <c r="AN295" s="280"/>
      <c r="AO295" s="280"/>
      <c r="AP295" s="280"/>
      <c r="AQ295" s="280"/>
      <c r="AR295" s="280"/>
      <c r="AS295" s="280"/>
      <c r="AT295" s="280"/>
      <c r="AU295" s="280"/>
      <c r="AV295" s="280"/>
      <c r="AW295" s="280"/>
      <c r="AX295" s="280"/>
      <c r="AY295" s="280"/>
      <c r="AZ295" s="280"/>
      <c r="BA295" s="280"/>
      <c r="BB295" s="280"/>
      <c r="BC295" s="280"/>
      <c r="BD295" s="280"/>
      <c r="BE295" s="280"/>
      <c r="BF295" s="280"/>
      <c r="BG295" s="280"/>
      <c r="BH295" s="280"/>
      <c r="BI295" s="280"/>
      <c r="BJ295" s="280"/>
      <c r="BK295" s="280"/>
      <c r="BL295" s="280"/>
      <c r="BM295" s="280"/>
      <c r="BN295" s="280"/>
      <c r="BO295" s="280"/>
      <c r="BP295" s="280"/>
      <c r="BQ295" s="280"/>
      <c r="BR295" s="280"/>
      <c r="BS295" s="280"/>
      <c r="BT295" s="280"/>
      <c r="BU295" s="280"/>
      <c r="BV295" s="280"/>
    </row>
    <row r="296" spans="2:74" s="293" customFormat="1" x14ac:dyDescent="0.25">
      <c r="B296" s="280"/>
      <c r="C296" s="280"/>
      <c r="D296" s="280"/>
      <c r="E296" s="280"/>
      <c r="F296" s="280"/>
      <c r="G296" s="280"/>
      <c r="H296" s="280"/>
      <c r="I296" s="280"/>
      <c r="J296" s="280"/>
      <c r="K296" s="280"/>
      <c r="L296" s="283"/>
      <c r="M296" s="283"/>
      <c r="N296" s="280"/>
      <c r="O296" s="280"/>
      <c r="P296" s="280"/>
      <c r="Q296" s="280"/>
      <c r="R296" s="292"/>
      <c r="S296" s="292"/>
      <c r="T296" s="292"/>
      <c r="U296" s="292"/>
      <c r="V296" s="292"/>
      <c r="W296" s="292"/>
      <c r="X296" s="374"/>
      <c r="Y296" s="374"/>
      <c r="Z296" s="374"/>
      <c r="AA296" s="373"/>
      <c r="AB296" s="283"/>
      <c r="AC296" s="280"/>
      <c r="AD296" s="280"/>
      <c r="AE296" s="280"/>
      <c r="AF296" s="280"/>
      <c r="AG296" s="280"/>
      <c r="AH296" s="280"/>
      <c r="AI296" s="280"/>
      <c r="AJ296" s="280"/>
      <c r="AK296" s="280"/>
      <c r="AL296" s="280"/>
      <c r="AM296" s="280"/>
      <c r="AN296" s="280"/>
      <c r="AO296" s="280"/>
      <c r="AP296" s="280"/>
      <c r="AQ296" s="280"/>
      <c r="AR296" s="280"/>
      <c r="AS296" s="280"/>
      <c r="AT296" s="280"/>
      <c r="AU296" s="280"/>
      <c r="AV296" s="280"/>
      <c r="AW296" s="280"/>
      <c r="AX296" s="280"/>
      <c r="AY296" s="280"/>
      <c r="AZ296" s="280"/>
      <c r="BA296" s="280"/>
      <c r="BB296" s="280"/>
      <c r="BC296" s="280"/>
      <c r="BD296" s="280"/>
      <c r="BE296" s="280"/>
      <c r="BF296" s="280"/>
      <c r="BG296" s="280"/>
      <c r="BH296" s="280"/>
      <c r="BI296" s="280"/>
      <c r="BJ296" s="280"/>
      <c r="BK296" s="280"/>
      <c r="BL296" s="280"/>
      <c r="BM296" s="280"/>
      <c r="BN296" s="280"/>
      <c r="BO296" s="280"/>
      <c r="BP296" s="280"/>
      <c r="BQ296" s="280"/>
      <c r="BR296" s="280"/>
      <c r="BS296" s="280"/>
      <c r="BT296" s="280"/>
      <c r="BU296" s="280"/>
      <c r="BV296" s="280"/>
    </row>
    <row r="297" spans="2:74" s="293" customFormat="1" x14ac:dyDescent="0.25">
      <c r="B297" s="280"/>
      <c r="C297" s="280"/>
      <c r="D297" s="280"/>
      <c r="E297" s="280"/>
      <c r="F297" s="280"/>
      <c r="G297" s="280"/>
      <c r="H297" s="280"/>
      <c r="I297" s="280"/>
      <c r="J297" s="280"/>
      <c r="K297" s="280"/>
      <c r="L297" s="283"/>
      <c r="M297" s="283"/>
      <c r="N297" s="280"/>
      <c r="O297" s="280"/>
      <c r="P297" s="280"/>
      <c r="Q297" s="280"/>
      <c r="R297" s="292"/>
      <c r="S297" s="292"/>
      <c r="T297" s="292"/>
      <c r="U297" s="292"/>
      <c r="V297" s="292"/>
      <c r="W297" s="292"/>
      <c r="X297" s="374"/>
      <c r="Y297" s="374"/>
      <c r="Z297" s="374"/>
      <c r="AA297" s="373"/>
      <c r="AB297" s="283"/>
      <c r="AC297" s="280"/>
      <c r="AD297" s="280"/>
      <c r="AE297" s="280"/>
      <c r="AF297" s="280"/>
      <c r="AG297" s="280"/>
      <c r="AH297" s="280"/>
      <c r="AI297" s="280"/>
      <c r="AJ297" s="280"/>
      <c r="AK297" s="280"/>
      <c r="AL297" s="280"/>
      <c r="AM297" s="280"/>
      <c r="AN297" s="280"/>
      <c r="AO297" s="280"/>
      <c r="AP297" s="280"/>
      <c r="AQ297" s="280"/>
      <c r="AR297" s="280"/>
      <c r="AS297" s="280"/>
      <c r="AT297" s="280"/>
      <c r="AU297" s="280"/>
      <c r="AV297" s="280"/>
      <c r="AW297" s="280"/>
      <c r="AX297" s="280"/>
      <c r="AY297" s="280"/>
      <c r="AZ297" s="280"/>
      <c r="BA297" s="280"/>
      <c r="BB297" s="280"/>
      <c r="BC297" s="280"/>
      <c r="BD297" s="280"/>
      <c r="BE297" s="280"/>
      <c r="BF297" s="280"/>
      <c r="BG297" s="280"/>
      <c r="BH297" s="280"/>
      <c r="BI297" s="280"/>
      <c r="BJ297" s="280"/>
      <c r="BK297" s="280"/>
      <c r="BL297" s="280"/>
      <c r="BM297" s="280"/>
      <c r="BN297" s="280"/>
      <c r="BO297" s="280"/>
      <c r="BP297" s="280"/>
      <c r="BQ297" s="280"/>
      <c r="BR297" s="280"/>
      <c r="BS297" s="280"/>
      <c r="BT297" s="280"/>
      <c r="BU297" s="280"/>
      <c r="BV297" s="280"/>
    </row>
    <row r="298" spans="2:74" s="293" customFormat="1" x14ac:dyDescent="0.25">
      <c r="B298" s="280"/>
      <c r="C298" s="280"/>
      <c r="D298" s="280"/>
      <c r="E298" s="280"/>
      <c r="F298" s="280"/>
      <c r="G298" s="280"/>
      <c r="H298" s="280"/>
      <c r="I298" s="280"/>
      <c r="J298" s="280"/>
      <c r="K298" s="280"/>
      <c r="L298" s="283"/>
      <c r="M298" s="283"/>
      <c r="N298" s="280"/>
      <c r="O298" s="280"/>
      <c r="P298" s="280"/>
      <c r="Q298" s="280"/>
      <c r="R298" s="292"/>
      <c r="S298" s="292"/>
      <c r="T298" s="292"/>
      <c r="U298" s="292"/>
      <c r="V298" s="292"/>
      <c r="W298" s="292"/>
      <c r="X298" s="374"/>
      <c r="Y298" s="374"/>
      <c r="Z298" s="374"/>
      <c r="AA298" s="373"/>
      <c r="AB298" s="283"/>
      <c r="AC298" s="280"/>
      <c r="AD298" s="280"/>
      <c r="AE298" s="280"/>
      <c r="AF298" s="280"/>
      <c r="AG298" s="280"/>
      <c r="AH298" s="280"/>
      <c r="AI298" s="280"/>
      <c r="AJ298" s="280"/>
      <c r="AK298" s="280"/>
      <c r="AL298" s="280"/>
      <c r="AM298" s="280"/>
      <c r="AN298" s="280"/>
      <c r="AO298" s="280"/>
      <c r="AP298" s="280"/>
      <c r="AQ298" s="280"/>
      <c r="AR298" s="280"/>
      <c r="AS298" s="280"/>
      <c r="AT298" s="280"/>
      <c r="AU298" s="280"/>
      <c r="AV298" s="280"/>
      <c r="AW298" s="280"/>
      <c r="AX298" s="280"/>
      <c r="AY298" s="280"/>
      <c r="AZ298" s="280"/>
      <c r="BA298" s="280"/>
      <c r="BB298" s="280"/>
      <c r="BC298" s="280"/>
      <c r="BD298" s="280"/>
      <c r="BE298" s="280"/>
      <c r="BF298" s="280"/>
      <c r="BG298" s="280"/>
      <c r="BH298" s="280"/>
      <c r="BI298" s="280"/>
      <c r="BJ298" s="280"/>
      <c r="BK298" s="280"/>
      <c r="BL298" s="280"/>
      <c r="BM298" s="280"/>
      <c r="BN298" s="280"/>
      <c r="BO298" s="280"/>
      <c r="BP298" s="280"/>
      <c r="BQ298" s="280"/>
      <c r="BR298" s="280"/>
      <c r="BS298" s="280"/>
      <c r="BT298" s="280"/>
      <c r="BU298" s="280"/>
      <c r="BV298" s="280"/>
    </row>
    <row r="299" spans="2:74" s="293" customFormat="1" x14ac:dyDescent="0.25">
      <c r="B299" s="280"/>
      <c r="C299" s="280"/>
      <c r="D299" s="280"/>
      <c r="E299" s="280"/>
      <c r="F299" s="280"/>
      <c r="G299" s="280"/>
      <c r="H299" s="280"/>
      <c r="I299" s="280"/>
      <c r="J299" s="280"/>
      <c r="K299" s="280"/>
      <c r="L299" s="283"/>
      <c r="M299" s="283"/>
      <c r="N299" s="280"/>
      <c r="O299" s="280"/>
      <c r="P299" s="280"/>
      <c r="Q299" s="280"/>
      <c r="R299" s="292"/>
      <c r="S299" s="292"/>
      <c r="T299" s="292"/>
      <c r="U299" s="292"/>
      <c r="V299" s="292"/>
      <c r="W299" s="292"/>
      <c r="X299" s="374"/>
      <c r="Y299" s="374"/>
      <c r="Z299" s="374"/>
      <c r="AA299" s="373"/>
      <c r="AB299" s="283"/>
      <c r="AC299" s="280"/>
      <c r="AD299" s="280"/>
      <c r="AE299" s="280"/>
      <c r="AF299" s="280"/>
      <c r="AG299" s="280"/>
      <c r="AH299" s="280"/>
      <c r="AI299" s="280"/>
      <c r="AJ299" s="280"/>
      <c r="AK299" s="280"/>
      <c r="AL299" s="280"/>
      <c r="AM299" s="280"/>
      <c r="AN299" s="280"/>
      <c r="AO299" s="280"/>
      <c r="AP299" s="280"/>
      <c r="AQ299" s="280"/>
      <c r="AR299" s="280"/>
      <c r="AS299" s="280"/>
      <c r="AT299" s="280"/>
      <c r="AU299" s="280"/>
      <c r="AV299" s="280"/>
      <c r="AW299" s="280"/>
      <c r="AX299" s="280"/>
      <c r="AY299" s="280"/>
      <c r="AZ299" s="280"/>
      <c r="BA299" s="280"/>
      <c r="BB299" s="280"/>
      <c r="BC299" s="280"/>
      <c r="BD299" s="280"/>
      <c r="BE299" s="280"/>
      <c r="BF299" s="280"/>
      <c r="BG299" s="280"/>
      <c r="BH299" s="280"/>
      <c r="BI299" s="280"/>
      <c r="BJ299" s="280"/>
      <c r="BK299" s="280"/>
      <c r="BL299" s="280"/>
      <c r="BM299" s="280"/>
      <c r="BN299" s="280"/>
      <c r="BO299" s="280"/>
      <c r="BP299" s="280"/>
      <c r="BQ299" s="280"/>
      <c r="BR299" s="280"/>
      <c r="BS299" s="280"/>
      <c r="BT299" s="280"/>
      <c r="BU299" s="280"/>
      <c r="BV299" s="280"/>
    </row>
    <row r="300" spans="2:74" s="293" customFormat="1" x14ac:dyDescent="0.25">
      <c r="B300" s="280"/>
      <c r="C300" s="280"/>
      <c r="D300" s="280"/>
      <c r="E300" s="280"/>
      <c r="F300" s="280"/>
      <c r="G300" s="280"/>
      <c r="H300" s="280"/>
      <c r="I300" s="280"/>
      <c r="J300" s="280"/>
      <c r="K300" s="280"/>
      <c r="L300" s="283"/>
      <c r="M300" s="283"/>
      <c r="N300" s="280"/>
      <c r="O300" s="280"/>
      <c r="P300" s="280"/>
      <c r="Q300" s="280"/>
      <c r="R300" s="292"/>
      <c r="S300" s="292"/>
      <c r="T300" s="292"/>
      <c r="U300" s="292"/>
      <c r="V300" s="292"/>
      <c r="W300" s="292"/>
      <c r="X300" s="374"/>
      <c r="Y300" s="374"/>
      <c r="Z300" s="374"/>
      <c r="AA300" s="373"/>
      <c r="AB300" s="283"/>
      <c r="AC300" s="280"/>
      <c r="AD300" s="280"/>
      <c r="AE300" s="280"/>
      <c r="AF300" s="280"/>
      <c r="AG300" s="280"/>
      <c r="AH300" s="280"/>
      <c r="AI300" s="280"/>
      <c r="AJ300" s="280"/>
      <c r="AK300" s="280"/>
      <c r="AL300" s="280"/>
      <c r="AM300" s="280"/>
      <c r="AN300" s="280"/>
      <c r="AO300" s="280"/>
      <c r="AP300" s="280"/>
      <c r="AQ300" s="280"/>
      <c r="AR300" s="280"/>
      <c r="AS300" s="280"/>
      <c r="AT300" s="280"/>
      <c r="AU300" s="280"/>
      <c r="AV300" s="280"/>
      <c r="AW300" s="280"/>
      <c r="AX300" s="280"/>
      <c r="AY300" s="280"/>
      <c r="AZ300" s="280"/>
      <c r="BA300" s="280"/>
      <c r="BB300" s="280"/>
      <c r="BC300" s="280"/>
      <c r="BD300" s="280"/>
      <c r="BE300" s="280"/>
      <c r="BF300" s="280"/>
      <c r="BG300" s="280"/>
      <c r="BH300" s="280"/>
      <c r="BI300" s="280"/>
      <c r="BJ300" s="280"/>
      <c r="BK300" s="280"/>
      <c r="BL300" s="280"/>
      <c r="BM300" s="280"/>
      <c r="BN300" s="280"/>
      <c r="BO300" s="280"/>
      <c r="BP300" s="280"/>
      <c r="BQ300" s="280"/>
      <c r="BR300" s="280"/>
      <c r="BS300" s="280"/>
      <c r="BT300" s="280"/>
      <c r="BU300" s="280"/>
      <c r="BV300" s="280"/>
    </row>
    <row r="301" spans="2:74" s="293" customFormat="1" x14ac:dyDescent="0.25">
      <c r="B301" s="280"/>
      <c r="C301" s="280"/>
      <c r="D301" s="280"/>
      <c r="E301" s="280"/>
      <c r="F301" s="280"/>
      <c r="G301" s="280"/>
      <c r="H301" s="280"/>
      <c r="I301" s="280"/>
      <c r="J301" s="280"/>
      <c r="K301" s="280"/>
      <c r="L301" s="283"/>
      <c r="M301" s="283"/>
      <c r="N301" s="280"/>
      <c r="O301" s="280"/>
      <c r="P301" s="280"/>
      <c r="Q301" s="280"/>
      <c r="R301" s="292"/>
      <c r="S301" s="292"/>
      <c r="T301" s="292"/>
      <c r="U301" s="292"/>
      <c r="V301" s="292"/>
      <c r="W301" s="292"/>
      <c r="X301" s="374"/>
      <c r="Y301" s="374"/>
      <c r="Z301" s="374"/>
      <c r="AA301" s="373"/>
      <c r="AB301" s="283"/>
      <c r="AC301" s="280"/>
      <c r="AD301" s="280"/>
      <c r="AE301" s="280"/>
      <c r="AF301" s="280"/>
      <c r="AG301" s="280"/>
      <c r="AH301" s="280"/>
      <c r="AI301" s="280"/>
      <c r="AJ301" s="280"/>
      <c r="AK301" s="280"/>
      <c r="AL301" s="280"/>
      <c r="AM301" s="280"/>
      <c r="AN301" s="280"/>
      <c r="AO301" s="280"/>
      <c r="AP301" s="280"/>
      <c r="AQ301" s="280"/>
      <c r="AR301" s="280"/>
      <c r="AS301" s="280"/>
      <c r="AT301" s="280"/>
      <c r="AU301" s="280"/>
      <c r="AV301" s="280"/>
      <c r="AW301" s="280"/>
      <c r="AX301" s="280"/>
      <c r="AY301" s="280"/>
      <c r="AZ301" s="280"/>
      <c r="BA301" s="280"/>
      <c r="BB301" s="280"/>
      <c r="BC301" s="280"/>
      <c r="BD301" s="280"/>
      <c r="BE301" s="280"/>
      <c r="BF301" s="280"/>
      <c r="BG301" s="280"/>
      <c r="BH301" s="280"/>
      <c r="BI301" s="280"/>
      <c r="BJ301" s="280"/>
      <c r="BK301" s="280"/>
      <c r="BL301" s="280"/>
      <c r="BM301" s="280"/>
      <c r="BN301" s="280"/>
      <c r="BO301" s="280"/>
      <c r="BP301" s="280"/>
      <c r="BQ301" s="280"/>
      <c r="BR301" s="280"/>
      <c r="BS301" s="280"/>
      <c r="BT301" s="280"/>
      <c r="BU301" s="280"/>
      <c r="BV301" s="280"/>
    </row>
    <row r="302" spans="2:74" s="293" customFormat="1" x14ac:dyDescent="0.25">
      <c r="B302" s="280"/>
      <c r="C302" s="280"/>
      <c r="D302" s="280"/>
      <c r="E302" s="280"/>
      <c r="F302" s="280"/>
      <c r="G302" s="280"/>
      <c r="H302" s="280"/>
      <c r="I302" s="280"/>
      <c r="J302" s="280"/>
      <c r="K302" s="280"/>
      <c r="L302" s="283"/>
      <c r="M302" s="283"/>
      <c r="N302" s="280"/>
      <c r="O302" s="280"/>
      <c r="P302" s="280"/>
      <c r="Q302" s="280"/>
      <c r="R302" s="292"/>
      <c r="S302" s="292"/>
      <c r="T302" s="292"/>
      <c r="U302" s="292"/>
      <c r="V302" s="292"/>
      <c r="W302" s="292"/>
      <c r="X302" s="374"/>
      <c r="Y302" s="374"/>
      <c r="Z302" s="374"/>
      <c r="AA302" s="373"/>
      <c r="AB302" s="283"/>
      <c r="AC302" s="280"/>
      <c r="AD302" s="280"/>
      <c r="AE302" s="280"/>
      <c r="AF302" s="280"/>
      <c r="AG302" s="280"/>
      <c r="AH302" s="280"/>
      <c r="AI302" s="280"/>
      <c r="AJ302" s="280"/>
      <c r="AK302" s="280"/>
      <c r="AL302" s="280"/>
      <c r="AM302" s="280"/>
      <c r="AN302" s="280"/>
      <c r="AO302" s="280"/>
      <c r="AP302" s="280"/>
      <c r="AQ302" s="280"/>
      <c r="AR302" s="280"/>
      <c r="AS302" s="280"/>
      <c r="AT302" s="280"/>
      <c r="AU302" s="280"/>
      <c r="AV302" s="280"/>
      <c r="AW302" s="280"/>
      <c r="AX302" s="280"/>
      <c r="AY302" s="280"/>
      <c r="AZ302" s="280"/>
      <c r="BA302" s="280"/>
      <c r="BB302" s="280"/>
      <c r="BC302" s="280"/>
      <c r="BD302" s="280"/>
      <c r="BE302" s="280"/>
      <c r="BF302" s="280"/>
      <c r="BG302" s="280"/>
      <c r="BH302" s="280"/>
      <c r="BI302" s="280"/>
      <c r="BJ302" s="280"/>
      <c r="BK302" s="280"/>
      <c r="BL302" s="280"/>
      <c r="BM302" s="280"/>
      <c r="BN302" s="280"/>
      <c r="BO302" s="280"/>
      <c r="BP302" s="280"/>
      <c r="BQ302" s="280"/>
      <c r="BR302" s="280"/>
      <c r="BS302" s="280"/>
      <c r="BT302" s="280"/>
      <c r="BU302" s="280"/>
      <c r="BV302" s="280"/>
    </row>
    <row r="303" spans="2:74" s="293" customFormat="1" x14ac:dyDescent="0.25">
      <c r="B303" s="280"/>
      <c r="C303" s="280"/>
      <c r="D303" s="280"/>
      <c r="E303" s="280"/>
      <c r="F303" s="280"/>
      <c r="G303" s="280"/>
      <c r="H303" s="280"/>
      <c r="I303" s="280"/>
      <c r="J303" s="280"/>
      <c r="K303" s="280"/>
      <c r="L303" s="283"/>
      <c r="M303" s="283"/>
      <c r="N303" s="280"/>
      <c r="O303" s="280"/>
      <c r="P303" s="280"/>
      <c r="Q303" s="280"/>
      <c r="R303" s="292"/>
      <c r="S303" s="292"/>
      <c r="T303" s="292"/>
      <c r="U303" s="292"/>
      <c r="V303" s="292"/>
      <c r="W303" s="292"/>
      <c r="X303" s="374"/>
      <c r="Y303" s="374"/>
      <c r="Z303" s="374"/>
      <c r="AA303" s="373"/>
      <c r="AB303" s="283"/>
      <c r="AC303" s="280"/>
      <c r="AD303" s="280"/>
      <c r="AE303" s="280"/>
      <c r="AF303" s="280"/>
      <c r="AG303" s="280"/>
      <c r="AH303" s="280"/>
      <c r="AI303" s="280"/>
      <c r="AJ303" s="280"/>
      <c r="AK303" s="280"/>
      <c r="AL303" s="280"/>
      <c r="AM303" s="280"/>
      <c r="AN303" s="280"/>
      <c r="AO303" s="280"/>
      <c r="AP303" s="280"/>
      <c r="AQ303" s="280"/>
      <c r="AR303" s="280"/>
      <c r="AS303" s="280"/>
      <c r="AT303" s="280"/>
      <c r="AU303" s="280"/>
      <c r="AV303" s="280"/>
      <c r="AW303" s="280"/>
      <c r="AX303" s="280"/>
      <c r="AY303" s="280"/>
      <c r="AZ303" s="280"/>
      <c r="BA303" s="280"/>
      <c r="BB303" s="280"/>
      <c r="BC303" s="280"/>
      <c r="BD303" s="280"/>
      <c r="BE303" s="280"/>
      <c r="BF303" s="280"/>
      <c r="BG303" s="280"/>
      <c r="BH303" s="280"/>
      <c r="BI303" s="280"/>
      <c r="BJ303" s="280"/>
      <c r="BK303" s="280"/>
      <c r="BL303" s="280"/>
      <c r="BM303" s="280"/>
      <c r="BN303" s="280"/>
      <c r="BO303" s="280"/>
      <c r="BP303" s="280"/>
      <c r="BQ303" s="280"/>
      <c r="BR303" s="280"/>
      <c r="BS303" s="280"/>
      <c r="BT303" s="280"/>
      <c r="BU303" s="280"/>
      <c r="BV303" s="280"/>
    </row>
    <row r="304" spans="2:74" s="293" customFormat="1" x14ac:dyDescent="0.25">
      <c r="B304" s="280"/>
      <c r="C304" s="280"/>
      <c r="D304" s="280"/>
      <c r="E304" s="280"/>
      <c r="F304" s="280"/>
      <c r="G304" s="280"/>
      <c r="H304" s="280"/>
      <c r="I304" s="280"/>
      <c r="J304" s="280"/>
      <c r="K304" s="280"/>
      <c r="L304" s="283"/>
      <c r="M304" s="283"/>
      <c r="N304" s="280"/>
      <c r="O304" s="280"/>
      <c r="P304" s="280"/>
      <c r="Q304" s="280"/>
      <c r="R304" s="292"/>
      <c r="S304" s="292"/>
      <c r="T304" s="292"/>
      <c r="U304" s="292"/>
      <c r="V304" s="292"/>
      <c r="W304" s="292"/>
      <c r="X304" s="374"/>
      <c r="Y304" s="374"/>
      <c r="Z304" s="374"/>
      <c r="AA304" s="373"/>
      <c r="AB304" s="283"/>
      <c r="AC304" s="280"/>
      <c r="AD304" s="280"/>
      <c r="AE304" s="280"/>
      <c r="AF304" s="280"/>
      <c r="AG304" s="280"/>
      <c r="AH304" s="280"/>
      <c r="AI304" s="280"/>
      <c r="AJ304" s="280"/>
      <c r="AK304" s="280"/>
      <c r="AL304" s="280"/>
      <c r="AM304" s="280"/>
      <c r="AN304" s="280"/>
      <c r="AO304" s="280"/>
      <c r="AP304" s="280"/>
      <c r="AQ304" s="280"/>
      <c r="AR304" s="280"/>
      <c r="AS304" s="280"/>
      <c r="AT304" s="280"/>
      <c r="AU304" s="280"/>
      <c r="AV304" s="280"/>
      <c r="AW304" s="280"/>
      <c r="AX304" s="280"/>
      <c r="AY304" s="280"/>
      <c r="AZ304" s="280"/>
      <c r="BA304" s="280"/>
      <c r="BB304" s="280"/>
      <c r="BC304" s="280"/>
      <c r="BD304" s="280"/>
      <c r="BE304" s="280"/>
      <c r="BF304" s="280"/>
      <c r="BG304" s="280"/>
      <c r="BH304" s="280"/>
      <c r="BI304" s="280"/>
      <c r="BJ304" s="280"/>
      <c r="BK304" s="280"/>
      <c r="BL304" s="280"/>
      <c r="BM304" s="280"/>
      <c r="BN304" s="280"/>
      <c r="BO304" s="280"/>
      <c r="BP304" s="280"/>
      <c r="BQ304" s="280"/>
      <c r="BR304" s="280"/>
      <c r="BS304" s="280"/>
      <c r="BT304" s="280"/>
      <c r="BU304" s="280"/>
      <c r="BV304" s="280"/>
    </row>
    <row r="305" spans="2:74" s="293" customFormat="1" x14ac:dyDescent="0.25">
      <c r="B305" s="280"/>
      <c r="C305" s="280"/>
      <c r="D305" s="280"/>
      <c r="E305" s="280"/>
      <c r="F305" s="280"/>
      <c r="G305" s="280"/>
      <c r="H305" s="280"/>
      <c r="I305" s="280"/>
      <c r="J305" s="280"/>
      <c r="K305" s="280"/>
      <c r="L305" s="283"/>
      <c r="M305" s="283"/>
      <c r="N305" s="280"/>
      <c r="O305" s="280"/>
      <c r="P305" s="280"/>
      <c r="Q305" s="280"/>
      <c r="R305" s="292"/>
      <c r="S305" s="292"/>
      <c r="T305" s="292"/>
      <c r="U305" s="292"/>
      <c r="V305" s="292"/>
      <c r="W305" s="292"/>
      <c r="X305" s="374"/>
      <c r="Y305" s="374"/>
      <c r="Z305" s="374"/>
      <c r="AA305" s="373"/>
      <c r="AB305" s="283"/>
      <c r="AC305" s="280"/>
      <c r="AD305" s="280"/>
      <c r="AE305" s="280"/>
      <c r="AF305" s="280"/>
      <c r="AG305" s="280"/>
      <c r="AH305" s="280"/>
      <c r="AI305" s="280"/>
      <c r="AJ305" s="280"/>
      <c r="AK305" s="280"/>
      <c r="AL305" s="280"/>
      <c r="AM305" s="280"/>
      <c r="AN305" s="280"/>
      <c r="AO305" s="280"/>
      <c r="AP305" s="280"/>
      <c r="AQ305" s="280"/>
      <c r="AR305" s="280"/>
      <c r="AS305" s="280"/>
      <c r="AT305" s="280"/>
      <c r="AU305" s="280"/>
      <c r="AV305" s="280"/>
      <c r="AW305" s="280"/>
      <c r="AX305" s="280"/>
      <c r="AY305" s="280"/>
      <c r="AZ305" s="280"/>
      <c r="BA305" s="280"/>
      <c r="BB305" s="280"/>
      <c r="BC305" s="280"/>
      <c r="BD305" s="280"/>
      <c r="BE305" s="280"/>
      <c r="BF305" s="280"/>
      <c r="BG305" s="280"/>
      <c r="BH305" s="280"/>
      <c r="BI305" s="280"/>
      <c r="BJ305" s="280"/>
      <c r="BK305" s="280"/>
      <c r="BL305" s="280"/>
      <c r="BM305" s="280"/>
      <c r="BN305" s="280"/>
      <c r="BO305" s="280"/>
      <c r="BP305" s="280"/>
      <c r="BQ305" s="280"/>
      <c r="BR305" s="280"/>
      <c r="BS305" s="280"/>
      <c r="BT305" s="280"/>
      <c r="BU305" s="280"/>
      <c r="BV305" s="280"/>
    </row>
    <row r="306" spans="2:74" s="293" customFormat="1" x14ac:dyDescent="0.25">
      <c r="B306" s="280"/>
      <c r="C306" s="280"/>
      <c r="D306" s="280"/>
      <c r="E306" s="280"/>
      <c r="F306" s="280"/>
      <c r="G306" s="280"/>
      <c r="H306" s="280"/>
      <c r="I306" s="280"/>
      <c r="J306" s="280"/>
      <c r="K306" s="280"/>
      <c r="L306" s="283"/>
      <c r="M306" s="283"/>
      <c r="N306" s="280"/>
      <c r="O306" s="280"/>
      <c r="P306" s="280"/>
      <c r="Q306" s="280"/>
      <c r="R306" s="292"/>
      <c r="S306" s="292"/>
      <c r="T306" s="292"/>
      <c r="U306" s="292"/>
      <c r="V306" s="292"/>
      <c r="W306" s="292"/>
      <c r="X306" s="374"/>
      <c r="Y306" s="374"/>
      <c r="Z306" s="374"/>
      <c r="AA306" s="373"/>
      <c r="AB306" s="283"/>
      <c r="AC306" s="280"/>
      <c r="AD306" s="280"/>
      <c r="AE306" s="280"/>
      <c r="AF306" s="280"/>
      <c r="AG306" s="280"/>
      <c r="AH306" s="280"/>
      <c r="AI306" s="280"/>
      <c r="AJ306" s="280"/>
      <c r="AK306" s="280"/>
      <c r="AL306" s="280"/>
      <c r="AM306" s="280"/>
      <c r="AN306" s="280"/>
      <c r="AO306" s="280"/>
      <c r="AP306" s="280"/>
      <c r="AQ306" s="280"/>
      <c r="AR306" s="280"/>
      <c r="AS306" s="280"/>
      <c r="AT306" s="280"/>
      <c r="AU306" s="280"/>
      <c r="AV306" s="280"/>
      <c r="AW306" s="280"/>
      <c r="AX306" s="280"/>
      <c r="AY306" s="280"/>
      <c r="AZ306" s="280"/>
      <c r="BA306" s="280"/>
      <c r="BB306" s="280"/>
      <c r="BC306" s="280"/>
      <c r="BD306" s="280"/>
      <c r="BE306" s="280"/>
      <c r="BF306" s="280"/>
      <c r="BG306" s="280"/>
      <c r="BH306" s="280"/>
      <c r="BI306" s="280"/>
      <c r="BJ306" s="280"/>
      <c r="BK306" s="280"/>
      <c r="BL306" s="280"/>
      <c r="BM306" s="280"/>
      <c r="BN306" s="280"/>
      <c r="BO306" s="280"/>
      <c r="BP306" s="280"/>
      <c r="BQ306" s="280"/>
      <c r="BR306" s="280"/>
      <c r="BS306" s="280"/>
      <c r="BT306" s="280"/>
      <c r="BU306" s="280"/>
      <c r="BV306" s="280"/>
    </row>
    <row r="307" spans="2:74" s="293" customFormat="1" x14ac:dyDescent="0.25">
      <c r="B307" s="280"/>
      <c r="C307" s="280"/>
      <c r="D307" s="280"/>
      <c r="E307" s="280"/>
      <c r="F307" s="280"/>
      <c r="G307" s="280"/>
      <c r="H307" s="280"/>
      <c r="I307" s="280"/>
      <c r="J307" s="280"/>
      <c r="K307" s="280"/>
      <c r="L307" s="283"/>
      <c r="M307" s="283"/>
      <c r="N307" s="280"/>
      <c r="O307" s="280"/>
      <c r="P307" s="280"/>
      <c r="Q307" s="280"/>
      <c r="R307" s="292"/>
      <c r="S307" s="292"/>
      <c r="T307" s="292"/>
      <c r="U307" s="292"/>
      <c r="V307" s="292"/>
      <c r="W307" s="292"/>
      <c r="X307" s="374"/>
      <c r="Y307" s="374"/>
      <c r="Z307" s="374"/>
      <c r="AA307" s="373"/>
      <c r="AB307" s="283"/>
      <c r="AC307" s="280"/>
      <c r="AD307" s="280"/>
      <c r="AE307" s="280"/>
      <c r="AF307" s="280"/>
      <c r="AG307" s="280"/>
      <c r="AH307" s="280"/>
      <c r="AI307" s="280"/>
      <c r="AJ307" s="280"/>
      <c r="AK307" s="280"/>
      <c r="AL307" s="280"/>
      <c r="AM307" s="280"/>
      <c r="AN307" s="280"/>
      <c r="AO307" s="280"/>
      <c r="AP307" s="280"/>
      <c r="AQ307" s="280"/>
      <c r="AR307" s="280"/>
      <c r="AS307" s="280"/>
      <c r="AT307" s="280"/>
      <c r="AU307" s="280"/>
      <c r="AV307" s="280"/>
      <c r="AW307" s="280"/>
      <c r="AX307" s="280"/>
      <c r="AY307" s="280"/>
      <c r="AZ307" s="280"/>
      <c r="BA307" s="280"/>
      <c r="BB307" s="280"/>
      <c r="BC307" s="280"/>
      <c r="BD307" s="280"/>
      <c r="BE307" s="280"/>
      <c r="BF307" s="280"/>
      <c r="BG307" s="280"/>
      <c r="BH307" s="280"/>
      <c r="BI307" s="280"/>
      <c r="BJ307" s="280"/>
      <c r="BK307" s="280"/>
      <c r="BL307" s="280"/>
      <c r="BM307" s="280"/>
      <c r="BN307" s="280"/>
      <c r="BO307" s="280"/>
      <c r="BP307" s="280"/>
      <c r="BQ307" s="280"/>
      <c r="BR307" s="280"/>
      <c r="BS307" s="280"/>
      <c r="BT307" s="280"/>
      <c r="BU307" s="280"/>
      <c r="BV307" s="280"/>
    </row>
    <row r="308" spans="2:74" s="293" customFormat="1" x14ac:dyDescent="0.25">
      <c r="B308" s="280"/>
      <c r="C308" s="280"/>
      <c r="D308" s="280"/>
      <c r="E308" s="280"/>
      <c r="F308" s="280"/>
      <c r="G308" s="280"/>
      <c r="H308" s="280"/>
      <c r="I308" s="280"/>
      <c r="J308" s="280"/>
      <c r="K308" s="280"/>
      <c r="L308" s="283"/>
      <c r="M308" s="283"/>
      <c r="N308" s="280"/>
      <c r="O308" s="280"/>
      <c r="P308" s="280"/>
      <c r="Q308" s="280"/>
      <c r="R308" s="292"/>
      <c r="S308" s="292"/>
      <c r="T308" s="292"/>
      <c r="U308" s="292"/>
      <c r="V308" s="292"/>
      <c r="W308" s="292"/>
      <c r="X308" s="374"/>
      <c r="Y308" s="374"/>
      <c r="Z308" s="374"/>
      <c r="AA308" s="373"/>
      <c r="AB308" s="283"/>
      <c r="AC308" s="280"/>
      <c r="AD308" s="280"/>
      <c r="AE308" s="280"/>
      <c r="AF308" s="280"/>
      <c r="AG308" s="280"/>
      <c r="AH308" s="280"/>
      <c r="AI308" s="280"/>
      <c r="AJ308" s="280"/>
      <c r="AK308" s="280"/>
      <c r="AL308" s="280"/>
      <c r="AM308" s="280"/>
      <c r="AN308" s="280"/>
      <c r="AO308" s="280"/>
      <c r="AP308" s="280"/>
      <c r="AQ308" s="280"/>
      <c r="AR308" s="280"/>
      <c r="AS308" s="280"/>
      <c r="AT308" s="280"/>
      <c r="AU308" s="280"/>
      <c r="AV308" s="280"/>
      <c r="AW308" s="280"/>
      <c r="AX308" s="280"/>
      <c r="AY308" s="280"/>
      <c r="AZ308" s="280"/>
      <c r="BA308" s="280"/>
      <c r="BB308" s="280"/>
      <c r="BC308" s="280"/>
      <c r="BD308" s="280"/>
      <c r="BE308" s="280"/>
      <c r="BF308" s="280"/>
      <c r="BG308" s="280"/>
      <c r="BH308" s="280"/>
      <c r="BI308" s="280"/>
      <c r="BJ308" s="280"/>
      <c r="BK308" s="280"/>
      <c r="BL308" s="280"/>
      <c r="BM308" s="280"/>
      <c r="BN308" s="280"/>
      <c r="BO308" s="280"/>
      <c r="BP308" s="280"/>
      <c r="BQ308" s="280"/>
      <c r="BR308" s="280"/>
      <c r="BS308" s="280"/>
      <c r="BT308" s="280"/>
      <c r="BU308" s="280"/>
      <c r="BV308" s="280"/>
    </row>
    <row r="309" spans="2:74" s="293" customFormat="1" x14ac:dyDescent="0.25">
      <c r="B309" s="280"/>
      <c r="C309" s="280"/>
      <c r="D309" s="280"/>
      <c r="E309" s="280"/>
      <c r="F309" s="280"/>
      <c r="G309" s="280"/>
      <c r="H309" s="280"/>
      <c r="I309" s="280"/>
      <c r="J309" s="280"/>
      <c r="K309" s="280"/>
      <c r="L309" s="283"/>
      <c r="M309" s="283"/>
      <c r="N309" s="280"/>
      <c r="O309" s="280"/>
      <c r="P309" s="280"/>
      <c r="Q309" s="280"/>
      <c r="R309" s="292"/>
      <c r="S309" s="292"/>
      <c r="T309" s="292"/>
      <c r="U309" s="292"/>
      <c r="V309" s="292"/>
      <c r="W309" s="292"/>
      <c r="X309" s="374"/>
      <c r="Y309" s="374"/>
      <c r="Z309" s="374"/>
      <c r="AA309" s="373"/>
      <c r="AB309" s="283"/>
      <c r="AC309" s="280"/>
      <c r="AD309" s="280"/>
      <c r="AE309" s="280"/>
      <c r="AF309" s="280"/>
      <c r="AG309" s="280"/>
      <c r="AH309" s="280"/>
      <c r="AI309" s="280"/>
      <c r="AJ309" s="280"/>
      <c r="AK309" s="280"/>
      <c r="AL309" s="280"/>
      <c r="AM309" s="280"/>
      <c r="AN309" s="280"/>
      <c r="AO309" s="280"/>
      <c r="AP309" s="280"/>
      <c r="AQ309" s="280"/>
      <c r="AR309" s="280"/>
      <c r="AS309" s="280"/>
      <c r="AT309" s="280"/>
      <c r="AU309" s="280"/>
      <c r="AV309" s="280"/>
      <c r="AW309" s="280"/>
      <c r="AX309" s="280"/>
      <c r="AY309" s="280"/>
      <c r="AZ309" s="280"/>
      <c r="BA309" s="280"/>
      <c r="BB309" s="280"/>
      <c r="BC309" s="280"/>
      <c r="BD309" s="280"/>
      <c r="BE309" s="280"/>
      <c r="BF309" s="280"/>
      <c r="BG309" s="280"/>
      <c r="BH309" s="280"/>
      <c r="BI309" s="280"/>
      <c r="BJ309" s="280"/>
      <c r="BK309" s="280"/>
      <c r="BL309" s="280"/>
      <c r="BM309" s="280"/>
      <c r="BN309" s="280"/>
      <c r="BO309" s="280"/>
      <c r="BP309" s="280"/>
      <c r="BQ309" s="280"/>
      <c r="BR309" s="280"/>
      <c r="BS309" s="280"/>
      <c r="BT309" s="280"/>
      <c r="BU309" s="280"/>
      <c r="BV309" s="280"/>
    </row>
    <row r="310" spans="2:74" s="293" customFormat="1" x14ac:dyDescent="0.25">
      <c r="B310" s="280"/>
      <c r="C310" s="280"/>
      <c r="D310" s="280"/>
      <c r="E310" s="280"/>
      <c r="F310" s="280"/>
      <c r="G310" s="280"/>
      <c r="H310" s="280"/>
      <c r="I310" s="280"/>
      <c r="J310" s="280"/>
      <c r="K310" s="280"/>
      <c r="L310" s="283"/>
      <c r="M310" s="283"/>
      <c r="N310" s="280"/>
      <c r="O310" s="280"/>
      <c r="P310" s="280"/>
      <c r="Q310" s="280"/>
      <c r="R310" s="292"/>
      <c r="S310" s="292"/>
      <c r="T310" s="292"/>
      <c r="U310" s="292"/>
      <c r="V310" s="292"/>
      <c r="W310" s="292"/>
      <c r="X310" s="374"/>
      <c r="Y310" s="374"/>
      <c r="Z310" s="374"/>
      <c r="AA310" s="373"/>
      <c r="AB310" s="283"/>
      <c r="AC310" s="280"/>
      <c r="AD310" s="280"/>
      <c r="AE310" s="280"/>
      <c r="AF310" s="280"/>
      <c r="AG310" s="280"/>
      <c r="AH310" s="280"/>
      <c r="AI310" s="280"/>
      <c r="AJ310" s="280"/>
      <c r="AK310" s="280"/>
      <c r="AL310" s="280"/>
      <c r="AM310" s="280"/>
      <c r="AN310" s="280"/>
      <c r="AO310" s="280"/>
      <c r="AP310" s="280"/>
      <c r="AQ310" s="280"/>
      <c r="AR310" s="280"/>
      <c r="AS310" s="280"/>
      <c r="AT310" s="280"/>
      <c r="AU310" s="280"/>
      <c r="AV310" s="280"/>
      <c r="AW310" s="280"/>
      <c r="AX310" s="280"/>
      <c r="AY310" s="280"/>
      <c r="AZ310" s="280"/>
      <c r="BA310" s="280"/>
      <c r="BB310" s="280"/>
      <c r="BC310" s="280"/>
      <c r="BD310" s="280"/>
      <c r="BE310" s="280"/>
      <c r="BF310" s="280"/>
      <c r="BG310" s="280"/>
      <c r="BH310" s="280"/>
      <c r="BI310" s="280"/>
      <c r="BJ310" s="280"/>
      <c r="BK310" s="280"/>
      <c r="BL310" s="280"/>
      <c r="BM310" s="280"/>
      <c r="BN310" s="280"/>
      <c r="BO310" s="280"/>
      <c r="BP310" s="280"/>
      <c r="BQ310" s="280"/>
      <c r="BR310" s="280"/>
      <c r="BS310" s="280"/>
      <c r="BT310" s="280"/>
      <c r="BU310" s="280"/>
      <c r="BV310" s="280"/>
    </row>
    <row r="311" spans="2:74" s="293" customFormat="1" x14ac:dyDescent="0.25">
      <c r="B311" s="280"/>
      <c r="C311" s="280"/>
      <c r="D311" s="280"/>
      <c r="E311" s="280"/>
      <c r="F311" s="280"/>
      <c r="G311" s="280"/>
      <c r="H311" s="280"/>
      <c r="I311" s="280"/>
      <c r="J311" s="280"/>
      <c r="K311" s="280"/>
      <c r="L311" s="283"/>
      <c r="M311" s="283"/>
      <c r="N311" s="280"/>
      <c r="O311" s="280"/>
      <c r="P311" s="280"/>
      <c r="Q311" s="280"/>
      <c r="R311" s="292"/>
      <c r="S311" s="292"/>
      <c r="T311" s="292"/>
      <c r="U311" s="292"/>
      <c r="V311" s="292"/>
      <c r="W311" s="292"/>
      <c r="X311" s="374"/>
      <c r="Y311" s="374"/>
      <c r="Z311" s="374"/>
      <c r="AA311" s="373"/>
      <c r="AB311" s="283"/>
      <c r="AC311" s="280"/>
      <c r="AD311" s="280"/>
      <c r="AE311" s="280"/>
      <c r="AF311" s="280"/>
      <c r="AG311" s="280"/>
      <c r="AH311" s="280"/>
      <c r="AI311" s="280"/>
      <c r="AJ311" s="280"/>
      <c r="AK311" s="280"/>
      <c r="AL311" s="280"/>
      <c r="AM311" s="280"/>
      <c r="AN311" s="280"/>
      <c r="AO311" s="280"/>
      <c r="AP311" s="280"/>
      <c r="AQ311" s="280"/>
      <c r="AR311" s="280"/>
      <c r="AS311" s="280"/>
      <c r="AT311" s="280"/>
      <c r="AU311" s="280"/>
      <c r="AV311" s="280"/>
      <c r="AW311" s="280"/>
      <c r="AX311" s="280"/>
      <c r="AY311" s="280"/>
      <c r="AZ311" s="280"/>
      <c r="BA311" s="280"/>
      <c r="BB311" s="280"/>
      <c r="BC311" s="280"/>
      <c r="BD311" s="280"/>
      <c r="BE311" s="280"/>
      <c r="BF311" s="280"/>
      <c r="BG311" s="280"/>
      <c r="BH311" s="280"/>
      <c r="BI311" s="280"/>
      <c r="BJ311" s="280"/>
      <c r="BK311" s="280"/>
      <c r="BL311" s="280"/>
      <c r="BM311" s="280"/>
      <c r="BN311" s="280"/>
      <c r="BO311" s="280"/>
      <c r="BP311" s="280"/>
      <c r="BQ311" s="280"/>
      <c r="BR311" s="280"/>
      <c r="BS311" s="280"/>
      <c r="BT311" s="280"/>
      <c r="BU311" s="280"/>
      <c r="BV311" s="280"/>
    </row>
    <row r="312" spans="2:74" s="293" customFormat="1" x14ac:dyDescent="0.25">
      <c r="B312" s="280"/>
      <c r="C312" s="280"/>
      <c r="D312" s="280"/>
      <c r="E312" s="280"/>
      <c r="F312" s="280"/>
      <c r="G312" s="280"/>
      <c r="H312" s="280"/>
      <c r="I312" s="280"/>
      <c r="J312" s="280"/>
      <c r="K312" s="280"/>
      <c r="L312" s="283"/>
      <c r="M312" s="283"/>
      <c r="N312" s="280"/>
      <c r="O312" s="280"/>
      <c r="P312" s="280"/>
      <c r="Q312" s="280"/>
      <c r="R312" s="292"/>
      <c r="S312" s="292"/>
      <c r="T312" s="292"/>
      <c r="U312" s="292"/>
      <c r="V312" s="292"/>
      <c r="W312" s="292"/>
      <c r="X312" s="374"/>
      <c r="Y312" s="374"/>
      <c r="Z312" s="374"/>
      <c r="AA312" s="373"/>
      <c r="AB312" s="283"/>
      <c r="AC312" s="280"/>
      <c r="AD312" s="280"/>
      <c r="AE312" s="280"/>
      <c r="AF312" s="280"/>
      <c r="AG312" s="280"/>
      <c r="AH312" s="280"/>
      <c r="AI312" s="280"/>
      <c r="AJ312" s="280"/>
      <c r="AK312" s="280"/>
      <c r="AL312" s="280"/>
      <c r="AM312" s="280"/>
      <c r="AN312" s="280"/>
      <c r="AO312" s="280"/>
      <c r="AP312" s="280"/>
      <c r="AQ312" s="280"/>
      <c r="AR312" s="280"/>
      <c r="AS312" s="280"/>
      <c r="AT312" s="280"/>
      <c r="AU312" s="280"/>
      <c r="AV312" s="280"/>
      <c r="AW312" s="280"/>
      <c r="AX312" s="280"/>
      <c r="AY312" s="280"/>
      <c r="AZ312" s="280"/>
      <c r="BA312" s="280"/>
      <c r="BB312" s="280"/>
      <c r="BC312" s="280"/>
      <c r="BD312" s="280"/>
      <c r="BE312" s="280"/>
      <c r="BF312" s="280"/>
      <c r="BG312" s="280"/>
      <c r="BH312" s="280"/>
      <c r="BI312" s="280"/>
      <c r="BJ312" s="280"/>
      <c r="BK312" s="280"/>
      <c r="BL312" s="280"/>
      <c r="BM312" s="280"/>
      <c r="BN312" s="280"/>
      <c r="BO312" s="280"/>
      <c r="BP312" s="280"/>
      <c r="BQ312" s="280"/>
      <c r="BR312" s="280"/>
      <c r="BS312" s="280"/>
      <c r="BT312" s="280"/>
      <c r="BU312" s="280"/>
      <c r="BV312" s="280"/>
    </row>
    <row r="313" spans="2:74" s="293" customFormat="1" x14ac:dyDescent="0.25">
      <c r="B313" s="280"/>
      <c r="C313" s="280"/>
      <c r="D313" s="280"/>
      <c r="E313" s="280"/>
      <c r="F313" s="280"/>
      <c r="G313" s="280"/>
      <c r="H313" s="280"/>
      <c r="I313" s="280"/>
      <c r="J313" s="280"/>
      <c r="K313" s="280"/>
      <c r="L313" s="283"/>
      <c r="M313" s="283"/>
      <c r="N313" s="280"/>
      <c r="O313" s="280"/>
      <c r="P313" s="280"/>
      <c r="Q313" s="280"/>
      <c r="R313" s="292"/>
      <c r="S313" s="292"/>
      <c r="T313" s="292"/>
      <c r="U313" s="292"/>
      <c r="V313" s="292"/>
      <c r="W313" s="292"/>
      <c r="X313" s="374"/>
      <c r="Y313" s="374"/>
      <c r="Z313" s="374"/>
      <c r="AA313" s="373"/>
      <c r="AB313" s="283"/>
      <c r="AC313" s="280"/>
      <c r="AD313" s="280"/>
      <c r="AE313" s="280"/>
      <c r="AF313" s="280"/>
      <c r="AG313" s="280"/>
      <c r="AH313" s="280"/>
      <c r="AI313" s="280"/>
      <c r="AJ313" s="280"/>
      <c r="AK313" s="280"/>
      <c r="AL313" s="280"/>
      <c r="AM313" s="280"/>
      <c r="AN313" s="280"/>
      <c r="AO313" s="280"/>
      <c r="AP313" s="280"/>
      <c r="AQ313" s="280"/>
      <c r="AR313" s="280"/>
      <c r="AS313" s="280"/>
      <c r="AT313" s="280"/>
      <c r="AU313" s="280"/>
      <c r="AV313" s="280"/>
      <c r="AW313" s="280"/>
      <c r="AX313" s="280"/>
      <c r="AY313" s="280"/>
      <c r="AZ313" s="280"/>
      <c r="BA313" s="280"/>
      <c r="BB313" s="280"/>
      <c r="BC313" s="280"/>
      <c r="BD313" s="280"/>
      <c r="BE313" s="280"/>
      <c r="BF313" s="280"/>
      <c r="BG313" s="280"/>
      <c r="BH313" s="280"/>
      <c r="BI313" s="280"/>
      <c r="BJ313" s="280"/>
      <c r="BK313" s="280"/>
      <c r="BL313" s="280"/>
      <c r="BM313" s="280"/>
      <c r="BN313" s="280"/>
      <c r="BO313" s="280"/>
      <c r="BP313" s="280"/>
      <c r="BQ313" s="280"/>
      <c r="BR313" s="280"/>
      <c r="BS313" s="280"/>
      <c r="BT313" s="280"/>
      <c r="BU313" s="280"/>
      <c r="BV313" s="280"/>
    </row>
    <row r="314" spans="2:74" s="293" customFormat="1" x14ac:dyDescent="0.25">
      <c r="B314" s="280"/>
      <c r="C314" s="280"/>
      <c r="D314" s="280"/>
      <c r="E314" s="280"/>
      <c r="F314" s="280"/>
      <c r="G314" s="280"/>
      <c r="H314" s="280"/>
      <c r="I314" s="280"/>
      <c r="J314" s="280"/>
      <c r="K314" s="280"/>
      <c r="L314" s="283"/>
      <c r="M314" s="283"/>
      <c r="N314" s="280"/>
      <c r="O314" s="280"/>
      <c r="P314" s="280"/>
      <c r="Q314" s="280"/>
      <c r="R314" s="292"/>
      <c r="S314" s="292"/>
      <c r="T314" s="292"/>
      <c r="U314" s="292"/>
      <c r="V314" s="292"/>
      <c r="W314" s="292"/>
      <c r="X314" s="374"/>
      <c r="Y314" s="374"/>
      <c r="Z314" s="374"/>
      <c r="AA314" s="373"/>
      <c r="AB314" s="283"/>
      <c r="AC314" s="280"/>
      <c r="AD314" s="280"/>
      <c r="AE314" s="280"/>
      <c r="AF314" s="280"/>
      <c r="AG314" s="280"/>
      <c r="AH314" s="280"/>
      <c r="AI314" s="280"/>
      <c r="AJ314" s="280"/>
      <c r="AK314" s="280"/>
      <c r="AL314" s="280"/>
      <c r="AM314" s="280"/>
      <c r="AN314" s="280"/>
      <c r="AO314" s="280"/>
      <c r="AP314" s="280"/>
      <c r="AQ314" s="280"/>
      <c r="AR314" s="280"/>
      <c r="AS314" s="280"/>
      <c r="AT314" s="280"/>
      <c r="AU314" s="280"/>
      <c r="AV314" s="280"/>
      <c r="AW314" s="280"/>
      <c r="AX314" s="280"/>
      <c r="AY314" s="280"/>
      <c r="AZ314" s="280"/>
      <c r="BA314" s="280"/>
      <c r="BB314" s="280"/>
      <c r="BC314" s="280"/>
      <c r="BD314" s="280"/>
      <c r="BE314" s="280"/>
      <c r="BF314" s="280"/>
      <c r="BG314" s="280"/>
      <c r="BH314" s="280"/>
      <c r="BI314" s="280"/>
      <c r="BJ314" s="280"/>
      <c r="BK314" s="280"/>
      <c r="BL314" s="280"/>
      <c r="BM314" s="280"/>
      <c r="BN314" s="280"/>
      <c r="BO314" s="280"/>
      <c r="BP314" s="280"/>
      <c r="BQ314" s="280"/>
      <c r="BR314" s="280"/>
      <c r="BS314" s="280"/>
      <c r="BT314" s="280"/>
      <c r="BU314" s="280"/>
      <c r="BV314" s="280"/>
    </row>
    <row r="315" spans="2:74" s="293" customFormat="1" x14ac:dyDescent="0.25">
      <c r="B315" s="280"/>
      <c r="C315" s="280"/>
      <c r="D315" s="280"/>
      <c r="E315" s="280"/>
      <c r="F315" s="280"/>
      <c r="G315" s="280"/>
      <c r="H315" s="280"/>
      <c r="I315" s="280"/>
      <c r="J315" s="280"/>
      <c r="K315" s="280"/>
      <c r="L315" s="283"/>
      <c r="M315" s="283"/>
      <c r="N315" s="280"/>
      <c r="O315" s="280"/>
      <c r="P315" s="280"/>
      <c r="Q315" s="280"/>
      <c r="R315" s="292"/>
      <c r="S315" s="292"/>
      <c r="T315" s="292"/>
      <c r="U315" s="292"/>
      <c r="V315" s="292"/>
      <c r="W315" s="292"/>
      <c r="X315" s="374"/>
      <c r="Y315" s="374"/>
      <c r="Z315" s="374"/>
      <c r="AA315" s="373"/>
      <c r="AB315" s="283"/>
      <c r="AC315" s="280"/>
      <c r="AD315" s="280"/>
      <c r="AE315" s="280"/>
      <c r="AF315" s="280"/>
      <c r="AG315" s="280"/>
      <c r="AH315" s="280"/>
      <c r="AI315" s="280"/>
      <c r="AJ315" s="280"/>
      <c r="AK315" s="280"/>
      <c r="AL315" s="280"/>
      <c r="AM315" s="280"/>
      <c r="AN315" s="280"/>
      <c r="AO315" s="280"/>
      <c r="AP315" s="280"/>
      <c r="AQ315" s="280"/>
      <c r="AR315" s="280"/>
      <c r="AS315" s="280"/>
      <c r="AT315" s="280"/>
      <c r="AU315" s="280"/>
      <c r="AV315" s="280"/>
      <c r="AW315" s="280"/>
      <c r="AX315" s="280"/>
      <c r="AY315" s="280"/>
      <c r="AZ315" s="280"/>
      <c r="BA315" s="280"/>
      <c r="BB315" s="280"/>
      <c r="BC315" s="280"/>
      <c r="BD315" s="280"/>
      <c r="BE315" s="280"/>
      <c r="BF315" s="280"/>
      <c r="BG315" s="280"/>
      <c r="BH315" s="280"/>
      <c r="BI315" s="280"/>
      <c r="BJ315" s="280"/>
      <c r="BK315" s="280"/>
      <c r="BL315" s="280"/>
      <c r="BM315" s="280"/>
      <c r="BN315" s="280"/>
      <c r="BO315" s="280"/>
      <c r="BP315" s="280"/>
      <c r="BQ315" s="280"/>
      <c r="BR315" s="280"/>
      <c r="BS315" s="280"/>
      <c r="BT315" s="280"/>
      <c r="BU315" s="280"/>
      <c r="BV315" s="280"/>
    </row>
    <row r="316" spans="2:74" s="293" customFormat="1" x14ac:dyDescent="0.25">
      <c r="B316" s="280"/>
      <c r="C316" s="280"/>
      <c r="D316" s="280"/>
      <c r="E316" s="280"/>
      <c r="F316" s="280"/>
      <c r="G316" s="280"/>
      <c r="H316" s="280"/>
      <c r="I316" s="280"/>
      <c r="J316" s="280"/>
      <c r="K316" s="280"/>
      <c r="L316" s="283"/>
      <c r="M316" s="283"/>
      <c r="N316" s="280"/>
      <c r="O316" s="280"/>
      <c r="P316" s="280"/>
      <c r="Q316" s="280"/>
      <c r="R316" s="292"/>
      <c r="S316" s="292"/>
      <c r="T316" s="292"/>
      <c r="U316" s="292"/>
      <c r="V316" s="292"/>
      <c r="W316" s="292"/>
      <c r="X316" s="374"/>
      <c r="Y316" s="374"/>
      <c r="Z316" s="374"/>
      <c r="AA316" s="373"/>
      <c r="AB316" s="283"/>
      <c r="AC316" s="280"/>
      <c r="AD316" s="280"/>
      <c r="AE316" s="280"/>
      <c r="AF316" s="280"/>
      <c r="AG316" s="280"/>
      <c r="AH316" s="280"/>
      <c r="AI316" s="280"/>
      <c r="AJ316" s="280"/>
      <c r="AK316" s="280"/>
      <c r="AL316" s="280"/>
      <c r="AM316" s="280"/>
      <c r="AN316" s="280"/>
      <c r="AO316" s="280"/>
      <c r="AP316" s="280"/>
      <c r="AQ316" s="280"/>
      <c r="AR316" s="280"/>
      <c r="AS316" s="280"/>
      <c r="AT316" s="280"/>
      <c r="AU316" s="280"/>
      <c r="AV316" s="280"/>
      <c r="AW316" s="280"/>
      <c r="AX316" s="280"/>
      <c r="AY316" s="280"/>
      <c r="AZ316" s="280"/>
      <c r="BA316" s="280"/>
      <c r="BB316" s="280"/>
      <c r="BC316" s="280"/>
      <c r="BD316" s="280"/>
      <c r="BE316" s="280"/>
      <c r="BF316" s="280"/>
      <c r="BG316" s="280"/>
      <c r="BH316" s="280"/>
      <c r="BI316" s="280"/>
      <c r="BJ316" s="280"/>
      <c r="BK316" s="280"/>
      <c r="BL316" s="280"/>
      <c r="BM316" s="280"/>
      <c r="BN316" s="280"/>
      <c r="BO316" s="280"/>
      <c r="BP316" s="280"/>
      <c r="BQ316" s="280"/>
      <c r="BR316" s="280"/>
      <c r="BS316" s="280"/>
      <c r="BT316" s="280"/>
      <c r="BU316" s="280"/>
      <c r="BV316" s="280"/>
    </row>
    <row r="317" spans="2:74" s="293" customFormat="1" x14ac:dyDescent="0.25">
      <c r="B317" s="280"/>
      <c r="C317" s="280"/>
      <c r="D317" s="280"/>
      <c r="E317" s="280"/>
      <c r="F317" s="280"/>
      <c r="G317" s="280"/>
      <c r="H317" s="280"/>
      <c r="I317" s="280"/>
      <c r="J317" s="280"/>
      <c r="K317" s="280"/>
      <c r="L317" s="283"/>
      <c r="M317" s="283"/>
      <c r="N317" s="280"/>
      <c r="O317" s="280"/>
      <c r="P317" s="280"/>
      <c r="Q317" s="280"/>
      <c r="R317" s="292"/>
      <c r="S317" s="292"/>
      <c r="T317" s="292"/>
      <c r="U317" s="292"/>
      <c r="V317" s="292"/>
      <c r="W317" s="292"/>
      <c r="X317" s="374"/>
      <c r="Y317" s="374"/>
      <c r="Z317" s="374"/>
      <c r="AA317" s="373"/>
      <c r="AB317" s="283"/>
      <c r="AC317" s="280"/>
      <c r="AD317" s="280"/>
      <c r="AE317" s="280"/>
      <c r="AF317" s="280"/>
      <c r="AG317" s="280"/>
      <c r="AH317" s="280"/>
      <c r="AI317" s="280"/>
      <c r="AJ317" s="280"/>
      <c r="AK317" s="280"/>
      <c r="AL317" s="280"/>
      <c r="AM317" s="280"/>
      <c r="AN317" s="280"/>
      <c r="AO317" s="280"/>
      <c r="AP317" s="280"/>
      <c r="AQ317" s="280"/>
      <c r="AR317" s="280"/>
      <c r="AS317" s="280"/>
      <c r="AT317" s="280"/>
      <c r="AU317" s="280"/>
      <c r="AV317" s="280"/>
      <c r="AW317" s="280"/>
      <c r="AX317" s="280"/>
      <c r="AY317" s="280"/>
      <c r="AZ317" s="280"/>
      <c r="BA317" s="280"/>
      <c r="BB317" s="280"/>
      <c r="BC317" s="280"/>
      <c r="BD317" s="280"/>
      <c r="BE317" s="280"/>
      <c r="BF317" s="280"/>
      <c r="BG317" s="280"/>
      <c r="BH317" s="280"/>
      <c r="BI317" s="280"/>
      <c r="BJ317" s="280"/>
      <c r="BK317" s="280"/>
      <c r="BL317" s="280"/>
      <c r="BM317" s="280"/>
      <c r="BN317" s="280"/>
      <c r="BO317" s="280"/>
      <c r="BP317" s="280"/>
      <c r="BQ317" s="280"/>
      <c r="BR317" s="280"/>
      <c r="BS317" s="280"/>
      <c r="BT317" s="280"/>
      <c r="BU317" s="280"/>
      <c r="BV317" s="280"/>
    </row>
    <row r="318" spans="2:74" s="293" customFormat="1" x14ac:dyDescent="0.25">
      <c r="B318" s="280"/>
      <c r="C318" s="280"/>
      <c r="D318" s="280"/>
      <c r="E318" s="280"/>
      <c r="F318" s="280"/>
      <c r="G318" s="280"/>
      <c r="H318" s="280"/>
      <c r="I318" s="280"/>
      <c r="J318" s="280"/>
      <c r="K318" s="280"/>
      <c r="L318" s="283"/>
      <c r="M318" s="283"/>
      <c r="N318" s="280"/>
      <c r="O318" s="280"/>
      <c r="P318" s="280"/>
      <c r="Q318" s="280"/>
      <c r="R318" s="292"/>
      <c r="S318" s="292"/>
      <c r="T318" s="292"/>
      <c r="U318" s="292"/>
      <c r="V318" s="292"/>
      <c r="W318" s="292"/>
      <c r="X318" s="374"/>
      <c r="Y318" s="374"/>
      <c r="Z318" s="374"/>
      <c r="AA318" s="373"/>
      <c r="AB318" s="283"/>
      <c r="AC318" s="280"/>
      <c r="AD318" s="280"/>
      <c r="AE318" s="280"/>
      <c r="AF318" s="280"/>
      <c r="AG318" s="280"/>
      <c r="AH318" s="280"/>
      <c r="AI318" s="280"/>
      <c r="AJ318" s="280"/>
      <c r="AK318" s="280"/>
      <c r="AL318" s="280"/>
      <c r="AM318" s="280"/>
      <c r="AN318" s="280"/>
      <c r="AO318" s="280"/>
      <c r="AP318" s="280"/>
      <c r="AQ318" s="280"/>
      <c r="AR318" s="280"/>
      <c r="AS318" s="280"/>
      <c r="AT318" s="280"/>
      <c r="AU318" s="280"/>
      <c r="AV318" s="280"/>
      <c r="AW318" s="280"/>
      <c r="AX318" s="280"/>
      <c r="AY318" s="280"/>
      <c r="AZ318" s="280"/>
      <c r="BA318" s="280"/>
      <c r="BB318" s="280"/>
      <c r="BC318" s="280"/>
      <c r="BD318" s="280"/>
      <c r="BE318" s="280"/>
      <c r="BF318" s="280"/>
      <c r="BG318" s="280"/>
      <c r="BH318" s="280"/>
      <c r="BI318" s="280"/>
      <c r="BJ318" s="280"/>
      <c r="BK318" s="280"/>
      <c r="BL318" s="280"/>
      <c r="BM318" s="280"/>
      <c r="BN318" s="280"/>
      <c r="BO318" s="280"/>
      <c r="BP318" s="280"/>
      <c r="BQ318" s="280"/>
      <c r="BR318" s="280"/>
      <c r="BS318" s="280"/>
      <c r="BT318" s="280"/>
      <c r="BU318" s="280"/>
      <c r="BV318" s="280"/>
    </row>
    <row r="319" spans="2:74" s="293" customFormat="1" x14ac:dyDescent="0.25">
      <c r="B319" s="280"/>
      <c r="C319" s="280"/>
      <c r="D319" s="280"/>
      <c r="E319" s="280"/>
      <c r="F319" s="280"/>
      <c r="G319" s="280"/>
      <c r="H319" s="280"/>
      <c r="I319" s="280"/>
      <c r="J319" s="280"/>
      <c r="K319" s="280"/>
      <c r="L319" s="283"/>
      <c r="M319" s="283"/>
      <c r="N319" s="280"/>
      <c r="O319" s="280"/>
      <c r="P319" s="280"/>
      <c r="Q319" s="280"/>
      <c r="R319" s="292"/>
      <c r="S319" s="292"/>
      <c r="T319" s="292"/>
      <c r="U319" s="292"/>
      <c r="V319" s="292"/>
      <c r="W319" s="292"/>
      <c r="X319" s="374"/>
      <c r="Y319" s="374"/>
      <c r="Z319" s="374"/>
      <c r="AA319" s="373"/>
      <c r="AB319" s="283"/>
      <c r="AC319" s="280"/>
      <c r="AD319" s="280"/>
      <c r="AE319" s="280"/>
      <c r="AF319" s="280"/>
      <c r="AG319" s="280"/>
      <c r="AH319" s="280"/>
      <c r="AI319" s="280"/>
      <c r="AJ319" s="280"/>
      <c r="AK319" s="280"/>
      <c r="AL319" s="280"/>
      <c r="AM319" s="280"/>
      <c r="AN319" s="280"/>
      <c r="AO319" s="280"/>
      <c r="AP319" s="280"/>
      <c r="AQ319" s="280"/>
      <c r="AR319" s="280"/>
      <c r="AS319" s="280"/>
      <c r="AT319" s="280"/>
      <c r="AU319" s="280"/>
      <c r="AV319" s="280"/>
      <c r="AW319" s="280"/>
      <c r="AX319" s="280"/>
      <c r="AY319" s="280"/>
      <c r="AZ319" s="280"/>
      <c r="BA319" s="280"/>
      <c r="BB319" s="280"/>
      <c r="BC319" s="280"/>
      <c r="BD319" s="280"/>
      <c r="BE319" s="280"/>
      <c r="BF319" s="280"/>
      <c r="BG319" s="280"/>
      <c r="BH319" s="280"/>
      <c r="BI319" s="280"/>
      <c r="BJ319" s="280"/>
      <c r="BK319" s="280"/>
      <c r="BL319" s="280"/>
      <c r="BM319" s="280"/>
      <c r="BN319" s="280"/>
      <c r="BO319" s="280"/>
      <c r="BP319" s="280"/>
      <c r="BQ319" s="280"/>
      <c r="BR319" s="280"/>
      <c r="BS319" s="280"/>
      <c r="BT319" s="280"/>
      <c r="BU319" s="280"/>
      <c r="BV319" s="280"/>
    </row>
    <row r="320" spans="2:74" s="293" customFormat="1" x14ac:dyDescent="0.25">
      <c r="B320" s="280"/>
      <c r="C320" s="280"/>
      <c r="D320" s="280"/>
      <c r="E320" s="280"/>
      <c r="F320" s="280"/>
      <c r="G320" s="280"/>
      <c r="H320" s="280"/>
      <c r="I320" s="280"/>
      <c r="J320" s="280"/>
      <c r="K320" s="280"/>
      <c r="L320" s="283"/>
      <c r="M320" s="283"/>
      <c r="N320" s="280"/>
      <c r="O320" s="280"/>
      <c r="P320" s="280"/>
      <c r="Q320" s="280"/>
      <c r="R320" s="292"/>
      <c r="S320" s="292"/>
      <c r="T320" s="292"/>
      <c r="U320" s="292"/>
      <c r="V320" s="292"/>
      <c r="W320" s="292"/>
      <c r="X320" s="374"/>
      <c r="Y320" s="374"/>
      <c r="Z320" s="374"/>
      <c r="AA320" s="373"/>
      <c r="AB320" s="283"/>
      <c r="AC320" s="280"/>
      <c r="AD320" s="280"/>
      <c r="AE320" s="280"/>
      <c r="AF320" s="280"/>
      <c r="AG320" s="280"/>
      <c r="AH320" s="280"/>
      <c r="AI320" s="280"/>
      <c r="AJ320" s="280"/>
      <c r="AK320" s="280"/>
      <c r="AL320" s="280"/>
      <c r="AM320" s="280"/>
      <c r="AN320" s="280"/>
      <c r="AO320" s="280"/>
      <c r="AP320" s="280"/>
      <c r="AQ320" s="280"/>
      <c r="AR320" s="280"/>
      <c r="AS320" s="280"/>
      <c r="AT320" s="280"/>
      <c r="AU320" s="280"/>
      <c r="AV320" s="280"/>
      <c r="AW320" s="280"/>
      <c r="AX320" s="280"/>
      <c r="AY320" s="280"/>
      <c r="AZ320" s="280"/>
      <c r="BA320" s="280"/>
      <c r="BB320" s="280"/>
      <c r="BC320" s="280"/>
      <c r="BD320" s="280"/>
      <c r="BE320" s="280"/>
      <c r="BF320" s="280"/>
      <c r="BG320" s="280"/>
      <c r="BH320" s="280"/>
      <c r="BI320" s="280"/>
      <c r="BJ320" s="280"/>
      <c r="BK320" s="280"/>
      <c r="BL320" s="280"/>
      <c r="BM320" s="280"/>
      <c r="BN320" s="280"/>
      <c r="BO320" s="280"/>
      <c r="BP320" s="280"/>
      <c r="BQ320" s="280"/>
      <c r="BR320" s="280"/>
      <c r="BS320" s="280"/>
      <c r="BT320" s="280"/>
      <c r="BU320" s="280"/>
      <c r="BV320" s="280"/>
    </row>
    <row r="321" spans="2:74" s="293" customFormat="1" x14ac:dyDescent="0.25">
      <c r="B321" s="280"/>
      <c r="C321" s="280"/>
      <c r="D321" s="280"/>
      <c r="E321" s="280"/>
      <c r="F321" s="280"/>
      <c r="G321" s="280"/>
      <c r="H321" s="280"/>
      <c r="I321" s="280"/>
      <c r="J321" s="280"/>
      <c r="K321" s="280"/>
      <c r="L321" s="283"/>
      <c r="M321" s="283"/>
      <c r="N321" s="280"/>
      <c r="O321" s="280"/>
      <c r="P321" s="280"/>
      <c r="Q321" s="280"/>
      <c r="R321" s="292"/>
      <c r="S321" s="292"/>
      <c r="T321" s="292"/>
      <c r="U321" s="292"/>
      <c r="V321" s="292"/>
      <c r="W321" s="292"/>
      <c r="X321" s="374"/>
      <c r="Y321" s="374"/>
      <c r="Z321" s="374"/>
      <c r="AA321" s="373"/>
      <c r="AB321" s="283"/>
      <c r="AC321" s="280"/>
      <c r="AD321" s="280"/>
      <c r="AE321" s="280"/>
      <c r="AF321" s="280"/>
      <c r="AG321" s="280"/>
      <c r="AH321" s="280"/>
      <c r="AI321" s="280"/>
      <c r="AJ321" s="280"/>
      <c r="AK321" s="280"/>
      <c r="AL321" s="280"/>
      <c r="AM321" s="280"/>
      <c r="AN321" s="280"/>
      <c r="AO321" s="280"/>
      <c r="AP321" s="280"/>
      <c r="AQ321" s="280"/>
      <c r="AR321" s="280"/>
      <c r="AS321" s="280"/>
      <c r="AT321" s="280"/>
      <c r="AU321" s="280"/>
      <c r="AV321" s="280"/>
      <c r="AW321" s="280"/>
      <c r="AX321" s="280"/>
      <c r="AY321" s="280"/>
      <c r="AZ321" s="280"/>
      <c r="BA321" s="280"/>
      <c r="BB321" s="280"/>
      <c r="BC321" s="280"/>
      <c r="BD321" s="280"/>
      <c r="BE321" s="280"/>
      <c r="BF321" s="280"/>
      <c r="BG321" s="280"/>
      <c r="BH321" s="280"/>
      <c r="BI321" s="280"/>
      <c r="BJ321" s="280"/>
      <c r="BK321" s="280"/>
      <c r="BL321" s="280"/>
      <c r="BM321" s="280"/>
      <c r="BN321" s="280"/>
      <c r="BO321" s="280"/>
      <c r="BP321" s="280"/>
      <c r="BQ321" s="280"/>
      <c r="BR321" s="280"/>
      <c r="BS321" s="280"/>
      <c r="BT321" s="280"/>
      <c r="BU321" s="280"/>
      <c r="BV321" s="280"/>
    </row>
    <row r="322" spans="2:74" s="293" customFormat="1" x14ac:dyDescent="0.25">
      <c r="B322" s="280"/>
      <c r="C322" s="280"/>
      <c r="D322" s="280"/>
      <c r="E322" s="280"/>
      <c r="F322" s="280"/>
      <c r="G322" s="280"/>
      <c r="H322" s="280"/>
      <c r="I322" s="280"/>
      <c r="J322" s="280"/>
      <c r="K322" s="280"/>
      <c r="L322" s="283"/>
      <c r="M322" s="283"/>
      <c r="N322" s="280"/>
      <c r="O322" s="280"/>
      <c r="P322" s="280"/>
      <c r="Q322" s="280"/>
      <c r="R322" s="292"/>
      <c r="S322" s="292"/>
      <c r="T322" s="292"/>
      <c r="U322" s="292"/>
      <c r="V322" s="292"/>
      <c r="W322" s="292"/>
      <c r="X322" s="374"/>
      <c r="Y322" s="374"/>
      <c r="Z322" s="374"/>
      <c r="AA322" s="373"/>
      <c r="AB322" s="283"/>
      <c r="AC322" s="280"/>
      <c r="AD322" s="280"/>
      <c r="AE322" s="280"/>
      <c r="AF322" s="280"/>
      <c r="AG322" s="280"/>
      <c r="AH322" s="280"/>
      <c r="AI322" s="280"/>
      <c r="AJ322" s="280"/>
      <c r="AK322" s="280"/>
      <c r="AL322" s="280"/>
      <c r="AM322" s="280"/>
      <c r="AN322" s="280"/>
      <c r="AO322" s="280"/>
      <c r="AP322" s="280"/>
      <c r="AQ322" s="280"/>
      <c r="AR322" s="280"/>
      <c r="AS322" s="280"/>
      <c r="AT322" s="280"/>
      <c r="AU322" s="280"/>
      <c r="AV322" s="280"/>
      <c r="AW322" s="280"/>
      <c r="AX322" s="280"/>
      <c r="AY322" s="280"/>
      <c r="AZ322" s="280"/>
      <c r="BA322" s="280"/>
      <c r="BB322" s="280"/>
      <c r="BC322" s="280"/>
      <c r="BD322" s="280"/>
      <c r="BE322" s="280"/>
      <c r="BF322" s="280"/>
      <c r="BG322" s="280"/>
      <c r="BH322" s="280"/>
      <c r="BI322" s="280"/>
      <c r="BJ322" s="280"/>
      <c r="BK322" s="280"/>
      <c r="BL322" s="280"/>
      <c r="BM322" s="280"/>
      <c r="BN322" s="280"/>
      <c r="BO322" s="280"/>
      <c r="BP322" s="280"/>
      <c r="BQ322" s="280"/>
      <c r="BR322" s="280"/>
      <c r="BS322" s="280"/>
      <c r="BT322" s="280"/>
      <c r="BU322" s="280"/>
      <c r="BV322" s="280"/>
    </row>
    <row r="323" spans="2:74" s="293" customFormat="1" x14ac:dyDescent="0.25">
      <c r="B323" s="280"/>
      <c r="C323" s="280"/>
      <c r="D323" s="280"/>
      <c r="E323" s="280"/>
      <c r="F323" s="280"/>
      <c r="G323" s="280"/>
      <c r="H323" s="280"/>
      <c r="I323" s="280"/>
      <c r="J323" s="280"/>
      <c r="K323" s="280"/>
      <c r="L323" s="283"/>
      <c r="M323" s="283"/>
      <c r="N323" s="280"/>
      <c r="O323" s="280"/>
      <c r="P323" s="280"/>
      <c r="Q323" s="280"/>
      <c r="R323" s="292"/>
      <c r="S323" s="292"/>
      <c r="T323" s="292"/>
      <c r="U323" s="292"/>
      <c r="V323" s="292"/>
      <c r="W323" s="292"/>
      <c r="X323" s="374"/>
      <c r="Y323" s="374"/>
      <c r="Z323" s="374"/>
      <c r="AA323" s="373"/>
      <c r="AB323" s="283"/>
      <c r="AC323" s="280"/>
      <c r="AD323" s="280"/>
      <c r="AE323" s="280"/>
      <c r="AF323" s="280"/>
      <c r="AG323" s="280"/>
      <c r="AH323" s="280"/>
      <c r="AI323" s="280"/>
      <c r="AJ323" s="280"/>
      <c r="AK323" s="280"/>
      <c r="AL323" s="280"/>
      <c r="AM323" s="280"/>
      <c r="AN323" s="280"/>
      <c r="AO323" s="280"/>
      <c r="AP323" s="280"/>
      <c r="AQ323" s="280"/>
      <c r="AR323" s="280"/>
      <c r="AS323" s="280"/>
      <c r="AT323" s="280"/>
      <c r="AU323" s="280"/>
      <c r="AV323" s="280"/>
      <c r="AW323" s="280"/>
      <c r="AX323" s="280"/>
      <c r="AY323" s="280"/>
      <c r="AZ323" s="280"/>
      <c r="BA323" s="280"/>
      <c r="BB323" s="280"/>
      <c r="BC323" s="280"/>
      <c r="BD323" s="280"/>
      <c r="BE323" s="280"/>
      <c r="BF323" s="280"/>
      <c r="BG323" s="280"/>
      <c r="BH323" s="280"/>
      <c r="BI323" s="280"/>
      <c r="BJ323" s="280"/>
      <c r="BK323" s="280"/>
      <c r="BL323" s="280"/>
      <c r="BM323" s="280"/>
      <c r="BN323" s="280"/>
      <c r="BO323" s="280"/>
      <c r="BP323" s="280"/>
      <c r="BQ323" s="280"/>
      <c r="BR323" s="280"/>
      <c r="BS323" s="280"/>
      <c r="BT323" s="280"/>
      <c r="BU323" s="280"/>
      <c r="BV323" s="280"/>
    </row>
    <row r="324" spans="2:74" s="293" customFormat="1" x14ac:dyDescent="0.25">
      <c r="B324" s="280"/>
      <c r="C324" s="280"/>
      <c r="D324" s="280"/>
      <c r="E324" s="280"/>
      <c r="F324" s="280"/>
      <c r="G324" s="280"/>
      <c r="H324" s="280"/>
      <c r="I324" s="280"/>
      <c r="J324" s="280"/>
      <c r="K324" s="280"/>
      <c r="L324" s="283"/>
      <c r="M324" s="283"/>
      <c r="N324" s="280"/>
      <c r="O324" s="280"/>
      <c r="P324" s="280"/>
      <c r="Q324" s="280"/>
      <c r="R324" s="292"/>
      <c r="S324" s="292"/>
      <c r="T324" s="292"/>
      <c r="U324" s="292"/>
      <c r="V324" s="292"/>
      <c r="W324" s="292"/>
      <c r="X324" s="374"/>
      <c r="Y324" s="374"/>
      <c r="Z324" s="374"/>
      <c r="AA324" s="373"/>
      <c r="AB324" s="283"/>
      <c r="AC324" s="280"/>
      <c r="AD324" s="280"/>
      <c r="AE324" s="280"/>
      <c r="AF324" s="280"/>
      <c r="AG324" s="280"/>
      <c r="AH324" s="280"/>
      <c r="AI324" s="280"/>
      <c r="AJ324" s="280"/>
      <c r="AK324" s="280"/>
      <c r="AL324" s="280"/>
      <c r="AM324" s="280"/>
      <c r="AN324" s="280"/>
      <c r="AO324" s="280"/>
      <c r="AP324" s="280"/>
      <c r="AQ324" s="280"/>
      <c r="AR324" s="280"/>
      <c r="AS324" s="280"/>
      <c r="AT324" s="280"/>
      <c r="AU324" s="280"/>
      <c r="AV324" s="280"/>
      <c r="AW324" s="280"/>
      <c r="AX324" s="280"/>
      <c r="AY324" s="280"/>
      <c r="AZ324" s="280"/>
      <c r="BA324" s="280"/>
      <c r="BB324" s="280"/>
      <c r="BC324" s="280"/>
      <c r="BD324" s="280"/>
      <c r="BE324" s="280"/>
      <c r="BF324" s="280"/>
      <c r="BG324" s="280"/>
      <c r="BH324" s="280"/>
      <c r="BI324" s="280"/>
      <c r="BJ324" s="280"/>
      <c r="BK324" s="280"/>
      <c r="BL324" s="280"/>
      <c r="BM324" s="280"/>
      <c r="BN324" s="280"/>
      <c r="BO324" s="280"/>
      <c r="BP324" s="280"/>
      <c r="BQ324" s="280"/>
      <c r="BR324" s="280"/>
      <c r="BS324" s="280"/>
      <c r="BT324" s="280"/>
      <c r="BU324" s="280"/>
      <c r="BV324" s="280"/>
    </row>
    <row r="325" spans="2:74" s="293" customFormat="1" x14ac:dyDescent="0.25">
      <c r="B325" s="280"/>
      <c r="C325" s="280"/>
      <c r="D325" s="280"/>
      <c r="E325" s="280"/>
      <c r="F325" s="280"/>
      <c r="G325" s="280"/>
      <c r="H325" s="280"/>
      <c r="I325" s="280"/>
      <c r="J325" s="280"/>
      <c r="K325" s="280"/>
      <c r="L325" s="283"/>
      <c r="M325" s="283"/>
      <c r="N325" s="280"/>
      <c r="O325" s="280"/>
      <c r="P325" s="280"/>
      <c r="Q325" s="280"/>
      <c r="R325" s="292"/>
      <c r="S325" s="292"/>
      <c r="T325" s="292"/>
      <c r="U325" s="292"/>
      <c r="V325" s="292"/>
      <c r="W325" s="292"/>
      <c r="X325" s="374"/>
      <c r="Y325" s="374"/>
      <c r="Z325" s="374"/>
      <c r="AA325" s="373"/>
      <c r="AB325" s="283"/>
      <c r="AC325" s="280"/>
      <c r="AD325" s="280"/>
      <c r="AE325" s="280"/>
      <c r="AF325" s="280"/>
      <c r="AG325" s="280"/>
      <c r="AH325" s="280"/>
      <c r="AI325" s="280"/>
      <c r="AJ325" s="280"/>
      <c r="AK325" s="280"/>
      <c r="AL325" s="280"/>
      <c r="AM325" s="280"/>
      <c r="AN325" s="280"/>
      <c r="AO325" s="280"/>
      <c r="AP325" s="280"/>
      <c r="AQ325" s="280"/>
      <c r="AR325" s="280"/>
      <c r="AS325" s="280"/>
      <c r="AT325" s="280"/>
      <c r="AU325" s="280"/>
      <c r="AV325" s="280"/>
      <c r="AW325" s="280"/>
      <c r="AX325" s="280"/>
      <c r="AY325" s="280"/>
      <c r="AZ325" s="280"/>
      <c r="BA325" s="280"/>
      <c r="BB325" s="280"/>
      <c r="BC325" s="280"/>
      <c r="BD325" s="280"/>
      <c r="BE325" s="280"/>
      <c r="BF325" s="280"/>
      <c r="BG325" s="280"/>
      <c r="BH325" s="280"/>
      <c r="BI325" s="280"/>
      <c r="BJ325" s="280"/>
      <c r="BK325" s="280"/>
      <c r="BL325" s="280"/>
      <c r="BM325" s="280"/>
      <c r="BN325" s="280"/>
      <c r="BO325" s="280"/>
      <c r="BP325" s="280"/>
      <c r="BQ325" s="280"/>
      <c r="BR325" s="280"/>
      <c r="BS325" s="280"/>
      <c r="BT325" s="280"/>
      <c r="BU325" s="280"/>
      <c r="BV325" s="280"/>
    </row>
    <row r="326" spans="2:74" s="293" customFormat="1" x14ac:dyDescent="0.25">
      <c r="B326" s="280"/>
      <c r="C326" s="280"/>
      <c r="D326" s="280"/>
      <c r="E326" s="280"/>
      <c r="F326" s="280"/>
      <c r="G326" s="280"/>
      <c r="H326" s="280"/>
      <c r="I326" s="280"/>
      <c r="J326" s="280"/>
      <c r="K326" s="280"/>
      <c r="L326" s="283"/>
      <c r="M326" s="283"/>
      <c r="N326" s="280"/>
      <c r="O326" s="280"/>
      <c r="P326" s="280"/>
      <c r="Q326" s="280"/>
      <c r="R326" s="292"/>
      <c r="S326" s="292"/>
      <c r="T326" s="292"/>
      <c r="U326" s="292"/>
      <c r="V326" s="292"/>
      <c r="W326" s="292"/>
      <c r="X326" s="374"/>
      <c r="Y326" s="374"/>
      <c r="Z326" s="374"/>
      <c r="AA326" s="373"/>
      <c r="AB326" s="283"/>
      <c r="AC326" s="280"/>
      <c r="AD326" s="280"/>
      <c r="AE326" s="280"/>
      <c r="AF326" s="280"/>
      <c r="AG326" s="280"/>
      <c r="AH326" s="280"/>
      <c r="AI326" s="280"/>
      <c r="AJ326" s="280"/>
      <c r="AK326" s="280"/>
      <c r="AL326" s="280"/>
      <c r="AM326" s="280"/>
      <c r="AN326" s="280"/>
      <c r="AO326" s="280"/>
      <c r="AP326" s="280"/>
      <c r="AQ326" s="280"/>
      <c r="AR326" s="280"/>
      <c r="AS326" s="280"/>
      <c r="AT326" s="280"/>
      <c r="AU326" s="280"/>
      <c r="AV326" s="280"/>
      <c r="AW326" s="280"/>
      <c r="AX326" s="280"/>
      <c r="AY326" s="280"/>
      <c r="AZ326" s="280"/>
      <c r="BA326" s="280"/>
      <c r="BB326" s="280"/>
      <c r="BC326" s="280"/>
      <c r="BD326" s="280"/>
      <c r="BE326" s="280"/>
      <c r="BF326" s="280"/>
      <c r="BG326" s="280"/>
      <c r="BH326" s="280"/>
      <c r="BI326" s="280"/>
      <c r="BJ326" s="280"/>
      <c r="BK326" s="280"/>
      <c r="BL326" s="280"/>
      <c r="BM326" s="280"/>
      <c r="BN326" s="280"/>
      <c r="BO326" s="280"/>
      <c r="BP326" s="280"/>
      <c r="BQ326" s="280"/>
      <c r="BR326" s="280"/>
      <c r="BS326" s="280"/>
      <c r="BT326" s="280"/>
      <c r="BU326" s="280"/>
      <c r="BV326" s="280"/>
    </row>
    <row r="327" spans="2:74" s="293" customFormat="1" x14ac:dyDescent="0.25">
      <c r="B327" s="280"/>
      <c r="C327" s="280"/>
      <c r="D327" s="280"/>
      <c r="E327" s="280"/>
      <c r="F327" s="280"/>
      <c r="G327" s="280"/>
      <c r="H327" s="280"/>
      <c r="I327" s="280"/>
      <c r="J327" s="280"/>
      <c r="K327" s="280"/>
      <c r="L327" s="283"/>
      <c r="M327" s="283"/>
      <c r="N327" s="280"/>
      <c r="O327" s="280"/>
      <c r="P327" s="280"/>
      <c r="Q327" s="280"/>
      <c r="R327" s="292"/>
      <c r="S327" s="292"/>
      <c r="T327" s="292"/>
      <c r="U327" s="292"/>
      <c r="V327" s="292"/>
      <c r="W327" s="292"/>
      <c r="X327" s="374"/>
      <c r="Y327" s="374"/>
      <c r="Z327" s="374"/>
      <c r="AA327" s="373"/>
      <c r="AB327" s="283"/>
      <c r="AC327" s="280"/>
      <c r="AD327" s="280"/>
      <c r="AE327" s="280"/>
      <c r="AF327" s="280"/>
      <c r="AG327" s="280"/>
      <c r="AH327" s="280"/>
      <c r="AI327" s="280"/>
      <c r="AJ327" s="280"/>
      <c r="AK327" s="280"/>
      <c r="AL327" s="280"/>
      <c r="AM327" s="280"/>
      <c r="AN327" s="280"/>
      <c r="AO327" s="280"/>
      <c r="AP327" s="280"/>
      <c r="AQ327" s="280"/>
      <c r="AR327" s="280"/>
      <c r="AS327" s="280"/>
      <c r="AT327" s="280"/>
      <c r="AU327" s="280"/>
      <c r="AV327" s="280"/>
      <c r="AW327" s="280"/>
      <c r="AX327" s="280"/>
      <c r="AY327" s="280"/>
      <c r="AZ327" s="280"/>
      <c r="BA327" s="280"/>
      <c r="BB327" s="280"/>
      <c r="BC327" s="280"/>
      <c r="BD327" s="280"/>
      <c r="BE327" s="280"/>
      <c r="BF327" s="280"/>
      <c r="BG327" s="280"/>
      <c r="BH327" s="280"/>
      <c r="BI327" s="280"/>
      <c r="BJ327" s="280"/>
      <c r="BK327" s="280"/>
      <c r="BL327" s="280"/>
      <c r="BM327" s="280"/>
      <c r="BN327" s="280"/>
      <c r="BO327" s="280"/>
      <c r="BP327" s="280"/>
      <c r="BQ327" s="280"/>
      <c r="BR327" s="280"/>
      <c r="BS327" s="280"/>
      <c r="BT327" s="280"/>
      <c r="BU327" s="280"/>
      <c r="BV327" s="280"/>
    </row>
    <row r="328" spans="2:74" s="293" customFormat="1" x14ac:dyDescent="0.25">
      <c r="B328" s="280"/>
      <c r="C328" s="280"/>
      <c r="D328" s="280"/>
      <c r="E328" s="280"/>
      <c r="F328" s="280"/>
      <c r="G328" s="280"/>
      <c r="H328" s="280"/>
      <c r="I328" s="280"/>
      <c r="J328" s="280"/>
      <c r="K328" s="280"/>
      <c r="L328" s="283"/>
      <c r="M328" s="283"/>
      <c r="N328" s="280"/>
      <c r="O328" s="280"/>
      <c r="P328" s="280"/>
      <c r="Q328" s="280"/>
      <c r="R328" s="292"/>
      <c r="S328" s="292"/>
      <c r="T328" s="292"/>
      <c r="U328" s="292"/>
      <c r="V328" s="292"/>
      <c r="W328" s="292"/>
      <c r="X328" s="374"/>
      <c r="Y328" s="374"/>
      <c r="Z328" s="374"/>
      <c r="AA328" s="373"/>
      <c r="AB328" s="283"/>
      <c r="AC328" s="280"/>
      <c r="AD328" s="280"/>
      <c r="AE328" s="280"/>
      <c r="AF328" s="280"/>
      <c r="AG328" s="280"/>
      <c r="AH328" s="280"/>
      <c r="AI328" s="280"/>
      <c r="AJ328" s="280"/>
      <c r="AK328" s="280"/>
      <c r="AL328" s="280"/>
      <c r="AM328" s="280"/>
      <c r="AN328" s="280"/>
      <c r="AO328" s="280"/>
      <c r="AP328" s="280"/>
      <c r="AQ328" s="280"/>
      <c r="AR328" s="280"/>
      <c r="AS328" s="280"/>
      <c r="AT328" s="280"/>
      <c r="AU328" s="280"/>
      <c r="AV328" s="280"/>
      <c r="AW328" s="280"/>
      <c r="AX328" s="280"/>
      <c r="AY328" s="280"/>
      <c r="AZ328" s="280"/>
      <c r="BA328" s="280"/>
      <c r="BB328" s="280"/>
      <c r="BC328" s="280"/>
      <c r="BD328" s="280"/>
      <c r="BE328" s="280"/>
      <c r="BF328" s="280"/>
      <c r="BG328" s="280"/>
      <c r="BH328" s="280"/>
      <c r="BI328" s="280"/>
      <c r="BJ328" s="280"/>
      <c r="BK328" s="280"/>
      <c r="BL328" s="280"/>
      <c r="BM328" s="280"/>
      <c r="BN328" s="280"/>
      <c r="BO328" s="280"/>
      <c r="BP328" s="280"/>
      <c r="BQ328" s="280"/>
      <c r="BR328" s="280"/>
      <c r="BS328" s="280"/>
      <c r="BT328" s="280"/>
      <c r="BU328" s="280"/>
      <c r="BV328" s="280"/>
    </row>
    <row r="329" spans="2:74" s="293" customFormat="1" x14ac:dyDescent="0.25">
      <c r="B329" s="280"/>
      <c r="C329" s="280"/>
      <c r="D329" s="280"/>
      <c r="E329" s="280"/>
      <c r="F329" s="280"/>
      <c r="G329" s="280"/>
      <c r="H329" s="280"/>
      <c r="I329" s="280"/>
      <c r="J329" s="280"/>
      <c r="K329" s="280"/>
      <c r="L329" s="283"/>
      <c r="M329" s="283"/>
      <c r="N329" s="280"/>
      <c r="O329" s="280"/>
      <c r="P329" s="280"/>
      <c r="Q329" s="280"/>
      <c r="R329" s="292"/>
      <c r="S329" s="292"/>
      <c r="T329" s="292"/>
      <c r="U329" s="292"/>
      <c r="V329" s="292"/>
      <c r="W329" s="292"/>
      <c r="X329" s="374"/>
      <c r="Y329" s="374"/>
      <c r="Z329" s="374"/>
      <c r="AA329" s="373"/>
      <c r="AB329" s="283"/>
      <c r="AC329" s="280"/>
      <c r="AD329" s="280"/>
      <c r="AE329" s="280"/>
      <c r="AF329" s="280"/>
      <c r="AG329" s="280"/>
      <c r="AH329" s="280"/>
      <c r="AI329" s="280"/>
      <c r="AJ329" s="280"/>
      <c r="AK329" s="280"/>
      <c r="AL329" s="280"/>
      <c r="AM329" s="280"/>
      <c r="AN329" s="280"/>
      <c r="AO329" s="280"/>
      <c r="AP329" s="280"/>
      <c r="AQ329" s="280"/>
      <c r="AR329" s="280"/>
      <c r="AS329" s="280"/>
      <c r="AT329" s="280"/>
      <c r="AU329" s="280"/>
      <c r="AV329" s="280"/>
      <c r="AW329" s="280"/>
      <c r="AX329" s="280"/>
      <c r="AY329" s="280"/>
      <c r="AZ329" s="280"/>
      <c r="BA329" s="280"/>
      <c r="BB329" s="280"/>
      <c r="BC329" s="280"/>
      <c r="BD329" s="280"/>
      <c r="BE329" s="280"/>
      <c r="BF329" s="280"/>
      <c r="BG329" s="280"/>
      <c r="BH329" s="280"/>
      <c r="BI329" s="280"/>
      <c r="BJ329" s="280"/>
      <c r="BK329" s="280"/>
      <c r="BL329" s="280"/>
      <c r="BM329" s="280"/>
      <c r="BN329" s="280"/>
      <c r="BO329" s="280"/>
      <c r="BP329" s="280"/>
      <c r="BQ329" s="280"/>
      <c r="BR329" s="280"/>
      <c r="BS329" s="280"/>
      <c r="BT329" s="280"/>
      <c r="BU329" s="280"/>
      <c r="BV329" s="280"/>
    </row>
    <row r="330" spans="2:74" s="293" customFormat="1" x14ac:dyDescent="0.25">
      <c r="B330" s="280"/>
      <c r="C330" s="280"/>
      <c r="D330" s="280"/>
      <c r="E330" s="280"/>
      <c r="F330" s="280"/>
      <c r="G330" s="280"/>
      <c r="H330" s="280"/>
      <c r="I330" s="280"/>
      <c r="J330" s="280"/>
      <c r="K330" s="280"/>
      <c r="L330" s="283"/>
      <c r="M330" s="283"/>
      <c r="N330" s="280"/>
      <c r="O330" s="280"/>
      <c r="P330" s="280"/>
      <c r="Q330" s="280"/>
      <c r="R330" s="292"/>
      <c r="S330" s="292"/>
      <c r="T330" s="292"/>
      <c r="U330" s="292"/>
      <c r="V330" s="292"/>
      <c r="W330" s="292"/>
      <c r="X330" s="374"/>
      <c r="Y330" s="374"/>
      <c r="Z330" s="374"/>
      <c r="AA330" s="373"/>
      <c r="AB330" s="283"/>
      <c r="AC330" s="280"/>
      <c r="AD330" s="280"/>
      <c r="AE330" s="280"/>
      <c r="AF330" s="280"/>
      <c r="AG330" s="280"/>
      <c r="AH330" s="280"/>
      <c r="AI330" s="280"/>
      <c r="AJ330" s="280"/>
      <c r="AK330" s="280"/>
      <c r="AL330" s="280"/>
      <c r="AM330" s="280"/>
      <c r="AN330" s="280"/>
      <c r="AO330" s="280"/>
      <c r="AP330" s="280"/>
      <c r="AQ330" s="280"/>
      <c r="AR330" s="280"/>
      <c r="AS330" s="280"/>
      <c r="AT330" s="280"/>
      <c r="AU330" s="280"/>
      <c r="AV330" s="280"/>
      <c r="AW330" s="280"/>
      <c r="AX330" s="280"/>
      <c r="AY330" s="280"/>
      <c r="AZ330" s="280"/>
      <c r="BA330" s="280"/>
      <c r="BB330" s="280"/>
      <c r="BC330" s="280"/>
      <c r="BD330" s="280"/>
      <c r="BE330" s="280"/>
      <c r="BF330" s="280"/>
      <c r="BG330" s="280"/>
      <c r="BH330" s="280"/>
      <c r="BI330" s="280"/>
      <c r="BJ330" s="280"/>
      <c r="BK330" s="280"/>
      <c r="BL330" s="280"/>
      <c r="BM330" s="280"/>
      <c r="BN330" s="280"/>
      <c r="BO330" s="280"/>
      <c r="BP330" s="280"/>
      <c r="BQ330" s="280"/>
      <c r="BR330" s="280"/>
      <c r="BS330" s="280"/>
      <c r="BT330" s="280"/>
      <c r="BU330" s="280"/>
      <c r="BV330" s="280"/>
    </row>
    <row r="331" spans="2:74" s="293" customFormat="1" x14ac:dyDescent="0.25">
      <c r="B331" s="280"/>
      <c r="C331" s="280"/>
      <c r="D331" s="280"/>
      <c r="E331" s="280"/>
      <c r="F331" s="280"/>
      <c r="G331" s="280"/>
      <c r="H331" s="280"/>
      <c r="I331" s="280"/>
      <c r="J331" s="280"/>
      <c r="K331" s="280"/>
      <c r="L331" s="283"/>
      <c r="M331" s="283"/>
      <c r="N331" s="280"/>
      <c r="O331" s="280"/>
      <c r="P331" s="280"/>
      <c r="Q331" s="280"/>
      <c r="R331" s="292"/>
      <c r="S331" s="292"/>
      <c r="T331" s="292"/>
      <c r="U331" s="292"/>
      <c r="V331" s="292"/>
      <c r="W331" s="292"/>
      <c r="X331" s="374"/>
      <c r="Y331" s="374"/>
      <c r="Z331" s="374"/>
      <c r="AA331" s="373"/>
      <c r="AB331" s="283"/>
      <c r="AC331" s="280"/>
      <c r="AD331" s="280"/>
      <c r="AE331" s="280"/>
      <c r="AF331" s="280"/>
      <c r="AG331" s="280"/>
      <c r="AH331" s="280"/>
      <c r="AI331" s="280"/>
      <c r="AJ331" s="280"/>
      <c r="AK331" s="280"/>
      <c r="AL331" s="280"/>
      <c r="AM331" s="280"/>
      <c r="AN331" s="280"/>
      <c r="AO331" s="280"/>
      <c r="AP331" s="280"/>
      <c r="AQ331" s="280"/>
      <c r="AR331" s="280"/>
      <c r="AS331" s="280"/>
      <c r="AT331" s="280"/>
      <c r="AU331" s="280"/>
      <c r="AV331" s="280"/>
      <c r="AW331" s="280"/>
      <c r="AX331" s="280"/>
      <c r="AY331" s="280"/>
      <c r="AZ331" s="280"/>
      <c r="BA331" s="280"/>
      <c r="BB331" s="280"/>
      <c r="BC331" s="280"/>
      <c r="BD331" s="280"/>
      <c r="BE331" s="280"/>
      <c r="BF331" s="280"/>
      <c r="BG331" s="280"/>
      <c r="BH331" s="280"/>
      <c r="BI331" s="280"/>
      <c r="BJ331" s="280"/>
      <c r="BK331" s="280"/>
      <c r="BL331" s="280"/>
      <c r="BM331" s="280"/>
      <c r="BN331" s="280"/>
      <c r="BO331" s="280"/>
      <c r="BP331" s="280"/>
      <c r="BQ331" s="280"/>
      <c r="BR331" s="280"/>
      <c r="BS331" s="280"/>
      <c r="BT331" s="280"/>
      <c r="BU331" s="280"/>
      <c r="BV331" s="280"/>
    </row>
    <row r="332" spans="2:74" s="293" customFormat="1" x14ac:dyDescent="0.25">
      <c r="B332" s="280"/>
      <c r="C332" s="280"/>
      <c r="D332" s="280"/>
      <c r="E332" s="280"/>
      <c r="F332" s="280"/>
      <c r="G332" s="280"/>
      <c r="H332" s="280"/>
      <c r="I332" s="280"/>
      <c r="J332" s="280"/>
      <c r="K332" s="280"/>
      <c r="L332" s="283"/>
      <c r="M332" s="283"/>
      <c r="N332" s="280"/>
      <c r="O332" s="280"/>
      <c r="P332" s="280"/>
      <c r="Q332" s="280"/>
      <c r="R332" s="292"/>
      <c r="S332" s="292"/>
      <c r="T332" s="292"/>
      <c r="U332" s="292"/>
      <c r="V332" s="292"/>
      <c r="W332" s="292"/>
      <c r="X332" s="374"/>
      <c r="Y332" s="374"/>
      <c r="Z332" s="374"/>
      <c r="AA332" s="373"/>
      <c r="AB332" s="283"/>
      <c r="AC332" s="280"/>
      <c r="AD332" s="280"/>
      <c r="AE332" s="280"/>
      <c r="AF332" s="280"/>
      <c r="AG332" s="280"/>
      <c r="AH332" s="280"/>
      <c r="AI332" s="280"/>
      <c r="AJ332" s="280"/>
      <c r="AK332" s="280"/>
      <c r="AL332" s="280"/>
      <c r="AM332" s="280"/>
      <c r="AN332" s="280"/>
      <c r="AO332" s="280"/>
      <c r="AP332" s="280"/>
      <c r="AQ332" s="280"/>
      <c r="AR332" s="280"/>
      <c r="AS332" s="280"/>
      <c r="AT332" s="280"/>
      <c r="AU332" s="280"/>
      <c r="AV332" s="280"/>
      <c r="AW332" s="280"/>
      <c r="AX332" s="280"/>
      <c r="AY332" s="280"/>
      <c r="AZ332" s="280"/>
      <c r="BA332" s="280"/>
      <c r="BB332" s="280"/>
      <c r="BC332" s="280"/>
      <c r="BD332" s="280"/>
      <c r="BE332" s="280"/>
      <c r="BF332" s="280"/>
      <c r="BG332" s="280"/>
      <c r="BH332" s="280"/>
      <c r="BI332" s="280"/>
      <c r="BJ332" s="280"/>
      <c r="BK332" s="280"/>
      <c r="BL332" s="280"/>
      <c r="BM332" s="280"/>
      <c r="BN332" s="280"/>
      <c r="BO332" s="280"/>
      <c r="BP332" s="280"/>
      <c r="BQ332" s="280"/>
      <c r="BR332" s="280"/>
      <c r="BS332" s="280"/>
      <c r="BT332" s="280"/>
      <c r="BU332" s="280"/>
      <c r="BV332" s="280"/>
    </row>
    <row r="333" spans="2:74" s="293" customFormat="1" x14ac:dyDescent="0.25">
      <c r="B333" s="280"/>
      <c r="C333" s="280"/>
      <c r="D333" s="280"/>
      <c r="E333" s="280"/>
      <c r="F333" s="280"/>
      <c r="G333" s="280"/>
      <c r="H333" s="280"/>
      <c r="I333" s="280"/>
      <c r="J333" s="280"/>
      <c r="K333" s="280"/>
      <c r="L333" s="283"/>
      <c r="M333" s="283"/>
      <c r="N333" s="280"/>
      <c r="O333" s="280"/>
      <c r="P333" s="280"/>
      <c r="Q333" s="280"/>
      <c r="R333" s="292"/>
      <c r="S333" s="292"/>
      <c r="T333" s="292"/>
      <c r="U333" s="292"/>
      <c r="V333" s="292"/>
      <c r="W333" s="292"/>
      <c r="X333" s="374"/>
      <c r="Y333" s="374"/>
      <c r="Z333" s="374"/>
      <c r="AA333" s="373"/>
      <c r="AB333" s="283"/>
      <c r="AC333" s="280"/>
      <c r="AD333" s="280"/>
      <c r="AE333" s="280"/>
      <c r="AF333" s="280"/>
      <c r="AG333" s="280"/>
      <c r="AH333" s="280"/>
      <c r="AI333" s="280"/>
      <c r="AJ333" s="280"/>
      <c r="AK333" s="280"/>
      <c r="AL333" s="280"/>
      <c r="AM333" s="280"/>
      <c r="AN333" s="280"/>
      <c r="AO333" s="280"/>
      <c r="AP333" s="280"/>
      <c r="AQ333" s="280"/>
      <c r="AR333" s="280"/>
      <c r="AS333" s="280"/>
      <c r="AT333" s="280"/>
      <c r="AU333" s="280"/>
      <c r="AV333" s="280"/>
      <c r="AW333" s="280"/>
      <c r="AX333" s="280"/>
      <c r="AY333" s="280"/>
      <c r="AZ333" s="280"/>
      <c r="BA333" s="280"/>
      <c r="BB333" s="280"/>
      <c r="BC333" s="280"/>
      <c r="BD333" s="280"/>
      <c r="BE333" s="280"/>
      <c r="BF333" s="280"/>
      <c r="BG333" s="280"/>
      <c r="BH333" s="280"/>
      <c r="BI333" s="280"/>
      <c r="BJ333" s="280"/>
      <c r="BK333" s="280"/>
      <c r="BL333" s="280"/>
      <c r="BM333" s="280"/>
      <c r="BN333" s="280"/>
      <c r="BO333" s="280"/>
      <c r="BP333" s="280"/>
      <c r="BQ333" s="280"/>
      <c r="BR333" s="280"/>
      <c r="BS333" s="280"/>
      <c r="BT333" s="280"/>
      <c r="BU333" s="280"/>
      <c r="BV333" s="280"/>
    </row>
    <row r="334" spans="2:74" s="293" customFormat="1" x14ac:dyDescent="0.25">
      <c r="B334" s="280"/>
      <c r="C334" s="280"/>
      <c r="D334" s="280"/>
      <c r="E334" s="280"/>
      <c r="F334" s="280"/>
      <c r="G334" s="280"/>
      <c r="H334" s="280"/>
      <c r="I334" s="280"/>
      <c r="J334" s="280"/>
      <c r="K334" s="280"/>
      <c r="L334" s="283"/>
      <c r="M334" s="283"/>
      <c r="N334" s="280"/>
      <c r="O334" s="280"/>
      <c r="P334" s="280"/>
      <c r="Q334" s="280"/>
      <c r="R334" s="292"/>
      <c r="S334" s="292"/>
      <c r="T334" s="292"/>
      <c r="U334" s="292"/>
      <c r="V334" s="292"/>
      <c r="W334" s="292"/>
      <c r="X334" s="374"/>
      <c r="Y334" s="374"/>
      <c r="Z334" s="374"/>
      <c r="AA334" s="373"/>
      <c r="AB334" s="283"/>
      <c r="AC334" s="280"/>
      <c r="AD334" s="280"/>
      <c r="AE334" s="280"/>
      <c r="AF334" s="280"/>
      <c r="AG334" s="280"/>
      <c r="AH334" s="280"/>
      <c r="AI334" s="280"/>
      <c r="AJ334" s="280"/>
      <c r="AK334" s="280"/>
      <c r="AL334" s="280"/>
      <c r="AM334" s="280"/>
      <c r="AN334" s="280"/>
      <c r="AO334" s="280"/>
      <c r="AP334" s="280"/>
      <c r="AQ334" s="280"/>
      <c r="AR334" s="280"/>
      <c r="AS334" s="280"/>
      <c r="AT334" s="280"/>
      <c r="AU334" s="280"/>
      <c r="AV334" s="280"/>
      <c r="AW334" s="280"/>
      <c r="AX334" s="280"/>
      <c r="AY334" s="280"/>
      <c r="AZ334" s="280"/>
      <c r="BA334" s="280"/>
      <c r="BB334" s="280"/>
      <c r="BC334" s="280"/>
      <c r="BD334" s="280"/>
      <c r="BE334" s="280"/>
      <c r="BF334" s="280"/>
      <c r="BG334" s="280"/>
      <c r="BH334" s="280"/>
      <c r="BI334" s="280"/>
      <c r="BJ334" s="280"/>
      <c r="BK334" s="280"/>
      <c r="BL334" s="280"/>
      <c r="BM334" s="280"/>
      <c r="BN334" s="280"/>
      <c r="BO334" s="280"/>
      <c r="BP334" s="280"/>
      <c r="BQ334" s="280"/>
      <c r="BR334" s="280"/>
      <c r="BS334" s="280"/>
      <c r="BT334" s="280"/>
      <c r="BU334" s="280"/>
      <c r="BV334" s="280"/>
    </row>
    <row r="335" spans="2:74" s="293" customFormat="1" x14ac:dyDescent="0.25">
      <c r="B335" s="280"/>
      <c r="C335" s="280"/>
      <c r="D335" s="280"/>
      <c r="E335" s="280"/>
      <c r="F335" s="280"/>
      <c r="G335" s="280"/>
      <c r="H335" s="280"/>
      <c r="I335" s="280"/>
      <c r="J335" s="280"/>
      <c r="K335" s="280"/>
      <c r="L335" s="283"/>
      <c r="M335" s="283"/>
      <c r="N335" s="280"/>
      <c r="O335" s="280"/>
      <c r="P335" s="280"/>
      <c r="Q335" s="280"/>
      <c r="R335" s="292"/>
      <c r="S335" s="292"/>
      <c r="T335" s="292"/>
      <c r="U335" s="292"/>
      <c r="V335" s="292"/>
      <c r="W335" s="292"/>
      <c r="X335" s="374"/>
      <c r="Y335" s="374"/>
      <c r="Z335" s="374"/>
      <c r="AA335" s="373"/>
      <c r="AB335" s="283"/>
      <c r="AC335" s="280"/>
      <c r="AD335" s="280"/>
      <c r="AE335" s="280"/>
      <c r="AF335" s="280"/>
      <c r="AG335" s="280"/>
      <c r="AH335" s="280"/>
      <c r="AI335" s="280"/>
      <c r="AJ335" s="280"/>
      <c r="AK335" s="280"/>
      <c r="AL335" s="280"/>
      <c r="AM335" s="280"/>
      <c r="AN335" s="280"/>
      <c r="AO335" s="280"/>
      <c r="AP335" s="280"/>
      <c r="AQ335" s="280"/>
      <c r="AR335" s="280"/>
      <c r="AS335" s="280"/>
      <c r="AT335" s="280"/>
      <c r="AU335" s="280"/>
      <c r="AV335" s="280"/>
      <c r="AW335" s="280"/>
      <c r="AX335" s="280"/>
      <c r="AY335" s="280"/>
      <c r="AZ335" s="280"/>
      <c r="BA335" s="280"/>
      <c r="BB335" s="280"/>
      <c r="BC335" s="280"/>
      <c r="BD335" s="280"/>
      <c r="BE335" s="280"/>
      <c r="BF335" s="280"/>
      <c r="BG335" s="280"/>
      <c r="BH335" s="280"/>
      <c r="BI335" s="280"/>
      <c r="BJ335" s="280"/>
      <c r="BK335" s="280"/>
      <c r="BL335" s="280"/>
      <c r="BM335" s="280"/>
      <c r="BN335" s="280"/>
      <c r="BO335" s="280"/>
      <c r="BP335" s="280"/>
      <c r="BQ335" s="280"/>
      <c r="BR335" s="280"/>
      <c r="BS335" s="280"/>
      <c r="BT335" s="280"/>
      <c r="BU335" s="280"/>
      <c r="BV335" s="280"/>
    </row>
    <row r="336" spans="2:74" s="293" customFormat="1" x14ac:dyDescent="0.25">
      <c r="B336" s="280"/>
      <c r="C336" s="280"/>
      <c r="D336" s="280"/>
      <c r="E336" s="280"/>
      <c r="F336" s="280"/>
      <c r="G336" s="280"/>
      <c r="H336" s="280"/>
      <c r="I336" s="280"/>
      <c r="J336" s="280"/>
      <c r="K336" s="280"/>
      <c r="L336" s="283"/>
      <c r="M336" s="283"/>
      <c r="N336" s="280"/>
      <c r="O336" s="280"/>
      <c r="P336" s="280"/>
      <c r="Q336" s="280"/>
      <c r="R336" s="292"/>
      <c r="S336" s="292"/>
      <c r="T336" s="292"/>
      <c r="U336" s="292"/>
      <c r="V336" s="292"/>
      <c r="W336" s="292"/>
      <c r="X336" s="374"/>
      <c r="Y336" s="374"/>
      <c r="Z336" s="374"/>
      <c r="AA336" s="373"/>
      <c r="AB336" s="283"/>
      <c r="AC336" s="280"/>
      <c r="AD336" s="280"/>
      <c r="AE336" s="280"/>
      <c r="AF336" s="280"/>
      <c r="AG336" s="280"/>
      <c r="AH336" s="280"/>
      <c r="AI336" s="280"/>
      <c r="AJ336" s="280"/>
      <c r="AK336" s="280"/>
      <c r="AL336" s="280"/>
      <c r="AM336" s="280"/>
      <c r="AN336" s="280"/>
      <c r="AO336" s="280"/>
      <c r="AP336" s="280"/>
      <c r="AQ336" s="280"/>
      <c r="AR336" s="280"/>
      <c r="AS336" s="280"/>
      <c r="AT336" s="280"/>
      <c r="AU336" s="280"/>
      <c r="AV336" s="280"/>
      <c r="AW336" s="280"/>
      <c r="AX336" s="280"/>
      <c r="AY336" s="280"/>
      <c r="AZ336" s="280"/>
      <c r="BA336" s="280"/>
      <c r="BB336" s="280"/>
      <c r="BC336" s="280"/>
      <c r="BD336" s="280"/>
      <c r="BE336" s="280"/>
      <c r="BF336" s="280"/>
      <c r="BG336" s="280"/>
      <c r="BH336" s="280"/>
      <c r="BI336" s="280"/>
      <c r="BJ336" s="280"/>
      <c r="BK336" s="280"/>
      <c r="BL336" s="280"/>
      <c r="BM336" s="280"/>
      <c r="BN336" s="280"/>
      <c r="BO336" s="280"/>
      <c r="BP336" s="280"/>
      <c r="BQ336" s="280"/>
      <c r="BR336" s="280"/>
      <c r="BS336" s="280"/>
      <c r="BT336" s="280"/>
      <c r="BU336" s="280"/>
      <c r="BV336" s="280"/>
    </row>
    <row r="337" spans="2:74" s="293" customFormat="1" x14ac:dyDescent="0.25">
      <c r="B337" s="280"/>
      <c r="C337" s="280"/>
      <c r="D337" s="280"/>
      <c r="E337" s="280"/>
      <c r="F337" s="280"/>
      <c r="G337" s="280"/>
      <c r="H337" s="280"/>
      <c r="I337" s="280"/>
      <c r="J337" s="280"/>
      <c r="K337" s="280"/>
      <c r="L337" s="283"/>
      <c r="M337" s="283"/>
      <c r="N337" s="280"/>
      <c r="O337" s="280"/>
      <c r="P337" s="280"/>
      <c r="Q337" s="280"/>
      <c r="R337" s="292"/>
      <c r="S337" s="292"/>
      <c r="T337" s="292"/>
      <c r="U337" s="292"/>
      <c r="V337" s="292"/>
      <c r="W337" s="292"/>
      <c r="X337" s="374"/>
      <c r="Y337" s="374"/>
      <c r="Z337" s="374"/>
      <c r="AA337" s="373"/>
      <c r="AB337" s="283"/>
      <c r="AC337" s="280"/>
      <c r="AD337" s="280"/>
      <c r="AE337" s="280"/>
      <c r="AF337" s="280"/>
      <c r="AG337" s="280"/>
      <c r="AH337" s="280"/>
      <c r="AI337" s="280"/>
      <c r="AJ337" s="280"/>
      <c r="AK337" s="280"/>
      <c r="AL337" s="280"/>
      <c r="AM337" s="280"/>
      <c r="AN337" s="280"/>
      <c r="AO337" s="280"/>
      <c r="AP337" s="280"/>
      <c r="AQ337" s="280"/>
      <c r="AR337" s="280"/>
      <c r="AS337" s="280"/>
      <c r="AT337" s="280"/>
      <c r="AU337" s="280"/>
      <c r="AV337" s="280"/>
      <c r="AW337" s="280"/>
      <c r="AX337" s="280"/>
      <c r="AY337" s="280"/>
      <c r="AZ337" s="280"/>
      <c r="BA337" s="280"/>
      <c r="BB337" s="280"/>
      <c r="BC337" s="280"/>
      <c r="BD337" s="280"/>
      <c r="BE337" s="280"/>
      <c r="BF337" s="280"/>
      <c r="BG337" s="280"/>
      <c r="BH337" s="280"/>
      <c r="BI337" s="280"/>
      <c r="BJ337" s="280"/>
      <c r="BK337" s="280"/>
      <c r="BL337" s="280"/>
      <c r="BM337" s="280"/>
      <c r="BN337" s="280"/>
      <c r="BO337" s="280"/>
      <c r="BP337" s="280"/>
      <c r="BQ337" s="280"/>
      <c r="BR337" s="280"/>
      <c r="BS337" s="280"/>
      <c r="BT337" s="280"/>
      <c r="BU337" s="280"/>
      <c r="BV337" s="280"/>
    </row>
    <row r="338" spans="2:74" s="293" customFormat="1" x14ac:dyDescent="0.25">
      <c r="B338" s="280"/>
      <c r="C338" s="280"/>
      <c r="D338" s="280"/>
      <c r="E338" s="280"/>
      <c r="F338" s="280"/>
      <c r="G338" s="280"/>
      <c r="H338" s="280"/>
      <c r="I338" s="280"/>
      <c r="J338" s="280"/>
      <c r="K338" s="280"/>
      <c r="L338" s="283"/>
      <c r="M338" s="283"/>
      <c r="N338" s="280"/>
      <c r="O338" s="280"/>
      <c r="P338" s="280"/>
      <c r="Q338" s="280"/>
      <c r="R338" s="292"/>
      <c r="S338" s="292"/>
      <c r="T338" s="292"/>
      <c r="U338" s="292"/>
      <c r="V338" s="292"/>
      <c r="W338" s="292"/>
      <c r="X338" s="374"/>
      <c r="Y338" s="374"/>
      <c r="Z338" s="374"/>
      <c r="AA338" s="373"/>
      <c r="AB338" s="283"/>
      <c r="AC338" s="280"/>
      <c r="AD338" s="280"/>
      <c r="AE338" s="280"/>
      <c r="AF338" s="280"/>
      <c r="AG338" s="280"/>
      <c r="AH338" s="280"/>
      <c r="AI338" s="280"/>
      <c r="AJ338" s="280"/>
      <c r="AK338" s="280"/>
      <c r="AL338" s="280"/>
      <c r="AM338" s="280"/>
      <c r="AN338" s="280"/>
      <c r="AO338" s="280"/>
      <c r="AP338" s="280"/>
      <c r="AQ338" s="280"/>
      <c r="AR338" s="280"/>
      <c r="AS338" s="280"/>
      <c r="AT338" s="280"/>
      <c r="AU338" s="280"/>
      <c r="AV338" s="280"/>
      <c r="AW338" s="280"/>
      <c r="AX338" s="280"/>
      <c r="AY338" s="280"/>
      <c r="AZ338" s="280"/>
      <c r="BA338" s="280"/>
      <c r="BB338" s="280"/>
      <c r="BC338" s="280"/>
      <c r="BD338" s="280"/>
      <c r="BE338" s="280"/>
      <c r="BF338" s="280"/>
      <c r="BG338" s="280"/>
      <c r="BH338" s="280"/>
      <c r="BI338" s="280"/>
      <c r="BJ338" s="280"/>
      <c r="BK338" s="280"/>
      <c r="BL338" s="280"/>
      <c r="BM338" s="280"/>
      <c r="BN338" s="280"/>
      <c r="BO338" s="280"/>
      <c r="BP338" s="280"/>
      <c r="BQ338" s="280"/>
      <c r="BR338" s="280"/>
      <c r="BS338" s="280"/>
      <c r="BT338" s="280"/>
      <c r="BU338" s="280"/>
      <c r="BV338" s="280"/>
    </row>
    <row r="339" spans="2:74" s="293" customFormat="1" x14ac:dyDescent="0.25">
      <c r="B339" s="280"/>
      <c r="C339" s="280"/>
      <c r="D339" s="280"/>
      <c r="E339" s="280"/>
      <c r="F339" s="280"/>
      <c r="G339" s="280"/>
      <c r="H339" s="280"/>
      <c r="I339" s="280"/>
      <c r="J339" s="280"/>
      <c r="K339" s="280"/>
      <c r="L339" s="283"/>
      <c r="M339" s="283"/>
      <c r="N339" s="280"/>
      <c r="O339" s="280"/>
      <c r="P339" s="280"/>
      <c r="Q339" s="280"/>
      <c r="R339" s="292"/>
      <c r="S339" s="292"/>
      <c r="T339" s="292"/>
      <c r="U339" s="292"/>
      <c r="V339" s="292"/>
      <c r="W339" s="292"/>
      <c r="X339" s="374"/>
      <c r="Y339" s="374"/>
      <c r="Z339" s="374"/>
      <c r="AA339" s="373"/>
      <c r="AB339" s="283"/>
      <c r="AC339" s="280"/>
      <c r="AD339" s="280"/>
      <c r="AE339" s="280"/>
      <c r="AF339" s="280"/>
      <c r="AG339" s="280"/>
      <c r="AH339" s="280"/>
      <c r="AI339" s="280"/>
      <c r="AJ339" s="280"/>
      <c r="AK339" s="280"/>
      <c r="AL339" s="280"/>
      <c r="AM339" s="280"/>
      <c r="AN339" s="280"/>
      <c r="AO339" s="280"/>
      <c r="AP339" s="280"/>
      <c r="AQ339" s="280"/>
      <c r="AR339" s="280"/>
      <c r="AS339" s="280"/>
      <c r="AT339" s="280"/>
      <c r="AU339" s="280"/>
      <c r="AV339" s="280"/>
      <c r="AW339" s="280"/>
      <c r="AX339" s="280"/>
      <c r="AY339" s="280"/>
      <c r="AZ339" s="280"/>
      <c r="BA339" s="280"/>
      <c r="BB339" s="280"/>
      <c r="BC339" s="280"/>
      <c r="BD339" s="280"/>
      <c r="BE339" s="280"/>
      <c r="BF339" s="280"/>
      <c r="BG339" s="280"/>
      <c r="BH339" s="280"/>
      <c r="BI339" s="280"/>
      <c r="BJ339" s="280"/>
      <c r="BK339" s="280"/>
      <c r="BL339" s="280"/>
      <c r="BM339" s="280"/>
      <c r="BN339" s="280"/>
      <c r="BO339" s="280"/>
      <c r="BP339" s="280"/>
      <c r="BQ339" s="280"/>
      <c r="BR339" s="280"/>
      <c r="BS339" s="280"/>
      <c r="BT339" s="280"/>
      <c r="BU339" s="280"/>
      <c r="BV339" s="280"/>
    </row>
    <row r="340" spans="2:74" s="293" customFormat="1" x14ac:dyDescent="0.25">
      <c r="B340" s="280"/>
      <c r="C340" s="280"/>
      <c r="D340" s="280"/>
      <c r="E340" s="280"/>
      <c r="F340" s="280"/>
      <c r="G340" s="280"/>
      <c r="H340" s="280"/>
      <c r="I340" s="280"/>
      <c r="J340" s="280"/>
      <c r="K340" s="280"/>
      <c r="L340" s="283"/>
      <c r="M340" s="283"/>
      <c r="N340" s="280"/>
      <c r="O340" s="280"/>
      <c r="P340" s="280"/>
      <c r="Q340" s="280"/>
      <c r="R340" s="292"/>
      <c r="S340" s="292"/>
      <c r="T340" s="292"/>
      <c r="U340" s="292"/>
      <c r="V340" s="292"/>
      <c r="W340" s="292"/>
      <c r="X340" s="374"/>
      <c r="Y340" s="374"/>
      <c r="Z340" s="374"/>
      <c r="AA340" s="373"/>
      <c r="AB340" s="283"/>
      <c r="AC340" s="280"/>
      <c r="AD340" s="280"/>
      <c r="AE340" s="280"/>
      <c r="AF340" s="280"/>
      <c r="AG340" s="280"/>
      <c r="AH340" s="280"/>
      <c r="AI340" s="280"/>
      <c r="AJ340" s="280"/>
      <c r="AK340" s="280"/>
      <c r="AL340" s="280"/>
      <c r="AM340" s="280"/>
      <c r="AN340" s="280"/>
      <c r="AO340" s="280"/>
      <c r="AP340" s="280"/>
      <c r="AQ340" s="280"/>
      <c r="AR340" s="280"/>
      <c r="AS340" s="280"/>
      <c r="AT340" s="280"/>
      <c r="AU340" s="280"/>
      <c r="AV340" s="280"/>
      <c r="AW340" s="280"/>
      <c r="AX340" s="280"/>
      <c r="AY340" s="280"/>
      <c r="AZ340" s="280"/>
      <c r="BA340" s="280"/>
      <c r="BB340" s="280"/>
      <c r="BC340" s="280"/>
      <c r="BD340" s="280"/>
      <c r="BE340" s="280"/>
      <c r="BF340" s="280"/>
      <c r="BG340" s="280"/>
      <c r="BH340" s="280"/>
      <c r="BI340" s="280"/>
      <c r="BJ340" s="280"/>
      <c r="BK340" s="280"/>
      <c r="BL340" s="280"/>
      <c r="BM340" s="280"/>
      <c r="BN340" s="280"/>
      <c r="BO340" s="280"/>
      <c r="BP340" s="280"/>
      <c r="BQ340" s="280"/>
      <c r="BR340" s="280"/>
      <c r="BS340" s="280"/>
      <c r="BT340" s="280"/>
      <c r="BU340" s="280"/>
      <c r="BV340" s="280"/>
    </row>
    <row r="341" spans="2:74" s="293" customFormat="1" x14ac:dyDescent="0.25">
      <c r="B341" s="280"/>
      <c r="C341" s="280"/>
      <c r="D341" s="280"/>
      <c r="E341" s="280"/>
      <c r="F341" s="280"/>
      <c r="G341" s="280"/>
      <c r="H341" s="280"/>
      <c r="I341" s="280"/>
      <c r="J341" s="280"/>
      <c r="K341" s="280"/>
      <c r="L341" s="283"/>
      <c r="M341" s="283"/>
      <c r="N341" s="280"/>
      <c r="O341" s="280"/>
      <c r="P341" s="280"/>
      <c r="Q341" s="280"/>
      <c r="R341" s="292"/>
      <c r="S341" s="292"/>
      <c r="T341" s="292"/>
      <c r="U341" s="292"/>
      <c r="V341" s="292"/>
      <c r="W341" s="292"/>
      <c r="X341" s="374"/>
      <c r="Y341" s="374"/>
      <c r="Z341" s="374"/>
      <c r="AA341" s="373"/>
      <c r="AB341" s="283"/>
      <c r="AC341" s="280"/>
      <c r="AD341" s="280"/>
      <c r="AE341" s="280"/>
      <c r="AF341" s="280"/>
      <c r="AG341" s="280"/>
      <c r="AH341" s="280"/>
      <c r="AI341" s="280"/>
      <c r="AJ341" s="280"/>
      <c r="AK341" s="280"/>
      <c r="AL341" s="280"/>
      <c r="AM341" s="280"/>
      <c r="AN341" s="280"/>
      <c r="AO341" s="280"/>
      <c r="AP341" s="280"/>
      <c r="AQ341" s="280"/>
      <c r="AR341" s="280"/>
      <c r="AS341" s="280"/>
      <c r="AT341" s="280"/>
      <c r="AU341" s="280"/>
      <c r="AV341" s="280"/>
      <c r="AW341" s="280"/>
      <c r="AX341" s="280"/>
      <c r="AY341" s="280"/>
      <c r="AZ341" s="280"/>
      <c r="BA341" s="280"/>
      <c r="BB341" s="280"/>
      <c r="BC341" s="280"/>
      <c r="BD341" s="280"/>
      <c r="BE341" s="280"/>
      <c r="BF341" s="280"/>
      <c r="BG341" s="280"/>
      <c r="BH341" s="280"/>
      <c r="BI341" s="280"/>
      <c r="BJ341" s="280"/>
      <c r="BK341" s="280"/>
      <c r="BL341" s="280"/>
      <c r="BM341" s="280"/>
      <c r="BN341" s="280"/>
      <c r="BO341" s="280"/>
      <c r="BP341" s="280"/>
      <c r="BQ341" s="280"/>
      <c r="BR341" s="280"/>
      <c r="BS341" s="280"/>
      <c r="BT341" s="280"/>
      <c r="BU341" s="280"/>
      <c r="BV341" s="280"/>
    </row>
    <row r="342" spans="2:74" s="293" customFormat="1" x14ac:dyDescent="0.25">
      <c r="B342" s="280"/>
      <c r="C342" s="280"/>
      <c r="D342" s="280"/>
      <c r="E342" s="280"/>
      <c r="F342" s="280"/>
      <c r="G342" s="280"/>
      <c r="H342" s="280"/>
      <c r="I342" s="280"/>
      <c r="J342" s="280"/>
      <c r="K342" s="280"/>
      <c r="L342" s="283"/>
      <c r="M342" s="283"/>
      <c r="N342" s="280"/>
      <c r="O342" s="280"/>
      <c r="P342" s="280"/>
      <c r="Q342" s="280"/>
      <c r="R342" s="292"/>
      <c r="S342" s="292"/>
      <c r="T342" s="292"/>
      <c r="U342" s="292"/>
      <c r="V342" s="292"/>
      <c r="W342" s="292"/>
      <c r="X342" s="374"/>
      <c r="Y342" s="374"/>
      <c r="Z342" s="374"/>
      <c r="AA342" s="373"/>
      <c r="AB342" s="283"/>
      <c r="AC342" s="280"/>
      <c r="AD342" s="280"/>
      <c r="AE342" s="280"/>
      <c r="AF342" s="280"/>
      <c r="AG342" s="280"/>
      <c r="AH342" s="280"/>
      <c r="AI342" s="280"/>
      <c r="AJ342" s="280"/>
      <c r="AK342" s="280"/>
      <c r="AL342" s="280"/>
      <c r="AM342" s="280"/>
      <c r="AN342" s="280"/>
      <c r="AO342" s="280"/>
      <c r="AP342" s="280"/>
      <c r="AQ342" s="280"/>
      <c r="AR342" s="280"/>
      <c r="AS342" s="280"/>
      <c r="AT342" s="280"/>
      <c r="AU342" s="280"/>
      <c r="AV342" s="280"/>
      <c r="AW342" s="280"/>
      <c r="AX342" s="280"/>
      <c r="AY342" s="280"/>
      <c r="AZ342" s="280"/>
      <c r="BA342" s="280"/>
      <c r="BB342" s="280"/>
      <c r="BC342" s="280"/>
      <c r="BD342" s="280"/>
      <c r="BE342" s="280"/>
      <c r="BF342" s="280"/>
      <c r="BG342" s="280"/>
      <c r="BH342" s="280"/>
      <c r="BI342" s="280"/>
      <c r="BJ342" s="280"/>
      <c r="BK342" s="280"/>
      <c r="BL342" s="280"/>
      <c r="BM342" s="280"/>
      <c r="BN342" s="280"/>
      <c r="BO342" s="280"/>
      <c r="BP342" s="280"/>
      <c r="BQ342" s="280"/>
      <c r="BR342" s="280"/>
      <c r="BS342" s="280"/>
      <c r="BT342" s="280"/>
      <c r="BU342" s="280"/>
      <c r="BV342" s="280"/>
    </row>
    <row r="343" spans="2:74" s="293" customFormat="1" x14ac:dyDescent="0.25">
      <c r="B343" s="280"/>
      <c r="C343" s="280"/>
      <c r="D343" s="280"/>
      <c r="E343" s="280"/>
      <c r="F343" s="280"/>
      <c r="G343" s="280"/>
      <c r="H343" s="280"/>
      <c r="I343" s="280"/>
      <c r="J343" s="280"/>
      <c r="K343" s="280"/>
      <c r="L343" s="283"/>
      <c r="M343" s="283"/>
      <c r="N343" s="280"/>
      <c r="O343" s="280"/>
      <c r="P343" s="280"/>
      <c r="Q343" s="280"/>
      <c r="R343" s="292"/>
      <c r="S343" s="292"/>
      <c r="T343" s="292"/>
      <c r="U343" s="292"/>
      <c r="V343" s="292"/>
      <c r="W343" s="292"/>
      <c r="X343" s="374"/>
      <c r="Y343" s="374"/>
      <c r="Z343" s="374"/>
      <c r="AA343" s="373"/>
      <c r="AB343" s="283"/>
      <c r="AC343" s="280"/>
      <c r="AD343" s="280"/>
      <c r="AE343" s="280"/>
      <c r="AF343" s="280"/>
      <c r="AG343" s="280"/>
      <c r="AH343" s="280"/>
      <c r="AI343" s="280"/>
      <c r="AJ343" s="280"/>
      <c r="AK343" s="280"/>
      <c r="AL343" s="280"/>
      <c r="AM343" s="280"/>
      <c r="AN343" s="280"/>
      <c r="AO343" s="280"/>
      <c r="AP343" s="280"/>
      <c r="AQ343" s="280"/>
      <c r="AR343" s="280"/>
      <c r="AS343" s="280"/>
      <c r="AT343" s="280"/>
      <c r="AU343" s="280"/>
      <c r="AV343" s="280"/>
      <c r="AW343" s="280"/>
      <c r="AX343" s="280"/>
      <c r="AY343" s="280"/>
      <c r="AZ343" s="280"/>
      <c r="BA343" s="280"/>
      <c r="BB343" s="280"/>
      <c r="BC343" s="280"/>
      <c r="BD343" s="280"/>
      <c r="BE343" s="280"/>
      <c r="BF343" s="280"/>
      <c r="BG343" s="280"/>
      <c r="BH343" s="280"/>
      <c r="BI343" s="280"/>
      <c r="BJ343" s="280"/>
      <c r="BK343" s="280"/>
      <c r="BL343" s="280"/>
      <c r="BM343" s="280"/>
      <c r="BN343" s="280"/>
      <c r="BO343" s="280"/>
      <c r="BP343" s="280"/>
      <c r="BQ343" s="280"/>
      <c r="BR343" s="280"/>
      <c r="BS343" s="280"/>
      <c r="BT343" s="280"/>
      <c r="BU343" s="280"/>
      <c r="BV343" s="280"/>
    </row>
    <row r="344" spans="2:74" s="293" customFormat="1" x14ac:dyDescent="0.25">
      <c r="B344" s="280"/>
      <c r="C344" s="280"/>
      <c r="D344" s="280"/>
      <c r="E344" s="280"/>
      <c r="F344" s="280"/>
      <c r="G344" s="280"/>
      <c r="H344" s="280"/>
      <c r="I344" s="280"/>
      <c r="J344" s="280"/>
      <c r="K344" s="280"/>
      <c r="L344" s="283"/>
      <c r="M344" s="283"/>
      <c r="N344" s="280"/>
      <c r="O344" s="280"/>
      <c r="P344" s="280"/>
      <c r="Q344" s="280"/>
      <c r="R344" s="292"/>
      <c r="S344" s="292"/>
      <c r="T344" s="292"/>
      <c r="U344" s="292"/>
      <c r="V344" s="292"/>
      <c r="W344" s="292"/>
      <c r="X344" s="374"/>
      <c r="Y344" s="374"/>
      <c r="Z344" s="374"/>
      <c r="AA344" s="373"/>
      <c r="AB344" s="283"/>
      <c r="AC344" s="280"/>
      <c r="AD344" s="280"/>
      <c r="AE344" s="280"/>
      <c r="AF344" s="280"/>
      <c r="AG344" s="280"/>
      <c r="AH344" s="280"/>
      <c r="AI344" s="280"/>
      <c r="AJ344" s="280"/>
      <c r="AK344" s="280"/>
      <c r="AL344" s="280"/>
      <c r="AM344" s="280"/>
      <c r="AN344" s="280"/>
      <c r="AO344" s="280"/>
      <c r="AP344" s="280"/>
      <c r="AQ344" s="280"/>
      <c r="AR344" s="280"/>
      <c r="AS344" s="280"/>
      <c r="AT344" s="280"/>
      <c r="AU344" s="280"/>
      <c r="AV344" s="280"/>
      <c r="AW344" s="280"/>
      <c r="AX344" s="280"/>
      <c r="AY344" s="280"/>
      <c r="AZ344" s="280"/>
      <c r="BA344" s="280"/>
      <c r="BB344" s="280"/>
      <c r="BC344" s="280"/>
      <c r="BD344" s="280"/>
      <c r="BE344" s="280"/>
      <c r="BF344" s="280"/>
      <c r="BG344" s="280"/>
      <c r="BH344" s="280"/>
      <c r="BI344" s="280"/>
      <c r="BJ344" s="280"/>
      <c r="BK344" s="280"/>
      <c r="BL344" s="280"/>
      <c r="BM344" s="280"/>
      <c r="BN344" s="280"/>
      <c r="BO344" s="280"/>
      <c r="BP344" s="280"/>
      <c r="BQ344" s="280"/>
      <c r="BR344" s="280"/>
      <c r="BS344" s="280"/>
      <c r="BT344" s="280"/>
      <c r="BU344" s="280"/>
      <c r="BV344" s="280"/>
    </row>
    <row r="345" spans="2:74" s="293" customFormat="1" x14ac:dyDescent="0.25">
      <c r="B345" s="280"/>
      <c r="C345" s="280"/>
      <c r="D345" s="280"/>
      <c r="E345" s="280"/>
      <c r="F345" s="280"/>
      <c r="G345" s="280"/>
      <c r="H345" s="280"/>
      <c r="I345" s="280"/>
      <c r="J345" s="280"/>
      <c r="K345" s="280"/>
      <c r="L345" s="283"/>
      <c r="M345" s="283"/>
      <c r="N345" s="280"/>
      <c r="O345" s="280"/>
      <c r="P345" s="280"/>
      <c r="Q345" s="280"/>
      <c r="R345" s="292"/>
      <c r="S345" s="292"/>
      <c r="T345" s="292"/>
      <c r="U345" s="292"/>
      <c r="V345" s="292"/>
      <c r="W345" s="292"/>
      <c r="X345" s="374"/>
      <c r="Y345" s="374"/>
      <c r="Z345" s="374"/>
      <c r="AA345" s="373"/>
      <c r="AB345" s="283"/>
      <c r="AC345" s="280"/>
      <c r="AD345" s="280"/>
      <c r="AE345" s="280"/>
      <c r="AF345" s="280"/>
      <c r="AG345" s="280"/>
      <c r="AH345" s="280"/>
      <c r="AI345" s="280"/>
      <c r="AJ345" s="280"/>
      <c r="AK345" s="280"/>
      <c r="AL345" s="280"/>
      <c r="AM345" s="280"/>
      <c r="AN345" s="280"/>
      <c r="AO345" s="280"/>
      <c r="AP345" s="280"/>
      <c r="AQ345" s="280"/>
      <c r="AR345" s="280"/>
      <c r="AS345" s="280"/>
      <c r="AT345" s="280"/>
      <c r="AU345" s="280"/>
      <c r="AV345" s="280"/>
      <c r="AW345" s="280"/>
      <c r="AX345" s="280"/>
      <c r="AY345" s="280"/>
      <c r="AZ345" s="280"/>
      <c r="BA345" s="280"/>
      <c r="BB345" s="280"/>
      <c r="BC345" s="280"/>
      <c r="BD345" s="280"/>
      <c r="BE345" s="280"/>
      <c r="BF345" s="280"/>
      <c r="BG345" s="280"/>
      <c r="BH345" s="280"/>
      <c r="BI345" s="280"/>
      <c r="BJ345" s="280"/>
      <c r="BK345" s="280"/>
      <c r="BL345" s="280"/>
      <c r="BM345" s="280"/>
      <c r="BN345" s="280"/>
      <c r="BO345" s="280"/>
      <c r="BP345" s="280"/>
      <c r="BQ345" s="280"/>
      <c r="BR345" s="280"/>
      <c r="BS345" s="280"/>
      <c r="BT345" s="280"/>
      <c r="BU345" s="280"/>
      <c r="BV345" s="280"/>
    </row>
    <row r="346" spans="2:74" s="293" customFormat="1" x14ac:dyDescent="0.25">
      <c r="B346" s="280"/>
      <c r="C346" s="280"/>
      <c r="D346" s="280"/>
      <c r="E346" s="280"/>
      <c r="F346" s="280"/>
      <c r="G346" s="280"/>
      <c r="H346" s="280"/>
      <c r="I346" s="280"/>
      <c r="J346" s="280"/>
      <c r="K346" s="280"/>
      <c r="L346" s="283"/>
      <c r="M346" s="283"/>
      <c r="N346" s="280"/>
      <c r="O346" s="280"/>
      <c r="P346" s="280"/>
      <c r="Q346" s="280"/>
      <c r="R346" s="292"/>
      <c r="S346" s="292"/>
      <c r="T346" s="292"/>
      <c r="U346" s="292"/>
      <c r="V346" s="292"/>
      <c r="W346" s="292"/>
      <c r="X346" s="374"/>
      <c r="Y346" s="374"/>
      <c r="Z346" s="374"/>
      <c r="AA346" s="373"/>
      <c r="AB346" s="283"/>
      <c r="AC346" s="280"/>
      <c r="AD346" s="280"/>
      <c r="AE346" s="280"/>
      <c r="AF346" s="280"/>
      <c r="AG346" s="280"/>
      <c r="AH346" s="280"/>
      <c r="AI346" s="280"/>
      <c r="AJ346" s="280"/>
      <c r="AK346" s="280"/>
      <c r="AL346" s="280"/>
      <c r="AM346" s="280"/>
      <c r="AN346" s="280"/>
      <c r="AO346" s="280"/>
      <c r="AP346" s="280"/>
      <c r="AQ346" s="280"/>
      <c r="AR346" s="280"/>
      <c r="AS346" s="280"/>
      <c r="AT346" s="280"/>
      <c r="AU346" s="280"/>
      <c r="AV346" s="280"/>
      <c r="AW346" s="280"/>
      <c r="AX346" s="280"/>
      <c r="AY346" s="280"/>
      <c r="AZ346" s="280"/>
      <c r="BA346" s="280"/>
      <c r="BB346" s="280"/>
      <c r="BC346" s="280"/>
      <c r="BD346" s="280"/>
      <c r="BE346" s="280"/>
      <c r="BF346" s="280"/>
      <c r="BG346" s="280"/>
      <c r="BH346" s="280"/>
      <c r="BI346" s="280"/>
      <c r="BJ346" s="280"/>
      <c r="BK346" s="280"/>
      <c r="BL346" s="280"/>
      <c r="BM346" s="280"/>
      <c r="BN346" s="280"/>
      <c r="BO346" s="280"/>
      <c r="BP346" s="280"/>
      <c r="BQ346" s="280"/>
      <c r="BR346" s="280"/>
      <c r="BS346" s="280"/>
      <c r="BT346" s="280"/>
      <c r="BU346" s="280"/>
      <c r="BV346" s="280"/>
    </row>
    <row r="347" spans="2:74" s="293" customFormat="1" x14ac:dyDescent="0.25">
      <c r="B347" s="280"/>
      <c r="C347" s="280"/>
      <c r="D347" s="280"/>
      <c r="E347" s="280"/>
      <c r="F347" s="280"/>
      <c r="G347" s="280"/>
      <c r="H347" s="280"/>
      <c r="I347" s="280"/>
      <c r="J347" s="280"/>
      <c r="K347" s="280"/>
      <c r="L347" s="283"/>
      <c r="M347" s="283"/>
      <c r="N347" s="280"/>
      <c r="O347" s="280"/>
      <c r="P347" s="280"/>
      <c r="Q347" s="280"/>
      <c r="R347" s="292"/>
      <c r="S347" s="292"/>
      <c r="T347" s="292"/>
      <c r="U347" s="292"/>
      <c r="V347" s="292"/>
      <c r="W347" s="292"/>
      <c r="X347" s="374"/>
      <c r="Y347" s="374"/>
      <c r="Z347" s="374"/>
      <c r="AA347" s="373"/>
      <c r="AB347" s="283"/>
      <c r="AC347" s="280"/>
      <c r="AD347" s="280"/>
      <c r="AE347" s="280"/>
      <c r="AF347" s="280"/>
      <c r="AG347" s="280"/>
      <c r="AH347" s="280"/>
      <c r="AI347" s="280"/>
      <c r="AJ347" s="280"/>
      <c r="AK347" s="280"/>
      <c r="AL347" s="280"/>
      <c r="AM347" s="280"/>
      <c r="AN347" s="280"/>
      <c r="AO347" s="280"/>
      <c r="AP347" s="280"/>
      <c r="AQ347" s="280"/>
      <c r="AR347" s="280"/>
      <c r="AS347" s="280"/>
      <c r="AT347" s="280"/>
      <c r="AU347" s="280"/>
      <c r="AV347" s="280"/>
      <c r="AW347" s="280"/>
      <c r="AX347" s="280"/>
      <c r="AY347" s="280"/>
      <c r="AZ347" s="280"/>
      <c r="BA347" s="280"/>
      <c r="BB347" s="280"/>
      <c r="BC347" s="280"/>
      <c r="BD347" s="280"/>
      <c r="BE347" s="280"/>
      <c r="BF347" s="280"/>
      <c r="BG347" s="280"/>
      <c r="BH347" s="280"/>
      <c r="BI347" s="280"/>
      <c r="BJ347" s="280"/>
      <c r="BK347" s="280"/>
      <c r="BL347" s="280"/>
      <c r="BM347" s="280"/>
      <c r="BN347" s="280"/>
      <c r="BO347" s="280"/>
      <c r="BP347" s="280"/>
      <c r="BQ347" s="280"/>
      <c r="BR347" s="280"/>
      <c r="BS347" s="280"/>
      <c r="BT347" s="280"/>
      <c r="BU347" s="280"/>
      <c r="BV347" s="280"/>
    </row>
    <row r="348" spans="2:74" s="293" customFormat="1" x14ac:dyDescent="0.25">
      <c r="B348" s="280"/>
      <c r="C348" s="280"/>
      <c r="D348" s="280"/>
      <c r="E348" s="280"/>
      <c r="F348" s="280"/>
      <c r="G348" s="280"/>
      <c r="H348" s="280"/>
      <c r="I348" s="280"/>
      <c r="J348" s="280"/>
      <c r="K348" s="280"/>
      <c r="L348" s="283"/>
      <c r="M348" s="283"/>
      <c r="N348" s="280"/>
      <c r="O348" s="280"/>
      <c r="P348" s="280"/>
      <c r="Q348" s="280"/>
      <c r="R348" s="292"/>
      <c r="S348" s="292"/>
      <c r="T348" s="292"/>
      <c r="U348" s="292"/>
      <c r="V348" s="292"/>
      <c r="W348" s="292"/>
      <c r="X348" s="374"/>
      <c r="Y348" s="374"/>
      <c r="Z348" s="374"/>
      <c r="AA348" s="373"/>
      <c r="AB348" s="283"/>
      <c r="AC348" s="280"/>
      <c r="AD348" s="280"/>
      <c r="AE348" s="280"/>
      <c r="AF348" s="280"/>
      <c r="AG348" s="280"/>
      <c r="AH348" s="280"/>
      <c r="AI348" s="280"/>
      <c r="AJ348" s="280"/>
      <c r="AK348" s="280"/>
      <c r="AL348" s="280"/>
      <c r="AM348" s="280"/>
      <c r="AN348" s="280"/>
      <c r="AO348" s="280"/>
      <c r="AP348" s="280"/>
      <c r="AQ348" s="280"/>
      <c r="AR348" s="280"/>
      <c r="AS348" s="280"/>
      <c r="AT348" s="280"/>
      <c r="AU348" s="280"/>
      <c r="AV348" s="280"/>
      <c r="AW348" s="280"/>
      <c r="AX348" s="280"/>
      <c r="AY348" s="280"/>
      <c r="AZ348" s="280"/>
      <c r="BA348" s="280"/>
      <c r="BB348" s="280"/>
      <c r="BC348" s="280"/>
      <c r="BD348" s="280"/>
      <c r="BE348" s="280"/>
      <c r="BF348" s="280"/>
      <c r="BG348" s="280"/>
      <c r="BH348" s="280"/>
      <c r="BI348" s="280"/>
      <c r="BJ348" s="280"/>
      <c r="BK348" s="280"/>
      <c r="BL348" s="280"/>
      <c r="BM348" s="280"/>
      <c r="BN348" s="280"/>
      <c r="BO348" s="280"/>
      <c r="BP348" s="280"/>
      <c r="BQ348" s="280"/>
      <c r="BR348" s="280"/>
      <c r="BS348" s="280"/>
      <c r="BT348" s="280"/>
      <c r="BU348" s="280"/>
      <c r="BV348" s="280"/>
    </row>
    <row r="349" spans="2:74" s="293" customFormat="1" x14ac:dyDescent="0.25">
      <c r="B349" s="280"/>
      <c r="C349" s="280"/>
      <c r="D349" s="280"/>
      <c r="E349" s="280"/>
      <c r="F349" s="280"/>
      <c r="G349" s="280"/>
      <c r="H349" s="280"/>
      <c r="I349" s="280"/>
      <c r="J349" s="280"/>
      <c r="K349" s="280"/>
      <c r="L349" s="283"/>
      <c r="M349" s="283"/>
      <c r="N349" s="280"/>
      <c r="O349" s="280"/>
      <c r="P349" s="280"/>
      <c r="Q349" s="280"/>
      <c r="R349" s="292"/>
      <c r="S349" s="292"/>
      <c r="T349" s="292"/>
      <c r="U349" s="292"/>
      <c r="V349" s="292"/>
      <c r="W349" s="292"/>
      <c r="X349" s="374"/>
      <c r="Y349" s="374"/>
      <c r="Z349" s="374"/>
      <c r="AA349" s="373"/>
      <c r="AB349" s="283"/>
      <c r="AC349" s="280"/>
      <c r="AD349" s="280"/>
      <c r="AE349" s="280"/>
      <c r="AF349" s="280"/>
      <c r="AG349" s="280"/>
      <c r="AH349" s="280"/>
      <c r="AI349" s="280"/>
      <c r="AJ349" s="280"/>
      <c r="AK349" s="280"/>
      <c r="AL349" s="280"/>
      <c r="AM349" s="280"/>
      <c r="AN349" s="280"/>
      <c r="AO349" s="280"/>
      <c r="AP349" s="280"/>
      <c r="AQ349" s="280"/>
      <c r="AR349" s="280"/>
      <c r="AS349" s="280"/>
      <c r="AT349" s="280"/>
      <c r="AU349" s="280"/>
      <c r="AV349" s="280"/>
      <c r="AW349" s="280"/>
      <c r="AX349" s="280"/>
      <c r="AY349" s="280"/>
      <c r="AZ349" s="280"/>
      <c r="BA349" s="280"/>
      <c r="BB349" s="280"/>
      <c r="BC349" s="280"/>
      <c r="BD349" s="280"/>
      <c r="BE349" s="280"/>
      <c r="BF349" s="280"/>
      <c r="BG349" s="280"/>
      <c r="BH349" s="280"/>
      <c r="BI349" s="280"/>
      <c r="BJ349" s="280"/>
      <c r="BK349" s="280"/>
      <c r="BL349" s="280"/>
      <c r="BM349" s="280"/>
      <c r="BN349" s="280"/>
      <c r="BO349" s="280"/>
      <c r="BP349" s="280"/>
      <c r="BQ349" s="280"/>
      <c r="BR349" s="280"/>
      <c r="BS349" s="280"/>
      <c r="BT349" s="280"/>
      <c r="BU349" s="280"/>
      <c r="BV349" s="280"/>
    </row>
    <row r="350" spans="2:74" s="293" customFormat="1" x14ac:dyDescent="0.25">
      <c r="B350" s="280"/>
      <c r="C350" s="280"/>
      <c r="D350" s="280"/>
      <c r="E350" s="280"/>
      <c r="F350" s="280"/>
      <c r="G350" s="280"/>
      <c r="H350" s="280"/>
      <c r="I350" s="280"/>
      <c r="J350" s="280"/>
      <c r="K350" s="280"/>
      <c r="L350" s="283"/>
      <c r="M350" s="283"/>
      <c r="N350" s="280"/>
      <c r="O350" s="280"/>
      <c r="P350" s="280"/>
      <c r="Q350" s="280"/>
      <c r="R350" s="292"/>
      <c r="S350" s="292"/>
      <c r="T350" s="292"/>
      <c r="U350" s="292"/>
      <c r="V350" s="292"/>
      <c r="W350" s="292"/>
      <c r="X350" s="374"/>
      <c r="Y350" s="374"/>
      <c r="Z350" s="374"/>
      <c r="AA350" s="373"/>
      <c r="AB350" s="283"/>
      <c r="AC350" s="280"/>
      <c r="AD350" s="280"/>
      <c r="AE350" s="280"/>
      <c r="AF350" s="280"/>
      <c r="AG350" s="280"/>
      <c r="AH350" s="280"/>
      <c r="AI350" s="280"/>
      <c r="AJ350" s="280"/>
      <c r="AK350" s="280"/>
      <c r="AL350" s="280"/>
      <c r="AM350" s="280"/>
      <c r="AN350" s="280"/>
      <c r="AO350" s="280"/>
      <c r="AP350" s="280"/>
      <c r="AQ350" s="280"/>
      <c r="AR350" s="280"/>
      <c r="AS350" s="280"/>
      <c r="AT350" s="280"/>
      <c r="AU350" s="280"/>
      <c r="AV350" s="280"/>
      <c r="AW350" s="280"/>
      <c r="AX350" s="280"/>
      <c r="AY350" s="280"/>
      <c r="AZ350" s="280"/>
      <c r="BA350" s="280"/>
      <c r="BB350" s="280"/>
      <c r="BC350" s="280"/>
      <c r="BD350" s="280"/>
      <c r="BE350" s="280"/>
      <c r="BF350" s="280"/>
      <c r="BG350" s="280"/>
      <c r="BH350" s="280"/>
      <c r="BI350" s="280"/>
      <c r="BJ350" s="280"/>
      <c r="BK350" s="280"/>
      <c r="BL350" s="280"/>
      <c r="BM350" s="280"/>
      <c r="BN350" s="280"/>
      <c r="BO350" s="280"/>
      <c r="BP350" s="280"/>
      <c r="BQ350" s="280"/>
      <c r="BR350" s="280"/>
      <c r="BS350" s="280"/>
      <c r="BT350" s="280"/>
      <c r="BU350" s="280"/>
      <c r="BV350" s="280"/>
    </row>
    <row r="351" spans="2:74" s="293" customFormat="1" x14ac:dyDescent="0.25">
      <c r="B351" s="280"/>
      <c r="C351" s="280"/>
      <c r="D351" s="280"/>
      <c r="E351" s="280"/>
      <c r="F351" s="280"/>
      <c r="G351" s="280"/>
      <c r="H351" s="280"/>
      <c r="I351" s="280"/>
      <c r="J351" s="280"/>
      <c r="K351" s="280"/>
      <c r="L351" s="283"/>
      <c r="M351" s="283"/>
      <c r="N351" s="280"/>
      <c r="O351" s="280"/>
      <c r="P351" s="280"/>
      <c r="Q351" s="280"/>
      <c r="R351" s="292"/>
      <c r="S351" s="292"/>
      <c r="T351" s="292"/>
      <c r="U351" s="292"/>
      <c r="V351" s="292"/>
      <c r="W351" s="292"/>
      <c r="X351" s="374"/>
      <c r="Y351" s="374"/>
      <c r="Z351" s="374"/>
      <c r="AA351" s="373"/>
      <c r="AB351" s="283"/>
      <c r="AC351" s="280"/>
      <c r="AD351" s="280"/>
      <c r="AE351" s="280"/>
      <c r="AF351" s="280"/>
      <c r="AG351" s="280"/>
      <c r="AH351" s="280"/>
      <c r="AI351" s="280"/>
      <c r="AJ351" s="280"/>
      <c r="AK351" s="280"/>
      <c r="AL351" s="280"/>
      <c r="AM351" s="280"/>
      <c r="AN351" s="280"/>
      <c r="AO351" s="280"/>
      <c r="AP351" s="280"/>
      <c r="AQ351" s="280"/>
      <c r="AR351" s="280"/>
      <c r="AS351" s="280"/>
      <c r="AT351" s="280"/>
      <c r="AU351" s="280"/>
      <c r="AV351" s="280"/>
      <c r="AW351" s="280"/>
      <c r="AX351" s="280"/>
      <c r="AY351" s="280"/>
      <c r="AZ351" s="280"/>
      <c r="BA351" s="280"/>
      <c r="BB351" s="280"/>
      <c r="BC351" s="280"/>
      <c r="BD351" s="280"/>
      <c r="BE351" s="280"/>
      <c r="BF351" s="280"/>
      <c r="BG351" s="280"/>
      <c r="BH351" s="280"/>
      <c r="BI351" s="280"/>
      <c r="BJ351" s="280"/>
      <c r="BK351" s="280"/>
      <c r="BL351" s="280"/>
      <c r="BM351" s="280"/>
      <c r="BN351" s="280"/>
      <c r="BO351" s="280"/>
      <c r="BP351" s="280"/>
      <c r="BQ351" s="280"/>
      <c r="BR351" s="280"/>
      <c r="BS351" s="280"/>
      <c r="BT351" s="280"/>
      <c r="BU351" s="280"/>
      <c r="BV351" s="280"/>
    </row>
    <row r="352" spans="2:74" s="293" customFormat="1" x14ac:dyDescent="0.25">
      <c r="B352" s="280"/>
      <c r="C352" s="280"/>
      <c r="D352" s="280"/>
      <c r="E352" s="280"/>
      <c r="F352" s="280"/>
      <c r="G352" s="280"/>
      <c r="H352" s="280"/>
      <c r="I352" s="280"/>
      <c r="J352" s="280"/>
      <c r="K352" s="280"/>
      <c r="L352" s="283"/>
      <c r="M352" s="283"/>
      <c r="N352" s="280"/>
      <c r="O352" s="280"/>
      <c r="P352" s="280"/>
      <c r="Q352" s="280"/>
      <c r="R352" s="292"/>
      <c r="S352" s="292"/>
      <c r="T352" s="292"/>
      <c r="U352" s="292"/>
      <c r="V352" s="292"/>
      <c r="W352" s="292"/>
      <c r="X352" s="374"/>
      <c r="Y352" s="374"/>
      <c r="Z352" s="374"/>
      <c r="AA352" s="373"/>
      <c r="AB352" s="283"/>
      <c r="AC352" s="280"/>
      <c r="AD352" s="280"/>
      <c r="AE352" s="280"/>
      <c r="AF352" s="280"/>
      <c r="AG352" s="280"/>
      <c r="AH352" s="280"/>
      <c r="AI352" s="280"/>
      <c r="AJ352" s="280"/>
      <c r="AK352" s="280"/>
      <c r="AL352" s="280"/>
      <c r="AM352" s="280"/>
      <c r="AN352" s="280"/>
      <c r="AO352" s="280"/>
      <c r="AP352" s="280"/>
      <c r="AQ352" s="280"/>
      <c r="AR352" s="280"/>
      <c r="AS352" s="280"/>
      <c r="AT352" s="280"/>
      <c r="AU352" s="280"/>
      <c r="AV352" s="280"/>
      <c r="AW352" s="280"/>
      <c r="AX352" s="280"/>
      <c r="AY352" s="280"/>
      <c r="AZ352" s="280"/>
      <c r="BA352" s="280"/>
      <c r="BB352" s="280"/>
      <c r="BC352" s="280"/>
      <c r="BD352" s="280"/>
      <c r="BE352" s="280"/>
      <c r="BF352" s="280"/>
      <c r="BG352" s="280"/>
      <c r="BH352" s="280"/>
      <c r="BI352" s="280"/>
      <c r="BJ352" s="280"/>
      <c r="BK352" s="280"/>
      <c r="BL352" s="280"/>
      <c r="BM352" s="280"/>
      <c r="BN352" s="280"/>
      <c r="BO352" s="280"/>
      <c r="BP352" s="280"/>
      <c r="BQ352" s="280"/>
      <c r="BR352" s="280"/>
      <c r="BS352" s="280"/>
      <c r="BT352" s="280"/>
      <c r="BU352" s="280"/>
      <c r="BV352" s="280"/>
    </row>
    <row r="353" spans="2:74" s="293" customFormat="1" x14ac:dyDescent="0.25">
      <c r="B353" s="280"/>
      <c r="C353" s="280"/>
      <c r="D353" s="280"/>
      <c r="E353" s="280"/>
      <c r="F353" s="280"/>
      <c r="G353" s="280"/>
      <c r="H353" s="280"/>
      <c r="I353" s="280"/>
      <c r="J353" s="280"/>
      <c r="K353" s="280"/>
      <c r="L353" s="283"/>
      <c r="M353" s="283"/>
      <c r="N353" s="280"/>
      <c r="O353" s="280"/>
      <c r="P353" s="280"/>
      <c r="Q353" s="280"/>
      <c r="R353" s="292"/>
      <c r="S353" s="292"/>
      <c r="T353" s="292"/>
      <c r="U353" s="292"/>
      <c r="V353" s="292"/>
      <c r="W353" s="292"/>
      <c r="X353" s="374"/>
      <c r="Y353" s="374"/>
      <c r="Z353" s="374"/>
      <c r="AA353" s="373"/>
      <c r="AB353" s="283"/>
      <c r="AC353" s="280"/>
      <c r="AD353" s="280"/>
      <c r="AE353" s="280"/>
      <c r="AF353" s="280"/>
      <c r="AG353" s="280"/>
      <c r="AH353" s="280"/>
      <c r="AI353" s="280"/>
      <c r="AJ353" s="280"/>
      <c r="AK353" s="280"/>
      <c r="AL353" s="280"/>
      <c r="AM353" s="280"/>
      <c r="AN353" s="280"/>
      <c r="AO353" s="280"/>
      <c r="AP353" s="280"/>
      <c r="AQ353" s="280"/>
      <c r="AR353" s="280"/>
      <c r="AS353" s="280"/>
      <c r="AT353" s="280"/>
      <c r="AU353" s="280"/>
      <c r="AV353" s="280"/>
      <c r="AW353" s="280"/>
      <c r="AX353" s="280"/>
      <c r="AY353" s="280"/>
      <c r="AZ353" s="280"/>
      <c r="BA353" s="280"/>
      <c r="BB353" s="280"/>
      <c r="BC353" s="280"/>
      <c r="BD353" s="280"/>
      <c r="BE353" s="280"/>
      <c r="BF353" s="280"/>
      <c r="BG353" s="280"/>
      <c r="BH353" s="280"/>
      <c r="BI353" s="280"/>
      <c r="BJ353" s="280"/>
      <c r="BK353" s="280"/>
      <c r="BL353" s="280"/>
      <c r="BM353" s="280"/>
      <c r="BN353" s="280"/>
      <c r="BO353" s="280"/>
      <c r="BP353" s="280"/>
      <c r="BQ353" s="280"/>
      <c r="BR353" s="280"/>
      <c r="BS353" s="280"/>
      <c r="BT353" s="280"/>
      <c r="BU353" s="280"/>
      <c r="BV353" s="280"/>
    </row>
    <row r="354" spans="2:74" s="293" customFormat="1" x14ac:dyDescent="0.25">
      <c r="B354" s="280"/>
      <c r="C354" s="280"/>
      <c r="D354" s="280"/>
      <c r="E354" s="280"/>
      <c r="F354" s="280"/>
      <c r="G354" s="280"/>
      <c r="H354" s="280"/>
      <c r="I354" s="280"/>
      <c r="J354" s="280"/>
      <c r="K354" s="280"/>
      <c r="L354" s="283"/>
      <c r="M354" s="283"/>
      <c r="N354" s="280"/>
      <c r="O354" s="280"/>
      <c r="P354" s="280"/>
      <c r="Q354" s="280"/>
      <c r="R354" s="292"/>
      <c r="S354" s="292"/>
      <c r="T354" s="292"/>
      <c r="U354" s="292"/>
      <c r="V354" s="292"/>
      <c r="W354" s="292"/>
      <c r="X354" s="374"/>
      <c r="Y354" s="374"/>
      <c r="Z354" s="374"/>
      <c r="AA354" s="373"/>
      <c r="AB354" s="283"/>
      <c r="AC354" s="280"/>
      <c r="AD354" s="280"/>
      <c r="AE354" s="280"/>
      <c r="AF354" s="280"/>
      <c r="AG354" s="280"/>
      <c r="AH354" s="280"/>
      <c r="AI354" s="280"/>
      <c r="AJ354" s="280"/>
      <c r="AK354" s="280"/>
      <c r="AL354" s="280"/>
      <c r="AM354" s="280"/>
      <c r="AN354" s="280"/>
      <c r="AO354" s="280"/>
      <c r="AP354" s="280"/>
      <c r="AQ354" s="280"/>
      <c r="AR354" s="280"/>
      <c r="AS354" s="280"/>
      <c r="AT354" s="280"/>
      <c r="AU354" s="280"/>
      <c r="AV354" s="280"/>
      <c r="AW354" s="280"/>
      <c r="AX354" s="280"/>
      <c r="AY354" s="280"/>
      <c r="AZ354" s="280"/>
      <c r="BA354" s="280"/>
      <c r="BB354" s="280"/>
      <c r="BC354" s="280"/>
      <c r="BD354" s="280"/>
      <c r="BE354" s="280"/>
      <c r="BF354" s="280"/>
      <c r="BG354" s="280"/>
      <c r="BH354" s="280"/>
      <c r="BI354" s="280"/>
      <c r="BJ354" s="280"/>
      <c r="BK354" s="280"/>
      <c r="BL354" s="280"/>
      <c r="BM354" s="280"/>
      <c r="BN354" s="280"/>
      <c r="BO354" s="280"/>
      <c r="BP354" s="280"/>
      <c r="BQ354" s="280"/>
      <c r="BR354" s="280"/>
      <c r="BS354" s="280"/>
      <c r="BT354" s="280"/>
      <c r="BU354" s="280"/>
      <c r="BV354" s="280"/>
    </row>
    <row r="355" spans="2:74" s="293" customFormat="1" x14ac:dyDescent="0.25">
      <c r="B355" s="280"/>
      <c r="C355" s="280"/>
      <c r="D355" s="280"/>
      <c r="E355" s="280"/>
      <c r="F355" s="280"/>
      <c r="G355" s="280"/>
      <c r="H355" s="280"/>
      <c r="I355" s="280"/>
      <c r="J355" s="280"/>
      <c r="K355" s="280"/>
      <c r="L355" s="283"/>
      <c r="M355" s="283"/>
      <c r="N355" s="280"/>
      <c r="O355" s="280"/>
      <c r="P355" s="280"/>
      <c r="Q355" s="280"/>
      <c r="R355" s="292"/>
      <c r="S355" s="292"/>
      <c r="T355" s="292"/>
      <c r="U355" s="292"/>
      <c r="V355" s="292"/>
      <c r="W355" s="292"/>
      <c r="X355" s="374"/>
      <c r="Y355" s="374"/>
      <c r="Z355" s="374"/>
      <c r="AA355" s="373"/>
      <c r="AB355" s="283"/>
      <c r="AC355" s="280"/>
      <c r="AD355" s="280"/>
      <c r="AE355" s="280"/>
      <c r="AF355" s="280"/>
      <c r="AG355" s="280"/>
      <c r="AH355" s="280"/>
      <c r="AI355" s="280"/>
      <c r="AJ355" s="280"/>
      <c r="AK355" s="280"/>
      <c r="AL355" s="280"/>
      <c r="AM355" s="280"/>
      <c r="AN355" s="280"/>
      <c r="AO355" s="280"/>
      <c r="AP355" s="280"/>
      <c r="AQ355" s="280"/>
      <c r="AR355" s="280"/>
      <c r="AS355" s="280"/>
      <c r="AT355" s="280"/>
      <c r="AU355" s="280"/>
      <c r="AV355" s="280"/>
      <c r="AW355" s="280"/>
      <c r="AX355" s="280"/>
      <c r="AY355" s="280"/>
      <c r="AZ355" s="280"/>
      <c r="BA355" s="280"/>
      <c r="BB355" s="280"/>
      <c r="BC355" s="280"/>
      <c r="BD355" s="280"/>
      <c r="BE355" s="280"/>
      <c r="BF355" s="280"/>
      <c r="BG355" s="280"/>
      <c r="BH355" s="280"/>
      <c r="BI355" s="280"/>
      <c r="BJ355" s="280"/>
      <c r="BK355" s="280"/>
      <c r="BL355" s="280"/>
      <c r="BM355" s="280"/>
      <c r="BN355" s="280"/>
      <c r="BO355" s="280"/>
      <c r="BP355" s="280"/>
      <c r="BQ355" s="280"/>
      <c r="BR355" s="280"/>
      <c r="BS355" s="280"/>
      <c r="BT355" s="280"/>
      <c r="BU355" s="280"/>
      <c r="BV355" s="280"/>
    </row>
    <row r="356" spans="2:74" s="293" customFormat="1" x14ac:dyDescent="0.25">
      <c r="B356" s="280"/>
      <c r="C356" s="280"/>
      <c r="D356" s="280"/>
      <c r="E356" s="280"/>
      <c r="F356" s="280"/>
      <c r="G356" s="280"/>
      <c r="H356" s="280"/>
      <c r="I356" s="280"/>
      <c r="J356" s="280"/>
      <c r="K356" s="280"/>
      <c r="L356" s="283"/>
      <c r="M356" s="283"/>
      <c r="N356" s="280"/>
      <c r="O356" s="280"/>
      <c r="P356" s="280"/>
      <c r="Q356" s="280"/>
      <c r="R356" s="292"/>
      <c r="S356" s="292"/>
      <c r="T356" s="292"/>
      <c r="U356" s="292"/>
      <c r="V356" s="292"/>
      <c r="W356" s="292"/>
      <c r="X356" s="374"/>
      <c r="Y356" s="374"/>
      <c r="Z356" s="374"/>
      <c r="AA356" s="373"/>
      <c r="AB356" s="283"/>
      <c r="AC356" s="280"/>
      <c r="AD356" s="280"/>
      <c r="AE356" s="280"/>
      <c r="AF356" s="280"/>
      <c r="AG356" s="280"/>
      <c r="AH356" s="280"/>
      <c r="AI356" s="280"/>
      <c r="AJ356" s="280"/>
      <c r="AK356" s="280"/>
      <c r="AL356" s="280"/>
      <c r="AM356" s="280"/>
      <c r="AN356" s="280"/>
      <c r="AO356" s="280"/>
      <c r="AP356" s="280"/>
      <c r="AQ356" s="280"/>
      <c r="AR356" s="280"/>
      <c r="AS356" s="280"/>
      <c r="AT356" s="280"/>
      <c r="AU356" s="280"/>
      <c r="AV356" s="280"/>
      <c r="AW356" s="280"/>
      <c r="AX356" s="280"/>
      <c r="AY356" s="280"/>
      <c r="AZ356" s="280"/>
      <c r="BA356" s="280"/>
      <c r="BB356" s="280"/>
      <c r="BC356" s="280"/>
      <c r="BD356" s="280"/>
      <c r="BE356" s="280"/>
      <c r="BF356" s="280"/>
      <c r="BG356" s="280"/>
      <c r="BH356" s="280"/>
      <c r="BI356" s="280"/>
      <c r="BJ356" s="280"/>
      <c r="BK356" s="280"/>
      <c r="BL356" s="280"/>
      <c r="BM356" s="280"/>
      <c r="BN356" s="280"/>
      <c r="BO356" s="280"/>
      <c r="BP356" s="280"/>
      <c r="BQ356" s="280"/>
      <c r="BR356" s="280"/>
      <c r="BS356" s="280"/>
      <c r="BT356" s="280"/>
      <c r="BU356" s="280"/>
      <c r="BV356" s="280"/>
    </row>
    <row r="357" spans="2:74" s="293" customFormat="1" x14ac:dyDescent="0.25">
      <c r="B357" s="280"/>
      <c r="C357" s="280"/>
      <c r="D357" s="280"/>
      <c r="E357" s="280"/>
      <c r="F357" s="280"/>
      <c r="G357" s="280"/>
      <c r="H357" s="280"/>
      <c r="I357" s="280"/>
      <c r="J357" s="280"/>
      <c r="K357" s="280"/>
      <c r="L357" s="283"/>
      <c r="M357" s="283"/>
      <c r="N357" s="280"/>
      <c r="O357" s="280"/>
      <c r="P357" s="280"/>
      <c r="Q357" s="280"/>
      <c r="R357" s="292"/>
      <c r="S357" s="292"/>
      <c r="T357" s="292"/>
      <c r="U357" s="292"/>
      <c r="V357" s="292"/>
      <c r="W357" s="292"/>
      <c r="X357" s="374"/>
      <c r="Y357" s="374"/>
      <c r="Z357" s="374"/>
      <c r="AA357" s="373"/>
      <c r="AB357" s="283"/>
      <c r="AC357" s="280"/>
      <c r="AD357" s="280"/>
      <c r="AE357" s="280"/>
      <c r="AF357" s="280"/>
      <c r="AG357" s="280"/>
      <c r="AH357" s="280"/>
      <c r="AI357" s="280"/>
      <c r="AJ357" s="280"/>
      <c r="AK357" s="280"/>
      <c r="AL357" s="280"/>
      <c r="AM357" s="280"/>
      <c r="AN357" s="280"/>
      <c r="AO357" s="280"/>
      <c r="AP357" s="280"/>
      <c r="AQ357" s="280"/>
      <c r="AR357" s="280"/>
      <c r="AS357" s="280"/>
      <c r="AT357" s="280"/>
      <c r="AU357" s="280"/>
      <c r="AV357" s="280"/>
      <c r="AW357" s="280"/>
      <c r="AX357" s="280"/>
      <c r="AY357" s="280"/>
      <c r="AZ357" s="280"/>
      <c r="BA357" s="280"/>
      <c r="BB357" s="280"/>
      <c r="BC357" s="280"/>
      <c r="BD357" s="280"/>
      <c r="BE357" s="280"/>
      <c r="BF357" s="280"/>
      <c r="BG357" s="280"/>
      <c r="BH357" s="280"/>
      <c r="BI357" s="280"/>
      <c r="BJ357" s="280"/>
      <c r="BK357" s="280"/>
      <c r="BL357" s="280"/>
      <c r="BM357" s="280"/>
      <c r="BN357" s="280"/>
      <c r="BO357" s="280"/>
      <c r="BP357" s="280"/>
      <c r="BQ357" s="280"/>
      <c r="BR357" s="280"/>
      <c r="BS357" s="280"/>
      <c r="BT357" s="280"/>
      <c r="BU357" s="280"/>
      <c r="BV357" s="280"/>
    </row>
    <row r="358" spans="2:74" s="293" customFormat="1" x14ac:dyDescent="0.25">
      <c r="B358" s="280"/>
      <c r="C358" s="280"/>
      <c r="D358" s="280"/>
      <c r="E358" s="280"/>
      <c r="F358" s="280"/>
      <c r="G358" s="280"/>
      <c r="H358" s="280"/>
      <c r="I358" s="280"/>
      <c r="J358" s="280"/>
      <c r="K358" s="280"/>
      <c r="L358" s="283"/>
      <c r="M358" s="283"/>
      <c r="N358" s="280"/>
      <c r="O358" s="280"/>
      <c r="P358" s="280"/>
      <c r="Q358" s="280"/>
      <c r="R358" s="292"/>
      <c r="S358" s="292"/>
      <c r="T358" s="292"/>
      <c r="U358" s="292"/>
      <c r="V358" s="292"/>
      <c r="W358" s="292"/>
      <c r="X358" s="374"/>
      <c r="Y358" s="374"/>
      <c r="Z358" s="374"/>
      <c r="AA358" s="373"/>
      <c r="AB358" s="283"/>
      <c r="AC358" s="280"/>
      <c r="AD358" s="280"/>
      <c r="AE358" s="280"/>
      <c r="AF358" s="280"/>
      <c r="AG358" s="280"/>
      <c r="AH358" s="280"/>
      <c r="AI358" s="280"/>
      <c r="AJ358" s="280"/>
      <c r="AK358" s="280"/>
      <c r="AL358" s="280"/>
      <c r="AM358" s="280"/>
      <c r="AN358" s="280"/>
      <c r="AO358" s="280"/>
      <c r="AP358" s="280"/>
      <c r="AQ358" s="280"/>
      <c r="AR358" s="280"/>
      <c r="AS358" s="280"/>
      <c r="AT358" s="280"/>
      <c r="AU358" s="280"/>
      <c r="AV358" s="280"/>
      <c r="AW358" s="280"/>
      <c r="AX358" s="280"/>
      <c r="AY358" s="280"/>
      <c r="AZ358" s="280"/>
      <c r="BA358" s="280"/>
      <c r="BB358" s="280"/>
      <c r="BC358" s="280"/>
      <c r="BD358" s="280"/>
      <c r="BE358" s="280"/>
      <c r="BF358" s="280"/>
      <c r="BG358" s="280"/>
      <c r="BH358" s="280"/>
      <c r="BI358" s="280"/>
      <c r="BJ358" s="280"/>
      <c r="BK358" s="280"/>
      <c r="BL358" s="280"/>
      <c r="BM358" s="280"/>
      <c r="BN358" s="280"/>
      <c r="BO358" s="280"/>
      <c r="BP358" s="280"/>
      <c r="BQ358" s="280"/>
      <c r="BR358" s="280"/>
      <c r="BS358" s="280"/>
      <c r="BT358" s="280"/>
      <c r="BU358" s="280"/>
      <c r="BV358" s="280"/>
    </row>
    <row r="359" spans="2:74" s="293" customFormat="1" x14ac:dyDescent="0.25">
      <c r="B359" s="280"/>
      <c r="C359" s="280"/>
      <c r="D359" s="280"/>
      <c r="E359" s="280"/>
      <c r="F359" s="280"/>
      <c r="G359" s="280"/>
      <c r="H359" s="280"/>
      <c r="I359" s="280"/>
      <c r="J359" s="280"/>
      <c r="K359" s="280"/>
      <c r="L359" s="283"/>
      <c r="M359" s="283"/>
      <c r="N359" s="280"/>
      <c r="O359" s="280"/>
      <c r="P359" s="280"/>
      <c r="Q359" s="280"/>
      <c r="R359" s="292"/>
      <c r="S359" s="292"/>
      <c r="T359" s="292"/>
      <c r="U359" s="292"/>
      <c r="V359" s="292"/>
      <c r="W359" s="292"/>
      <c r="X359" s="374"/>
      <c r="Y359" s="374"/>
      <c r="Z359" s="374"/>
      <c r="AA359" s="373"/>
      <c r="AB359" s="283"/>
      <c r="AC359" s="280"/>
      <c r="AD359" s="280"/>
      <c r="AE359" s="280"/>
      <c r="AF359" s="280"/>
      <c r="AG359" s="280"/>
      <c r="AH359" s="280"/>
      <c r="AI359" s="280"/>
      <c r="AJ359" s="280"/>
      <c r="AK359" s="280"/>
      <c r="AL359" s="280"/>
      <c r="AM359" s="280"/>
      <c r="AN359" s="280"/>
      <c r="AO359" s="280"/>
      <c r="AP359" s="280"/>
      <c r="AQ359" s="280"/>
      <c r="AR359" s="280"/>
      <c r="AS359" s="280"/>
      <c r="AT359" s="280"/>
      <c r="AU359" s="280"/>
      <c r="AV359" s="280"/>
      <c r="AW359" s="280"/>
      <c r="AX359" s="280"/>
      <c r="AY359" s="280"/>
      <c r="AZ359" s="280"/>
      <c r="BA359" s="280"/>
      <c r="BB359" s="280"/>
      <c r="BC359" s="280"/>
      <c r="BD359" s="280"/>
      <c r="BE359" s="280"/>
      <c r="BF359" s="280"/>
      <c r="BG359" s="280"/>
      <c r="BH359" s="280"/>
      <c r="BI359" s="280"/>
      <c r="BJ359" s="280"/>
      <c r="BK359" s="280"/>
      <c r="BL359" s="280"/>
      <c r="BM359" s="280"/>
      <c r="BN359" s="280"/>
      <c r="BO359" s="280"/>
      <c r="BP359" s="280"/>
      <c r="BQ359" s="280"/>
      <c r="BR359" s="280"/>
      <c r="BS359" s="280"/>
      <c r="BT359" s="280"/>
      <c r="BU359" s="280"/>
      <c r="BV359" s="280"/>
    </row>
    <row r="360" spans="2:74" s="293" customFormat="1" x14ac:dyDescent="0.25">
      <c r="B360" s="280"/>
      <c r="C360" s="280"/>
      <c r="D360" s="280"/>
      <c r="E360" s="280"/>
      <c r="F360" s="280"/>
      <c r="G360" s="280"/>
      <c r="H360" s="280"/>
      <c r="I360" s="280"/>
      <c r="J360" s="280"/>
      <c r="K360" s="280"/>
      <c r="L360" s="283"/>
      <c r="M360" s="283"/>
      <c r="N360" s="280"/>
      <c r="O360" s="280"/>
      <c r="P360" s="280"/>
      <c r="Q360" s="280"/>
      <c r="R360" s="292"/>
      <c r="S360" s="292"/>
      <c r="T360" s="292"/>
      <c r="U360" s="292"/>
      <c r="V360" s="292"/>
      <c r="W360" s="292"/>
      <c r="X360" s="374"/>
      <c r="Y360" s="374"/>
      <c r="Z360" s="374"/>
      <c r="AA360" s="373"/>
      <c r="AB360" s="283"/>
      <c r="AC360" s="280"/>
      <c r="AD360" s="280"/>
      <c r="AE360" s="280"/>
      <c r="AF360" s="280"/>
      <c r="AG360" s="280"/>
      <c r="AH360" s="280"/>
      <c r="AI360" s="280"/>
      <c r="AJ360" s="280"/>
      <c r="AK360" s="280"/>
      <c r="AL360" s="280"/>
      <c r="AM360" s="280"/>
      <c r="AN360" s="280"/>
      <c r="AO360" s="280"/>
      <c r="AP360" s="280"/>
      <c r="AQ360" s="280"/>
      <c r="AR360" s="280"/>
      <c r="AS360" s="280"/>
      <c r="AT360" s="280"/>
      <c r="AU360" s="280"/>
      <c r="AV360" s="280"/>
      <c r="AW360" s="280"/>
      <c r="AX360" s="280"/>
      <c r="AY360" s="280"/>
      <c r="AZ360" s="280"/>
      <c r="BA360" s="280"/>
      <c r="BB360" s="280"/>
      <c r="BC360" s="280"/>
      <c r="BD360" s="280"/>
      <c r="BE360" s="280"/>
      <c r="BF360" s="280"/>
      <c r="BG360" s="280"/>
      <c r="BH360" s="280"/>
      <c r="BI360" s="280"/>
      <c r="BJ360" s="280"/>
      <c r="BK360" s="280"/>
      <c r="BL360" s="280"/>
      <c r="BM360" s="280"/>
      <c r="BN360" s="280"/>
      <c r="BO360" s="280"/>
      <c r="BP360" s="280"/>
      <c r="BQ360" s="280"/>
      <c r="BR360" s="280"/>
      <c r="BS360" s="280"/>
      <c r="BT360" s="280"/>
      <c r="BU360" s="280"/>
      <c r="BV360" s="280"/>
    </row>
    <row r="361" spans="2:74" s="293" customFormat="1" x14ac:dyDescent="0.25">
      <c r="B361" s="280"/>
      <c r="C361" s="280"/>
      <c r="D361" s="280"/>
      <c r="E361" s="280"/>
      <c r="F361" s="280"/>
      <c r="G361" s="280"/>
      <c r="H361" s="280"/>
      <c r="I361" s="280"/>
      <c r="J361" s="280"/>
      <c r="K361" s="280"/>
      <c r="L361" s="283"/>
      <c r="M361" s="283"/>
      <c r="N361" s="280"/>
      <c r="O361" s="280"/>
      <c r="P361" s="280"/>
      <c r="Q361" s="280"/>
      <c r="R361" s="292"/>
      <c r="S361" s="292"/>
      <c r="T361" s="292"/>
      <c r="U361" s="292"/>
      <c r="V361" s="292"/>
      <c r="W361" s="292"/>
      <c r="X361" s="374"/>
      <c r="Y361" s="374"/>
      <c r="Z361" s="374"/>
      <c r="AA361" s="373"/>
      <c r="AB361" s="283"/>
      <c r="AC361" s="280"/>
      <c r="AD361" s="280"/>
      <c r="AE361" s="280"/>
      <c r="AF361" s="280"/>
      <c r="AG361" s="280"/>
      <c r="AH361" s="280"/>
      <c r="AI361" s="280"/>
      <c r="AJ361" s="280"/>
      <c r="AK361" s="280"/>
      <c r="AL361" s="280"/>
      <c r="AM361" s="280"/>
      <c r="AN361" s="280"/>
      <c r="AO361" s="280"/>
      <c r="AP361" s="280"/>
      <c r="AQ361" s="280"/>
      <c r="AR361" s="280"/>
      <c r="AS361" s="280"/>
      <c r="AT361" s="280"/>
      <c r="AU361" s="280"/>
      <c r="AV361" s="280"/>
      <c r="AW361" s="280"/>
      <c r="AX361" s="280"/>
      <c r="AY361" s="280"/>
      <c r="AZ361" s="280"/>
      <c r="BA361" s="280"/>
      <c r="BB361" s="280"/>
      <c r="BC361" s="280"/>
      <c r="BD361" s="280"/>
      <c r="BE361" s="280"/>
      <c r="BF361" s="280"/>
      <c r="BG361" s="280"/>
      <c r="BH361" s="280"/>
      <c r="BI361" s="280"/>
      <c r="BJ361" s="280"/>
      <c r="BK361" s="280"/>
      <c r="BL361" s="280"/>
      <c r="BM361" s="280"/>
      <c r="BN361" s="280"/>
      <c r="BO361" s="280"/>
      <c r="BP361" s="280"/>
      <c r="BQ361" s="280"/>
      <c r="BR361" s="280"/>
      <c r="BS361" s="280"/>
      <c r="BT361" s="280"/>
      <c r="BU361" s="280"/>
      <c r="BV361" s="280"/>
    </row>
    <row r="362" spans="2:74" s="293" customFormat="1" x14ac:dyDescent="0.25">
      <c r="B362" s="280"/>
      <c r="C362" s="280"/>
      <c r="D362" s="280"/>
      <c r="E362" s="280"/>
      <c r="F362" s="280"/>
      <c r="G362" s="280"/>
      <c r="H362" s="280"/>
      <c r="I362" s="280"/>
      <c r="J362" s="280"/>
      <c r="K362" s="280"/>
      <c r="L362" s="283"/>
      <c r="M362" s="283"/>
      <c r="N362" s="280"/>
      <c r="O362" s="280"/>
      <c r="P362" s="280"/>
      <c r="Q362" s="280"/>
      <c r="R362" s="292"/>
      <c r="S362" s="292"/>
      <c r="T362" s="292"/>
      <c r="U362" s="292"/>
      <c r="V362" s="292"/>
      <c r="W362" s="292"/>
      <c r="X362" s="374"/>
      <c r="Y362" s="374"/>
      <c r="Z362" s="374"/>
      <c r="AA362" s="373"/>
      <c r="AB362" s="283"/>
      <c r="AC362" s="280"/>
      <c r="AD362" s="280"/>
      <c r="AE362" s="280"/>
      <c r="AF362" s="280"/>
      <c r="AG362" s="280"/>
      <c r="AH362" s="280"/>
      <c r="AI362" s="280"/>
      <c r="AJ362" s="280"/>
      <c r="AK362" s="280"/>
      <c r="AL362" s="280"/>
      <c r="AM362" s="280"/>
      <c r="AN362" s="280"/>
      <c r="AO362" s="280"/>
      <c r="AP362" s="280"/>
      <c r="AQ362" s="280"/>
      <c r="AR362" s="280"/>
      <c r="AS362" s="280"/>
      <c r="AT362" s="280"/>
      <c r="AU362" s="280"/>
      <c r="AV362" s="280"/>
      <c r="AW362" s="280"/>
      <c r="AX362" s="280"/>
      <c r="AY362" s="280"/>
      <c r="AZ362" s="280"/>
      <c r="BA362" s="280"/>
      <c r="BB362" s="280"/>
      <c r="BC362" s="280"/>
      <c r="BD362" s="280"/>
      <c r="BE362" s="280"/>
      <c r="BF362" s="280"/>
      <c r="BG362" s="280"/>
      <c r="BH362" s="280"/>
      <c r="BI362" s="280"/>
      <c r="BJ362" s="280"/>
      <c r="BK362" s="280"/>
      <c r="BL362" s="280"/>
      <c r="BM362" s="280"/>
      <c r="BN362" s="280"/>
      <c r="BO362" s="280"/>
      <c r="BP362" s="280"/>
      <c r="BQ362" s="280"/>
      <c r="BR362" s="280"/>
      <c r="BS362" s="280"/>
      <c r="BT362" s="280"/>
      <c r="BU362" s="280"/>
      <c r="BV362" s="280"/>
    </row>
    <row r="363" spans="2:74" s="293" customFormat="1" x14ac:dyDescent="0.25">
      <c r="B363" s="280"/>
      <c r="C363" s="280"/>
      <c r="D363" s="280"/>
      <c r="E363" s="280"/>
      <c r="F363" s="280"/>
      <c r="G363" s="280"/>
      <c r="H363" s="280"/>
      <c r="I363" s="280"/>
      <c r="J363" s="280"/>
      <c r="K363" s="280"/>
      <c r="L363" s="283"/>
      <c r="M363" s="283"/>
      <c r="N363" s="280"/>
      <c r="O363" s="280"/>
      <c r="P363" s="280"/>
      <c r="Q363" s="280"/>
      <c r="R363" s="292"/>
      <c r="S363" s="292"/>
      <c r="T363" s="292"/>
      <c r="U363" s="292"/>
      <c r="V363" s="292"/>
      <c r="W363" s="292"/>
      <c r="X363" s="374"/>
      <c r="Y363" s="374"/>
      <c r="Z363" s="374"/>
      <c r="AA363" s="373"/>
      <c r="AB363" s="283"/>
      <c r="AC363" s="280"/>
      <c r="AD363" s="280"/>
      <c r="AE363" s="280"/>
      <c r="AF363" s="280"/>
      <c r="AG363" s="280"/>
      <c r="AH363" s="280"/>
      <c r="AI363" s="280"/>
      <c r="AJ363" s="280"/>
      <c r="AK363" s="280"/>
      <c r="AL363" s="280"/>
      <c r="AM363" s="280"/>
      <c r="AN363" s="280"/>
      <c r="AO363" s="280"/>
      <c r="AP363" s="280"/>
      <c r="AQ363" s="280"/>
      <c r="AR363" s="280"/>
      <c r="AS363" s="280"/>
      <c r="AT363" s="280"/>
      <c r="AU363" s="280"/>
      <c r="AV363" s="280"/>
      <c r="AW363" s="280"/>
      <c r="AX363" s="280"/>
      <c r="AY363" s="280"/>
      <c r="AZ363" s="280"/>
      <c r="BA363" s="280"/>
      <c r="BB363" s="280"/>
      <c r="BC363" s="280"/>
      <c r="BD363" s="280"/>
      <c r="BE363" s="280"/>
      <c r="BF363" s="280"/>
      <c r="BG363" s="280"/>
      <c r="BH363" s="280"/>
      <c r="BI363" s="280"/>
      <c r="BJ363" s="280"/>
      <c r="BK363" s="280"/>
      <c r="BL363" s="280"/>
      <c r="BM363" s="280"/>
      <c r="BN363" s="280"/>
      <c r="BO363" s="280"/>
      <c r="BP363" s="280"/>
      <c r="BQ363" s="280"/>
      <c r="BR363" s="280"/>
      <c r="BS363" s="280"/>
      <c r="BT363" s="280"/>
      <c r="BU363" s="280"/>
      <c r="BV363" s="280"/>
    </row>
    <row r="364" spans="2:74" s="293" customFormat="1" x14ac:dyDescent="0.25">
      <c r="B364" s="280"/>
      <c r="C364" s="280"/>
      <c r="D364" s="280"/>
      <c r="E364" s="280"/>
      <c r="F364" s="280"/>
      <c r="G364" s="280"/>
      <c r="H364" s="280"/>
      <c r="I364" s="280"/>
      <c r="J364" s="280"/>
      <c r="K364" s="280"/>
      <c r="L364" s="283"/>
      <c r="M364" s="283"/>
      <c r="N364" s="280"/>
      <c r="O364" s="280"/>
      <c r="P364" s="280"/>
      <c r="Q364" s="280"/>
      <c r="R364" s="292"/>
      <c r="S364" s="292"/>
      <c r="T364" s="292"/>
      <c r="U364" s="292"/>
      <c r="V364" s="292"/>
      <c r="W364" s="292"/>
      <c r="X364" s="374"/>
      <c r="Y364" s="374"/>
      <c r="Z364" s="374"/>
      <c r="AA364" s="373"/>
      <c r="AB364" s="283"/>
      <c r="AC364" s="280"/>
      <c r="AD364" s="280"/>
      <c r="AE364" s="280"/>
      <c r="AF364" s="280"/>
      <c r="AG364" s="280"/>
      <c r="AH364" s="280"/>
      <c r="AI364" s="280"/>
      <c r="AJ364" s="280"/>
      <c r="AK364" s="280"/>
      <c r="AL364" s="280"/>
      <c r="AM364" s="280"/>
      <c r="AN364" s="280"/>
      <c r="AO364" s="280"/>
      <c r="AP364" s="280"/>
      <c r="AQ364" s="280"/>
      <c r="AR364" s="280"/>
      <c r="AS364" s="280"/>
      <c r="AT364" s="280"/>
      <c r="AU364" s="280"/>
      <c r="AV364" s="280"/>
      <c r="AW364" s="280"/>
      <c r="AX364" s="280"/>
      <c r="AY364" s="280"/>
      <c r="AZ364" s="280"/>
      <c r="BA364" s="280"/>
      <c r="BB364" s="280"/>
      <c r="BC364" s="280"/>
      <c r="BD364" s="280"/>
      <c r="BE364" s="280"/>
      <c r="BF364" s="280"/>
      <c r="BG364" s="280"/>
      <c r="BH364" s="280"/>
      <c r="BI364" s="280"/>
      <c r="BJ364" s="280"/>
      <c r="BK364" s="280"/>
      <c r="BL364" s="280"/>
      <c r="BM364" s="280"/>
      <c r="BN364" s="280"/>
      <c r="BO364" s="280"/>
      <c r="BP364" s="280"/>
      <c r="BQ364" s="280"/>
      <c r="BR364" s="280"/>
      <c r="BS364" s="280"/>
      <c r="BT364" s="280"/>
      <c r="BU364" s="280"/>
      <c r="BV364" s="280"/>
    </row>
    <row r="365" spans="2:74" s="293" customFormat="1" x14ac:dyDescent="0.25">
      <c r="B365" s="280"/>
      <c r="C365" s="280"/>
      <c r="D365" s="280"/>
      <c r="E365" s="280"/>
      <c r="F365" s="280"/>
      <c r="G365" s="280"/>
      <c r="H365" s="280"/>
      <c r="I365" s="280"/>
      <c r="J365" s="280"/>
      <c r="K365" s="280"/>
      <c r="L365" s="283"/>
      <c r="M365" s="283"/>
      <c r="N365" s="280"/>
      <c r="O365" s="280"/>
      <c r="P365" s="280"/>
      <c r="Q365" s="280"/>
      <c r="R365" s="292"/>
      <c r="S365" s="292"/>
      <c r="T365" s="292"/>
      <c r="U365" s="292"/>
      <c r="V365" s="292"/>
      <c r="W365" s="292"/>
      <c r="X365" s="374"/>
      <c r="Y365" s="374"/>
      <c r="Z365" s="374"/>
      <c r="AA365" s="373"/>
      <c r="AB365" s="283"/>
      <c r="AC365" s="280"/>
      <c r="AD365" s="280"/>
      <c r="AE365" s="280"/>
      <c r="AF365" s="280"/>
      <c r="AG365" s="280"/>
      <c r="AH365" s="280"/>
      <c r="AI365" s="280"/>
      <c r="AJ365" s="280"/>
      <c r="AK365" s="280"/>
      <c r="AL365" s="280"/>
      <c r="AM365" s="280"/>
      <c r="AN365" s="280"/>
      <c r="AO365" s="280"/>
      <c r="AP365" s="280"/>
      <c r="AQ365" s="280"/>
      <c r="AR365" s="280"/>
      <c r="AS365" s="280"/>
      <c r="AT365" s="280"/>
      <c r="AU365" s="280"/>
      <c r="AV365" s="280"/>
      <c r="AW365" s="280"/>
      <c r="AX365" s="280"/>
      <c r="AY365" s="280"/>
      <c r="AZ365" s="280"/>
      <c r="BA365" s="280"/>
      <c r="BB365" s="280"/>
      <c r="BC365" s="280"/>
      <c r="BD365" s="280"/>
      <c r="BE365" s="280"/>
      <c r="BF365" s="280"/>
      <c r="BG365" s="280"/>
      <c r="BH365" s="280"/>
      <c r="BI365" s="280"/>
      <c r="BJ365" s="280"/>
      <c r="BK365" s="280"/>
      <c r="BL365" s="280"/>
      <c r="BM365" s="280"/>
      <c r="BN365" s="280"/>
      <c r="BO365" s="280"/>
      <c r="BP365" s="280"/>
      <c r="BQ365" s="280"/>
      <c r="BR365" s="280"/>
      <c r="BS365" s="280"/>
      <c r="BT365" s="280"/>
      <c r="BU365" s="280"/>
      <c r="BV365" s="280"/>
    </row>
    <row r="366" spans="2:74" s="293" customFormat="1" x14ac:dyDescent="0.25">
      <c r="B366" s="280"/>
      <c r="C366" s="280"/>
      <c r="D366" s="280"/>
      <c r="E366" s="280"/>
      <c r="F366" s="280"/>
      <c r="G366" s="280"/>
      <c r="H366" s="280"/>
      <c r="I366" s="280"/>
      <c r="J366" s="280"/>
      <c r="K366" s="280"/>
      <c r="L366" s="283"/>
      <c r="M366" s="283"/>
      <c r="N366" s="280"/>
      <c r="O366" s="280"/>
      <c r="P366" s="280"/>
      <c r="Q366" s="280"/>
      <c r="R366" s="292"/>
      <c r="S366" s="292"/>
      <c r="T366" s="292"/>
      <c r="U366" s="292"/>
      <c r="V366" s="292"/>
      <c r="W366" s="292"/>
      <c r="X366" s="374"/>
      <c r="Y366" s="374"/>
      <c r="Z366" s="374"/>
      <c r="AA366" s="373"/>
      <c r="AB366" s="283"/>
      <c r="AC366" s="280"/>
      <c r="AD366" s="280"/>
      <c r="AE366" s="280"/>
      <c r="AF366" s="280"/>
      <c r="AG366" s="280"/>
      <c r="AH366" s="280"/>
      <c r="AI366" s="280"/>
      <c r="AJ366" s="280"/>
      <c r="AK366" s="280"/>
      <c r="AL366" s="280"/>
      <c r="AM366" s="280"/>
      <c r="AN366" s="280"/>
      <c r="AO366" s="280"/>
      <c r="AP366" s="280"/>
      <c r="AQ366" s="280"/>
      <c r="AR366" s="280"/>
      <c r="AS366" s="280"/>
      <c r="AT366" s="280"/>
      <c r="AU366" s="280"/>
      <c r="AV366" s="280"/>
      <c r="AW366" s="280"/>
      <c r="AX366" s="280"/>
      <c r="AY366" s="280"/>
      <c r="AZ366" s="280"/>
      <c r="BA366" s="280"/>
      <c r="BB366" s="280"/>
      <c r="BC366" s="280"/>
      <c r="BD366" s="280"/>
      <c r="BE366" s="280"/>
      <c r="BF366" s="280"/>
      <c r="BG366" s="280"/>
      <c r="BH366" s="280"/>
      <c r="BI366" s="280"/>
      <c r="BJ366" s="280"/>
      <c r="BK366" s="280"/>
      <c r="BL366" s="280"/>
      <c r="BM366" s="280"/>
      <c r="BN366" s="280"/>
      <c r="BO366" s="280"/>
      <c r="BP366" s="280"/>
      <c r="BQ366" s="280"/>
      <c r="BR366" s="280"/>
      <c r="BS366" s="280"/>
      <c r="BT366" s="280"/>
      <c r="BU366" s="280"/>
      <c r="BV366" s="280"/>
    </row>
    <row r="367" spans="2:74" s="293" customFormat="1" x14ac:dyDescent="0.25">
      <c r="B367" s="280"/>
      <c r="C367" s="280"/>
      <c r="D367" s="280"/>
      <c r="E367" s="280"/>
      <c r="F367" s="280"/>
      <c r="G367" s="280"/>
      <c r="H367" s="280"/>
      <c r="I367" s="280"/>
      <c r="J367" s="280"/>
      <c r="K367" s="280"/>
      <c r="L367" s="283"/>
      <c r="M367" s="283"/>
      <c r="N367" s="280"/>
      <c r="O367" s="280"/>
      <c r="P367" s="280"/>
      <c r="Q367" s="280"/>
      <c r="R367" s="292"/>
      <c r="S367" s="292"/>
      <c r="T367" s="292"/>
      <c r="U367" s="292"/>
      <c r="V367" s="292"/>
      <c r="W367" s="292"/>
      <c r="X367" s="374"/>
      <c r="Y367" s="374"/>
      <c r="Z367" s="374"/>
      <c r="AA367" s="373"/>
      <c r="AB367" s="283"/>
      <c r="AC367" s="280"/>
      <c r="AD367" s="280"/>
      <c r="AE367" s="280"/>
      <c r="AF367" s="280"/>
      <c r="AG367" s="280"/>
      <c r="AH367" s="280"/>
      <c r="AI367" s="280"/>
      <c r="AJ367" s="280"/>
      <c r="AK367" s="280"/>
      <c r="AL367" s="280"/>
      <c r="AM367" s="280"/>
      <c r="AN367" s="280"/>
      <c r="AO367" s="280"/>
      <c r="AP367" s="280"/>
      <c r="AQ367" s="280"/>
      <c r="AR367" s="280"/>
      <c r="AS367" s="280"/>
      <c r="AT367" s="280"/>
      <c r="AU367" s="280"/>
      <c r="AV367" s="280"/>
      <c r="AW367" s="280"/>
      <c r="AX367" s="280"/>
      <c r="AY367" s="280"/>
      <c r="AZ367" s="280"/>
      <c r="BA367" s="280"/>
      <c r="BB367" s="280"/>
      <c r="BC367" s="280"/>
      <c r="BD367" s="280"/>
      <c r="BE367" s="280"/>
      <c r="BF367" s="280"/>
      <c r="BG367" s="280"/>
      <c r="BH367" s="280"/>
      <c r="BI367" s="280"/>
      <c r="BJ367" s="280"/>
      <c r="BK367" s="280"/>
      <c r="BL367" s="280"/>
      <c r="BM367" s="280"/>
      <c r="BN367" s="280"/>
      <c r="BO367" s="280"/>
      <c r="BP367" s="280"/>
      <c r="BQ367" s="280"/>
      <c r="BR367" s="280"/>
      <c r="BS367" s="280"/>
      <c r="BT367" s="280"/>
      <c r="BU367" s="280"/>
      <c r="BV367" s="280"/>
    </row>
    <row r="368" spans="2:74" s="293" customFormat="1" x14ac:dyDescent="0.25">
      <c r="B368" s="280"/>
      <c r="C368" s="280"/>
      <c r="D368" s="280"/>
      <c r="E368" s="280"/>
      <c r="F368" s="280"/>
      <c r="G368" s="280"/>
      <c r="H368" s="280"/>
      <c r="I368" s="280"/>
      <c r="J368" s="280"/>
      <c r="K368" s="280"/>
      <c r="L368" s="283"/>
      <c r="M368" s="283"/>
      <c r="N368" s="280"/>
      <c r="O368" s="280"/>
      <c r="P368" s="280"/>
      <c r="Q368" s="280"/>
      <c r="R368" s="292"/>
      <c r="S368" s="292"/>
      <c r="T368" s="292"/>
      <c r="U368" s="292"/>
      <c r="V368" s="292"/>
      <c r="W368" s="292"/>
      <c r="X368" s="374"/>
      <c r="Y368" s="374"/>
      <c r="Z368" s="374"/>
      <c r="AA368" s="373"/>
      <c r="AB368" s="283"/>
      <c r="AC368" s="280"/>
      <c r="AD368" s="280"/>
      <c r="AE368" s="280"/>
      <c r="AF368" s="280"/>
      <c r="AG368" s="280"/>
      <c r="AH368" s="280"/>
      <c r="AI368" s="280"/>
      <c r="AJ368" s="280"/>
      <c r="AK368" s="280"/>
      <c r="AL368" s="280"/>
      <c r="AM368" s="280"/>
      <c r="AN368" s="280"/>
      <c r="AO368" s="280"/>
      <c r="AP368" s="280"/>
      <c r="AQ368" s="280"/>
      <c r="AR368" s="280"/>
      <c r="AS368" s="280"/>
      <c r="AT368" s="280"/>
      <c r="AU368" s="280"/>
      <c r="AV368" s="280"/>
      <c r="AW368" s="280"/>
      <c r="AX368" s="280"/>
      <c r="AY368" s="280"/>
      <c r="AZ368" s="280"/>
      <c r="BA368" s="280"/>
      <c r="BB368" s="280"/>
      <c r="BC368" s="280"/>
      <c r="BD368" s="280"/>
      <c r="BE368" s="280"/>
      <c r="BF368" s="280"/>
      <c r="BG368" s="280"/>
      <c r="BH368" s="280"/>
      <c r="BI368" s="280"/>
      <c r="BJ368" s="280"/>
      <c r="BK368" s="280"/>
      <c r="BL368" s="280"/>
      <c r="BM368" s="280"/>
      <c r="BN368" s="280"/>
      <c r="BO368" s="280"/>
      <c r="BP368" s="280"/>
      <c r="BQ368" s="280"/>
      <c r="BR368" s="280"/>
      <c r="BS368" s="280"/>
      <c r="BT368" s="280"/>
      <c r="BU368" s="280"/>
      <c r="BV368" s="280"/>
    </row>
    <row r="369" spans="2:74" s="293" customFormat="1" x14ac:dyDescent="0.25">
      <c r="B369" s="280"/>
      <c r="C369" s="280"/>
      <c r="D369" s="280"/>
      <c r="E369" s="280"/>
      <c r="F369" s="280"/>
      <c r="G369" s="280"/>
      <c r="H369" s="280"/>
      <c r="I369" s="280"/>
      <c r="J369" s="280"/>
      <c r="K369" s="280"/>
      <c r="L369" s="283"/>
      <c r="M369" s="283"/>
      <c r="N369" s="280"/>
      <c r="O369" s="280"/>
      <c r="P369" s="280"/>
      <c r="Q369" s="280"/>
      <c r="R369" s="292"/>
      <c r="S369" s="292"/>
      <c r="T369" s="292"/>
      <c r="U369" s="292"/>
      <c r="V369" s="292"/>
      <c r="W369" s="292"/>
      <c r="X369" s="374"/>
      <c r="Y369" s="374"/>
      <c r="Z369" s="374"/>
      <c r="AA369" s="373"/>
      <c r="AB369" s="283"/>
      <c r="AC369" s="280"/>
      <c r="AD369" s="280"/>
      <c r="AE369" s="280"/>
      <c r="AF369" s="280"/>
      <c r="AG369" s="280"/>
      <c r="AH369" s="280"/>
      <c r="AI369" s="280"/>
      <c r="AJ369" s="280"/>
      <c r="AK369" s="280"/>
      <c r="AL369" s="280"/>
      <c r="AM369" s="280"/>
      <c r="AN369" s="280"/>
      <c r="AO369" s="280"/>
      <c r="AP369" s="280"/>
      <c r="AQ369" s="280"/>
      <c r="AR369" s="280"/>
      <c r="AS369" s="280"/>
      <c r="AT369" s="280"/>
      <c r="AU369" s="280"/>
      <c r="AV369" s="280"/>
      <c r="AW369" s="280"/>
      <c r="AX369" s="280"/>
      <c r="AY369" s="280"/>
      <c r="AZ369" s="280"/>
      <c r="BA369" s="280"/>
      <c r="BB369" s="280"/>
      <c r="BC369" s="280"/>
      <c r="BD369" s="280"/>
      <c r="BE369" s="280"/>
      <c r="BF369" s="280"/>
      <c r="BG369" s="280"/>
      <c r="BH369" s="280"/>
      <c r="BI369" s="280"/>
      <c r="BJ369" s="280"/>
      <c r="BK369" s="280"/>
      <c r="BL369" s="280"/>
      <c r="BM369" s="280"/>
      <c r="BN369" s="280"/>
      <c r="BO369" s="280"/>
      <c r="BP369" s="280"/>
      <c r="BQ369" s="280"/>
      <c r="BR369" s="280"/>
      <c r="BS369" s="280"/>
      <c r="BT369" s="280"/>
      <c r="BU369" s="280"/>
      <c r="BV369" s="280"/>
    </row>
    <row r="370" spans="2:74" s="293" customFormat="1" x14ac:dyDescent="0.25">
      <c r="B370" s="280"/>
      <c r="C370" s="280"/>
      <c r="D370" s="280"/>
      <c r="E370" s="280"/>
      <c r="F370" s="280"/>
      <c r="G370" s="280"/>
      <c r="H370" s="280"/>
      <c r="I370" s="280"/>
      <c r="J370" s="280"/>
      <c r="K370" s="280"/>
      <c r="L370" s="283"/>
      <c r="M370" s="283"/>
      <c r="N370" s="280"/>
      <c r="O370" s="280"/>
      <c r="P370" s="280"/>
      <c r="Q370" s="280"/>
      <c r="R370" s="292"/>
      <c r="S370" s="292"/>
      <c r="T370" s="292"/>
      <c r="U370" s="292"/>
      <c r="V370" s="292"/>
      <c r="W370" s="292"/>
      <c r="X370" s="374"/>
      <c r="Y370" s="374"/>
      <c r="Z370" s="374"/>
      <c r="AA370" s="373"/>
      <c r="AB370" s="283"/>
      <c r="AC370" s="280"/>
      <c r="AD370" s="280"/>
      <c r="AE370" s="280"/>
      <c r="AF370" s="280"/>
      <c r="AG370" s="280"/>
      <c r="AH370" s="280"/>
      <c r="AI370" s="280"/>
      <c r="AJ370" s="280"/>
      <c r="AK370" s="280"/>
      <c r="AL370" s="280"/>
      <c r="AM370" s="280"/>
      <c r="AN370" s="280"/>
      <c r="AO370" s="280"/>
      <c r="AP370" s="280"/>
      <c r="AQ370" s="280"/>
      <c r="AR370" s="280"/>
      <c r="AS370" s="280"/>
      <c r="AT370" s="280"/>
      <c r="AU370" s="280"/>
      <c r="AV370" s="280"/>
      <c r="AW370" s="280"/>
      <c r="AX370" s="280"/>
      <c r="AY370" s="280"/>
      <c r="AZ370" s="280"/>
      <c r="BA370" s="280"/>
      <c r="BB370" s="280"/>
      <c r="BC370" s="280"/>
      <c r="BD370" s="280"/>
      <c r="BE370" s="280"/>
      <c r="BF370" s="280"/>
      <c r="BG370" s="280"/>
      <c r="BH370" s="280"/>
      <c r="BI370" s="280"/>
      <c r="BJ370" s="280"/>
      <c r="BK370" s="280"/>
      <c r="BL370" s="280"/>
      <c r="BM370" s="280"/>
      <c r="BN370" s="280"/>
      <c r="BO370" s="280"/>
      <c r="BP370" s="280"/>
      <c r="BQ370" s="280"/>
      <c r="BR370" s="280"/>
      <c r="BS370" s="280"/>
      <c r="BT370" s="280"/>
      <c r="BU370" s="280"/>
      <c r="BV370" s="280"/>
    </row>
    <row r="371" spans="2:74" s="293" customFormat="1" x14ac:dyDescent="0.25">
      <c r="B371" s="280"/>
      <c r="C371" s="280"/>
      <c r="D371" s="280"/>
      <c r="E371" s="280"/>
      <c r="F371" s="280"/>
      <c r="G371" s="280"/>
      <c r="H371" s="280"/>
      <c r="I371" s="280"/>
      <c r="J371" s="280"/>
      <c r="K371" s="280"/>
      <c r="L371" s="283"/>
      <c r="M371" s="283"/>
      <c r="N371" s="280"/>
      <c r="O371" s="280"/>
      <c r="P371" s="280"/>
      <c r="Q371" s="280"/>
      <c r="R371" s="292"/>
      <c r="S371" s="292"/>
      <c r="T371" s="292"/>
      <c r="U371" s="292"/>
      <c r="V371" s="292"/>
      <c r="W371" s="292"/>
      <c r="X371" s="374"/>
      <c r="Y371" s="374"/>
      <c r="Z371" s="374"/>
      <c r="AA371" s="373"/>
      <c r="AB371" s="283"/>
      <c r="AC371" s="280"/>
      <c r="AD371" s="280"/>
      <c r="AE371" s="280"/>
      <c r="AF371" s="280"/>
      <c r="AG371" s="280"/>
      <c r="AH371" s="280"/>
      <c r="AI371" s="280"/>
      <c r="AJ371" s="280"/>
      <c r="AK371" s="280"/>
      <c r="AL371" s="280"/>
      <c r="AM371" s="280"/>
      <c r="AN371" s="280"/>
      <c r="AO371" s="280"/>
      <c r="AP371" s="280"/>
      <c r="AQ371" s="280"/>
      <c r="AR371" s="280"/>
      <c r="AS371" s="280"/>
      <c r="AT371" s="280"/>
      <c r="AU371" s="280"/>
      <c r="AV371" s="280"/>
      <c r="AW371" s="280"/>
      <c r="AX371" s="280"/>
      <c r="AY371" s="280"/>
      <c r="AZ371" s="280"/>
      <c r="BA371" s="280"/>
      <c r="BB371" s="280"/>
      <c r="BC371" s="280"/>
      <c r="BD371" s="280"/>
      <c r="BE371" s="280"/>
      <c r="BF371" s="280"/>
      <c r="BG371" s="280"/>
      <c r="BH371" s="280"/>
      <c r="BI371" s="280"/>
      <c r="BJ371" s="280"/>
      <c r="BK371" s="280"/>
      <c r="BL371" s="280"/>
      <c r="BM371" s="280"/>
      <c r="BN371" s="280"/>
      <c r="BO371" s="280"/>
      <c r="BP371" s="280"/>
      <c r="BQ371" s="280"/>
      <c r="BR371" s="280"/>
      <c r="BS371" s="280"/>
      <c r="BT371" s="280"/>
      <c r="BU371" s="280"/>
      <c r="BV371" s="280"/>
    </row>
    <row r="372" spans="2:74" s="293" customFormat="1" x14ac:dyDescent="0.25">
      <c r="B372" s="280"/>
      <c r="C372" s="280"/>
      <c r="D372" s="280"/>
      <c r="E372" s="280"/>
      <c r="F372" s="280"/>
      <c r="G372" s="280"/>
      <c r="H372" s="280"/>
      <c r="I372" s="280"/>
      <c r="J372" s="280"/>
      <c r="K372" s="280"/>
      <c r="L372" s="283"/>
      <c r="M372" s="283"/>
      <c r="N372" s="280"/>
      <c r="O372" s="280"/>
      <c r="P372" s="280"/>
      <c r="Q372" s="280"/>
      <c r="R372" s="292"/>
      <c r="S372" s="292"/>
      <c r="T372" s="292"/>
      <c r="U372" s="292"/>
      <c r="V372" s="292"/>
      <c r="W372" s="292"/>
      <c r="X372" s="374"/>
      <c r="Y372" s="374"/>
      <c r="Z372" s="374"/>
      <c r="AA372" s="373"/>
      <c r="AB372" s="283"/>
      <c r="AC372" s="280"/>
      <c r="AD372" s="280"/>
      <c r="AE372" s="280"/>
      <c r="AF372" s="280"/>
      <c r="AG372" s="280"/>
      <c r="AH372" s="280"/>
      <c r="AI372" s="280"/>
      <c r="AJ372" s="280"/>
      <c r="AK372" s="280"/>
      <c r="AL372" s="280"/>
      <c r="AM372" s="280"/>
      <c r="AN372" s="280"/>
      <c r="AO372" s="280"/>
      <c r="AP372" s="280"/>
      <c r="AQ372" s="280"/>
      <c r="AR372" s="280"/>
      <c r="AS372" s="280"/>
      <c r="AT372" s="280"/>
      <c r="AU372" s="280"/>
      <c r="AV372" s="280"/>
      <c r="AW372" s="280"/>
      <c r="AX372" s="280"/>
      <c r="AY372" s="280"/>
      <c r="AZ372" s="280"/>
      <c r="BA372" s="280"/>
      <c r="BB372" s="280"/>
      <c r="BC372" s="280"/>
      <c r="BD372" s="280"/>
      <c r="BE372" s="280"/>
      <c r="BF372" s="280"/>
      <c r="BG372" s="280"/>
      <c r="BH372" s="280"/>
      <c r="BI372" s="280"/>
      <c r="BJ372" s="280"/>
      <c r="BK372" s="280"/>
      <c r="BL372" s="280"/>
      <c r="BM372" s="280"/>
      <c r="BN372" s="280"/>
      <c r="BO372" s="280"/>
      <c r="BP372" s="280"/>
      <c r="BQ372" s="280"/>
      <c r="BR372" s="280"/>
      <c r="BS372" s="280"/>
      <c r="BT372" s="280"/>
      <c r="BU372" s="280"/>
      <c r="BV372" s="280"/>
    </row>
    <row r="373" spans="2:74" s="293" customFormat="1" x14ac:dyDescent="0.25">
      <c r="B373" s="280"/>
      <c r="C373" s="280"/>
      <c r="D373" s="280"/>
      <c r="E373" s="280"/>
      <c r="F373" s="280"/>
      <c r="G373" s="280"/>
      <c r="H373" s="280"/>
      <c r="I373" s="280"/>
      <c r="J373" s="280"/>
      <c r="K373" s="280"/>
      <c r="L373" s="283"/>
      <c r="M373" s="283"/>
      <c r="N373" s="280"/>
      <c r="O373" s="280"/>
      <c r="P373" s="280"/>
      <c r="Q373" s="280"/>
      <c r="R373" s="292"/>
      <c r="S373" s="292"/>
      <c r="T373" s="292"/>
      <c r="U373" s="292"/>
      <c r="V373" s="292"/>
      <c r="W373" s="292"/>
      <c r="X373" s="374"/>
      <c r="Y373" s="374"/>
      <c r="Z373" s="374"/>
      <c r="AA373" s="373"/>
      <c r="AB373" s="283"/>
      <c r="AC373" s="280"/>
      <c r="AD373" s="280"/>
      <c r="AE373" s="280"/>
      <c r="AF373" s="280"/>
      <c r="AG373" s="280"/>
      <c r="AH373" s="280"/>
      <c r="AI373" s="280"/>
      <c r="AJ373" s="280"/>
      <c r="AK373" s="280"/>
      <c r="AL373" s="280"/>
      <c r="AM373" s="280"/>
      <c r="AN373" s="280"/>
      <c r="AO373" s="280"/>
      <c r="AP373" s="280"/>
      <c r="AQ373" s="280"/>
      <c r="AR373" s="280"/>
      <c r="AS373" s="280"/>
      <c r="AT373" s="280"/>
      <c r="AU373" s="280"/>
      <c r="AV373" s="280"/>
      <c r="AW373" s="280"/>
      <c r="AX373" s="280"/>
      <c r="AY373" s="280"/>
      <c r="AZ373" s="280"/>
      <c r="BA373" s="280"/>
      <c r="BB373" s="280"/>
      <c r="BC373" s="280"/>
      <c r="BD373" s="280"/>
      <c r="BE373" s="280"/>
      <c r="BF373" s="280"/>
      <c r="BG373" s="280"/>
      <c r="BH373" s="280"/>
      <c r="BI373" s="280"/>
      <c r="BJ373" s="280"/>
      <c r="BK373" s="280"/>
      <c r="BL373" s="280"/>
      <c r="BM373" s="280"/>
      <c r="BN373" s="280"/>
      <c r="BO373" s="280"/>
      <c r="BP373" s="280"/>
      <c r="BQ373" s="280"/>
      <c r="BR373" s="280"/>
      <c r="BS373" s="280"/>
      <c r="BT373" s="280"/>
      <c r="BU373" s="280"/>
      <c r="BV373" s="280"/>
    </row>
    <row r="374" spans="2:74" s="293" customFormat="1" x14ac:dyDescent="0.25">
      <c r="B374" s="280"/>
      <c r="C374" s="280"/>
      <c r="D374" s="280"/>
      <c r="E374" s="280"/>
      <c r="F374" s="280"/>
      <c r="G374" s="280"/>
      <c r="H374" s="280"/>
      <c r="I374" s="280"/>
      <c r="J374" s="280"/>
      <c r="K374" s="280"/>
      <c r="L374" s="283"/>
      <c r="M374" s="283"/>
      <c r="N374" s="280"/>
      <c r="O374" s="280"/>
      <c r="P374" s="280"/>
      <c r="Q374" s="280"/>
      <c r="R374" s="292"/>
      <c r="S374" s="292"/>
      <c r="T374" s="292"/>
      <c r="U374" s="292"/>
      <c r="V374" s="292"/>
      <c r="W374" s="292"/>
      <c r="X374" s="374"/>
      <c r="Y374" s="374"/>
      <c r="Z374" s="374"/>
      <c r="AA374" s="373"/>
      <c r="AB374" s="283"/>
      <c r="AC374" s="280"/>
      <c r="AD374" s="280"/>
      <c r="AE374" s="280"/>
      <c r="AF374" s="280"/>
      <c r="AG374" s="280"/>
      <c r="AH374" s="280"/>
      <c r="AI374" s="280"/>
      <c r="AJ374" s="280"/>
      <c r="AK374" s="280"/>
      <c r="AL374" s="280"/>
      <c r="AM374" s="280"/>
      <c r="AN374" s="280"/>
      <c r="AO374" s="280"/>
      <c r="AP374" s="280"/>
      <c r="AQ374" s="280"/>
      <c r="AR374" s="280"/>
      <c r="AS374" s="280"/>
      <c r="AT374" s="280"/>
      <c r="AU374" s="280"/>
      <c r="AV374" s="280"/>
      <c r="AW374" s="280"/>
      <c r="AX374" s="280"/>
      <c r="AY374" s="280"/>
      <c r="AZ374" s="280"/>
      <c r="BA374" s="280"/>
      <c r="BB374" s="280"/>
      <c r="BC374" s="280"/>
      <c r="BD374" s="280"/>
      <c r="BE374" s="280"/>
      <c r="BF374" s="280"/>
      <c r="BG374" s="280"/>
      <c r="BH374" s="280"/>
      <c r="BI374" s="280"/>
      <c r="BJ374" s="280"/>
      <c r="BK374" s="280"/>
      <c r="BL374" s="280"/>
      <c r="BM374" s="280"/>
      <c r="BN374" s="280"/>
      <c r="BO374" s="280"/>
      <c r="BP374" s="280"/>
      <c r="BQ374" s="280"/>
      <c r="BR374" s="280"/>
      <c r="BS374" s="280"/>
      <c r="BT374" s="280"/>
      <c r="BU374" s="280"/>
      <c r="BV374" s="280"/>
    </row>
    <row r="375" spans="2:74" s="293" customFormat="1" x14ac:dyDescent="0.25">
      <c r="B375" s="280"/>
      <c r="C375" s="280"/>
      <c r="D375" s="280"/>
      <c r="E375" s="280"/>
      <c r="F375" s="280"/>
      <c r="G375" s="280"/>
      <c r="H375" s="280"/>
      <c r="I375" s="280"/>
      <c r="J375" s="280"/>
      <c r="K375" s="280"/>
      <c r="L375" s="283"/>
      <c r="M375" s="283"/>
      <c r="N375" s="280"/>
      <c r="O375" s="280"/>
      <c r="P375" s="280"/>
      <c r="Q375" s="280"/>
      <c r="R375" s="292"/>
      <c r="S375" s="292"/>
      <c r="T375" s="292"/>
      <c r="U375" s="292"/>
      <c r="V375" s="292"/>
      <c r="W375" s="292"/>
      <c r="X375" s="374"/>
      <c r="Y375" s="374"/>
      <c r="Z375" s="374"/>
      <c r="AA375" s="373"/>
      <c r="AB375" s="283"/>
      <c r="AC375" s="280"/>
      <c r="AD375" s="280"/>
      <c r="AE375" s="280"/>
      <c r="AF375" s="280"/>
      <c r="AG375" s="280"/>
      <c r="AH375" s="280"/>
      <c r="AI375" s="280"/>
      <c r="AJ375" s="280"/>
      <c r="AK375" s="280"/>
      <c r="AL375" s="280"/>
      <c r="AM375" s="280"/>
      <c r="AN375" s="280"/>
      <c r="AO375" s="280"/>
      <c r="AP375" s="280"/>
      <c r="AQ375" s="280"/>
      <c r="AR375" s="280"/>
      <c r="AS375" s="280"/>
      <c r="AT375" s="280"/>
      <c r="AU375" s="280"/>
      <c r="AV375" s="280"/>
      <c r="AW375" s="280"/>
      <c r="AX375" s="280"/>
      <c r="AY375" s="280"/>
      <c r="AZ375" s="280"/>
      <c r="BA375" s="280"/>
      <c r="BB375" s="280"/>
      <c r="BC375" s="280"/>
      <c r="BD375" s="280"/>
      <c r="BE375" s="280"/>
      <c r="BF375" s="280"/>
      <c r="BG375" s="280"/>
      <c r="BH375" s="280"/>
      <c r="BI375" s="280"/>
      <c r="BJ375" s="280"/>
      <c r="BK375" s="280"/>
      <c r="BL375" s="280"/>
      <c r="BM375" s="280"/>
      <c r="BN375" s="280"/>
      <c r="BO375" s="280"/>
      <c r="BP375" s="280"/>
      <c r="BQ375" s="280"/>
      <c r="BR375" s="280"/>
      <c r="BS375" s="280"/>
      <c r="BT375" s="280"/>
      <c r="BU375" s="280"/>
      <c r="BV375" s="280"/>
    </row>
    <row r="376" spans="2:74" s="293" customFormat="1" x14ac:dyDescent="0.25">
      <c r="B376" s="280"/>
      <c r="C376" s="280"/>
      <c r="D376" s="280"/>
      <c r="E376" s="280"/>
      <c r="F376" s="280"/>
      <c r="G376" s="280"/>
      <c r="H376" s="280"/>
      <c r="I376" s="280"/>
      <c r="J376" s="280"/>
      <c r="K376" s="280"/>
      <c r="L376" s="283"/>
      <c r="M376" s="283"/>
      <c r="N376" s="280"/>
      <c r="O376" s="280"/>
      <c r="P376" s="280"/>
      <c r="Q376" s="280"/>
      <c r="R376" s="292"/>
      <c r="S376" s="292"/>
      <c r="T376" s="292"/>
      <c r="U376" s="292"/>
      <c r="V376" s="292"/>
      <c r="W376" s="292"/>
      <c r="X376" s="374"/>
      <c r="Y376" s="374"/>
      <c r="Z376" s="374"/>
      <c r="AA376" s="373"/>
      <c r="AB376" s="283"/>
      <c r="AC376" s="280"/>
      <c r="AD376" s="280"/>
      <c r="AE376" s="280"/>
      <c r="AF376" s="280"/>
      <c r="AG376" s="280"/>
      <c r="AH376" s="280"/>
      <c r="AI376" s="280"/>
      <c r="AJ376" s="280"/>
      <c r="AK376" s="280"/>
      <c r="AL376" s="280"/>
      <c r="AM376" s="280"/>
      <c r="AN376" s="280"/>
      <c r="AO376" s="280"/>
      <c r="AP376" s="280"/>
      <c r="AQ376" s="280"/>
      <c r="AR376" s="280"/>
      <c r="AS376" s="280"/>
      <c r="AT376" s="280"/>
      <c r="AU376" s="280"/>
      <c r="AV376" s="280"/>
      <c r="AW376" s="280"/>
      <c r="AX376" s="280"/>
      <c r="AY376" s="280"/>
      <c r="AZ376" s="280"/>
      <c r="BA376" s="280"/>
      <c r="BB376" s="280"/>
      <c r="BC376" s="280"/>
      <c r="BD376" s="280"/>
      <c r="BE376" s="280"/>
      <c r="BF376" s="280"/>
      <c r="BG376" s="280"/>
      <c r="BH376" s="280"/>
      <c r="BI376" s="280"/>
      <c r="BJ376" s="280"/>
      <c r="BK376" s="280"/>
      <c r="BL376" s="280"/>
      <c r="BM376" s="280"/>
      <c r="BN376" s="280"/>
      <c r="BO376" s="280"/>
      <c r="BP376" s="280"/>
      <c r="BQ376" s="280"/>
      <c r="BR376" s="280"/>
      <c r="BS376" s="280"/>
      <c r="BT376" s="280"/>
      <c r="BU376" s="280"/>
      <c r="BV376" s="280"/>
    </row>
    <row r="377" spans="2:74" s="293" customFormat="1" x14ac:dyDescent="0.25">
      <c r="B377" s="280"/>
      <c r="C377" s="280"/>
      <c r="D377" s="280"/>
      <c r="E377" s="280"/>
      <c r="F377" s="280"/>
      <c r="G377" s="280"/>
      <c r="H377" s="280"/>
      <c r="I377" s="280"/>
      <c r="J377" s="280"/>
      <c r="K377" s="280"/>
      <c r="L377" s="283"/>
      <c r="M377" s="283"/>
      <c r="N377" s="280"/>
      <c r="O377" s="280"/>
      <c r="P377" s="280"/>
      <c r="Q377" s="280"/>
      <c r="R377" s="292"/>
      <c r="S377" s="292"/>
      <c r="T377" s="292"/>
      <c r="U377" s="292"/>
      <c r="V377" s="292"/>
      <c r="W377" s="292"/>
      <c r="X377" s="374"/>
      <c r="Y377" s="374"/>
      <c r="Z377" s="374"/>
      <c r="AA377" s="373"/>
      <c r="AB377" s="283"/>
      <c r="AC377" s="280"/>
      <c r="AD377" s="280"/>
      <c r="AE377" s="280"/>
      <c r="AF377" s="280"/>
      <c r="AG377" s="280"/>
      <c r="AH377" s="280"/>
      <c r="AI377" s="280"/>
      <c r="AJ377" s="280"/>
      <c r="AK377" s="280"/>
      <c r="AL377" s="280"/>
      <c r="AM377" s="280"/>
      <c r="AN377" s="280"/>
      <c r="AO377" s="280"/>
      <c r="AP377" s="280"/>
      <c r="AQ377" s="280"/>
      <c r="AR377" s="280"/>
      <c r="AS377" s="280"/>
      <c r="AT377" s="280"/>
      <c r="AU377" s="280"/>
      <c r="AV377" s="280"/>
      <c r="AW377" s="280"/>
      <c r="AX377" s="280"/>
      <c r="AY377" s="280"/>
      <c r="AZ377" s="280"/>
      <c r="BA377" s="280"/>
      <c r="BB377" s="280"/>
      <c r="BC377" s="280"/>
      <c r="BD377" s="280"/>
      <c r="BE377" s="280"/>
      <c r="BF377" s="280"/>
      <c r="BG377" s="280"/>
      <c r="BH377" s="280"/>
      <c r="BI377" s="280"/>
      <c r="BJ377" s="280"/>
      <c r="BK377" s="280"/>
      <c r="BL377" s="280"/>
      <c r="BM377" s="280"/>
      <c r="BN377" s="280"/>
      <c r="BO377" s="280"/>
      <c r="BP377" s="280"/>
      <c r="BQ377" s="280"/>
      <c r="BR377" s="280"/>
      <c r="BS377" s="280"/>
      <c r="BT377" s="280"/>
      <c r="BU377" s="280"/>
      <c r="BV377" s="280"/>
    </row>
    <row r="378" spans="2:74" s="293" customFormat="1" x14ac:dyDescent="0.25">
      <c r="B378" s="280"/>
      <c r="C378" s="280"/>
      <c r="D378" s="280"/>
      <c r="E378" s="280"/>
      <c r="F378" s="280"/>
      <c r="G378" s="280"/>
      <c r="H378" s="280"/>
      <c r="I378" s="280"/>
      <c r="J378" s="280"/>
      <c r="K378" s="280"/>
      <c r="L378" s="283"/>
      <c r="M378" s="283"/>
      <c r="N378" s="280"/>
      <c r="O378" s="280"/>
      <c r="P378" s="280"/>
      <c r="Q378" s="280"/>
      <c r="R378" s="292"/>
      <c r="S378" s="292"/>
      <c r="T378" s="292"/>
      <c r="U378" s="292"/>
      <c r="V378" s="292"/>
      <c r="W378" s="292"/>
      <c r="X378" s="374"/>
      <c r="Y378" s="374"/>
      <c r="Z378" s="374"/>
      <c r="AA378" s="373"/>
      <c r="AB378" s="283"/>
      <c r="AC378" s="280"/>
      <c r="AD378" s="280"/>
      <c r="AE378" s="280"/>
      <c r="AF378" s="280"/>
      <c r="AG378" s="280"/>
      <c r="AH378" s="280"/>
      <c r="AI378" s="280"/>
      <c r="AJ378" s="280"/>
      <c r="AK378" s="280"/>
      <c r="AL378" s="280"/>
      <c r="AM378" s="280"/>
      <c r="AN378" s="280"/>
      <c r="AO378" s="280"/>
      <c r="AP378" s="280"/>
      <c r="AQ378" s="280"/>
      <c r="AR378" s="280"/>
      <c r="AS378" s="280"/>
      <c r="AT378" s="280"/>
      <c r="AU378" s="280"/>
      <c r="AV378" s="280"/>
      <c r="AW378" s="280"/>
      <c r="AX378" s="280"/>
      <c r="AY378" s="280"/>
      <c r="AZ378" s="280"/>
      <c r="BA378" s="280"/>
      <c r="BB378" s="280"/>
      <c r="BC378" s="280"/>
      <c r="BD378" s="280"/>
      <c r="BE378" s="280"/>
      <c r="BF378" s="280"/>
      <c r="BG378" s="280"/>
      <c r="BH378" s="280"/>
      <c r="BI378" s="280"/>
      <c r="BJ378" s="280"/>
      <c r="BK378" s="280"/>
      <c r="BL378" s="280"/>
      <c r="BM378" s="280"/>
      <c r="BN378" s="280"/>
      <c r="BO378" s="280"/>
      <c r="BP378" s="280"/>
      <c r="BQ378" s="280"/>
      <c r="BR378" s="280"/>
      <c r="BS378" s="280"/>
      <c r="BT378" s="280"/>
      <c r="BU378" s="280"/>
      <c r="BV378" s="280"/>
    </row>
    <row r="379" spans="2:74" s="293" customFormat="1" x14ac:dyDescent="0.25">
      <c r="B379" s="280"/>
      <c r="C379" s="280"/>
      <c r="D379" s="280"/>
      <c r="E379" s="280"/>
      <c r="F379" s="280"/>
      <c r="G379" s="280"/>
      <c r="H379" s="280"/>
      <c r="I379" s="280"/>
      <c r="J379" s="280"/>
      <c r="K379" s="280"/>
      <c r="L379" s="283"/>
      <c r="M379" s="283"/>
      <c r="N379" s="280"/>
      <c r="O379" s="280"/>
      <c r="P379" s="280"/>
      <c r="Q379" s="280"/>
      <c r="R379" s="292"/>
      <c r="S379" s="292"/>
      <c r="T379" s="292"/>
      <c r="U379" s="292"/>
      <c r="V379" s="292"/>
      <c r="W379" s="292"/>
      <c r="X379" s="374"/>
      <c r="Y379" s="374"/>
      <c r="Z379" s="374"/>
      <c r="AA379" s="373"/>
      <c r="AB379" s="283"/>
      <c r="AC379" s="280"/>
      <c r="AD379" s="280"/>
      <c r="AE379" s="280"/>
      <c r="AF379" s="280"/>
      <c r="AG379" s="280"/>
      <c r="AH379" s="280"/>
      <c r="AI379" s="280"/>
      <c r="AJ379" s="280"/>
      <c r="AK379" s="280"/>
      <c r="AL379" s="280"/>
      <c r="AM379" s="280"/>
      <c r="AN379" s="280"/>
      <c r="AO379" s="280"/>
      <c r="AP379" s="280"/>
      <c r="AQ379" s="280"/>
      <c r="AR379" s="280"/>
      <c r="AS379" s="280"/>
      <c r="AT379" s="280"/>
      <c r="AU379" s="280"/>
      <c r="AV379" s="280"/>
      <c r="AW379" s="280"/>
      <c r="AX379" s="280"/>
      <c r="AY379" s="280"/>
      <c r="AZ379" s="280"/>
      <c r="BA379" s="280"/>
      <c r="BB379" s="280"/>
      <c r="BC379" s="280"/>
      <c r="BD379" s="280"/>
      <c r="BE379" s="280"/>
      <c r="BF379" s="280"/>
      <c r="BG379" s="280"/>
      <c r="BH379" s="280"/>
      <c r="BI379" s="280"/>
      <c r="BJ379" s="280"/>
      <c r="BK379" s="280"/>
      <c r="BL379" s="280"/>
      <c r="BM379" s="280"/>
      <c r="BN379" s="280"/>
      <c r="BO379" s="280"/>
      <c r="BP379" s="280"/>
      <c r="BQ379" s="280"/>
      <c r="BR379" s="280"/>
      <c r="BS379" s="280"/>
      <c r="BT379" s="280"/>
      <c r="BU379" s="280"/>
      <c r="BV379" s="280"/>
    </row>
    <row r="380" spans="2:74" s="293" customFormat="1" x14ac:dyDescent="0.25">
      <c r="B380" s="280"/>
      <c r="C380" s="280"/>
      <c r="D380" s="280"/>
      <c r="E380" s="280"/>
      <c r="F380" s="280"/>
      <c r="G380" s="280"/>
      <c r="H380" s="280"/>
      <c r="I380" s="280"/>
      <c r="J380" s="280"/>
      <c r="K380" s="280"/>
      <c r="L380" s="283"/>
      <c r="M380" s="283"/>
      <c r="N380" s="280"/>
      <c r="O380" s="280"/>
      <c r="P380" s="280"/>
      <c r="Q380" s="280"/>
      <c r="R380" s="292"/>
      <c r="S380" s="292"/>
      <c r="T380" s="292"/>
      <c r="U380" s="292"/>
      <c r="V380" s="292"/>
      <c r="W380" s="292"/>
      <c r="X380" s="374"/>
      <c r="Y380" s="374"/>
      <c r="Z380" s="374"/>
      <c r="AA380" s="373"/>
      <c r="AB380" s="283"/>
      <c r="AC380" s="280"/>
      <c r="AD380" s="280"/>
      <c r="AE380" s="280"/>
      <c r="AF380" s="280"/>
      <c r="AG380" s="280"/>
      <c r="AH380" s="280"/>
      <c r="AI380" s="280"/>
      <c r="AJ380" s="280"/>
      <c r="AK380" s="280"/>
      <c r="AL380" s="280"/>
      <c r="AM380" s="280"/>
      <c r="AN380" s="280"/>
      <c r="AO380" s="280"/>
      <c r="AP380" s="280"/>
      <c r="AQ380" s="280"/>
      <c r="AR380" s="280"/>
      <c r="AS380" s="280"/>
      <c r="AT380" s="280"/>
      <c r="AU380" s="280"/>
      <c r="AV380" s="280"/>
      <c r="AW380" s="280"/>
      <c r="AX380" s="280"/>
      <c r="AY380" s="280"/>
      <c r="AZ380" s="280"/>
      <c r="BA380" s="280"/>
      <c r="BB380" s="280"/>
      <c r="BC380" s="280"/>
      <c r="BD380" s="280"/>
      <c r="BE380" s="280"/>
      <c r="BF380" s="280"/>
      <c r="BG380" s="280"/>
      <c r="BH380" s="280"/>
      <c r="BI380" s="280"/>
      <c r="BJ380" s="280"/>
      <c r="BK380" s="280"/>
      <c r="BL380" s="280"/>
      <c r="BM380" s="280"/>
      <c r="BN380" s="280"/>
      <c r="BO380" s="280"/>
      <c r="BP380" s="280"/>
      <c r="BQ380" s="280"/>
      <c r="BR380" s="280"/>
      <c r="BS380" s="280"/>
      <c r="BT380" s="280"/>
      <c r="BU380" s="280"/>
      <c r="BV380" s="280"/>
    </row>
    <row r="381" spans="2:74" s="293" customFormat="1" x14ac:dyDescent="0.25">
      <c r="B381" s="280"/>
      <c r="C381" s="280"/>
      <c r="D381" s="280"/>
      <c r="E381" s="280"/>
      <c r="F381" s="280"/>
      <c r="G381" s="280"/>
      <c r="H381" s="280"/>
      <c r="I381" s="280"/>
      <c r="J381" s="280"/>
      <c r="K381" s="280"/>
      <c r="L381" s="283"/>
      <c r="M381" s="283"/>
      <c r="N381" s="280"/>
      <c r="O381" s="280"/>
      <c r="P381" s="280"/>
      <c r="Q381" s="280"/>
      <c r="R381" s="292"/>
      <c r="S381" s="292"/>
      <c r="T381" s="292"/>
      <c r="U381" s="292"/>
      <c r="V381" s="292"/>
      <c r="W381" s="292"/>
      <c r="X381" s="374"/>
      <c r="Y381" s="374"/>
      <c r="Z381" s="374"/>
      <c r="AA381" s="373"/>
      <c r="AB381" s="283"/>
      <c r="AC381" s="280"/>
      <c r="AD381" s="280"/>
      <c r="AE381" s="280"/>
      <c r="AF381" s="280"/>
      <c r="AG381" s="280"/>
      <c r="AH381" s="280"/>
      <c r="AI381" s="280"/>
      <c r="AJ381" s="280"/>
      <c r="AK381" s="280"/>
      <c r="AL381" s="280"/>
      <c r="AM381" s="280"/>
      <c r="AN381" s="280"/>
      <c r="AO381" s="280"/>
      <c r="AP381" s="280"/>
      <c r="AQ381" s="280"/>
      <c r="AR381" s="280"/>
      <c r="AS381" s="280"/>
      <c r="AT381" s="280"/>
      <c r="AU381" s="280"/>
      <c r="AV381" s="280"/>
      <c r="AW381" s="280"/>
      <c r="AX381" s="280"/>
      <c r="AY381" s="280"/>
      <c r="AZ381" s="280"/>
      <c r="BA381" s="280"/>
      <c r="BB381" s="280"/>
      <c r="BC381" s="280"/>
      <c r="BD381" s="280"/>
      <c r="BE381" s="280"/>
      <c r="BF381" s="280"/>
      <c r="BG381" s="280"/>
      <c r="BH381" s="280"/>
      <c r="BI381" s="280"/>
      <c r="BJ381" s="280"/>
      <c r="BK381" s="280"/>
      <c r="BL381" s="280"/>
      <c r="BM381" s="280"/>
      <c r="BN381" s="280"/>
      <c r="BO381" s="280"/>
      <c r="BP381" s="280"/>
      <c r="BQ381" s="280"/>
      <c r="BR381" s="280"/>
      <c r="BS381" s="280"/>
      <c r="BT381" s="280"/>
      <c r="BU381" s="280"/>
      <c r="BV381" s="280"/>
    </row>
    <row r="382" spans="2:74" s="293" customFormat="1" x14ac:dyDescent="0.25">
      <c r="B382" s="280"/>
      <c r="C382" s="280"/>
      <c r="D382" s="280"/>
      <c r="E382" s="280"/>
      <c r="F382" s="280"/>
      <c r="G382" s="280"/>
      <c r="H382" s="280"/>
      <c r="I382" s="280"/>
      <c r="J382" s="280"/>
      <c r="K382" s="280"/>
      <c r="L382" s="283"/>
      <c r="M382" s="283"/>
      <c r="N382" s="280"/>
      <c r="O382" s="280"/>
      <c r="P382" s="280"/>
      <c r="Q382" s="280"/>
      <c r="R382" s="292"/>
      <c r="S382" s="292"/>
      <c r="T382" s="292"/>
      <c r="U382" s="292"/>
      <c r="V382" s="292"/>
      <c r="W382" s="292"/>
      <c r="X382" s="374"/>
      <c r="Y382" s="374"/>
      <c r="Z382" s="374"/>
      <c r="AA382" s="373"/>
      <c r="AB382" s="283"/>
      <c r="AC382" s="280"/>
      <c r="AD382" s="280"/>
      <c r="AE382" s="280"/>
      <c r="AF382" s="280"/>
      <c r="AG382" s="280"/>
      <c r="AH382" s="280"/>
      <c r="AI382" s="280"/>
      <c r="AJ382" s="280"/>
      <c r="AK382" s="280"/>
      <c r="AL382" s="280"/>
      <c r="AM382" s="280"/>
      <c r="AN382" s="280"/>
      <c r="AO382" s="280"/>
      <c r="AP382" s="280"/>
      <c r="AQ382" s="280"/>
      <c r="AR382" s="280"/>
      <c r="AS382" s="280"/>
      <c r="AT382" s="280"/>
      <c r="AU382" s="280"/>
      <c r="AV382" s="280"/>
      <c r="AW382" s="280"/>
      <c r="AX382" s="280"/>
      <c r="AY382" s="280"/>
      <c r="AZ382" s="280"/>
      <c r="BA382" s="280"/>
      <c r="BB382" s="280"/>
      <c r="BC382" s="280"/>
      <c r="BD382" s="280"/>
      <c r="BE382" s="280"/>
      <c r="BF382" s="280"/>
      <c r="BG382" s="280"/>
      <c r="BH382" s="280"/>
      <c r="BI382" s="280"/>
      <c r="BJ382" s="280"/>
      <c r="BK382" s="280"/>
      <c r="BL382" s="280"/>
      <c r="BM382" s="280"/>
      <c r="BN382" s="280"/>
      <c r="BO382" s="280"/>
      <c r="BP382" s="280"/>
      <c r="BQ382" s="280"/>
      <c r="BR382" s="280"/>
      <c r="BS382" s="280"/>
      <c r="BT382" s="280"/>
      <c r="BU382" s="280"/>
      <c r="BV382" s="280"/>
    </row>
    <row r="383" spans="2:74" s="293" customFormat="1" x14ac:dyDescent="0.25">
      <c r="B383" s="280"/>
      <c r="C383" s="280"/>
      <c r="D383" s="280"/>
      <c r="E383" s="280"/>
      <c r="F383" s="280"/>
      <c r="G383" s="280"/>
      <c r="H383" s="280"/>
      <c r="I383" s="280"/>
      <c r="J383" s="280"/>
      <c r="K383" s="280"/>
      <c r="L383" s="283"/>
      <c r="M383" s="283"/>
      <c r="N383" s="280"/>
      <c r="O383" s="280"/>
      <c r="P383" s="280"/>
      <c r="Q383" s="280"/>
      <c r="R383" s="292"/>
      <c r="S383" s="292"/>
      <c r="T383" s="292"/>
      <c r="U383" s="292"/>
      <c r="V383" s="292"/>
      <c r="W383" s="292"/>
      <c r="X383" s="374"/>
      <c r="Y383" s="374"/>
      <c r="Z383" s="374"/>
      <c r="AA383" s="373"/>
      <c r="AB383" s="283"/>
      <c r="AC383" s="280"/>
      <c r="AD383" s="280"/>
      <c r="AE383" s="280"/>
      <c r="AF383" s="280"/>
      <c r="AG383" s="280"/>
      <c r="AH383" s="280"/>
      <c r="AI383" s="280"/>
      <c r="AJ383" s="280"/>
      <c r="AK383" s="280"/>
      <c r="AL383" s="280"/>
      <c r="AM383" s="280"/>
      <c r="AN383" s="280"/>
      <c r="AO383" s="280"/>
      <c r="AP383" s="280"/>
      <c r="AQ383" s="280"/>
      <c r="AR383" s="280"/>
      <c r="AS383" s="280"/>
      <c r="AT383" s="280"/>
      <c r="AU383" s="280"/>
      <c r="AV383" s="280"/>
      <c r="AW383" s="280"/>
      <c r="AX383" s="280"/>
      <c r="AY383" s="280"/>
      <c r="AZ383" s="280"/>
      <c r="BA383" s="280"/>
      <c r="BB383" s="280"/>
      <c r="BC383" s="280"/>
      <c r="BD383" s="280"/>
      <c r="BE383" s="280"/>
      <c r="BF383" s="280"/>
      <c r="BG383" s="280"/>
      <c r="BH383" s="280"/>
      <c r="BI383" s="280"/>
      <c r="BJ383" s="280"/>
      <c r="BK383" s="280"/>
      <c r="BL383" s="280"/>
      <c r="BM383" s="280"/>
      <c r="BN383" s="280"/>
      <c r="BO383" s="280"/>
      <c r="BP383" s="280"/>
      <c r="BQ383" s="280"/>
      <c r="BR383" s="280"/>
      <c r="BS383" s="280"/>
      <c r="BT383" s="280"/>
      <c r="BU383" s="280"/>
      <c r="BV383" s="280"/>
    </row>
    <row r="384" spans="2:74" s="293" customFormat="1" x14ac:dyDescent="0.25">
      <c r="B384" s="280"/>
      <c r="C384" s="280"/>
      <c r="D384" s="280"/>
      <c r="E384" s="280"/>
      <c r="F384" s="280"/>
      <c r="G384" s="280"/>
      <c r="H384" s="280"/>
      <c r="I384" s="280"/>
      <c r="J384" s="280"/>
      <c r="K384" s="280"/>
      <c r="L384" s="283"/>
      <c r="M384" s="283"/>
      <c r="N384" s="280"/>
      <c r="O384" s="280"/>
      <c r="P384" s="280"/>
      <c r="Q384" s="280"/>
      <c r="R384" s="292"/>
      <c r="S384" s="292"/>
      <c r="T384" s="292"/>
      <c r="U384" s="292"/>
      <c r="V384" s="292"/>
      <c r="W384" s="292"/>
      <c r="X384" s="374"/>
      <c r="Y384" s="374"/>
      <c r="Z384" s="374"/>
      <c r="AA384" s="373"/>
      <c r="AB384" s="283"/>
      <c r="AC384" s="280"/>
      <c r="AD384" s="280"/>
      <c r="AE384" s="280"/>
      <c r="AF384" s="280"/>
      <c r="AG384" s="280"/>
      <c r="AH384" s="280"/>
      <c r="AI384" s="280"/>
      <c r="AJ384" s="280"/>
      <c r="AK384" s="280"/>
      <c r="AL384" s="280"/>
      <c r="AM384" s="280"/>
      <c r="AN384" s="280"/>
      <c r="AO384" s="280"/>
      <c r="AP384" s="280"/>
      <c r="AQ384" s="280"/>
      <c r="AR384" s="280"/>
      <c r="AS384" s="280"/>
      <c r="AT384" s="280"/>
      <c r="AU384" s="280"/>
      <c r="AV384" s="280"/>
      <c r="AW384" s="280"/>
      <c r="AX384" s="280"/>
      <c r="AY384" s="280"/>
      <c r="AZ384" s="280"/>
      <c r="BA384" s="280"/>
      <c r="BB384" s="280"/>
      <c r="BC384" s="280"/>
      <c r="BD384" s="280"/>
      <c r="BE384" s="280"/>
      <c r="BF384" s="280"/>
      <c r="BG384" s="280"/>
      <c r="BH384" s="280"/>
      <c r="BI384" s="280"/>
      <c r="BJ384" s="280"/>
      <c r="BK384" s="280"/>
      <c r="BL384" s="280"/>
      <c r="BM384" s="280"/>
      <c r="BN384" s="280"/>
      <c r="BO384" s="280"/>
      <c r="BP384" s="280"/>
      <c r="BQ384" s="280"/>
      <c r="BR384" s="280"/>
      <c r="BS384" s="280"/>
      <c r="BT384" s="280"/>
      <c r="BU384" s="280"/>
      <c r="BV384" s="280"/>
    </row>
    <row r="385" spans="2:74" s="293" customFormat="1" x14ac:dyDescent="0.25">
      <c r="B385" s="280"/>
      <c r="C385" s="280"/>
      <c r="D385" s="280"/>
      <c r="E385" s="280"/>
      <c r="F385" s="280"/>
      <c r="G385" s="280"/>
      <c r="H385" s="280"/>
      <c r="I385" s="280"/>
      <c r="J385" s="280"/>
      <c r="K385" s="280"/>
      <c r="L385" s="283"/>
      <c r="M385" s="283"/>
      <c r="N385" s="280"/>
      <c r="O385" s="280"/>
      <c r="P385" s="280"/>
      <c r="Q385" s="280"/>
      <c r="R385" s="292"/>
      <c r="S385" s="292"/>
      <c r="T385" s="292"/>
      <c r="U385" s="292"/>
      <c r="V385" s="292"/>
      <c r="W385" s="292"/>
      <c r="X385" s="374"/>
      <c r="Y385" s="374"/>
      <c r="Z385" s="374"/>
      <c r="AA385" s="373"/>
      <c r="AB385" s="283"/>
      <c r="AC385" s="280"/>
      <c r="AD385" s="280"/>
      <c r="AE385" s="280"/>
      <c r="AF385" s="280"/>
      <c r="AG385" s="280"/>
      <c r="AH385" s="280"/>
      <c r="AI385" s="280"/>
      <c r="AJ385" s="280"/>
      <c r="AK385" s="280"/>
      <c r="AL385" s="280"/>
      <c r="AM385" s="280"/>
      <c r="AN385" s="280"/>
      <c r="AO385" s="280"/>
      <c r="AP385" s="280"/>
      <c r="AQ385" s="280"/>
      <c r="AR385" s="280"/>
      <c r="AS385" s="280"/>
      <c r="AT385" s="280"/>
      <c r="AU385" s="280"/>
      <c r="AV385" s="280"/>
      <c r="AW385" s="280"/>
      <c r="AX385" s="280"/>
      <c r="AY385" s="280"/>
      <c r="AZ385" s="280"/>
      <c r="BA385" s="280"/>
      <c r="BB385" s="280"/>
      <c r="BC385" s="280"/>
      <c r="BD385" s="280"/>
      <c r="BE385" s="280"/>
      <c r="BF385" s="280"/>
      <c r="BG385" s="280"/>
      <c r="BH385" s="280"/>
      <c r="BI385" s="280"/>
      <c r="BJ385" s="280"/>
      <c r="BK385" s="280"/>
      <c r="BL385" s="280"/>
      <c r="BM385" s="280"/>
      <c r="BN385" s="280"/>
      <c r="BO385" s="280"/>
      <c r="BP385" s="280"/>
      <c r="BQ385" s="280"/>
      <c r="BR385" s="280"/>
      <c r="BS385" s="280"/>
      <c r="BT385" s="280"/>
      <c r="BU385" s="280"/>
      <c r="BV385" s="280"/>
    </row>
    <row r="386" spans="2:74" s="293" customFormat="1" x14ac:dyDescent="0.25">
      <c r="B386" s="280"/>
      <c r="C386" s="280"/>
      <c r="D386" s="280"/>
      <c r="E386" s="280"/>
      <c r="F386" s="280"/>
      <c r="G386" s="280"/>
      <c r="H386" s="280"/>
      <c r="I386" s="280"/>
      <c r="J386" s="280"/>
      <c r="K386" s="280"/>
      <c r="L386" s="283"/>
      <c r="M386" s="283"/>
      <c r="N386" s="280"/>
      <c r="O386" s="280"/>
      <c r="P386" s="280"/>
      <c r="Q386" s="280"/>
      <c r="R386" s="292"/>
      <c r="S386" s="292"/>
      <c r="T386" s="292"/>
      <c r="U386" s="292"/>
      <c r="V386" s="292"/>
      <c r="W386" s="292"/>
      <c r="X386" s="374"/>
      <c r="Y386" s="374"/>
      <c r="Z386" s="374"/>
      <c r="AA386" s="373"/>
      <c r="AB386" s="283"/>
      <c r="AC386" s="280"/>
      <c r="AD386" s="280"/>
      <c r="AE386" s="280"/>
      <c r="AF386" s="280"/>
      <c r="AG386" s="280"/>
      <c r="AH386" s="280"/>
      <c r="AI386" s="280"/>
      <c r="AJ386" s="280"/>
      <c r="AK386" s="280"/>
      <c r="AL386" s="280"/>
      <c r="AM386" s="280"/>
      <c r="AN386" s="280"/>
      <c r="AO386" s="280"/>
      <c r="AP386" s="280"/>
      <c r="AQ386" s="280"/>
      <c r="AR386" s="280"/>
      <c r="AS386" s="280"/>
      <c r="AT386" s="280"/>
      <c r="AU386" s="280"/>
      <c r="AV386" s="280"/>
      <c r="AW386" s="280"/>
      <c r="AX386" s="280"/>
      <c r="AY386" s="280"/>
      <c r="AZ386" s="280"/>
      <c r="BA386" s="280"/>
      <c r="BB386" s="280"/>
      <c r="BC386" s="280"/>
      <c r="BD386" s="280"/>
      <c r="BE386" s="280"/>
      <c r="BF386" s="280"/>
      <c r="BG386" s="280"/>
      <c r="BH386" s="280"/>
      <c r="BI386" s="280"/>
      <c r="BJ386" s="280"/>
      <c r="BK386" s="280"/>
      <c r="BL386" s="280"/>
      <c r="BM386" s="280"/>
      <c r="BN386" s="280"/>
      <c r="BO386" s="280"/>
      <c r="BP386" s="280"/>
      <c r="BQ386" s="280"/>
      <c r="BR386" s="280"/>
      <c r="BS386" s="280"/>
      <c r="BT386" s="280"/>
      <c r="BU386" s="280"/>
      <c r="BV386" s="280"/>
    </row>
    <row r="387" spans="2:74" s="293" customFormat="1" x14ac:dyDescent="0.25">
      <c r="B387" s="280"/>
      <c r="C387" s="280"/>
      <c r="D387" s="280"/>
      <c r="E387" s="280"/>
      <c r="F387" s="280"/>
      <c r="G387" s="280"/>
      <c r="H387" s="280"/>
      <c r="I387" s="280"/>
      <c r="J387" s="280"/>
      <c r="K387" s="280"/>
      <c r="L387" s="283"/>
      <c r="M387" s="283"/>
      <c r="N387" s="280"/>
      <c r="O387" s="280"/>
      <c r="P387" s="280"/>
      <c r="Q387" s="280"/>
      <c r="R387" s="292"/>
      <c r="S387" s="292"/>
      <c r="T387" s="292"/>
      <c r="U387" s="292"/>
      <c r="V387" s="292"/>
      <c r="W387" s="292"/>
      <c r="X387" s="374"/>
      <c r="Y387" s="374"/>
      <c r="Z387" s="374"/>
      <c r="AA387" s="373"/>
      <c r="AB387" s="283"/>
      <c r="AC387" s="280"/>
      <c r="AD387" s="280"/>
      <c r="AE387" s="280"/>
      <c r="AF387" s="280"/>
      <c r="AG387" s="280"/>
      <c r="AH387" s="280"/>
      <c r="AI387" s="280"/>
      <c r="AJ387" s="280"/>
      <c r="AK387" s="280"/>
      <c r="AL387" s="280"/>
      <c r="AM387" s="280"/>
      <c r="AN387" s="280"/>
      <c r="AO387" s="280"/>
      <c r="AP387" s="280"/>
      <c r="AQ387" s="280"/>
      <c r="AR387" s="280"/>
      <c r="AS387" s="280"/>
      <c r="AT387" s="280"/>
      <c r="AU387" s="280"/>
      <c r="AV387" s="280"/>
      <c r="AW387" s="280"/>
      <c r="AX387" s="280"/>
      <c r="AY387" s="280"/>
      <c r="AZ387" s="280"/>
      <c r="BA387" s="280"/>
      <c r="BB387" s="280"/>
      <c r="BC387" s="280"/>
      <c r="BD387" s="280"/>
      <c r="BE387" s="280"/>
      <c r="BF387" s="280"/>
      <c r="BG387" s="280"/>
      <c r="BH387" s="280"/>
      <c r="BI387" s="280"/>
      <c r="BJ387" s="280"/>
      <c r="BK387" s="280"/>
      <c r="BL387" s="280"/>
      <c r="BM387" s="280"/>
      <c r="BN387" s="280"/>
      <c r="BO387" s="280"/>
      <c r="BP387" s="280"/>
      <c r="BQ387" s="280"/>
      <c r="BR387" s="280"/>
      <c r="BS387" s="280"/>
      <c r="BT387" s="280"/>
      <c r="BU387" s="280"/>
      <c r="BV387" s="280"/>
    </row>
    <row r="388" spans="2:74" s="293" customFormat="1" x14ac:dyDescent="0.25">
      <c r="B388" s="280"/>
      <c r="C388" s="280"/>
      <c r="D388" s="280"/>
      <c r="E388" s="280"/>
      <c r="F388" s="280"/>
      <c r="G388" s="280"/>
      <c r="H388" s="280"/>
      <c r="I388" s="280"/>
      <c r="J388" s="280"/>
      <c r="K388" s="280"/>
      <c r="L388" s="283"/>
      <c r="M388" s="283"/>
      <c r="N388" s="280"/>
      <c r="O388" s="280"/>
      <c r="P388" s="280"/>
      <c r="Q388" s="280"/>
      <c r="R388" s="292"/>
      <c r="S388" s="292"/>
      <c r="T388" s="292"/>
      <c r="U388" s="292"/>
      <c r="V388" s="292"/>
      <c r="W388" s="292"/>
      <c r="X388" s="374"/>
      <c r="Y388" s="374"/>
      <c r="Z388" s="374"/>
      <c r="AA388" s="373"/>
      <c r="AB388" s="283"/>
      <c r="AC388" s="280"/>
      <c r="AD388" s="280"/>
      <c r="AE388" s="280"/>
      <c r="AF388" s="280"/>
      <c r="AG388" s="280"/>
      <c r="AH388" s="280"/>
      <c r="AI388" s="280"/>
      <c r="AJ388" s="280"/>
      <c r="AK388" s="280"/>
      <c r="AL388" s="280"/>
      <c r="AM388" s="280"/>
      <c r="AN388" s="280"/>
      <c r="AO388" s="280"/>
      <c r="AP388" s="280"/>
      <c r="AQ388" s="280"/>
      <c r="AR388" s="280"/>
      <c r="AS388" s="280"/>
      <c r="AT388" s="280"/>
      <c r="AU388" s="280"/>
      <c r="AV388" s="280"/>
      <c r="AW388" s="280"/>
      <c r="AX388" s="280"/>
      <c r="AY388" s="280"/>
      <c r="AZ388" s="280"/>
      <c r="BA388" s="280"/>
      <c r="BB388" s="280"/>
      <c r="BC388" s="280"/>
      <c r="BD388" s="280"/>
      <c r="BE388" s="280"/>
      <c r="BF388" s="280"/>
      <c r="BG388" s="280"/>
      <c r="BH388" s="280"/>
      <c r="BI388" s="280"/>
      <c r="BJ388" s="280"/>
      <c r="BK388" s="280"/>
      <c r="BL388" s="280"/>
      <c r="BM388" s="280"/>
      <c r="BN388" s="280"/>
      <c r="BO388" s="280"/>
      <c r="BP388" s="280"/>
      <c r="BQ388" s="280"/>
      <c r="BR388" s="280"/>
      <c r="BS388" s="280"/>
      <c r="BT388" s="280"/>
      <c r="BU388" s="280"/>
      <c r="BV388" s="280"/>
    </row>
    <row r="389" spans="2:74" s="293" customFormat="1" x14ac:dyDescent="0.25">
      <c r="B389" s="280"/>
      <c r="C389" s="280"/>
      <c r="D389" s="280"/>
      <c r="E389" s="280"/>
      <c r="F389" s="280"/>
      <c r="G389" s="280"/>
      <c r="H389" s="280"/>
      <c r="I389" s="280"/>
      <c r="J389" s="280"/>
      <c r="K389" s="280"/>
      <c r="L389" s="283"/>
      <c r="M389" s="283"/>
      <c r="N389" s="280"/>
      <c r="O389" s="280"/>
      <c r="P389" s="280"/>
      <c r="Q389" s="280"/>
      <c r="R389" s="292"/>
      <c r="S389" s="292"/>
      <c r="T389" s="292"/>
      <c r="U389" s="292"/>
      <c r="V389" s="292"/>
      <c r="W389" s="292"/>
      <c r="X389" s="374"/>
      <c r="Y389" s="374"/>
      <c r="Z389" s="374"/>
      <c r="AA389" s="373"/>
      <c r="AB389" s="283"/>
      <c r="AC389" s="280"/>
      <c r="AD389" s="280"/>
      <c r="AE389" s="280"/>
      <c r="AF389" s="280"/>
      <c r="AG389" s="280"/>
      <c r="AH389" s="280"/>
      <c r="AI389" s="280"/>
      <c r="AJ389" s="280"/>
      <c r="AK389" s="280"/>
      <c r="AL389" s="280"/>
      <c r="AM389" s="280"/>
      <c r="AN389" s="280"/>
      <c r="AO389" s="280"/>
      <c r="AP389" s="280"/>
      <c r="AQ389" s="280"/>
      <c r="AR389" s="280"/>
      <c r="AS389" s="280"/>
      <c r="AT389" s="280"/>
      <c r="AU389" s="280"/>
      <c r="AV389" s="280"/>
      <c r="AW389" s="280"/>
      <c r="AX389" s="280"/>
      <c r="AY389" s="280"/>
      <c r="AZ389" s="280"/>
      <c r="BA389" s="280"/>
      <c r="BB389" s="280"/>
      <c r="BC389" s="280"/>
      <c r="BD389" s="280"/>
      <c r="BE389" s="280"/>
      <c r="BF389" s="280"/>
      <c r="BG389" s="280"/>
      <c r="BH389" s="280"/>
      <c r="BI389" s="280"/>
      <c r="BJ389" s="280"/>
      <c r="BK389" s="280"/>
      <c r="BL389" s="280"/>
      <c r="BM389" s="280"/>
      <c r="BN389" s="280"/>
      <c r="BO389" s="280"/>
      <c r="BP389" s="280"/>
      <c r="BQ389" s="280"/>
      <c r="BR389" s="280"/>
      <c r="BS389" s="280"/>
      <c r="BT389" s="280"/>
      <c r="BU389" s="280"/>
      <c r="BV389" s="280"/>
    </row>
    <row r="390" spans="2:74" s="293" customFormat="1" x14ac:dyDescent="0.25">
      <c r="B390" s="280"/>
      <c r="C390" s="280"/>
      <c r="D390" s="280"/>
      <c r="E390" s="280"/>
      <c r="F390" s="280"/>
      <c r="G390" s="280"/>
      <c r="H390" s="280"/>
      <c r="I390" s="280"/>
      <c r="J390" s="280"/>
      <c r="K390" s="280"/>
      <c r="L390" s="283"/>
      <c r="M390" s="283"/>
      <c r="N390" s="280"/>
      <c r="O390" s="280"/>
      <c r="P390" s="280"/>
      <c r="Q390" s="280"/>
      <c r="R390" s="292"/>
      <c r="S390" s="292"/>
      <c r="T390" s="292"/>
      <c r="U390" s="292"/>
      <c r="V390" s="292"/>
      <c r="W390" s="292"/>
      <c r="X390" s="374"/>
      <c r="Y390" s="374"/>
      <c r="Z390" s="374"/>
      <c r="AA390" s="373"/>
      <c r="AB390" s="283"/>
      <c r="AC390" s="280"/>
      <c r="AD390" s="280"/>
      <c r="AE390" s="280"/>
      <c r="AF390" s="280"/>
      <c r="AG390" s="280"/>
      <c r="AH390" s="280"/>
      <c r="AI390" s="280"/>
      <c r="AJ390" s="280"/>
      <c r="AK390" s="280"/>
      <c r="AL390" s="280"/>
      <c r="AM390" s="280"/>
      <c r="AN390" s="280"/>
      <c r="AO390" s="280"/>
      <c r="AP390" s="280"/>
      <c r="AQ390" s="280"/>
      <c r="AR390" s="280"/>
      <c r="AS390" s="280"/>
      <c r="AT390" s="280"/>
      <c r="AU390" s="280"/>
      <c r="AV390" s="280"/>
      <c r="AW390" s="280"/>
      <c r="AX390" s="280"/>
      <c r="AY390" s="280"/>
      <c r="AZ390" s="280"/>
      <c r="BA390" s="280"/>
      <c r="BB390" s="280"/>
      <c r="BC390" s="280"/>
      <c r="BD390" s="280"/>
      <c r="BE390" s="280"/>
      <c r="BF390" s="280"/>
      <c r="BG390" s="280"/>
      <c r="BH390" s="280"/>
      <c r="BI390" s="280"/>
      <c r="BJ390" s="280"/>
      <c r="BK390" s="280"/>
      <c r="BL390" s="280"/>
      <c r="BM390" s="280"/>
      <c r="BN390" s="280"/>
      <c r="BO390" s="280"/>
      <c r="BP390" s="280"/>
      <c r="BQ390" s="280"/>
      <c r="BR390" s="280"/>
      <c r="BS390" s="280"/>
      <c r="BT390" s="280"/>
      <c r="BU390" s="280"/>
      <c r="BV390" s="280"/>
    </row>
    <row r="391" spans="2:74" s="293" customFormat="1" x14ac:dyDescent="0.25">
      <c r="B391" s="280"/>
      <c r="C391" s="280"/>
      <c r="D391" s="280"/>
      <c r="E391" s="280"/>
      <c r="F391" s="280"/>
      <c r="G391" s="280"/>
      <c r="H391" s="280"/>
      <c r="I391" s="280"/>
      <c r="J391" s="280"/>
      <c r="K391" s="280"/>
      <c r="L391" s="283"/>
      <c r="M391" s="283"/>
      <c r="N391" s="280"/>
      <c r="O391" s="280"/>
      <c r="P391" s="280"/>
      <c r="Q391" s="280"/>
      <c r="R391" s="292"/>
      <c r="S391" s="292"/>
      <c r="T391" s="292"/>
      <c r="U391" s="292"/>
      <c r="V391" s="292"/>
      <c r="W391" s="292"/>
      <c r="X391" s="374"/>
      <c r="Y391" s="374"/>
      <c r="Z391" s="374"/>
      <c r="AA391" s="373"/>
      <c r="AB391" s="283"/>
      <c r="AC391" s="280"/>
      <c r="AD391" s="280"/>
      <c r="AE391" s="280"/>
      <c r="AF391" s="280"/>
      <c r="AG391" s="280"/>
      <c r="AH391" s="280"/>
      <c r="AI391" s="280"/>
      <c r="AJ391" s="280"/>
      <c r="AK391" s="280"/>
      <c r="AL391" s="280"/>
      <c r="AM391" s="280"/>
      <c r="AN391" s="280"/>
      <c r="AO391" s="280"/>
      <c r="AP391" s="280"/>
      <c r="AQ391" s="280"/>
      <c r="AR391" s="280"/>
      <c r="AS391" s="280"/>
      <c r="AT391" s="280"/>
      <c r="AU391" s="280"/>
      <c r="AV391" s="280"/>
      <c r="AW391" s="280"/>
      <c r="AX391" s="280"/>
      <c r="AY391" s="280"/>
      <c r="AZ391" s="280"/>
      <c r="BA391" s="280"/>
      <c r="BB391" s="280"/>
      <c r="BC391" s="280"/>
      <c r="BD391" s="280"/>
      <c r="BE391" s="280"/>
      <c r="BF391" s="280"/>
      <c r="BG391" s="280"/>
      <c r="BH391" s="280"/>
      <c r="BI391" s="280"/>
      <c r="BJ391" s="280"/>
      <c r="BK391" s="280"/>
      <c r="BL391" s="280"/>
      <c r="BM391" s="280"/>
      <c r="BN391" s="280"/>
      <c r="BO391" s="280"/>
      <c r="BP391" s="280"/>
      <c r="BQ391" s="280"/>
      <c r="BR391" s="280"/>
      <c r="BS391" s="280"/>
      <c r="BT391" s="280"/>
      <c r="BU391" s="280"/>
      <c r="BV391" s="280"/>
    </row>
    <row r="392" spans="2:74" s="293" customFormat="1" x14ac:dyDescent="0.25">
      <c r="B392" s="280"/>
      <c r="C392" s="280"/>
      <c r="D392" s="280"/>
      <c r="E392" s="280"/>
      <c r="F392" s="280"/>
      <c r="G392" s="280"/>
      <c r="H392" s="280"/>
      <c r="I392" s="280"/>
      <c r="J392" s="280"/>
      <c r="K392" s="280"/>
      <c r="L392" s="283"/>
      <c r="M392" s="283"/>
      <c r="N392" s="280"/>
      <c r="O392" s="280"/>
      <c r="P392" s="280"/>
      <c r="Q392" s="280"/>
      <c r="R392" s="292"/>
      <c r="S392" s="292"/>
      <c r="T392" s="292"/>
      <c r="U392" s="292"/>
      <c r="V392" s="292"/>
      <c r="W392" s="292"/>
      <c r="X392" s="374"/>
      <c r="Y392" s="374"/>
      <c r="Z392" s="374"/>
      <c r="AA392" s="373"/>
      <c r="AB392" s="283"/>
      <c r="AC392" s="280"/>
      <c r="AD392" s="280"/>
      <c r="AE392" s="280"/>
      <c r="AF392" s="280"/>
      <c r="AG392" s="280"/>
      <c r="AH392" s="280"/>
      <c r="AI392" s="280"/>
      <c r="AJ392" s="280"/>
      <c r="AK392" s="280"/>
      <c r="AL392" s="280"/>
      <c r="AM392" s="280"/>
      <c r="AN392" s="280"/>
      <c r="AO392" s="280"/>
      <c r="AP392" s="280"/>
      <c r="AQ392" s="280"/>
      <c r="AR392" s="280"/>
      <c r="AS392" s="280"/>
      <c r="AT392" s="280"/>
      <c r="AU392" s="280"/>
      <c r="AV392" s="280"/>
      <c r="AW392" s="280"/>
      <c r="AX392" s="280"/>
      <c r="AY392" s="280"/>
      <c r="AZ392" s="280"/>
      <c r="BA392" s="280"/>
      <c r="BB392" s="280"/>
      <c r="BC392" s="280"/>
      <c r="BD392" s="280"/>
      <c r="BE392" s="280"/>
      <c r="BF392" s="280"/>
      <c r="BG392" s="280"/>
      <c r="BH392" s="280"/>
      <c r="BI392" s="280"/>
      <c r="BJ392" s="280"/>
      <c r="BK392" s="280"/>
      <c r="BL392" s="280"/>
      <c r="BM392" s="280"/>
      <c r="BN392" s="280"/>
      <c r="BO392" s="280"/>
      <c r="BP392" s="280"/>
      <c r="BQ392" s="280"/>
      <c r="BR392" s="280"/>
      <c r="BS392" s="280"/>
      <c r="BT392" s="280"/>
      <c r="BU392" s="280"/>
      <c r="BV392" s="280"/>
    </row>
    <row r="393" spans="2:74" s="293" customFormat="1" x14ac:dyDescent="0.25">
      <c r="B393" s="280"/>
      <c r="C393" s="280"/>
      <c r="D393" s="280"/>
      <c r="E393" s="280"/>
      <c r="F393" s="280"/>
      <c r="G393" s="280"/>
      <c r="H393" s="280"/>
      <c r="I393" s="280"/>
      <c r="J393" s="280"/>
      <c r="K393" s="280"/>
      <c r="L393" s="283"/>
      <c r="M393" s="283"/>
      <c r="N393" s="280"/>
      <c r="O393" s="280"/>
      <c r="P393" s="280"/>
      <c r="Q393" s="280"/>
      <c r="R393" s="292"/>
      <c r="S393" s="292"/>
      <c r="T393" s="292"/>
      <c r="U393" s="292"/>
      <c r="V393" s="292"/>
      <c r="W393" s="292"/>
      <c r="X393" s="374"/>
      <c r="Y393" s="374"/>
      <c r="Z393" s="374"/>
      <c r="AA393" s="373"/>
      <c r="AB393" s="283"/>
      <c r="AC393" s="280"/>
      <c r="AD393" s="280"/>
      <c r="AE393" s="280"/>
      <c r="AF393" s="280"/>
      <c r="AG393" s="280"/>
      <c r="AH393" s="280"/>
      <c r="AI393" s="280"/>
      <c r="AJ393" s="280"/>
      <c r="AK393" s="280"/>
      <c r="AL393" s="280"/>
      <c r="AM393" s="280"/>
      <c r="AN393" s="280"/>
      <c r="AO393" s="280"/>
      <c r="AP393" s="280"/>
      <c r="AQ393" s="280"/>
      <c r="AR393" s="280"/>
      <c r="AS393" s="280"/>
      <c r="AT393" s="280"/>
      <c r="AU393" s="280"/>
      <c r="AV393" s="280"/>
      <c r="AW393" s="280"/>
      <c r="AX393" s="280"/>
      <c r="AY393" s="280"/>
      <c r="AZ393" s="280"/>
      <c r="BA393" s="280"/>
      <c r="BB393" s="280"/>
      <c r="BC393" s="280"/>
      <c r="BD393" s="280"/>
      <c r="BE393" s="280"/>
      <c r="BF393" s="280"/>
      <c r="BG393" s="280"/>
      <c r="BH393" s="280"/>
      <c r="BI393" s="280"/>
      <c r="BJ393" s="280"/>
      <c r="BK393" s="280"/>
      <c r="BL393" s="280"/>
      <c r="BM393" s="280"/>
      <c r="BN393" s="280"/>
      <c r="BO393" s="280"/>
      <c r="BP393" s="280"/>
      <c r="BQ393" s="280"/>
      <c r="BR393" s="280"/>
      <c r="BS393" s="280"/>
      <c r="BT393" s="280"/>
      <c r="BU393" s="280"/>
      <c r="BV393" s="280"/>
    </row>
    <row r="394" spans="2:74" s="293" customFormat="1" x14ac:dyDescent="0.25">
      <c r="B394" s="280"/>
      <c r="C394" s="280"/>
      <c r="D394" s="280"/>
      <c r="E394" s="280"/>
      <c r="F394" s="280"/>
      <c r="G394" s="280"/>
      <c r="H394" s="280"/>
      <c r="I394" s="280"/>
      <c r="J394" s="280"/>
      <c r="K394" s="280"/>
      <c r="L394" s="283"/>
      <c r="M394" s="283"/>
      <c r="N394" s="280"/>
      <c r="O394" s="280"/>
      <c r="P394" s="280"/>
      <c r="Q394" s="280"/>
      <c r="R394" s="292"/>
      <c r="S394" s="292"/>
      <c r="T394" s="292"/>
      <c r="U394" s="292"/>
      <c r="V394" s="292"/>
      <c r="W394" s="292"/>
      <c r="X394" s="374"/>
      <c r="Y394" s="374"/>
      <c r="Z394" s="374"/>
      <c r="AA394" s="373"/>
      <c r="AB394" s="283"/>
      <c r="AC394" s="280"/>
      <c r="AD394" s="280"/>
      <c r="AE394" s="280"/>
      <c r="AF394" s="280"/>
      <c r="AG394" s="280"/>
      <c r="AH394" s="280"/>
      <c r="AI394" s="280"/>
      <c r="AJ394" s="280"/>
      <c r="AK394" s="280"/>
      <c r="AL394" s="280"/>
      <c r="AM394" s="280"/>
      <c r="AN394" s="280"/>
      <c r="AO394" s="280"/>
      <c r="AP394" s="280"/>
      <c r="AQ394" s="280"/>
      <c r="AR394" s="280"/>
      <c r="AS394" s="280"/>
      <c r="AT394" s="280"/>
      <c r="AU394" s="280"/>
      <c r="AV394" s="280"/>
      <c r="AW394" s="280"/>
      <c r="AX394" s="280"/>
      <c r="AY394" s="280"/>
      <c r="AZ394" s="280"/>
      <c r="BA394" s="280"/>
      <c r="BB394" s="280"/>
      <c r="BC394" s="280"/>
      <c r="BD394" s="280"/>
      <c r="BE394" s="280"/>
      <c r="BF394" s="280"/>
      <c r="BG394" s="280"/>
      <c r="BH394" s="280"/>
      <c r="BI394" s="280"/>
      <c r="BJ394" s="280"/>
      <c r="BK394" s="280"/>
      <c r="BL394" s="280"/>
      <c r="BM394" s="280"/>
      <c r="BN394" s="280"/>
      <c r="BO394" s="280"/>
      <c r="BP394" s="280"/>
      <c r="BQ394" s="280"/>
      <c r="BR394" s="280"/>
      <c r="BS394" s="280"/>
      <c r="BT394" s="280"/>
      <c r="BU394" s="280"/>
      <c r="BV394" s="280"/>
    </row>
    <row r="395" spans="2:74" s="293" customFormat="1" x14ac:dyDescent="0.25">
      <c r="B395" s="280"/>
      <c r="C395" s="280"/>
      <c r="D395" s="280"/>
      <c r="E395" s="280"/>
      <c r="F395" s="280"/>
      <c r="G395" s="280"/>
      <c r="H395" s="280"/>
      <c r="I395" s="280"/>
      <c r="J395" s="280"/>
      <c r="K395" s="280"/>
      <c r="L395" s="283"/>
      <c r="M395" s="283"/>
      <c r="N395" s="280"/>
      <c r="O395" s="280"/>
      <c r="P395" s="280"/>
      <c r="Q395" s="280"/>
      <c r="R395" s="292"/>
      <c r="S395" s="292"/>
      <c r="T395" s="292"/>
      <c r="U395" s="292"/>
      <c r="V395" s="292"/>
      <c r="W395" s="292"/>
      <c r="X395" s="374"/>
      <c r="Y395" s="374"/>
      <c r="Z395" s="374"/>
      <c r="AA395" s="373"/>
      <c r="AB395" s="283"/>
      <c r="AC395" s="280"/>
      <c r="AD395" s="280"/>
      <c r="AE395" s="280"/>
      <c r="AF395" s="280"/>
      <c r="AG395" s="280"/>
      <c r="AH395" s="280"/>
      <c r="AI395" s="280"/>
      <c r="AJ395" s="280"/>
      <c r="AK395" s="280"/>
      <c r="AL395" s="280"/>
      <c r="AM395" s="280"/>
      <c r="AN395" s="280"/>
      <c r="AO395" s="280"/>
      <c r="AP395" s="280"/>
      <c r="AQ395" s="280"/>
      <c r="AR395" s="280"/>
      <c r="AS395" s="280"/>
      <c r="AT395" s="280"/>
      <c r="AU395" s="280"/>
      <c r="AV395" s="280"/>
      <c r="AW395" s="280"/>
      <c r="AX395" s="280"/>
      <c r="AY395" s="280"/>
      <c r="AZ395" s="280"/>
      <c r="BA395" s="280"/>
      <c r="BB395" s="280"/>
      <c r="BC395" s="280"/>
      <c r="BD395" s="280"/>
      <c r="BE395" s="280"/>
      <c r="BF395" s="280"/>
      <c r="BG395" s="280"/>
      <c r="BH395" s="280"/>
      <c r="BI395" s="280"/>
      <c r="BJ395" s="280"/>
      <c r="BK395" s="280"/>
      <c r="BL395" s="280"/>
      <c r="BM395" s="280"/>
      <c r="BN395" s="280"/>
      <c r="BO395" s="280"/>
      <c r="BP395" s="280"/>
      <c r="BQ395" s="280"/>
      <c r="BR395" s="280"/>
      <c r="BS395" s="280"/>
      <c r="BT395" s="280"/>
      <c r="BU395" s="280"/>
      <c r="BV395" s="280"/>
    </row>
    <row r="396" spans="2:74" s="293" customFormat="1" x14ac:dyDescent="0.25">
      <c r="B396" s="280"/>
      <c r="C396" s="280"/>
      <c r="D396" s="280"/>
      <c r="E396" s="280"/>
      <c r="F396" s="280"/>
      <c r="G396" s="280"/>
      <c r="H396" s="280"/>
      <c r="I396" s="280"/>
      <c r="J396" s="280"/>
      <c r="K396" s="280"/>
      <c r="L396" s="283"/>
      <c r="M396" s="283"/>
      <c r="N396" s="280"/>
      <c r="O396" s="280"/>
      <c r="P396" s="280"/>
      <c r="Q396" s="280"/>
      <c r="R396" s="292"/>
      <c r="S396" s="292"/>
      <c r="T396" s="292"/>
      <c r="U396" s="292"/>
      <c r="V396" s="292"/>
      <c r="W396" s="292"/>
      <c r="X396" s="374"/>
      <c r="Y396" s="374"/>
      <c r="Z396" s="374"/>
      <c r="AA396" s="373"/>
      <c r="AB396" s="283"/>
      <c r="AC396" s="280"/>
      <c r="AD396" s="280"/>
      <c r="AE396" s="280"/>
      <c r="AF396" s="280"/>
      <c r="AG396" s="280"/>
      <c r="AH396" s="280"/>
      <c r="AI396" s="280"/>
      <c r="AJ396" s="280"/>
      <c r="AK396" s="280"/>
      <c r="AL396" s="280"/>
      <c r="AM396" s="280"/>
      <c r="AN396" s="280"/>
      <c r="AO396" s="280"/>
      <c r="AP396" s="280"/>
      <c r="AQ396" s="280"/>
      <c r="AR396" s="280"/>
      <c r="AS396" s="280"/>
      <c r="AT396" s="280"/>
      <c r="AU396" s="280"/>
      <c r="AV396" s="280"/>
      <c r="AW396" s="280"/>
      <c r="AX396" s="280"/>
      <c r="AY396" s="280"/>
      <c r="AZ396" s="280"/>
      <c r="BA396" s="280"/>
      <c r="BB396" s="280"/>
      <c r="BC396" s="280"/>
      <c r="BD396" s="280"/>
      <c r="BE396" s="280"/>
      <c r="BF396" s="280"/>
      <c r="BG396" s="280"/>
      <c r="BH396" s="280"/>
      <c r="BI396" s="280"/>
      <c r="BJ396" s="280"/>
      <c r="BK396" s="280"/>
      <c r="BL396" s="280"/>
      <c r="BM396" s="280"/>
      <c r="BN396" s="280"/>
      <c r="BO396" s="280"/>
      <c r="BP396" s="280"/>
      <c r="BQ396" s="280"/>
      <c r="BR396" s="280"/>
      <c r="BS396" s="280"/>
      <c r="BT396" s="280"/>
      <c r="BU396" s="280"/>
      <c r="BV396" s="280"/>
    </row>
    <row r="397" spans="2:74" s="293" customFormat="1" x14ac:dyDescent="0.25">
      <c r="B397" s="280"/>
      <c r="C397" s="280"/>
      <c r="D397" s="280"/>
      <c r="E397" s="280"/>
      <c r="F397" s="280"/>
      <c r="G397" s="280"/>
      <c r="H397" s="280"/>
      <c r="I397" s="280"/>
      <c r="J397" s="280"/>
      <c r="K397" s="280"/>
      <c r="L397" s="283"/>
      <c r="M397" s="283"/>
      <c r="N397" s="280"/>
      <c r="O397" s="280"/>
      <c r="P397" s="280"/>
      <c r="Q397" s="280"/>
      <c r="R397" s="292"/>
      <c r="S397" s="292"/>
      <c r="T397" s="292"/>
      <c r="U397" s="292"/>
      <c r="V397" s="292"/>
      <c r="W397" s="292"/>
      <c r="X397" s="374"/>
      <c r="Y397" s="374"/>
      <c r="Z397" s="374"/>
      <c r="AA397" s="373"/>
      <c r="AB397" s="283"/>
      <c r="AC397" s="280"/>
      <c r="AD397" s="280"/>
      <c r="AE397" s="280"/>
      <c r="AF397" s="280"/>
      <c r="AG397" s="280"/>
      <c r="AH397" s="280"/>
      <c r="AI397" s="280"/>
      <c r="AJ397" s="280"/>
      <c r="AK397" s="280"/>
      <c r="AL397" s="280"/>
      <c r="AM397" s="280"/>
      <c r="AN397" s="280"/>
      <c r="AO397" s="280"/>
      <c r="AP397" s="280"/>
      <c r="AQ397" s="280"/>
      <c r="AR397" s="280"/>
      <c r="AS397" s="280"/>
      <c r="AT397" s="280"/>
      <c r="AU397" s="280"/>
      <c r="AV397" s="280"/>
      <c r="AW397" s="280"/>
      <c r="AX397" s="280"/>
      <c r="AY397" s="280"/>
      <c r="AZ397" s="280"/>
      <c r="BA397" s="280"/>
      <c r="BB397" s="280"/>
      <c r="BC397" s="280"/>
      <c r="BD397" s="280"/>
      <c r="BE397" s="280"/>
      <c r="BF397" s="280"/>
      <c r="BG397" s="280"/>
      <c r="BH397" s="280"/>
      <c r="BI397" s="280"/>
      <c r="BJ397" s="280"/>
      <c r="BK397" s="280"/>
      <c r="BL397" s="280"/>
      <c r="BM397" s="280"/>
      <c r="BN397" s="280"/>
      <c r="BO397" s="280"/>
      <c r="BP397" s="280"/>
      <c r="BQ397" s="280"/>
      <c r="BR397" s="280"/>
      <c r="BS397" s="280"/>
      <c r="BT397" s="280"/>
      <c r="BU397" s="280"/>
      <c r="BV397" s="280"/>
    </row>
    <row r="398" spans="2:74" s="293" customFormat="1" x14ac:dyDescent="0.25">
      <c r="B398" s="280"/>
      <c r="C398" s="280"/>
      <c r="D398" s="280"/>
      <c r="E398" s="280"/>
      <c r="F398" s="280"/>
      <c r="G398" s="280"/>
      <c r="H398" s="280"/>
      <c r="I398" s="280"/>
      <c r="J398" s="280"/>
      <c r="K398" s="280"/>
      <c r="L398" s="283"/>
      <c r="M398" s="283"/>
      <c r="N398" s="280"/>
      <c r="O398" s="280"/>
      <c r="P398" s="280"/>
      <c r="Q398" s="280"/>
      <c r="R398" s="292"/>
      <c r="S398" s="292"/>
      <c r="T398" s="292"/>
      <c r="U398" s="292"/>
      <c r="V398" s="292"/>
      <c r="W398" s="292"/>
      <c r="X398" s="374"/>
      <c r="Y398" s="374"/>
      <c r="Z398" s="374"/>
      <c r="AA398" s="373"/>
      <c r="AB398" s="283"/>
      <c r="AC398" s="280"/>
      <c r="AD398" s="280"/>
      <c r="AE398" s="280"/>
      <c r="AF398" s="280"/>
      <c r="AG398" s="280"/>
      <c r="AH398" s="280"/>
      <c r="AI398" s="280"/>
      <c r="AJ398" s="280"/>
      <c r="AK398" s="280"/>
      <c r="AL398" s="280"/>
      <c r="AM398" s="280"/>
      <c r="AN398" s="280"/>
      <c r="AO398" s="280"/>
      <c r="AP398" s="280"/>
      <c r="AQ398" s="280"/>
      <c r="AR398" s="280"/>
      <c r="AS398" s="280"/>
      <c r="AT398" s="280"/>
      <c r="AU398" s="280"/>
      <c r="AV398" s="280"/>
      <c r="AW398" s="280"/>
      <c r="AX398" s="280"/>
      <c r="AY398" s="280"/>
      <c r="AZ398" s="280"/>
      <c r="BA398" s="280"/>
      <c r="BB398" s="280"/>
      <c r="BC398" s="280"/>
      <c r="BD398" s="280"/>
      <c r="BE398" s="280"/>
      <c r="BF398" s="280"/>
      <c r="BG398" s="280"/>
      <c r="BH398" s="280"/>
      <c r="BI398" s="280"/>
      <c r="BJ398" s="280"/>
      <c r="BK398" s="280"/>
      <c r="BL398" s="280"/>
      <c r="BM398" s="280"/>
      <c r="BN398" s="280"/>
      <c r="BO398" s="280"/>
      <c r="BP398" s="280"/>
      <c r="BQ398" s="280"/>
      <c r="BR398" s="280"/>
      <c r="BS398" s="280"/>
      <c r="BT398" s="280"/>
      <c r="BU398" s="280"/>
      <c r="BV398" s="280"/>
    </row>
    <row r="399" spans="2:74" s="293" customFormat="1" x14ac:dyDescent="0.25">
      <c r="B399" s="280"/>
      <c r="C399" s="280"/>
      <c r="D399" s="280"/>
      <c r="E399" s="280"/>
      <c r="F399" s="280"/>
      <c r="G399" s="280"/>
      <c r="H399" s="280"/>
      <c r="I399" s="280"/>
      <c r="J399" s="280"/>
      <c r="K399" s="280"/>
      <c r="L399" s="283"/>
      <c r="M399" s="283"/>
      <c r="N399" s="280"/>
      <c r="O399" s="280"/>
      <c r="P399" s="280"/>
      <c r="Q399" s="280"/>
      <c r="R399" s="292"/>
      <c r="S399" s="292"/>
      <c r="T399" s="292"/>
      <c r="U399" s="292"/>
      <c r="V399" s="292"/>
      <c r="W399" s="292"/>
      <c r="X399" s="374"/>
      <c r="Y399" s="374"/>
      <c r="Z399" s="374"/>
      <c r="AA399" s="373"/>
      <c r="AB399" s="283"/>
      <c r="AC399" s="280"/>
      <c r="AD399" s="280"/>
      <c r="AE399" s="280"/>
      <c r="AF399" s="280"/>
      <c r="AG399" s="280"/>
      <c r="AH399" s="280"/>
      <c r="AI399" s="280"/>
      <c r="AJ399" s="280"/>
      <c r="AK399" s="280"/>
      <c r="AL399" s="280"/>
      <c r="AM399" s="280"/>
      <c r="AN399" s="280"/>
      <c r="AO399" s="280"/>
      <c r="AP399" s="280"/>
      <c r="AQ399" s="280"/>
      <c r="AR399" s="280"/>
      <c r="AS399" s="280"/>
      <c r="AT399" s="280"/>
      <c r="AU399" s="280"/>
      <c r="AV399" s="280"/>
      <c r="AW399" s="280"/>
      <c r="AX399" s="280"/>
      <c r="AY399" s="280"/>
      <c r="AZ399" s="280"/>
      <c r="BA399" s="280"/>
      <c r="BB399" s="280"/>
      <c r="BC399" s="280"/>
      <c r="BD399" s="280"/>
      <c r="BE399" s="280"/>
      <c r="BF399" s="280"/>
      <c r="BG399" s="280"/>
      <c r="BH399" s="280"/>
      <c r="BI399" s="280"/>
      <c r="BJ399" s="280"/>
      <c r="BK399" s="280"/>
      <c r="BL399" s="280"/>
      <c r="BM399" s="280"/>
      <c r="BN399" s="280"/>
      <c r="BO399" s="280"/>
      <c r="BP399" s="280"/>
      <c r="BQ399" s="280"/>
      <c r="BR399" s="280"/>
      <c r="BS399" s="280"/>
      <c r="BT399" s="280"/>
      <c r="BU399" s="280"/>
      <c r="BV399" s="280"/>
    </row>
    <row r="400" spans="2:74" s="293" customFormat="1" x14ac:dyDescent="0.25">
      <c r="B400" s="280"/>
      <c r="C400" s="280"/>
      <c r="D400" s="280"/>
      <c r="E400" s="280"/>
      <c r="F400" s="280"/>
      <c r="G400" s="280"/>
      <c r="H400" s="280"/>
      <c r="I400" s="280"/>
      <c r="J400" s="280"/>
      <c r="K400" s="280"/>
      <c r="L400" s="283"/>
      <c r="M400" s="283"/>
      <c r="N400" s="280"/>
      <c r="O400" s="280"/>
      <c r="P400" s="280"/>
      <c r="Q400" s="280"/>
      <c r="R400" s="292"/>
      <c r="S400" s="292"/>
      <c r="T400" s="292"/>
      <c r="U400" s="292"/>
      <c r="V400" s="292"/>
      <c r="W400" s="292"/>
      <c r="X400" s="374"/>
      <c r="Y400" s="374"/>
      <c r="Z400" s="374"/>
      <c r="AA400" s="373"/>
      <c r="AB400" s="283"/>
      <c r="AC400" s="280"/>
      <c r="AD400" s="280"/>
      <c r="AE400" s="280"/>
      <c r="AF400" s="280"/>
      <c r="AG400" s="280"/>
      <c r="AH400" s="280"/>
      <c r="AI400" s="280"/>
      <c r="AJ400" s="280"/>
      <c r="AK400" s="280"/>
      <c r="AL400" s="280"/>
      <c r="AM400" s="280"/>
      <c r="AN400" s="280"/>
      <c r="AO400" s="280"/>
      <c r="AP400" s="280"/>
      <c r="AQ400" s="280"/>
      <c r="AR400" s="280"/>
      <c r="AS400" s="280"/>
      <c r="AT400" s="280"/>
      <c r="AU400" s="280"/>
      <c r="AV400" s="280"/>
      <c r="AW400" s="280"/>
      <c r="AX400" s="280"/>
      <c r="AY400" s="280"/>
      <c r="AZ400" s="280"/>
      <c r="BA400" s="280"/>
      <c r="BB400" s="280"/>
      <c r="BC400" s="280"/>
      <c r="BD400" s="280"/>
      <c r="BE400" s="280"/>
      <c r="BF400" s="280"/>
      <c r="BG400" s="280"/>
      <c r="BH400" s="280"/>
      <c r="BI400" s="280"/>
      <c r="BJ400" s="280"/>
      <c r="BK400" s="280"/>
      <c r="BL400" s="280"/>
      <c r="BM400" s="280"/>
      <c r="BN400" s="280"/>
      <c r="BO400" s="280"/>
      <c r="BP400" s="280"/>
      <c r="BQ400" s="280"/>
      <c r="BR400" s="280"/>
      <c r="BS400" s="280"/>
      <c r="BT400" s="280"/>
      <c r="BU400" s="280"/>
      <c r="BV400" s="280"/>
    </row>
    <row r="401" spans="2:74" s="293" customFormat="1" x14ac:dyDescent="0.25">
      <c r="B401" s="280"/>
      <c r="C401" s="280"/>
      <c r="D401" s="280"/>
      <c r="E401" s="280"/>
      <c r="F401" s="280"/>
      <c r="G401" s="280"/>
      <c r="H401" s="280"/>
      <c r="I401" s="280"/>
      <c r="J401" s="280"/>
      <c r="K401" s="280"/>
      <c r="L401" s="283"/>
      <c r="M401" s="283"/>
      <c r="N401" s="280"/>
      <c r="O401" s="280"/>
      <c r="P401" s="280"/>
      <c r="Q401" s="280"/>
      <c r="R401" s="292"/>
      <c r="S401" s="292"/>
      <c r="T401" s="292"/>
      <c r="U401" s="292"/>
      <c r="V401" s="292"/>
      <c r="W401" s="292"/>
      <c r="X401" s="374"/>
      <c r="Y401" s="374"/>
      <c r="Z401" s="374"/>
      <c r="AA401" s="373"/>
      <c r="AB401" s="283"/>
      <c r="AC401" s="280"/>
      <c r="AD401" s="280"/>
      <c r="AE401" s="280"/>
      <c r="AF401" s="280"/>
      <c r="AG401" s="280"/>
      <c r="AH401" s="280"/>
      <c r="AI401" s="280"/>
      <c r="AJ401" s="280"/>
      <c r="AK401" s="280"/>
      <c r="AL401" s="280"/>
      <c r="AM401" s="280"/>
      <c r="AN401" s="280"/>
      <c r="AO401" s="280"/>
      <c r="AP401" s="280"/>
      <c r="AQ401" s="280"/>
      <c r="AR401" s="280"/>
      <c r="AS401" s="280"/>
      <c r="AT401" s="280"/>
      <c r="AU401" s="280"/>
      <c r="AV401" s="280"/>
      <c r="AW401" s="280"/>
      <c r="AX401" s="280"/>
      <c r="AY401" s="280"/>
      <c r="AZ401" s="280"/>
      <c r="BA401" s="280"/>
      <c r="BB401" s="280"/>
      <c r="BC401" s="280"/>
      <c r="BD401" s="280"/>
      <c r="BE401" s="280"/>
      <c r="BF401" s="280"/>
      <c r="BG401" s="280"/>
      <c r="BH401" s="280"/>
      <c r="BI401" s="280"/>
      <c r="BJ401" s="280"/>
      <c r="BK401" s="280"/>
      <c r="BL401" s="280"/>
      <c r="BM401" s="280"/>
      <c r="BN401" s="280"/>
      <c r="BO401" s="280"/>
      <c r="BP401" s="280"/>
      <c r="BQ401" s="280"/>
      <c r="BR401" s="280"/>
      <c r="BS401" s="280"/>
      <c r="BT401" s="280"/>
      <c r="BU401" s="280"/>
      <c r="BV401" s="280"/>
    </row>
    <row r="402" spans="2:74" s="293" customFormat="1" x14ac:dyDescent="0.25">
      <c r="B402" s="280"/>
      <c r="C402" s="280"/>
      <c r="D402" s="280"/>
      <c r="E402" s="280"/>
      <c r="F402" s="280"/>
      <c r="G402" s="280"/>
      <c r="H402" s="280"/>
      <c r="I402" s="280"/>
      <c r="J402" s="280"/>
      <c r="K402" s="280"/>
      <c r="L402" s="283"/>
      <c r="M402" s="283"/>
      <c r="N402" s="280"/>
      <c r="O402" s="280"/>
      <c r="P402" s="280"/>
      <c r="Q402" s="280"/>
      <c r="R402" s="292"/>
      <c r="S402" s="292"/>
      <c r="T402" s="292"/>
      <c r="U402" s="292"/>
      <c r="V402" s="292"/>
      <c r="W402" s="292"/>
      <c r="X402" s="374"/>
      <c r="Y402" s="374"/>
      <c r="Z402" s="374"/>
      <c r="AA402" s="373"/>
      <c r="AB402" s="283"/>
      <c r="AC402" s="280"/>
      <c r="AD402" s="280"/>
      <c r="AE402" s="280"/>
      <c r="AF402" s="280"/>
      <c r="AG402" s="280"/>
      <c r="AH402" s="280"/>
      <c r="AI402" s="280"/>
      <c r="AJ402" s="280"/>
      <c r="AK402" s="280"/>
      <c r="AL402" s="280"/>
      <c r="AM402" s="280"/>
      <c r="AN402" s="280"/>
      <c r="AO402" s="280"/>
      <c r="AP402" s="280"/>
      <c r="AQ402" s="280"/>
      <c r="AR402" s="280"/>
      <c r="AS402" s="280"/>
      <c r="AT402" s="280"/>
      <c r="AU402" s="280"/>
      <c r="AV402" s="280"/>
      <c r="AW402" s="280"/>
      <c r="AX402" s="280"/>
      <c r="AY402" s="280"/>
      <c r="AZ402" s="280"/>
      <c r="BA402" s="280"/>
      <c r="BB402" s="280"/>
      <c r="BC402" s="280"/>
      <c r="BD402" s="280"/>
      <c r="BE402" s="280"/>
      <c r="BF402" s="280"/>
      <c r="BG402" s="280"/>
      <c r="BH402" s="280"/>
      <c r="BI402" s="280"/>
      <c r="BJ402" s="280"/>
      <c r="BK402" s="280"/>
      <c r="BL402" s="280"/>
      <c r="BM402" s="280"/>
      <c r="BN402" s="280"/>
      <c r="BO402" s="280"/>
      <c r="BP402" s="280"/>
      <c r="BQ402" s="280"/>
      <c r="BR402" s="280"/>
      <c r="BS402" s="280"/>
      <c r="BT402" s="280"/>
      <c r="BU402" s="280"/>
      <c r="BV402" s="280"/>
    </row>
    <row r="403" spans="2:74" s="293" customFormat="1" x14ac:dyDescent="0.25">
      <c r="B403" s="280"/>
      <c r="C403" s="280"/>
      <c r="D403" s="280"/>
      <c r="E403" s="280"/>
      <c r="F403" s="280"/>
      <c r="G403" s="280"/>
      <c r="H403" s="280"/>
      <c r="I403" s="280"/>
      <c r="J403" s="280"/>
      <c r="K403" s="280"/>
      <c r="L403" s="283"/>
      <c r="M403" s="283"/>
      <c r="N403" s="280"/>
      <c r="O403" s="280"/>
      <c r="P403" s="280"/>
      <c r="Q403" s="280"/>
      <c r="R403" s="292"/>
      <c r="S403" s="292"/>
      <c r="T403" s="292"/>
      <c r="U403" s="292"/>
      <c r="V403" s="292"/>
      <c r="W403" s="292"/>
      <c r="X403" s="374"/>
      <c r="Y403" s="374"/>
      <c r="Z403" s="374"/>
      <c r="AA403" s="373"/>
      <c r="AB403" s="283"/>
      <c r="AC403" s="280"/>
      <c r="AD403" s="280"/>
      <c r="AE403" s="280"/>
      <c r="AF403" s="280"/>
      <c r="AG403" s="280"/>
      <c r="AH403" s="280"/>
      <c r="AI403" s="280"/>
      <c r="AJ403" s="280"/>
      <c r="AK403" s="280"/>
      <c r="AL403" s="280"/>
      <c r="AM403" s="280"/>
      <c r="AN403" s="280"/>
      <c r="AO403" s="280"/>
      <c r="AP403" s="280"/>
      <c r="AQ403" s="280"/>
      <c r="AR403" s="280"/>
      <c r="AS403" s="280"/>
      <c r="AT403" s="280"/>
      <c r="AU403" s="280"/>
      <c r="AV403" s="280"/>
      <c r="AW403" s="280"/>
      <c r="AX403" s="280"/>
      <c r="AY403" s="280"/>
      <c r="AZ403" s="280"/>
      <c r="BA403" s="280"/>
      <c r="BB403" s="280"/>
      <c r="BC403" s="280"/>
      <c r="BD403" s="280"/>
      <c r="BE403" s="280"/>
      <c r="BF403" s="280"/>
      <c r="BG403" s="280"/>
      <c r="BH403" s="280"/>
      <c r="BI403" s="280"/>
      <c r="BJ403" s="280"/>
      <c r="BK403" s="280"/>
      <c r="BL403" s="280"/>
      <c r="BM403" s="280"/>
      <c r="BN403" s="280"/>
      <c r="BO403" s="280"/>
      <c r="BP403" s="280"/>
      <c r="BQ403" s="280"/>
      <c r="BR403" s="280"/>
      <c r="BS403" s="280"/>
      <c r="BT403" s="280"/>
      <c r="BU403" s="280"/>
      <c r="BV403" s="280"/>
    </row>
    <row r="404" spans="2:74" s="293" customFormat="1" x14ac:dyDescent="0.25">
      <c r="B404" s="280"/>
      <c r="C404" s="280"/>
      <c r="D404" s="280"/>
      <c r="E404" s="280"/>
      <c r="F404" s="280"/>
      <c r="G404" s="280"/>
      <c r="H404" s="280"/>
      <c r="I404" s="280"/>
      <c r="J404" s="280"/>
      <c r="K404" s="280"/>
      <c r="L404" s="283"/>
      <c r="M404" s="283"/>
      <c r="N404" s="280"/>
      <c r="O404" s="280"/>
      <c r="P404" s="280"/>
      <c r="Q404" s="280"/>
      <c r="R404" s="292"/>
      <c r="S404" s="292"/>
      <c r="T404" s="292"/>
      <c r="U404" s="292"/>
      <c r="V404" s="292"/>
      <c r="W404" s="292"/>
      <c r="X404" s="374"/>
      <c r="Y404" s="374"/>
      <c r="Z404" s="374"/>
      <c r="AA404" s="373"/>
      <c r="AB404" s="283"/>
      <c r="AC404" s="280"/>
      <c r="AD404" s="280"/>
      <c r="AE404" s="280"/>
      <c r="AF404" s="280"/>
      <c r="AG404" s="280"/>
      <c r="AH404" s="280"/>
      <c r="AI404" s="280"/>
      <c r="AJ404" s="280"/>
      <c r="AK404" s="280"/>
      <c r="AL404" s="280"/>
      <c r="AM404" s="280"/>
      <c r="AN404" s="280"/>
      <c r="AO404" s="280"/>
      <c r="AP404" s="280"/>
      <c r="AQ404" s="280"/>
      <c r="AR404" s="280"/>
      <c r="AS404" s="280"/>
      <c r="AT404" s="280"/>
      <c r="AU404" s="280"/>
      <c r="AV404" s="280"/>
      <c r="AW404" s="280"/>
      <c r="AX404" s="280"/>
      <c r="AY404" s="280"/>
      <c r="AZ404" s="280"/>
      <c r="BA404" s="280"/>
      <c r="BB404" s="280"/>
      <c r="BC404" s="280"/>
      <c r="BD404" s="280"/>
      <c r="BE404" s="280"/>
      <c r="BF404" s="280"/>
      <c r="BG404" s="280"/>
      <c r="BH404" s="280"/>
      <c r="BI404" s="280"/>
      <c r="BJ404" s="280"/>
      <c r="BK404" s="280"/>
      <c r="BL404" s="280"/>
      <c r="BM404" s="280"/>
      <c r="BN404" s="280"/>
      <c r="BO404" s="280"/>
      <c r="BP404" s="280"/>
      <c r="BQ404" s="280"/>
      <c r="BR404" s="280"/>
      <c r="BS404" s="280"/>
      <c r="BT404" s="280"/>
      <c r="BU404" s="280"/>
      <c r="BV404" s="280"/>
    </row>
    <row r="405" spans="2:74" s="293" customFormat="1" x14ac:dyDescent="0.25">
      <c r="B405" s="280"/>
      <c r="C405" s="280"/>
      <c r="D405" s="280"/>
      <c r="E405" s="280"/>
      <c r="F405" s="280"/>
      <c r="G405" s="280"/>
      <c r="H405" s="280"/>
      <c r="I405" s="280"/>
      <c r="J405" s="280"/>
      <c r="K405" s="280"/>
      <c r="L405" s="283"/>
      <c r="M405" s="283"/>
      <c r="N405" s="280"/>
      <c r="O405" s="280"/>
      <c r="P405" s="280"/>
      <c r="Q405" s="280"/>
      <c r="R405" s="292"/>
      <c r="S405" s="292"/>
      <c r="T405" s="292"/>
      <c r="U405" s="292"/>
      <c r="V405" s="292"/>
      <c r="W405" s="292"/>
      <c r="X405" s="374"/>
      <c r="Y405" s="374"/>
      <c r="Z405" s="374"/>
      <c r="AA405" s="373"/>
      <c r="AB405" s="283"/>
      <c r="AC405" s="280"/>
      <c r="AD405" s="280"/>
      <c r="AE405" s="280"/>
      <c r="AF405" s="280"/>
      <c r="AG405" s="280"/>
      <c r="AH405" s="280"/>
      <c r="AI405" s="280"/>
      <c r="AJ405" s="280"/>
      <c r="AK405" s="280"/>
      <c r="AL405" s="280"/>
      <c r="AM405" s="280"/>
      <c r="AN405" s="280"/>
      <c r="AO405" s="280"/>
      <c r="AP405" s="280"/>
      <c r="AQ405" s="280"/>
      <c r="AR405" s="280"/>
      <c r="AS405" s="280"/>
      <c r="AT405" s="280"/>
      <c r="AU405" s="280"/>
      <c r="AV405" s="280"/>
      <c r="AW405" s="280"/>
      <c r="AX405" s="280"/>
      <c r="AY405" s="280"/>
      <c r="AZ405" s="280"/>
      <c r="BA405" s="280"/>
      <c r="BB405" s="280"/>
      <c r="BC405" s="280"/>
      <c r="BD405" s="280"/>
      <c r="BE405" s="280"/>
      <c r="BF405" s="280"/>
      <c r="BG405" s="280"/>
      <c r="BH405" s="280"/>
      <c r="BI405" s="280"/>
      <c r="BJ405" s="280"/>
      <c r="BK405" s="280"/>
      <c r="BL405" s="280"/>
      <c r="BM405" s="280"/>
      <c r="BN405" s="280"/>
      <c r="BO405" s="280"/>
      <c r="BP405" s="280"/>
      <c r="BQ405" s="280"/>
      <c r="BR405" s="280"/>
      <c r="BS405" s="280"/>
      <c r="BT405" s="280"/>
      <c r="BU405" s="280"/>
      <c r="BV405" s="280"/>
    </row>
    <row r="406" spans="2:74" s="293" customFormat="1" x14ac:dyDescent="0.25">
      <c r="B406" s="280"/>
      <c r="C406" s="280"/>
      <c r="D406" s="280"/>
      <c r="E406" s="280"/>
      <c r="F406" s="280"/>
      <c r="G406" s="280"/>
      <c r="H406" s="280"/>
      <c r="I406" s="280"/>
      <c r="J406" s="280"/>
      <c r="K406" s="280"/>
      <c r="L406" s="283"/>
      <c r="M406" s="283"/>
      <c r="N406" s="280"/>
      <c r="O406" s="280"/>
      <c r="P406" s="280"/>
      <c r="Q406" s="280"/>
      <c r="R406" s="292"/>
      <c r="S406" s="292"/>
      <c r="T406" s="292"/>
      <c r="U406" s="292"/>
      <c r="V406" s="292"/>
      <c r="W406" s="292"/>
      <c r="X406" s="374"/>
      <c r="Y406" s="374"/>
      <c r="Z406" s="374"/>
      <c r="AA406" s="373"/>
      <c r="AB406" s="283"/>
      <c r="AC406" s="280"/>
      <c r="AD406" s="280"/>
      <c r="AE406" s="280"/>
      <c r="AF406" s="280"/>
      <c r="AG406" s="280"/>
      <c r="AH406" s="280"/>
      <c r="AI406" s="280"/>
      <c r="AJ406" s="280"/>
      <c r="AK406" s="280"/>
      <c r="AL406" s="280"/>
      <c r="AM406" s="280"/>
      <c r="AN406" s="280"/>
      <c r="AO406" s="280"/>
      <c r="AP406" s="280"/>
      <c r="AQ406" s="280"/>
      <c r="AR406" s="280"/>
      <c r="AS406" s="280"/>
      <c r="AT406" s="280"/>
      <c r="AU406" s="280"/>
      <c r="AV406" s="280"/>
      <c r="AW406" s="280"/>
      <c r="AX406" s="280"/>
      <c r="AY406" s="280"/>
      <c r="AZ406" s="280"/>
      <c r="BA406" s="280"/>
      <c r="BB406" s="280"/>
      <c r="BC406" s="280"/>
      <c r="BD406" s="280"/>
      <c r="BE406" s="280"/>
      <c r="BF406" s="280"/>
      <c r="BG406" s="280"/>
      <c r="BH406" s="280"/>
      <c r="BI406" s="280"/>
      <c r="BJ406" s="280"/>
      <c r="BK406" s="280"/>
      <c r="BL406" s="280"/>
      <c r="BM406" s="280"/>
      <c r="BN406" s="280"/>
      <c r="BO406" s="280"/>
      <c r="BP406" s="280"/>
      <c r="BQ406" s="280"/>
      <c r="BR406" s="280"/>
      <c r="BS406" s="280"/>
      <c r="BT406" s="280"/>
      <c r="BU406" s="280"/>
      <c r="BV406" s="280"/>
    </row>
    <row r="407" spans="2:74" s="293" customFormat="1" x14ac:dyDescent="0.25">
      <c r="B407" s="280"/>
      <c r="C407" s="280"/>
      <c r="D407" s="280"/>
      <c r="E407" s="280"/>
      <c r="F407" s="280"/>
      <c r="G407" s="280"/>
      <c r="H407" s="280"/>
      <c r="I407" s="280"/>
      <c r="J407" s="280"/>
      <c r="K407" s="280"/>
      <c r="L407" s="283"/>
      <c r="M407" s="283"/>
      <c r="N407" s="280"/>
      <c r="O407" s="280"/>
      <c r="P407" s="280"/>
      <c r="Q407" s="280"/>
      <c r="R407" s="292"/>
      <c r="S407" s="292"/>
      <c r="T407" s="292"/>
      <c r="U407" s="292"/>
      <c r="V407" s="292"/>
      <c r="W407" s="292"/>
      <c r="X407" s="374"/>
      <c r="Y407" s="374"/>
      <c r="Z407" s="374"/>
      <c r="AA407" s="373"/>
      <c r="AB407" s="283"/>
      <c r="AC407" s="280"/>
      <c r="AD407" s="280"/>
      <c r="AE407" s="280"/>
      <c r="AF407" s="280"/>
      <c r="AG407" s="280"/>
      <c r="AH407" s="280"/>
      <c r="AI407" s="280"/>
      <c r="AJ407" s="280"/>
      <c r="AK407" s="280"/>
      <c r="AL407" s="280"/>
      <c r="AM407" s="280"/>
      <c r="AN407" s="280"/>
      <c r="AO407" s="280"/>
      <c r="AP407" s="280"/>
      <c r="AQ407" s="280"/>
      <c r="AR407" s="280"/>
      <c r="AS407" s="280"/>
      <c r="AT407" s="280"/>
      <c r="AU407" s="280"/>
      <c r="AV407" s="280"/>
      <c r="AW407" s="280"/>
      <c r="AX407" s="280"/>
      <c r="AY407" s="280"/>
      <c r="AZ407" s="280"/>
      <c r="BA407" s="280"/>
      <c r="BB407" s="280"/>
      <c r="BC407" s="280"/>
      <c r="BD407" s="280"/>
      <c r="BE407" s="280"/>
      <c r="BF407" s="280"/>
      <c r="BG407" s="280"/>
      <c r="BH407" s="280"/>
      <c r="BI407" s="280"/>
      <c r="BJ407" s="280"/>
      <c r="BK407" s="280"/>
      <c r="BL407" s="280"/>
      <c r="BM407" s="280"/>
      <c r="BN407" s="280"/>
      <c r="BO407" s="280"/>
      <c r="BP407" s="280"/>
      <c r="BQ407" s="280"/>
      <c r="BR407" s="280"/>
      <c r="BS407" s="280"/>
      <c r="BT407" s="280"/>
      <c r="BU407" s="280"/>
      <c r="BV407" s="280"/>
    </row>
    <row r="408" spans="2:74" s="293" customFormat="1" x14ac:dyDescent="0.25">
      <c r="B408" s="280"/>
      <c r="C408" s="280"/>
      <c r="D408" s="280"/>
      <c r="E408" s="280"/>
      <c r="F408" s="280"/>
      <c r="G408" s="280"/>
      <c r="H408" s="280"/>
      <c r="I408" s="280"/>
      <c r="J408" s="280"/>
      <c r="K408" s="280"/>
      <c r="L408" s="283"/>
      <c r="M408" s="283"/>
      <c r="N408" s="280"/>
      <c r="O408" s="280"/>
      <c r="P408" s="280"/>
      <c r="Q408" s="280"/>
      <c r="R408" s="292"/>
      <c r="S408" s="292"/>
      <c r="T408" s="292"/>
      <c r="U408" s="292"/>
      <c r="V408" s="292"/>
      <c r="W408" s="292"/>
      <c r="X408" s="374"/>
      <c r="Y408" s="374"/>
      <c r="Z408" s="374"/>
      <c r="AA408" s="373"/>
      <c r="AB408" s="283"/>
      <c r="AC408" s="280"/>
      <c r="AD408" s="280"/>
      <c r="AE408" s="280"/>
      <c r="AF408" s="280"/>
      <c r="AG408" s="280"/>
      <c r="AH408" s="280"/>
      <c r="AI408" s="280"/>
      <c r="AJ408" s="280"/>
      <c r="AK408" s="280"/>
      <c r="AL408" s="280"/>
      <c r="AM408" s="280"/>
      <c r="AN408" s="280"/>
      <c r="AO408" s="280"/>
      <c r="AP408" s="280"/>
      <c r="AQ408" s="280"/>
      <c r="AR408" s="280"/>
      <c r="AS408" s="280"/>
      <c r="AT408" s="280"/>
      <c r="AU408" s="280"/>
      <c r="AV408" s="280"/>
      <c r="AW408" s="280"/>
      <c r="AX408" s="280"/>
      <c r="AY408" s="280"/>
      <c r="AZ408" s="280"/>
      <c r="BA408" s="280"/>
      <c r="BB408" s="280"/>
      <c r="BC408" s="280"/>
      <c r="BD408" s="280"/>
      <c r="BE408" s="280"/>
      <c r="BF408" s="280"/>
      <c r="BG408" s="280"/>
      <c r="BH408" s="280"/>
      <c r="BI408" s="280"/>
      <c r="BJ408" s="280"/>
      <c r="BK408" s="280"/>
      <c r="BL408" s="280"/>
      <c r="BM408" s="280"/>
      <c r="BN408" s="280"/>
      <c r="BO408" s="280"/>
      <c r="BP408" s="280"/>
      <c r="BQ408" s="280"/>
      <c r="BR408" s="280"/>
      <c r="BS408" s="280"/>
      <c r="BT408" s="280"/>
      <c r="BU408" s="280"/>
      <c r="BV408" s="280"/>
    </row>
    <row r="409" spans="2:74" s="293" customFormat="1" x14ac:dyDescent="0.25">
      <c r="B409" s="280"/>
      <c r="C409" s="280"/>
      <c r="D409" s="280"/>
      <c r="E409" s="280"/>
      <c r="F409" s="280"/>
      <c r="G409" s="280"/>
      <c r="H409" s="280"/>
      <c r="I409" s="280"/>
      <c r="J409" s="280"/>
      <c r="K409" s="280"/>
      <c r="L409" s="283"/>
      <c r="M409" s="283"/>
      <c r="N409" s="280"/>
      <c r="O409" s="280"/>
      <c r="P409" s="280"/>
      <c r="Q409" s="280"/>
      <c r="R409" s="292"/>
      <c r="S409" s="292"/>
      <c r="T409" s="292"/>
      <c r="U409" s="292"/>
      <c r="V409" s="292"/>
      <c r="W409" s="292"/>
      <c r="X409" s="374"/>
      <c r="Y409" s="374"/>
      <c r="Z409" s="374"/>
      <c r="AA409" s="373"/>
      <c r="AB409" s="283"/>
      <c r="AC409" s="280"/>
      <c r="AD409" s="280"/>
      <c r="AE409" s="280"/>
      <c r="AF409" s="280"/>
      <c r="AG409" s="280"/>
      <c r="AH409" s="280"/>
      <c r="AI409" s="280"/>
      <c r="AJ409" s="280"/>
      <c r="AK409" s="280"/>
      <c r="AL409" s="280"/>
      <c r="AM409" s="280"/>
      <c r="AN409" s="280"/>
      <c r="AO409" s="280"/>
      <c r="AP409" s="280"/>
      <c r="AQ409" s="280"/>
      <c r="AR409" s="280"/>
      <c r="AS409" s="280"/>
      <c r="AT409" s="280"/>
      <c r="AU409" s="280"/>
      <c r="AV409" s="280"/>
      <c r="AW409" s="280"/>
      <c r="AX409" s="280"/>
      <c r="AY409" s="280"/>
      <c r="AZ409" s="280"/>
      <c r="BA409" s="280"/>
      <c r="BB409" s="280"/>
      <c r="BC409" s="280"/>
      <c r="BD409" s="280"/>
      <c r="BE409" s="280"/>
      <c r="BF409" s="280"/>
      <c r="BG409" s="280"/>
      <c r="BH409" s="280"/>
      <c r="BI409" s="280"/>
      <c r="BJ409" s="280"/>
      <c r="BK409" s="280"/>
      <c r="BL409" s="280"/>
      <c r="BM409" s="280"/>
      <c r="BN409" s="280"/>
      <c r="BO409" s="280"/>
      <c r="BP409" s="280"/>
      <c r="BQ409" s="280"/>
      <c r="BR409" s="280"/>
      <c r="BS409" s="280"/>
      <c r="BT409" s="280"/>
      <c r="BU409" s="280"/>
      <c r="BV409" s="280"/>
    </row>
    <row r="410" spans="2:74" s="293" customFormat="1" x14ac:dyDescent="0.25">
      <c r="B410" s="280"/>
      <c r="C410" s="280"/>
      <c r="D410" s="280"/>
      <c r="E410" s="280"/>
      <c r="F410" s="280"/>
      <c r="G410" s="280"/>
      <c r="H410" s="280"/>
      <c r="I410" s="280"/>
      <c r="J410" s="280"/>
      <c r="K410" s="280"/>
      <c r="L410" s="283"/>
      <c r="M410" s="283"/>
      <c r="N410" s="280"/>
      <c r="O410" s="280"/>
      <c r="P410" s="280"/>
      <c r="Q410" s="280"/>
      <c r="R410" s="292"/>
      <c r="S410" s="292"/>
      <c r="T410" s="292"/>
      <c r="U410" s="292"/>
      <c r="V410" s="292"/>
      <c r="W410" s="292"/>
      <c r="X410" s="374"/>
      <c r="Y410" s="374"/>
      <c r="Z410" s="374"/>
      <c r="AA410" s="373"/>
      <c r="AB410" s="283"/>
      <c r="AC410" s="280"/>
      <c r="AD410" s="280"/>
      <c r="AE410" s="280"/>
      <c r="AF410" s="280"/>
      <c r="AG410" s="280"/>
      <c r="AH410" s="280"/>
      <c r="AI410" s="280"/>
      <c r="AJ410" s="280"/>
      <c r="AK410" s="280"/>
      <c r="AL410" s="280"/>
      <c r="AM410" s="280"/>
      <c r="AN410" s="280"/>
      <c r="AO410" s="280"/>
      <c r="AP410" s="280"/>
      <c r="AQ410" s="280"/>
      <c r="AR410" s="280"/>
      <c r="AS410" s="280"/>
      <c r="AT410" s="280"/>
      <c r="AU410" s="280"/>
      <c r="AV410" s="280"/>
      <c r="AW410" s="280"/>
      <c r="AX410" s="280"/>
      <c r="AY410" s="280"/>
      <c r="AZ410" s="280"/>
      <c r="BA410" s="280"/>
      <c r="BB410" s="280"/>
      <c r="BC410" s="280"/>
      <c r="BD410" s="280"/>
      <c r="BE410" s="280"/>
      <c r="BF410" s="280"/>
      <c r="BG410" s="280"/>
      <c r="BH410" s="280"/>
      <c r="BI410" s="280"/>
      <c r="BJ410" s="280"/>
      <c r="BK410" s="280"/>
      <c r="BL410" s="280"/>
      <c r="BM410" s="280"/>
      <c r="BN410" s="280"/>
      <c r="BO410" s="280"/>
      <c r="BP410" s="280"/>
      <c r="BQ410" s="280"/>
      <c r="BR410" s="280"/>
      <c r="BS410" s="280"/>
      <c r="BT410" s="280"/>
      <c r="BU410" s="280"/>
      <c r="BV410" s="280"/>
    </row>
    <row r="411" spans="2:74" s="293" customFormat="1" x14ac:dyDescent="0.25">
      <c r="B411" s="280"/>
      <c r="C411" s="280"/>
      <c r="D411" s="280"/>
      <c r="E411" s="280"/>
      <c r="F411" s="280"/>
      <c r="G411" s="280"/>
      <c r="H411" s="280"/>
      <c r="I411" s="280"/>
      <c r="J411" s="280"/>
      <c r="K411" s="280"/>
      <c r="L411" s="283"/>
      <c r="M411" s="283"/>
      <c r="N411" s="280"/>
      <c r="O411" s="280"/>
      <c r="P411" s="280"/>
      <c r="Q411" s="280"/>
      <c r="R411" s="292"/>
      <c r="S411" s="292"/>
      <c r="T411" s="292"/>
      <c r="U411" s="292"/>
      <c r="V411" s="292"/>
      <c r="W411" s="292"/>
      <c r="X411" s="374"/>
      <c r="Y411" s="374"/>
      <c r="Z411" s="374"/>
      <c r="AA411" s="373"/>
      <c r="AB411" s="283"/>
      <c r="AC411" s="280"/>
      <c r="AD411" s="280"/>
      <c r="AE411" s="280"/>
      <c r="AF411" s="280"/>
      <c r="AG411" s="280"/>
      <c r="AH411" s="280"/>
      <c r="AI411" s="280"/>
      <c r="AJ411" s="280"/>
      <c r="AK411" s="280"/>
      <c r="AL411" s="280"/>
      <c r="AM411" s="280"/>
      <c r="AN411" s="280"/>
      <c r="AO411" s="280"/>
      <c r="AP411" s="280"/>
      <c r="AQ411" s="280"/>
      <c r="AR411" s="280"/>
      <c r="AS411" s="280"/>
      <c r="AT411" s="280"/>
      <c r="AU411" s="280"/>
      <c r="AV411" s="280"/>
      <c r="AW411" s="280"/>
      <c r="AX411" s="280"/>
      <c r="AY411" s="280"/>
      <c r="AZ411" s="280"/>
      <c r="BA411" s="280"/>
      <c r="BB411" s="280"/>
      <c r="BC411" s="280"/>
      <c r="BD411" s="280"/>
      <c r="BE411" s="280"/>
      <c r="BF411" s="280"/>
      <c r="BG411" s="280"/>
      <c r="BH411" s="280"/>
      <c r="BI411" s="280"/>
      <c r="BJ411" s="280"/>
      <c r="BK411" s="280"/>
      <c r="BL411" s="280"/>
      <c r="BM411" s="280"/>
      <c r="BN411" s="280"/>
      <c r="BO411" s="280"/>
      <c r="BP411" s="280"/>
      <c r="BQ411" s="280"/>
      <c r="BR411" s="280"/>
      <c r="BS411" s="280"/>
      <c r="BT411" s="280"/>
      <c r="BU411" s="280"/>
      <c r="BV411" s="280"/>
    </row>
    <row r="412" spans="2:74" s="293" customFormat="1" x14ac:dyDescent="0.25">
      <c r="B412" s="280"/>
      <c r="C412" s="280"/>
      <c r="D412" s="280"/>
      <c r="E412" s="280"/>
      <c r="F412" s="280"/>
      <c r="G412" s="280"/>
      <c r="H412" s="280"/>
      <c r="I412" s="280"/>
      <c r="J412" s="280"/>
      <c r="K412" s="280"/>
      <c r="L412" s="283"/>
      <c r="M412" s="283"/>
      <c r="N412" s="280"/>
      <c r="O412" s="280"/>
      <c r="P412" s="280"/>
      <c r="Q412" s="280"/>
      <c r="R412" s="292"/>
      <c r="S412" s="292"/>
      <c r="T412" s="292"/>
      <c r="U412" s="292"/>
      <c r="V412" s="292"/>
      <c r="W412" s="292"/>
      <c r="X412" s="374"/>
      <c r="Y412" s="374"/>
      <c r="Z412" s="374"/>
      <c r="AA412" s="373"/>
      <c r="AB412" s="283"/>
      <c r="AC412" s="280"/>
      <c r="AD412" s="280"/>
      <c r="AE412" s="280"/>
      <c r="AF412" s="280"/>
      <c r="AG412" s="280"/>
      <c r="AH412" s="280"/>
      <c r="AI412" s="280"/>
      <c r="AJ412" s="280"/>
      <c r="AK412" s="280"/>
      <c r="AL412" s="280"/>
      <c r="AM412" s="280"/>
      <c r="AN412" s="280"/>
      <c r="AO412" s="280"/>
      <c r="AP412" s="280"/>
      <c r="AQ412" s="280"/>
      <c r="AR412" s="280"/>
      <c r="AS412" s="280"/>
      <c r="AT412" s="280"/>
      <c r="AU412" s="280"/>
      <c r="AV412" s="280"/>
      <c r="AW412" s="280"/>
      <c r="AX412" s="280"/>
      <c r="AY412" s="280"/>
      <c r="AZ412" s="280"/>
      <c r="BA412" s="280"/>
      <c r="BB412" s="280"/>
      <c r="BC412" s="280"/>
      <c r="BD412" s="280"/>
      <c r="BE412" s="280"/>
      <c r="BF412" s="280"/>
      <c r="BG412" s="280"/>
      <c r="BH412" s="280"/>
      <c r="BI412" s="280"/>
      <c r="BJ412" s="280"/>
      <c r="BK412" s="280"/>
      <c r="BL412" s="280"/>
      <c r="BM412" s="280"/>
      <c r="BN412" s="280"/>
      <c r="BO412" s="280"/>
      <c r="BP412" s="280"/>
      <c r="BQ412" s="280"/>
      <c r="BR412" s="280"/>
      <c r="BS412" s="280"/>
      <c r="BT412" s="280"/>
      <c r="BU412" s="280"/>
      <c r="BV412" s="280"/>
    </row>
    <row r="413" spans="2:74" s="293" customFormat="1" x14ac:dyDescent="0.25">
      <c r="B413" s="280"/>
      <c r="C413" s="280"/>
      <c r="D413" s="280"/>
      <c r="E413" s="280"/>
      <c r="F413" s="280"/>
      <c r="G413" s="280"/>
      <c r="H413" s="280"/>
      <c r="I413" s="280"/>
      <c r="J413" s="280"/>
      <c r="K413" s="280"/>
      <c r="L413" s="283"/>
      <c r="M413" s="283"/>
      <c r="N413" s="280"/>
      <c r="O413" s="280"/>
      <c r="P413" s="280"/>
      <c r="Q413" s="280"/>
      <c r="R413" s="292"/>
      <c r="S413" s="292"/>
      <c r="T413" s="292"/>
      <c r="U413" s="292"/>
      <c r="V413" s="292"/>
      <c r="W413" s="292"/>
      <c r="X413" s="374"/>
      <c r="Y413" s="374"/>
      <c r="Z413" s="374"/>
      <c r="AA413" s="373"/>
      <c r="AB413" s="283"/>
      <c r="AC413" s="280"/>
      <c r="AD413" s="280"/>
      <c r="AE413" s="280"/>
      <c r="AF413" s="280"/>
      <c r="AG413" s="280"/>
      <c r="AH413" s="280"/>
      <c r="AI413" s="280"/>
      <c r="AJ413" s="280"/>
      <c r="AK413" s="280"/>
      <c r="AL413" s="280"/>
      <c r="AM413" s="280"/>
      <c r="AN413" s="280"/>
      <c r="AO413" s="280"/>
      <c r="AP413" s="280"/>
      <c r="AQ413" s="280"/>
      <c r="AR413" s="280"/>
      <c r="AS413" s="280"/>
      <c r="AT413" s="280"/>
      <c r="AU413" s="280"/>
      <c r="AV413" s="280"/>
      <c r="AW413" s="280"/>
      <c r="AX413" s="280"/>
      <c r="AY413" s="280"/>
      <c r="AZ413" s="280"/>
      <c r="BA413" s="280"/>
      <c r="BB413" s="280"/>
      <c r="BC413" s="280"/>
      <c r="BD413" s="280"/>
      <c r="BE413" s="280"/>
      <c r="BF413" s="280"/>
      <c r="BG413" s="280"/>
      <c r="BH413" s="280"/>
      <c r="BI413" s="280"/>
      <c r="BJ413" s="280"/>
      <c r="BK413" s="280"/>
      <c r="BL413" s="280"/>
      <c r="BM413" s="280"/>
      <c r="BN413" s="280"/>
      <c r="BO413" s="280"/>
      <c r="BP413" s="280"/>
      <c r="BQ413" s="280"/>
      <c r="BR413" s="280"/>
      <c r="BS413" s="280"/>
      <c r="BT413" s="280"/>
      <c r="BU413" s="280"/>
      <c r="BV413" s="280"/>
    </row>
    <row r="414" spans="2:74" s="293" customFormat="1" x14ac:dyDescent="0.25">
      <c r="B414" s="280"/>
      <c r="C414" s="280"/>
      <c r="D414" s="280"/>
      <c r="E414" s="280"/>
      <c r="F414" s="280"/>
      <c r="G414" s="280"/>
      <c r="H414" s="280"/>
      <c r="I414" s="280"/>
      <c r="J414" s="280"/>
      <c r="K414" s="280"/>
      <c r="L414" s="283"/>
      <c r="M414" s="283"/>
      <c r="N414" s="280"/>
      <c r="O414" s="280"/>
      <c r="P414" s="280"/>
      <c r="Q414" s="280"/>
      <c r="R414" s="292"/>
      <c r="S414" s="292"/>
      <c r="T414" s="292"/>
      <c r="U414" s="292"/>
      <c r="V414" s="292"/>
      <c r="W414" s="292"/>
      <c r="X414" s="374"/>
      <c r="Y414" s="374"/>
      <c r="Z414" s="374"/>
      <c r="AA414" s="373"/>
      <c r="AB414" s="283"/>
      <c r="AC414" s="280"/>
      <c r="AD414" s="280"/>
      <c r="AE414" s="280"/>
      <c r="AF414" s="280"/>
      <c r="AG414" s="280"/>
      <c r="AH414" s="280"/>
      <c r="AI414" s="280"/>
      <c r="AJ414" s="280"/>
      <c r="AK414" s="280"/>
      <c r="AL414" s="280"/>
      <c r="AM414" s="280"/>
      <c r="AN414" s="280"/>
      <c r="AO414" s="280"/>
      <c r="AP414" s="280"/>
      <c r="AQ414" s="280"/>
      <c r="AR414" s="280"/>
      <c r="AS414" s="280"/>
      <c r="AT414" s="280"/>
      <c r="AU414" s="280"/>
      <c r="AV414" s="280"/>
      <c r="AW414" s="280"/>
      <c r="AX414" s="280"/>
      <c r="AY414" s="280"/>
      <c r="AZ414" s="280"/>
      <c r="BA414" s="280"/>
      <c r="BB414" s="280"/>
      <c r="BC414" s="280"/>
      <c r="BD414" s="280"/>
      <c r="BE414" s="280"/>
      <c r="BF414" s="280"/>
      <c r="BG414" s="280"/>
      <c r="BH414" s="280"/>
      <c r="BI414" s="280"/>
      <c r="BJ414" s="280"/>
      <c r="BK414" s="280"/>
      <c r="BL414" s="280"/>
      <c r="BM414" s="280"/>
      <c r="BN414" s="280"/>
      <c r="BO414" s="280"/>
      <c r="BP414" s="280"/>
      <c r="BQ414" s="280"/>
      <c r="BR414" s="280"/>
      <c r="BS414" s="280"/>
      <c r="BT414" s="280"/>
      <c r="BU414" s="280"/>
      <c r="BV414" s="280"/>
    </row>
    <row r="415" spans="2:74" s="293" customFormat="1" x14ac:dyDescent="0.25">
      <c r="B415" s="280"/>
      <c r="C415" s="280"/>
      <c r="D415" s="280"/>
      <c r="E415" s="280"/>
      <c r="F415" s="280"/>
      <c r="G415" s="280"/>
      <c r="H415" s="280"/>
      <c r="I415" s="280"/>
      <c r="J415" s="280"/>
      <c r="K415" s="280"/>
      <c r="L415" s="283"/>
      <c r="M415" s="283"/>
      <c r="N415" s="280"/>
      <c r="O415" s="280"/>
      <c r="P415" s="280"/>
      <c r="Q415" s="280"/>
      <c r="R415" s="292"/>
      <c r="S415" s="292"/>
      <c r="T415" s="292"/>
      <c r="U415" s="292"/>
      <c r="V415" s="292"/>
      <c r="W415" s="292"/>
      <c r="X415" s="374"/>
      <c r="Y415" s="374"/>
      <c r="Z415" s="374"/>
      <c r="AA415" s="373"/>
      <c r="AB415" s="283"/>
      <c r="AC415" s="280"/>
      <c r="AD415" s="280"/>
      <c r="AE415" s="280"/>
      <c r="AF415" s="280"/>
      <c r="AG415" s="280"/>
      <c r="AH415" s="280"/>
      <c r="AI415" s="280"/>
      <c r="AJ415" s="280"/>
      <c r="AK415" s="280"/>
      <c r="AL415" s="280"/>
      <c r="AM415" s="280"/>
      <c r="AN415" s="280"/>
      <c r="AO415" s="280"/>
      <c r="AP415" s="280"/>
      <c r="AQ415" s="280"/>
      <c r="AR415" s="280"/>
      <c r="AS415" s="280"/>
      <c r="AT415" s="280"/>
      <c r="AU415" s="280"/>
      <c r="AV415" s="280"/>
      <c r="AW415" s="280"/>
      <c r="AX415" s="280"/>
      <c r="AY415" s="280"/>
      <c r="AZ415" s="280"/>
      <c r="BA415" s="280"/>
      <c r="BB415" s="280"/>
      <c r="BC415" s="280"/>
      <c r="BD415" s="280"/>
      <c r="BE415" s="280"/>
      <c r="BF415" s="280"/>
      <c r="BG415" s="280"/>
      <c r="BH415" s="280"/>
      <c r="BI415" s="280"/>
      <c r="BJ415" s="280"/>
      <c r="BK415" s="280"/>
      <c r="BL415" s="280"/>
      <c r="BM415" s="280"/>
      <c r="BN415" s="280"/>
      <c r="BO415" s="280"/>
      <c r="BP415" s="280"/>
      <c r="BQ415" s="280"/>
      <c r="BR415" s="280"/>
      <c r="BS415" s="280"/>
      <c r="BT415" s="280"/>
      <c r="BU415" s="280"/>
      <c r="BV415" s="280"/>
    </row>
    <row r="416" spans="2:74" s="293" customFormat="1" x14ac:dyDescent="0.25">
      <c r="B416" s="280"/>
      <c r="C416" s="280"/>
      <c r="D416" s="280"/>
      <c r="E416" s="280"/>
      <c r="F416" s="280"/>
      <c r="G416" s="280"/>
      <c r="H416" s="280"/>
      <c r="I416" s="280"/>
      <c r="J416" s="280"/>
      <c r="K416" s="280"/>
      <c r="L416" s="283"/>
      <c r="M416" s="283"/>
      <c r="N416" s="280"/>
      <c r="O416" s="280"/>
      <c r="P416" s="280"/>
      <c r="Q416" s="280"/>
      <c r="R416" s="292"/>
      <c r="S416" s="292"/>
      <c r="T416" s="292"/>
      <c r="U416" s="292"/>
      <c r="V416" s="292"/>
      <c r="W416" s="292"/>
      <c r="X416" s="374"/>
      <c r="Y416" s="374"/>
      <c r="Z416" s="374"/>
      <c r="AA416" s="373"/>
      <c r="AB416" s="283"/>
      <c r="AC416" s="280"/>
      <c r="AD416" s="280"/>
      <c r="AE416" s="280"/>
      <c r="AF416" s="280"/>
      <c r="AG416" s="280"/>
      <c r="AH416" s="280"/>
      <c r="AI416" s="280"/>
      <c r="AJ416" s="280"/>
      <c r="AK416" s="280"/>
      <c r="AL416" s="280"/>
      <c r="AM416" s="280"/>
      <c r="AN416" s="280"/>
      <c r="AO416" s="280"/>
      <c r="AP416" s="280"/>
      <c r="AQ416" s="280"/>
      <c r="AR416" s="280"/>
      <c r="AS416" s="280"/>
      <c r="AT416" s="280"/>
      <c r="AU416" s="280"/>
      <c r="AV416" s="280"/>
      <c r="AW416" s="280"/>
      <c r="AX416" s="280"/>
      <c r="AY416" s="280"/>
      <c r="AZ416" s="280"/>
      <c r="BA416" s="280"/>
      <c r="BB416" s="280"/>
      <c r="BC416" s="280"/>
      <c r="BD416" s="280"/>
      <c r="BE416" s="280"/>
      <c r="BF416" s="280"/>
      <c r="BG416" s="280"/>
      <c r="BH416" s="280"/>
      <c r="BI416" s="280"/>
      <c r="BJ416" s="280"/>
      <c r="BK416" s="280"/>
      <c r="BL416" s="280"/>
      <c r="BM416" s="280"/>
      <c r="BN416" s="280"/>
      <c r="BO416" s="280"/>
      <c r="BP416" s="280"/>
      <c r="BQ416" s="280"/>
      <c r="BR416" s="280"/>
      <c r="BS416" s="280"/>
      <c r="BT416" s="280"/>
      <c r="BU416" s="280"/>
      <c r="BV416" s="280"/>
    </row>
    <row r="417" spans="2:74" s="293" customFormat="1" x14ac:dyDescent="0.25">
      <c r="B417" s="280"/>
      <c r="C417" s="280"/>
      <c r="D417" s="280"/>
      <c r="E417" s="280"/>
      <c r="F417" s="280"/>
      <c r="G417" s="280"/>
      <c r="H417" s="280"/>
      <c r="I417" s="280"/>
      <c r="J417" s="280"/>
      <c r="K417" s="280"/>
      <c r="L417" s="283"/>
      <c r="M417" s="283"/>
      <c r="N417" s="280"/>
      <c r="O417" s="280"/>
      <c r="P417" s="280"/>
      <c r="Q417" s="280"/>
      <c r="R417" s="292"/>
      <c r="S417" s="292"/>
      <c r="T417" s="292"/>
      <c r="U417" s="292"/>
      <c r="V417" s="292"/>
      <c r="W417" s="292"/>
      <c r="X417" s="374"/>
      <c r="Y417" s="374"/>
      <c r="Z417" s="374"/>
      <c r="AA417" s="373"/>
      <c r="AB417" s="283"/>
      <c r="AC417" s="280"/>
      <c r="AD417" s="280"/>
      <c r="AE417" s="280"/>
      <c r="AF417" s="280"/>
      <c r="AG417" s="280"/>
      <c r="AH417" s="280"/>
      <c r="AI417" s="280"/>
      <c r="AJ417" s="280"/>
      <c r="AK417" s="280"/>
      <c r="AL417" s="280"/>
      <c r="AM417" s="280"/>
      <c r="AN417" s="280"/>
      <c r="AO417" s="280"/>
      <c r="AP417" s="280"/>
      <c r="AQ417" s="280"/>
      <c r="AR417" s="280"/>
      <c r="AS417" s="280"/>
      <c r="AT417" s="280"/>
      <c r="AU417" s="280"/>
      <c r="AV417" s="280"/>
      <c r="AW417" s="280"/>
      <c r="AX417" s="280"/>
      <c r="AY417" s="280"/>
      <c r="AZ417" s="280"/>
      <c r="BA417" s="280"/>
      <c r="BB417" s="280"/>
      <c r="BC417" s="280"/>
      <c r="BD417" s="280"/>
      <c r="BE417" s="280"/>
      <c r="BF417" s="280"/>
      <c r="BG417" s="280"/>
      <c r="BH417" s="280"/>
      <c r="BI417" s="280"/>
      <c r="BJ417" s="280"/>
      <c r="BK417" s="280"/>
      <c r="BL417" s="280"/>
      <c r="BM417" s="280"/>
      <c r="BN417" s="280"/>
      <c r="BO417" s="280"/>
      <c r="BP417" s="280"/>
      <c r="BQ417" s="280"/>
      <c r="BR417" s="280"/>
      <c r="BS417" s="280"/>
      <c r="BT417" s="280"/>
      <c r="BU417" s="280"/>
      <c r="BV417" s="280"/>
    </row>
    <row r="418" spans="2:74" s="293" customFormat="1" x14ac:dyDescent="0.25">
      <c r="B418" s="280"/>
      <c r="C418" s="280"/>
      <c r="D418" s="280"/>
      <c r="E418" s="280"/>
      <c r="F418" s="280"/>
      <c r="G418" s="280"/>
      <c r="H418" s="280"/>
      <c r="I418" s="280"/>
      <c r="J418" s="280"/>
      <c r="K418" s="280"/>
      <c r="L418" s="283"/>
      <c r="M418" s="283"/>
      <c r="N418" s="280"/>
      <c r="O418" s="280"/>
      <c r="P418" s="280"/>
      <c r="Q418" s="280"/>
      <c r="R418" s="292"/>
      <c r="S418" s="292"/>
      <c r="T418" s="292"/>
      <c r="U418" s="292"/>
      <c r="V418" s="292"/>
      <c r="W418" s="292"/>
      <c r="X418" s="374"/>
      <c r="Y418" s="374"/>
      <c r="Z418" s="374"/>
      <c r="AA418" s="373"/>
      <c r="AB418" s="283"/>
      <c r="AC418" s="280"/>
      <c r="AD418" s="280"/>
      <c r="AE418" s="280"/>
      <c r="AF418" s="280"/>
      <c r="AG418" s="280"/>
      <c r="AH418" s="280"/>
      <c r="AI418" s="280"/>
      <c r="AJ418" s="280"/>
      <c r="AK418" s="280"/>
      <c r="AL418" s="280"/>
      <c r="AM418" s="280"/>
      <c r="AN418" s="280"/>
      <c r="AO418" s="280"/>
      <c r="AP418" s="280"/>
      <c r="AQ418" s="280"/>
      <c r="AR418" s="280"/>
      <c r="AS418" s="280"/>
      <c r="AT418" s="280"/>
      <c r="AU418" s="280"/>
      <c r="AV418" s="280"/>
      <c r="AW418" s="280"/>
      <c r="AX418" s="280"/>
      <c r="AY418" s="280"/>
      <c r="AZ418" s="280"/>
      <c r="BA418" s="280"/>
      <c r="BB418" s="280"/>
      <c r="BC418" s="280"/>
      <c r="BD418" s="280"/>
      <c r="BE418" s="280"/>
      <c r="BF418" s="280"/>
      <c r="BG418" s="280"/>
      <c r="BH418" s="280"/>
      <c r="BI418" s="280"/>
      <c r="BJ418" s="280"/>
      <c r="BK418" s="280"/>
      <c r="BL418" s="280"/>
      <c r="BM418" s="280"/>
      <c r="BN418" s="280"/>
      <c r="BO418" s="280"/>
      <c r="BP418" s="280"/>
      <c r="BQ418" s="280"/>
      <c r="BR418" s="280"/>
      <c r="BS418" s="280"/>
      <c r="BT418" s="280"/>
      <c r="BU418" s="280"/>
      <c r="BV418" s="280"/>
    </row>
    <row r="419" spans="2:74" s="293" customFormat="1" x14ac:dyDescent="0.25">
      <c r="B419" s="280"/>
      <c r="C419" s="280"/>
      <c r="D419" s="280"/>
      <c r="E419" s="280"/>
      <c r="F419" s="280"/>
      <c r="G419" s="280"/>
      <c r="H419" s="280"/>
      <c r="I419" s="280"/>
      <c r="J419" s="280"/>
      <c r="K419" s="280"/>
      <c r="L419" s="283"/>
      <c r="M419" s="283"/>
      <c r="N419" s="280"/>
      <c r="O419" s="280"/>
      <c r="P419" s="280"/>
      <c r="Q419" s="280"/>
      <c r="R419" s="292"/>
      <c r="S419" s="292"/>
      <c r="T419" s="292"/>
      <c r="U419" s="292"/>
      <c r="V419" s="292"/>
      <c r="W419" s="292"/>
      <c r="X419" s="374"/>
      <c r="Y419" s="374"/>
      <c r="Z419" s="374"/>
      <c r="AA419" s="373"/>
      <c r="AB419" s="283"/>
      <c r="AC419" s="280"/>
      <c r="AD419" s="280"/>
      <c r="AE419" s="280"/>
      <c r="AF419" s="280"/>
      <c r="AG419" s="280"/>
      <c r="AH419" s="280"/>
      <c r="AI419" s="280"/>
      <c r="AJ419" s="280"/>
      <c r="AK419" s="280"/>
      <c r="AL419" s="280"/>
      <c r="AM419" s="280"/>
      <c r="AN419" s="280"/>
      <c r="AO419" s="280"/>
      <c r="AP419" s="280"/>
      <c r="AQ419" s="280"/>
      <c r="AR419" s="280"/>
      <c r="AS419" s="280"/>
      <c r="AT419" s="280"/>
      <c r="AU419" s="280"/>
      <c r="AV419" s="280"/>
      <c r="AW419" s="280"/>
      <c r="AX419" s="280"/>
      <c r="AY419" s="280"/>
      <c r="AZ419" s="280"/>
      <c r="BA419" s="280"/>
      <c r="BB419" s="280"/>
      <c r="BC419" s="280"/>
      <c r="BD419" s="280"/>
      <c r="BE419" s="280"/>
      <c r="BF419" s="280"/>
      <c r="BG419" s="280"/>
      <c r="BH419" s="280"/>
      <c r="BI419" s="280"/>
      <c r="BJ419" s="280"/>
      <c r="BK419" s="280"/>
      <c r="BL419" s="280"/>
      <c r="BM419" s="280"/>
      <c r="BN419" s="280"/>
      <c r="BO419" s="280"/>
      <c r="BP419" s="280"/>
      <c r="BQ419" s="280"/>
      <c r="BR419" s="280"/>
      <c r="BS419" s="280"/>
      <c r="BT419" s="280"/>
      <c r="BU419" s="280"/>
      <c r="BV419" s="280"/>
    </row>
    <row r="420" spans="2:74" s="293" customFormat="1" x14ac:dyDescent="0.25">
      <c r="B420" s="280"/>
      <c r="C420" s="280"/>
      <c r="D420" s="280"/>
      <c r="E420" s="280"/>
      <c r="F420" s="280"/>
      <c r="G420" s="280"/>
      <c r="H420" s="280"/>
      <c r="I420" s="280"/>
      <c r="J420" s="280"/>
      <c r="K420" s="280"/>
      <c r="L420" s="283"/>
      <c r="M420" s="283"/>
      <c r="N420" s="280"/>
      <c r="O420" s="280"/>
      <c r="P420" s="280"/>
      <c r="Q420" s="280"/>
      <c r="R420" s="292"/>
      <c r="S420" s="292"/>
      <c r="T420" s="292"/>
      <c r="U420" s="292"/>
      <c r="V420" s="292"/>
      <c r="W420" s="292"/>
      <c r="X420" s="374"/>
      <c r="Y420" s="374"/>
      <c r="Z420" s="374"/>
      <c r="AA420" s="373"/>
      <c r="AB420" s="283"/>
      <c r="AC420" s="280"/>
      <c r="AD420" s="280"/>
      <c r="AE420" s="280"/>
      <c r="AF420" s="280"/>
      <c r="AG420" s="280"/>
      <c r="AH420" s="280"/>
      <c r="AI420" s="280"/>
      <c r="AJ420" s="280"/>
      <c r="AK420" s="280"/>
      <c r="AL420" s="280"/>
      <c r="AM420" s="280"/>
      <c r="AN420" s="280"/>
      <c r="AO420" s="280"/>
      <c r="AP420" s="280"/>
      <c r="AQ420" s="280"/>
      <c r="AR420" s="280"/>
      <c r="AS420" s="280"/>
      <c r="AT420" s="280"/>
      <c r="AU420" s="280"/>
      <c r="AV420" s="280"/>
      <c r="AW420" s="280"/>
      <c r="AX420" s="280"/>
      <c r="AY420" s="280"/>
      <c r="AZ420" s="280"/>
      <c r="BA420" s="280"/>
      <c r="BB420" s="280"/>
      <c r="BC420" s="280"/>
      <c r="BD420" s="280"/>
      <c r="BE420" s="280"/>
      <c r="BF420" s="280"/>
      <c r="BG420" s="280"/>
      <c r="BH420" s="280"/>
      <c r="BI420" s="280"/>
      <c r="BJ420" s="280"/>
      <c r="BK420" s="280"/>
      <c r="BL420" s="280"/>
      <c r="BM420" s="280"/>
      <c r="BN420" s="280"/>
      <c r="BO420" s="280"/>
      <c r="BP420" s="280"/>
      <c r="BQ420" s="280"/>
      <c r="BR420" s="280"/>
      <c r="BS420" s="280"/>
      <c r="BT420" s="280"/>
      <c r="BU420" s="280"/>
      <c r="BV420" s="280"/>
    </row>
    <row r="421" spans="2:74" s="293" customFormat="1" x14ac:dyDescent="0.25">
      <c r="B421" s="280"/>
      <c r="C421" s="280"/>
      <c r="D421" s="280"/>
      <c r="E421" s="280"/>
      <c r="F421" s="280"/>
      <c r="G421" s="280"/>
      <c r="H421" s="280"/>
      <c r="I421" s="280"/>
      <c r="J421" s="280"/>
      <c r="K421" s="280"/>
      <c r="L421" s="283"/>
      <c r="M421" s="283"/>
      <c r="N421" s="280"/>
      <c r="O421" s="280"/>
      <c r="P421" s="280"/>
      <c r="Q421" s="280"/>
      <c r="R421" s="292"/>
      <c r="S421" s="292"/>
      <c r="T421" s="292"/>
      <c r="U421" s="292"/>
      <c r="V421" s="292"/>
      <c r="W421" s="292"/>
      <c r="X421" s="374"/>
      <c r="Y421" s="374"/>
      <c r="Z421" s="374"/>
      <c r="AA421" s="373"/>
      <c r="AB421" s="283"/>
      <c r="AC421" s="280"/>
      <c r="AD421" s="280"/>
      <c r="AE421" s="280"/>
      <c r="AF421" s="280"/>
      <c r="AG421" s="280"/>
      <c r="AH421" s="280"/>
      <c r="AI421" s="280"/>
      <c r="AJ421" s="280"/>
      <c r="AK421" s="280"/>
      <c r="AL421" s="280"/>
      <c r="AM421" s="280"/>
      <c r="AN421" s="280"/>
      <c r="AO421" s="280"/>
      <c r="AP421" s="280"/>
      <c r="AQ421" s="280"/>
      <c r="AR421" s="280"/>
      <c r="AS421" s="280"/>
      <c r="AT421" s="280"/>
      <c r="AU421" s="280"/>
      <c r="AV421" s="280"/>
      <c r="AW421" s="280"/>
      <c r="AX421" s="280"/>
      <c r="AY421" s="280"/>
      <c r="AZ421" s="280"/>
      <c r="BA421" s="280"/>
      <c r="BB421" s="280"/>
      <c r="BC421" s="280"/>
      <c r="BD421" s="280"/>
      <c r="BE421" s="280"/>
      <c r="BF421" s="280"/>
      <c r="BG421" s="280"/>
      <c r="BH421" s="280"/>
      <c r="BI421" s="280"/>
      <c r="BJ421" s="280"/>
      <c r="BK421" s="280"/>
      <c r="BL421" s="280"/>
      <c r="BM421" s="280"/>
      <c r="BN421" s="280"/>
      <c r="BO421" s="280"/>
      <c r="BP421" s="280"/>
      <c r="BQ421" s="280"/>
      <c r="BR421" s="280"/>
      <c r="BS421" s="280"/>
      <c r="BT421" s="280"/>
      <c r="BU421" s="280"/>
      <c r="BV421" s="280"/>
    </row>
    <row r="422" spans="2:74" s="293" customFormat="1" x14ac:dyDescent="0.25">
      <c r="B422" s="280"/>
      <c r="C422" s="280"/>
      <c r="D422" s="280"/>
      <c r="E422" s="280"/>
      <c r="F422" s="280"/>
      <c r="G422" s="280"/>
      <c r="H422" s="280"/>
      <c r="I422" s="280"/>
      <c r="J422" s="280"/>
      <c r="K422" s="280"/>
      <c r="L422" s="283"/>
      <c r="M422" s="283"/>
      <c r="N422" s="280"/>
      <c r="O422" s="280"/>
      <c r="P422" s="280"/>
      <c r="Q422" s="280"/>
      <c r="R422" s="292"/>
      <c r="S422" s="292"/>
      <c r="T422" s="292"/>
      <c r="U422" s="292"/>
      <c r="V422" s="292"/>
      <c r="W422" s="292"/>
      <c r="X422" s="374"/>
      <c r="Y422" s="374"/>
      <c r="Z422" s="374"/>
      <c r="AA422" s="373"/>
      <c r="AB422" s="283"/>
      <c r="AC422" s="280"/>
      <c r="AD422" s="280"/>
      <c r="AE422" s="280"/>
      <c r="AF422" s="280"/>
      <c r="AG422" s="280"/>
      <c r="AH422" s="280"/>
      <c r="AI422" s="280"/>
      <c r="AJ422" s="280"/>
      <c r="AK422" s="280"/>
      <c r="AL422" s="280"/>
      <c r="AM422" s="280"/>
      <c r="AN422" s="280"/>
      <c r="AO422" s="280"/>
      <c r="AP422" s="280"/>
      <c r="AQ422" s="280"/>
      <c r="AR422" s="280"/>
      <c r="AS422" s="280"/>
      <c r="AT422" s="280"/>
      <c r="AU422" s="280"/>
      <c r="AV422" s="280"/>
      <c r="AW422" s="280"/>
      <c r="AX422" s="280"/>
      <c r="AY422" s="280"/>
      <c r="AZ422" s="280"/>
      <c r="BA422" s="280"/>
      <c r="BB422" s="280"/>
      <c r="BC422" s="280"/>
      <c r="BD422" s="280"/>
      <c r="BE422" s="280"/>
      <c r="BF422" s="280"/>
      <c r="BG422" s="280"/>
      <c r="BH422" s="280"/>
      <c r="BI422" s="280"/>
      <c r="BJ422" s="280"/>
      <c r="BK422" s="280"/>
      <c r="BL422" s="280"/>
      <c r="BM422" s="280"/>
      <c r="BN422" s="280"/>
      <c r="BO422" s="280"/>
      <c r="BP422" s="280"/>
      <c r="BQ422" s="280"/>
      <c r="BR422" s="280"/>
      <c r="BS422" s="280"/>
      <c r="BT422" s="280"/>
      <c r="BU422" s="280"/>
      <c r="BV422" s="280"/>
    </row>
    <row r="423" spans="2:74" s="293" customFormat="1" x14ac:dyDescent="0.25">
      <c r="B423" s="280"/>
      <c r="C423" s="280"/>
      <c r="D423" s="280"/>
      <c r="E423" s="280"/>
      <c r="F423" s="280"/>
      <c r="G423" s="280"/>
      <c r="H423" s="280"/>
      <c r="I423" s="280"/>
      <c r="J423" s="280"/>
      <c r="K423" s="280"/>
      <c r="L423" s="283"/>
      <c r="M423" s="283"/>
      <c r="N423" s="280"/>
      <c r="O423" s="280"/>
      <c r="P423" s="280"/>
      <c r="Q423" s="280"/>
      <c r="R423" s="292"/>
      <c r="S423" s="292"/>
      <c r="T423" s="292"/>
      <c r="U423" s="292"/>
      <c r="V423" s="292"/>
      <c r="W423" s="292"/>
      <c r="X423" s="374"/>
      <c r="Y423" s="374"/>
      <c r="Z423" s="374"/>
      <c r="AA423" s="373"/>
      <c r="AB423" s="283"/>
      <c r="AC423" s="280"/>
      <c r="AD423" s="280"/>
      <c r="AE423" s="280"/>
      <c r="AF423" s="280"/>
      <c r="AG423" s="280"/>
      <c r="AH423" s="280"/>
      <c r="AI423" s="280"/>
      <c r="AJ423" s="280"/>
      <c r="AK423" s="280"/>
      <c r="AL423" s="280"/>
      <c r="AM423" s="280"/>
      <c r="AN423" s="280"/>
      <c r="AO423" s="280"/>
      <c r="AP423" s="280"/>
      <c r="AQ423" s="280"/>
      <c r="AR423" s="280"/>
      <c r="AS423" s="280"/>
      <c r="AT423" s="280"/>
      <c r="AU423" s="280"/>
      <c r="AV423" s="280"/>
      <c r="AW423" s="280"/>
      <c r="AX423" s="280"/>
      <c r="AY423" s="280"/>
      <c r="AZ423" s="280"/>
      <c r="BA423" s="280"/>
      <c r="BB423" s="280"/>
      <c r="BC423" s="280"/>
      <c r="BD423" s="280"/>
      <c r="BE423" s="280"/>
      <c r="BF423" s="280"/>
      <c r="BG423" s="280"/>
      <c r="BH423" s="280"/>
      <c r="BI423" s="280"/>
      <c r="BJ423" s="280"/>
      <c r="BK423" s="280"/>
      <c r="BL423" s="280"/>
      <c r="BM423" s="280"/>
      <c r="BN423" s="280"/>
      <c r="BO423" s="280"/>
      <c r="BP423" s="280"/>
      <c r="BQ423" s="280"/>
      <c r="BR423" s="280"/>
      <c r="BS423" s="280"/>
      <c r="BT423" s="280"/>
      <c r="BU423" s="280"/>
      <c r="BV423" s="280"/>
    </row>
    <row r="424" spans="2:74" s="293" customFormat="1" x14ac:dyDescent="0.25">
      <c r="B424" s="280"/>
      <c r="C424" s="280"/>
      <c r="D424" s="280"/>
      <c r="E424" s="280"/>
      <c r="F424" s="280"/>
      <c r="G424" s="280"/>
      <c r="H424" s="280"/>
      <c r="I424" s="280"/>
      <c r="J424" s="280"/>
      <c r="K424" s="280"/>
      <c r="L424" s="283"/>
      <c r="M424" s="283"/>
      <c r="N424" s="280"/>
      <c r="O424" s="280"/>
      <c r="P424" s="280"/>
      <c r="Q424" s="280"/>
      <c r="R424" s="292"/>
      <c r="S424" s="292"/>
      <c r="T424" s="292"/>
      <c r="U424" s="292"/>
      <c r="V424" s="292"/>
      <c r="W424" s="292"/>
      <c r="X424" s="374"/>
      <c r="Y424" s="374"/>
      <c r="Z424" s="374"/>
      <c r="AA424" s="373"/>
      <c r="AB424" s="283"/>
      <c r="AC424" s="280"/>
      <c r="AD424" s="280"/>
      <c r="AE424" s="280"/>
      <c r="AF424" s="280"/>
      <c r="AG424" s="280"/>
      <c r="AH424" s="280"/>
      <c r="AI424" s="280"/>
      <c r="AJ424" s="280"/>
      <c r="AK424" s="280"/>
      <c r="AL424" s="280"/>
      <c r="AM424" s="280"/>
      <c r="AN424" s="280"/>
      <c r="AO424" s="280"/>
      <c r="AP424" s="280"/>
      <c r="AQ424" s="280"/>
      <c r="AR424" s="280"/>
      <c r="AS424" s="280"/>
      <c r="AT424" s="280"/>
      <c r="AU424" s="280"/>
      <c r="AV424" s="280"/>
      <c r="AW424" s="280"/>
      <c r="AX424" s="280"/>
      <c r="AY424" s="280"/>
      <c r="AZ424" s="280"/>
      <c r="BA424" s="280"/>
      <c r="BB424" s="280"/>
      <c r="BC424" s="280"/>
      <c r="BD424" s="280"/>
      <c r="BE424" s="280"/>
      <c r="BF424" s="280"/>
      <c r="BG424" s="280"/>
      <c r="BH424" s="280"/>
      <c r="BI424" s="280"/>
      <c r="BJ424" s="280"/>
      <c r="BK424" s="280"/>
      <c r="BL424" s="280"/>
      <c r="BM424" s="280"/>
      <c r="BN424" s="280"/>
      <c r="BO424" s="280"/>
      <c r="BP424" s="280"/>
      <c r="BQ424" s="280"/>
      <c r="BR424" s="280"/>
      <c r="BS424" s="280"/>
      <c r="BT424" s="280"/>
      <c r="BU424" s="280"/>
      <c r="BV424" s="280"/>
    </row>
    <row r="425" spans="2:74" s="293" customFormat="1" x14ac:dyDescent="0.25">
      <c r="B425" s="280"/>
      <c r="C425" s="280"/>
      <c r="D425" s="280"/>
      <c r="E425" s="280"/>
      <c r="F425" s="280"/>
      <c r="G425" s="280"/>
      <c r="H425" s="280"/>
      <c r="I425" s="280"/>
      <c r="J425" s="280"/>
      <c r="K425" s="280"/>
      <c r="L425" s="283"/>
      <c r="M425" s="283"/>
      <c r="N425" s="280"/>
      <c r="O425" s="280"/>
      <c r="P425" s="280"/>
      <c r="Q425" s="280"/>
      <c r="R425" s="292"/>
      <c r="S425" s="292"/>
      <c r="T425" s="292"/>
      <c r="U425" s="292"/>
      <c r="V425" s="292"/>
      <c r="W425" s="292"/>
      <c r="X425" s="374"/>
      <c r="Y425" s="374"/>
      <c r="Z425" s="374"/>
      <c r="AA425" s="373"/>
      <c r="AB425" s="283"/>
      <c r="AC425" s="280"/>
      <c r="AD425" s="280"/>
      <c r="AE425" s="280"/>
      <c r="AF425" s="280"/>
      <c r="AG425" s="280"/>
      <c r="AH425" s="280"/>
      <c r="AI425" s="280"/>
      <c r="AJ425" s="280"/>
      <c r="AK425" s="280"/>
      <c r="AL425" s="280"/>
      <c r="AM425" s="280"/>
      <c r="AN425" s="280"/>
      <c r="AO425" s="280"/>
      <c r="AP425" s="280"/>
      <c r="AQ425" s="280"/>
      <c r="AR425" s="280"/>
      <c r="AS425" s="280"/>
      <c r="AT425" s="280"/>
      <c r="AU425" s="280"/>
      <c r="AV425" s="280"/>
      <c r="AW425" s="280"/>
      <c r="AX425" s="280"/>
      <c r="AY425" s="280"/>
      <c r="AZ425" s="280"/>
      <c r="BA425" s="280"/>
      <c r="BB425" s="280"/>
      <c r="BC425" s="280"/>
      <c r="BD425" s="280"/>
      <c r="BE425" s="280"/>
      <c r="BF425" s="280"/>
      <c r="BG425" s="280"/>
      <c r="BH425" s="280"/>
      <c r="BI425" s="280"/>
      <c r="BJ425" s="280"/>
      <c r="BK425" s="280"/>
      <c r="BL425" s="280"/>
      <c r="BM425" s="280"/>
      <c r="BN425" s="280"/>
      <c r="BO425" s="280"/>
      <c r="BP425" s="280"/>
      <c r="BQ425" s="280"/>
      <c r="BR425" s="280"/>
      <c r="BS425" s="280"/>
      <c r="BT425" s="280"/>
      <c r="BU425" s="280"/>
      <c r="BV425" s="280"/>
    </row>
    <row r="426" spans="2:74" s="293" customFormat="1" x14ac:dyDescent="0.25">
      <c r="B426" s="280"/>
      <c r="C426" s="280"/>
      <c r="D426" s="280"/>
      <c r="E426" s="280"/>
      <c r="F426" s="280"/>
      <c r="G426" s="280"/>
      <c r="H426" s="280"/>
      <c r="I426" s="280"/>
      <c r="J426" s="280"/>
      <c r="K426" s="280"/>
      <c r="L426" s="283"/>
      <c r="M426" s="283"/>
      <c r="N426" s="280"/>
      <c r="O426" s="280"/>
      <c r="P426" s="280"/>
      <c r="Q426" s="280"/>
      <c r="R426" s="292"/>
      <c r="S426" s="292"/>
      <c r="T426" s="292"/>
      <c r="U426" s="292"/>
      <c r="V426" s="292"/>
      <c r="W426" s="292"/>
      <c r="X426" s="374"/>
      <c r="Y426" s="374"/>
      <c r="Z426" s="374"/>
      <c r="AA426" s="373"/>
      <c r="AB426" s="283"/>
      <c r="AC426" s="280"/>
      <c r="AD426" s="280"/>
      <c r="AE426" s="280"/>
      <c r="AF426" s="280"/>
      <c r="AG426" s="280"/>
      <c r="AH426" s="280"/>
      <c r="AI426" s="280"/>
      <c r="AJ426" s="280"/>
      <c r="AK426" s="280"/>
      <c r="AL426" s="280"/>
      <c r="AM426" s="280"/>
      <c r="AN426" s="280"/>
      <c r="AO426" s="280"/>
      <c r="AP426" s="280"/>
      <c r="AQ426" s="280"/>
      <c r="AR426" s="280"/>
      <c r="AS426" s="280"/>
      <c r="AT426" s="280"/>
      <c r="AU426" s="280"/>
      <c r="AV426" s="280"/>
      <c r="AW426" s="280"/>
      <c r="AX426" s="280"/>
      <c r="AY426" s="280"/>
      <c r="AZ426" s="280"/>
      <c r="BA426" s="280"/>
      <c r="BB426" s="280"/>
      <c r="BC426" s="280"/>
      <c r="BD426" s="280"/>
      <c r="BE426" s="280"/>
      <c r="BF426" s="280"/>
      <c r="BG426" s="280"/>
      <c r="BH426" s="280"/>
      <c r="BI426" s="280"/>
      <c r="BJ426" s="280"/>
      <c r="BK426" s="280"/>
      <c r="BL426" s="280"/>
      <c r="BM426" s="280"/>
      <c r="BN426" s="280"/>
      <c r="BO426" s="280"/>
      <c r="BP426" s="280"/>
      <c r="BQ426" s="280"/>
      <c r="BR426" s="280"/>
      <c r="BS426" s="280"/>
      <c r="BT426" s="280"/>
      <c r="BU426" s="280"/>
      <c r="BV426" s="280"/>
    </row>
    <row r="427" spans="2:74" s="293" customFormat="1" x14ac:dyDescent="0.25">
      <c r="B427" s="280"/>
      <c r="C427" s="280"/>
      <c r="D427" s="280"/>
      <c r="E427" s="280"/>
      <c r="F427" s="280"/>
      <c r="G427" s="280"/>
      <c r="H427" s="280"/>
      <c r="I427" s="280"/>
      <c r="J427" s="280"/>
      <c r="K427" s="280"/>
      <c r="L427" s="283"/>
      <c r="M427" s="283"/>
      <c r="N427" s="280"/>
      <c r="O427" s="280"/>
      <c r="P427" s="280"/>
      <c r="Q427" s="280"/>
      <c r="R427" s="292"/>
      <c r="S427" s="292"/>
      <c r="T427" s="292"/>
      <c r="U427" s="292"/>
      <c r="V427" s="292"/>
      <c r="W427" s="292"/>
      <c r="X427" s="374"/>
      <c r="Y427" s="374"/>
      <c r="Z427" s="374"/>
      <c r="AA427" s="373"/>
      <c r="AB427" s="283"/>
      <c r="AC427" s="280"/>
      <c r="AD427" s="280"/>
      <c r="AE427" s="280"/>
      <c r="AF427" s="280"/>
      <c r="AG427" s="280"/>
      <c r="AH427" s="280"/>
      <c r="AI427" s="280"/>
      <c r="AJ427" s="280"/>
      <c r="AK427" s="280"/>
      <c r="AL427" s="280"/>
      <c r="AM427" s="280"/>
      <c r="AN427" s="280"/>
      <c r="AO427" s="280"/>
      <c r="AP427" s="280"/>
      <c r="AQ427" s="280"/>
      <c r="AR427" s="280"/>
      <c r="AS427" s="280"/>
      <c r="AT427" s="280"/>
      <c r="AU427" s="280"/>
      <c r="AV427" s="280"/>
      <c r="AW427" s="280"/>
      <c r="AX427" s="280"/>
      <c r="AY427" s="280"/>
      <c r="AZ427" s="280"/>
      <c r="BA427" s="280"/>
      <c r="BB427" s="280"/>
      <c r="BC427" s="280"/>
      <c r="BD427" s="280"/>
      <c r="BE427" s="280"/>
      <c r="BF427" s="280"/>
      <c r="BG427" s="280"/>
      <c r="BH427" s="280"/>
      <c r="BI427" s="280"/>
      <c r="BJ427" s="280"/>
      <c r="BK427" s="280"/>
      <c r="BL427" s="280"/>
      <c r="BM427" s="280"/>
      <c r="BN427" s="280"/>
      <c r="BO427" s="280"/>
      <c r="BP427" s="280"/>
      <c r="BQ427" s="280"/>
      <c r="BR427" s="280"/>
      <c r="BS427" s="280"/>
      <c r="BT427" s="280"/>
      <c r="BU427" s="280"/>
      <c r="BV427" s="280"/>
    </row>
    <row r="428" spans="2:74" s="293" customFormat="1" x14ac:dyDescent="0.25">
      <c r="B428" s="280"/>
      <c r="C428" s="280"/>
      <c r="D428" s="280"/>
      <c r="E428" s="280"/>
      <c r="F428" s="280"/>
      <c r="G428" s="280"/>
      <c r="H428" s="280"/>
      <c r="I428" s="280"/>
      <c r="J428" s="280"/>
      <c r="K428" s="280"/>
      <c r="L428" s="283"/>
      <c r="M428" s="283"/>
      <c r="N428" s="280"/>
      <c r="O428" s="280"/>
      <c r="P428" s="280"/>
      <c r="Q428" s="280"/>
      <c r="R428" s="292"/>
      <c r="S428" s="292"/>
      <c r="T428" s="292"/>
      <c r="U428" s="292"/>
      <c r="V428" s="292"/>
      <c r="W428" s="292"/>
      <c r="X428" s="374"/>
      <c r="Y428" s="374"/>
      <c r="Z428" s="374"/>
      <c r="AA428" s="373"/>
      <c r="AB428" s="283"/>
      <c r="AC428" s="280"/>
      <c r="AD428" s="280"/>
      <c r="AE428" s="280"/>
      <c r="AF428" s="280"/>
      <c r="AG428" s="280"/>
      <c r="AH428" s="280"/>
      <c r="AI428" s="280"/>
      <c r="AJ428" s="280"/>
      <c r="AK428" s="280"/>
      <c r="AL428" s="280"/>
      <c r="AM428" s="280"/>
      <c r="AN428" s="280"/>
      <c r="AO428" s="280"/>
      <c r="AP428" s="280"/>
      <c r="AQ428" s="280"/>
      <c r="AR428" s="280"/>
      <c r="AS428" s="280"/>
      <c r="AT428" s="280"/>
      <c r="AU428" s="280"/>
      <c r="AV428" s="280"/>
      <c r="AW428" s="280"/>
      <c r="AX428" s="280"/>
      <c r="AY428" s="280"/>
      <c r="AZ428" s="280"/>
      <c r="BA428" s="280"/>
      <c r="BB428" s="280"/>
      <c r="BC428" s="280"/>
      <c r="BD428" s="280"/>
      <c r="BE428" s="280"/>
      <c r="BF428" s="280"/>
      <c r="BG428" s="280"/>
      <c r="BH428" s="280"/>
      <c r="BI428" s="280"/>
      <c r="BJ428" s="280"/>
      <c r="BK428" s="280"/>
      <c r="BL428" s="280"/>
      <c r="BM428" s="280"/>
      <c r="BN428" s="280"/>
      <c r="BO428" s="280"/>
      <c r="BP428" s="280"/>
      <c r="BQ428" s="280"/>
      <c r="BR428" s="280"/>
      <c r="BS428" s="280"/>
      <c r="BT428" s="280"/>
      <c r="BU428" s="280"/>
      <c r="BV428" s="280"/>
    </row>
    <row r="429" spans="2:74" s="293" customFormat="1" x14ac:dyDescent="0.25">
      <c r="B429" s="280"/>
      <c r="C429" s="280"/>
      <c r="D429" s="280"/>
      <c r="E429" s="280"/>
      <c r="F429" s="280"/>
      <c r="G429" s="280"/>
      <c r="H429" s="280"/>
      <c r="I429" s="280"/>
      <c r="J429" s="280"/>
      <c r="K429" s="280"/>
      <c r="L429" s="283"/>
      <c r="M429" s="283"/>
      <c r="N429" s="280"/>
      <c r="O429" s="280"/>
      <c r="P429" s="280"/>
      <c r="Q429" s="280"/>
      <c r="R429" s="292"/>
      <c r="S429" s="292"/>
      <c r="T429" s="292"/>
      <c r="U429" s="292"/>
      <c r="V429" s="292"/>
      <c r="W429" s="292"/>
      <c r="X429" s="374"/>
      <c r="Y429" s="374"/>
      <c r="Z429" s="374"/>
      <c r="AA429" s="373"/>
      <c r="AB429" s="283"/>
      <c r="AC429" s="280"/>
      <c r="AD429" s="280"/>
      <c r="AE429" s="280"/>
      <c r="AF429" s="280"/>
      <c r="AG429" s="280"/>
      <c r="AH429" s="280"/>
      <c r="AI429" s="280"/>
      <c r="AJ429" s="280"/>
      <c r="AK429" s="280"/>
      <c r="AL429" s="280"/>
      <c r="AM429" s="280"/>
      <c r="AN429" s="280"/>
      <c r="AO429" s="280"/>
      <c r="AP429" s="280"/>
      <c r="AQ429" s="280"/>
      <c r="AR429" s="280"/>
      <c r="AS429" s="280"/>
      <c r="AT429" s="280"/>
      <c r="AU429" s="280"/>
      <c r="AV429" s="280"/>
      <c r="AW429" s="280"/>
      <c r="AX429" s="280"/>
      <c r="AY429" s="280"/>
      <c r="AZ429" s="280"/>
      <c r="BA429" s="280"/>
      <c r="BB429" s="280"/>
      <c r="BC429" s="280"/>
      <c r="BD429" s="280"/>
      <c r="BE429" s="280"/>
      <c r="BF429" s="280"/>
      <c r="BG429" s="280"/>
      <c r="BH429" s="280"/>
      <c r="BI429" s="280"/>
      <c r="BJ429" s="280"/>
      <c r="BK429" s="280"/>
      <c r="BL429" s="280"/>
      <c r="BM429" s="280"/>
      <c r="BN429" s="280"/>
      <c r="BO429" s="280"/>
      <c r="BP429" s="280"/>
      <c r="BQ429" s="280"/>
      <c r="BR429" s="280"/>
      <c r="BS429" s="280"/>
      <c r="BT429" s="280"/>
      <c r="BU429" s="280"/>
      <c r="BV429" s="280"/>
    </row>
    <row r="430" spans="2:74" s="293" customFormat="1" x14ac:dyDescent="0.25">
      <c r="B430" s="280"/>
      <c r="C430" s="280"/>
      <c r="D430" s="280"/>
      <c r="E430" s="280"/>
      <c r="F430" s="280"/>
      <c r="G430" s="280"/>
      <c r="H430" s="280"/>
      <c r="I430" s="280"/>
      <c r="J430" s="280"/>
      <c r="K430" s="280"/>
      <c r="L430" s="283"/>
      <c r="M430" s="283"/>
      <c r="N430" s="280"/>
      <c r="O430" s="280"/>
      <c r="P430" s="280"/>
      <c r="Q430" s="280"/>
      <c r="R430" s="292"/>
      <c r="S430" s="292"/>
      <c r="T430" s="292"/>
      <c r="U430" s="292"/>
      <c r="V430" s="292"/>
      <c r="W430" s="292"/>
      <c r="X430" s="374"/>
      <c r="Y430" s="374"/>
      <c r="Z430" s="374"/>
      <c r="AA430" s="373"/>
      <c r="AB430" s="283"/>
      <c r="AC430" s="280"/>
      <c r="AD430" s="280"/>
      <c r="AE430" s="280"/>
      <c r="AF430" s="280"/>
      <c r="AG430" s="280"/>
      <c r="AH430" s="280"/>
      <c r="AI430" s="280"/>
      <c r="AJ430" s="280"/>
      <c r="AK430" s="280"/>
      <c r="AL430" s="280"/>
      <c r="AM430" s="280"/>
      <c r="AN430" s="280"/>
      <c r="AO430" s="280"/>
      <c r="AP430" s="280"/>
      <c r="AQ430" s="280"/>
      <c r="AR430" s="280"/>
      <c r="AS430" s="280"/>
      <c r="AT430" s="280"/>
      <c r="AU430" s="280"/>
      <c r="AV430" s="280"/>
      <c r="AW430" s="280"/>
      <c r="AX430" s="280"/>
      <c r="AY430" s="280"/>
      <c r="AZ430" s="280"/>
      <c r="BA430" s="280"/>
      <c r="BB430" s="280"/>
      <c r="BC430" s="280"/>
      <c r="BD430" s="280"/>
      <c r="BE430" s="280"/>
      <c r="BF430" s="280"/>
      <c r="BG430" s="280"/>
      <c r="BH430" s="280"/>
      <c r="BI430" s="280"/>
      <c r="BJ430" s="280"/>
      <c r="BK430" s="280"/>
      <c r="BL430" s="280"/>
      <c r="BM430" s="280"/>
      <c r="BN430" s="280"/>
      <c r="BO430" s="280"/>
      <c r="BP430" s="280"/>
      <c r="BQ430" s="280"/>
      <c r="BR430" s="280"/>
      <c r="BS430" s="280"/>
      <c r="BT430" s="280"/>
      <c r="BU430" s="280"/>
      <c r="BV430" s="280"/>
    </row>
    <row r="431" spans="2:74" s="293" customFormat="1" x14ac:dyDescent="0.25">
      <c r="B431" s="280"/>
      <c r="C431" s="280"/>
      <c r="D431" s="280"/>
      <c r="E431" s="280"/>
      <c r="F431" s="280"/>
      <c r="G431" s="280"/>
      <c r="H431" s="280"/>
      <c r="I431" s="280"/>
      <c r="J431" s="280"/>
      <c r="K431" s="280"/>
      <c r="L431" s="283"/>
      <c r="M431" s="283"/>
      <c r="N431" s="280"/>
      <c r="O431" s="280"/>
      <c r="P431" s="280"/>
      <c r="Q431" s="280"/>
      <c r="R431" s="292"/>
      <c r="S431" s="292"/>
      <c r="T431" s="292"/>
      <c r="U431" s="292"/>
      <c r="V431" s="292"/>
      <c r="W431" s="292"/>
      <c r="X431" s="374"/>
      <c r="Y431" s="374"/>
      <c r="Z431" s="374"/>
      <c r="AA431" s="373"/>
      <c r="AB431" s="283"/>
      <c r="AC431" s="280"/>
      <c r="AD431" s="280"/>
      <c r="AE431" s="280"/>
      <c r="AF431" s="280"/>
      <c r="AG431" s="280"/>
      <c r="AH431" s="280"/>
      <c r="AI431" s="280"/>
      <c r="AJ431" s="280"/>
      <c r="AK431" s="280"/>
      <c r="AL431" s="280"/>
      <c r="AM431" s="280"/>
      <c r="AN431" s="280"/>
      <c r="AO431" s="280"/>
      <c r="AP431" s="280"/>
      <c r="AQ431" s="280"/>
      <c r="AR431" s="280"/>
      <c r="AS431" s="280"/>
      <c r="AT431" s="280"/>
      <c r="AU431" s="280"/>
      <c r="AV431" s="280"/>
      <c r="AW431" s="280"/>
      <c r="AX431" s="280"/>
      <c r="AY431" s="280"/>
      <c r="AZ431" s="280"/>
      <c r="BA431" s="280"/>
      <c r="BB431" s="280"/>
      <c r="BC431" s="280"/>
      <c r="BD431" s="280"/>
      <c r="BE431" s="280"/>
      <c r="BF431" s="280"/>
      <c r="BG431" s="280"/>
      <c r="BH431" s="280"/>
      <c r="BI431" s="280"/>
      <c r="BJ431" s="280"/>
      <c r="BK431" s="280"/>
      <c r="BL431" s="280"/>
      <c r="BM431" s="280"/>
      <c r="BN431" s="280"/>
      <c r="BO431" s="280"/>
      <c r="BP431" s="280"/>
      <c r="BQ431" s="280"/>
      <c r="BR431" s="280"/>
      <c r="BS431" s="280"/>
      <c r="BT431" s="280"/>
      <c r="BU431" s="280"/>
      <c r="BV431" s="280"/>
    </row>
    <row r="432" spans="2:74" s="293" customFormat="1" x14ac:dyDescent="0.25">
      <c r="B432" s="280"/>
      <c r="C432" s="280"/>
      <c r="D432" s="280"/>
      <c r="E432" s="280"/>
      <c r="F432" s="280"/>
      <c r="G432" s="280"/>
      <c r="H432" s="280"/>
      <c r="I432" s="280"/>
      <c r="J432" s="280"/>
      <c r="K432" s="280"/>
      <c r="L432" s="283"/>
      <c r="M432" s="283"/>
      <c r="N432" s="280"/>
      <c r="O432" s="280"/>
      <c r="P432" s="280"/>
      <c r="Q432" s="280"/>
      <c r="R432" s="292"/>
      <c r="S432" s="292"/>
      <c r="T432" s="292"/>
      <c r="U432" s="292"/>
      <c r="V432" s="292"/>
      <c r="W432" s="292"/>
      <c r="X432" s="374"/>
      <c r="Y432" s="374"/>
      <c r="Z432" s="374"/>
      <c r="AA432" s="373"/>
      <c r="AB432" s="283"/>
      <c r="AC432" s="280"/>
      <c r="AD432" s="280"/>
      <c r="AE432" s="280"/>
      <c r="AF432" s="280"/>
      <c r="AG432" s="280"/>
      <c r="AH432" s="280"/>
      <c r="AI432" s="280"/>
      <c r="AJ432" s="280"/>
      <c r="AK432" s="280"/>
      <c r="AL432" s="280"/>
      <c r="AM432" s="280"/>
      <c r="AN432" s="280"/>
      <c r="AO432" s="280"/>
      <c r="AP432" s="280"/>
      <c r="AQ432" s="280"/>
      <c r="AR432" s="280"/>
      <c r="AS432" s="280"/>
      <c r="AT432" s="280"/>
      <c r="AU432" s="280"/>
      <c r="AV432" s="280"/>
      <c r="AW432" s="280"/>
      <c r="AX432" s="280"/>
      <c r="AY432" s="280"/>
      <c r="AZ432" s="280"/>
      <c r="BA432" s="280"/>
      <c r="BB432" s="280"/>
      <c r="BC432" s="280"/>
      <c r="BD432" s="280"/>
      <c r="BE432" s="280"/>
      <c r="BF432" s="280"/>
      <c r="BG432" s="280"/>
      <c r="BH432" s="280"/>
      <c r="BI432" s="280"/>
      <c r="BJ432" s="280"/>
      <c r="BK432" s="280"/>
      <c r="BL432" s="280"/>
      <c r="BM432" s="280"/>
      <c r="BN432" s="280"/>
      <c r="BO432" s="280"/>
      <c r="BP432" s="280"/>
      <c r="BQ432" s="280"/>
      <c r="BR432" s="280"/>
      <c r="BS432" s="280"/>
      <c r="BT432" s="280"/>
      <c r="BU432" s="280"/>
      <c r="BV432" s="280"/>
    </row>
    <row r="433" spans="2:74" s="293" customFormat="1" x14ac:dyDescent="0.25">
      <c r="B433" s="280"/>
      <c r="C433" s="280"/>
      <c r="D433" s="280"/>
      <c r="E433" s="280"/>
      <c r="F433" s="280"/>
      <c r="G433" s="280"/>
      <c r="H433" s="280"/>
      <c r="I433" s="280"/>
      <c r="J433" s="280"/>
      <c r="K433" s="280"/>
      <c r="L433" s="283"/>
      <c r="M433" s="283"/>
      <c r="N433" s="280"/>
      <c r="O433" s="280"/>
      <c r="P433" s="280"/>
      <c r="Q433" s="280"/>
      <c r="R433" s="292"/>
      <c r="S433" s="292"/>
      <c r="T433" s="292"/>
      <c r="U433" s="292"/>
      <c r="V433" s="292"/>
      <c r="W433" s="292"/>
      <c r="X433" s="374"/>
      <c r="Y433" s="374"/>
      <c r="Z433" s="374"/>
      <c r="AA433" s="373"/>
      <c r="AB433" s="283"/>
      <c r="AC433" s="280"/>
      <c r="AD433" s="280"/>
      <c r="AE433" s="280"/>
      <c r="AF433" s="280"/>
      <c r="AG433" s="280"/>
      <c r="AH433" s="280"/>
      <c r="AI433" s="280"/>
      <c r="AJ433" s="280"/>
      <c r="AK433" s="280"/>
      <c r="AL433" s="280"/>
      <c r="AM433" s="280"/>
      <c r="AN433" s="280"/>
      <c r="AO433" s="280"/>
      <c r="AP433" s="280"/>
      <c r="AQ433" s="280"/>
      <c r="AR433" s="280"/>
      <c r="AS433" s="280"/>
      <c r="AT433" s="280"/>
      <c r="AU433" s="280"/>
      <c r="AV433" s="280"/>
      <c r="AW433" s="280"/>
      <c r="AX433" s="280"/>
      <c r="AY433" s="280"/>
      <c r="AZ433" s="280"/>
      <c r="BA433" s="280"/>
      <c r="BB433" s="280"/>
      <c r="BC433" s="280"/>
      <c r="BD433" s="280"/>
      <c r="BE433" s="280"/>
      <c r="BF433" s="280"/>
      <c r="BG433" s="280"/>
      <c r="BH433" s="280"/>
      <c r="BI433" s="280"/>
      <c r="BJ433" s="280"/>
      <c r="BK433" s="280"/>
      <c r="BL433" s="280"/>
      <c r="BM433" s="280"/>
      <c r="BN433" s="280"/>
      <c r="BO433" s="280"/>
      <c r="BP433" s="280"/>
      <c r="BQ433" s="280"/>
      <c r="BR433" s="280"/>
      <c r="BS433" s="280"/>
      <c r="BT433" s="280"/>
      <c r="BU433" s="280"/>
      <c r="BV433" s="280"/>
    </row>
    <row r="434" spans="2:74" s="293" customFormat="1" x14ac:dyDescent="0.25">
      <c r="B434" s="280"/>
      <c r="C434" s="280"/>
      <c r="D434" s="280"/>
      <c r="E434" s="280"/>
      <c r="F434" s="280"/>
      <c r="G434" s="280"/>
      <c r="H434" s="280"/>
      <c r="I434" s="280"/>
      <c r="J434" s="280"/>
      <c r="K434" s="280"/>
      <c r="L434" s="283"/>
      <c r="M434" s="283"/>
      <c r="N434" s="280"/>
      <c r="O434" s="280"/>
      <c r="P434" s="280"/>
      <c r="Q434" s="280"/>
      <c r="R434" s="292"/>
      <c r="S434" s="292"/>
      <c r="T434" s="292"/>
      <c r="U434" s="292"/>
      <c r="V434" s="292"/>
      <c r="W434" s="292"/>
      <c r="X434" s="374"/>
      <c r="Y434" s="374"/>
      <c r="Z434" s="374"/>
      <c r="AA434" s="373"/>
      <c r="AB434" s="283"/>
      <c r="AC434" s="280"/>
      <c r="AD434" s="280"/>
      <c r="AE434" s="280"/>
      <c r="AF434" s="280"/>
      <c r="AG434" s="280"/>
      <c r="AH434" s="280"/>
      <c r="AI434" s="280"/>
      <c r="AJ434" s="280"/>
      <c r="AK434" s="280"/>
      <c r="AL434" s="280"/>
      <c r="AM434" s="280"/>
      <c r="AN434" s="280"/>
      <c r="AO434" s="280"/>
      <c r="AP434" s="280"/>
      <c r="AQ434" s="280"/>
      <c r="AR434" s="280"/>
      <c r="AS434" s="280"/>
      <c r="AT434" s="280"/>
      <c r="AU434" s="280"/>
      <c r="AV434" s="280"/>
      <c r="AW434" s="280"/>
      <c r="AX434" s="280"/>
      <c r="AY434" s="280"/>
      <c r="AZ434" s="280"/>
      <c r="BA434" s="280"/>
      <c r="BB434" s="280"/>
      <c r="BC434" s="280"/>
      <c r="BD434" s="280"/>
      <c r="BE434" s="280"/>
      <c r="BF434" s="280"/>
      <c r="BG434" s="280"/>
      <c r="BH434" s="280"/>
      <c r="BI434" s="280"/>
      <c r="BJ434" s="280"/>
      <c r="BK434" s="280"/>
      <c r="BL434" s="280"/>
      <c r="BM434" s="280"/>
      <c r="BN434" s="280"/>
      <c r="BO434" s="280"/>
      <c r="BP434" s="280"/>
      <c r="BQ434" s="280"/>
      <c r="BR434" s="280"/>
      <c r="BS434" s="280"/>
      <c r="BT434" s="280"/>
      <c r="BU434" s="280"/>
      <c r="BV434" s="280"/>
    </row>
    <row r="435" spans="2:74" s="293" customFormat="1" x14ac:dyDescent="0.25">
      <c r="B435" s="280"/>
      <c r="C435" s="280"/>
      <c r="D435" s="280"/>
      <c r="E435" s="280"/>
      <c r="F435" s="280"/>
      <c r="G435" s="280"/>
      <c r="H435" s="280"/>
      <c r="I435" s="280"/>
      <c r="J435" s="280"/>
      <c r="K435" s="280"/>
      <c r="L435" s="283"/>
      <c r="M435" s="283"/>
      <c r="N435" s="280"/>
      <c r="O435" s="280"/>
      <c r="P435" s="280"/>
      <c r="Q435" s="280"/>
      <c r="R435" s="292"/>
      <c r="S435" s="292"/>
      <c r="T435" s="292"/>
      <c r="U435" s="292"/>
      <c r="V435" s="292"/>
      <c r="W435" s="292"/>
      <c r="X435" s="374"/>
      <c r="Y435" s="374"/>
      <c r="Z435" s="374"/>
      <c r="AA435" s="373"/>
      <c r="AB435" s="283"/>
      <c r="AC435" s="280"/>
      <c r="AD435" s="280"/>
      <c r="AE435" s="280"/>
      <c r="AF435" s="280"/>
      <c r="AG435" s="280"/>
      <c r="AH435" s="280"/>
      <c r="AI435" s="280"/>
      <c r="AJ435" s="280"/>
      <c r="AK435" s="280"/>
      <c r="AL435" s="280"/>
      <c r="AM435" s="280"/>
      <c r="AN435" s="280"/>
      <c r="AO435" s="280"/>
      <c r="AP435" s="280"/>
      <c r="AQ435" s="280"/>
      <c r="AR435" s="280"/>
      <c r="AS435" s="280"/>
      <c r="AT435" s="280"/>
      <c r="AU435" s="280"/>
      <c r="AV435" s="280"/>
      <c r="AW435" s="280"/>
      <c r="AX435" s="280"/>
      <c r="AY435" s="280"/>
      <c r="AZ435" s="280"/>
      <c r="BA435" s="280"/>
      <c r="BB435" s="280"/>
      <c r="BC435" s="280"/>
      <c r="BD435" s="280"/>
      <c r="BE435" s="280"/>
      <c r="BF435" s="280"/>
      <c r="BG435" s="280"/>
      <c r="BH435" s="280"/>
      <c r="BI435" s="280"/>
      <c r="BJ435" s="280"/>
      <c r="BK435" s="280"/>
      <c r="BL435" s="280"/>
      <c r="BM435" s="280"/>
      <c r="BN435" s="280"/>
      <c r="BO435" s="280"/>
      <c r="BP435" s="280"/>
      <c r="BQ435" s="280"/>
      <c r="BR435" s="280"/>
      <c r="BS435" s="280"/>
      <c r="BT435" s="280"/>
      <c r="BU435" s="280"/>
      <c r="BV435" s="280"/>
    </row>
    <row r="436" spans="2:74" s="293" customFormat="1" x14ac:dyDescent="0.25">
      <c r="B436" s="280"/>
      <c r="C436" s="280"/>
      <c r="D436" s="280"/>
      <c r="E436" s="280"/>
      <c r="F436" s="280"/>
      <c r="G436" s="280"/>
      <c r="H436" s="280"/>
      <c r="I436" s="280"/>
      <c r="J436" s="280"/>
      <c r="K436" s="280"/>
      <c r="L436" s="283"/>
      <c r="M436" s="283"/>
      <c r="N436" s="280"/>
      <c r="O436" s="280"/>
      <c r="P436" s="280"/>
      <c r="Q436" s="280"/>
      <c r="R436" s="292"/>
      <c r="S436" s="292"/>
      <c r="T436" s="292"/>
      <c r="U436" s="292"/>
      <c r="V436" s="292"/>
      <c r="W436" s="292"/>
      <c r="X436" s="374"/>
      <c r="Y436" s="374"/>
      <c r="Z436" s="374"/>
      <c r="AA436" s="373"/>
      <c r="AB436" s="283"/>
      <c r="AC436" s="280"/>
      <c r="AD436" s="280"/>
      <c r="AE436" s="280"/>
      <c r="AF436" s="280"/>
      <c r="AG436" s="280"/>
      <c r="AH436" s="280"/>
      <c r="AI436" s="280"/>
      <c r="AJ436" s="280"/>
      <c r="AK436" s="280"/>
      <c r="AL436" s="280"/>
      <c r="AM436" s="280"/>
      <c r="AN436" s="280"/>
      <c r="AO436" s="280"/>
      <c r="AP436" s="280"/>
      <c r="AQ436" s="280"/>
      <c r="AR436" s="280"/>
      <c r="AS436" s="280"/>
      <c r="AT436" s="280"/>
      <c r="AU436" s="280"/>
      <c r="AV436" s="280"/>
      <c r="AW436" s="280"/>
      <c r="AX436" s="280"/>
      <c r="AY436" s="280"/>
      <c r="AZ436" s="280"/>
      <c r="BA436" s="280"/>
      <c r="BB436" s="280"/>
      <c r="BC436" s="280"/>
      <c r="BD436" s="280"/>
      <c r="BE436" s="280"/>
      <c r="BF436" s="280"/>
      <c r="BG436" s="280"/>
      <c r="BH436" s="280"/>
      <c r="BI436" s="280"/>
      <c r="BJ436" s="280"/>
      <c r="BK436" s="280"/>
      <c r="BL436" s="280"/>
      <c r="BM436" s="280"/>
      <c r="BN436" s="280"/>
      <c r="BO436" s="280"/>
      <c r="BP436" s="280"/>
      <c r="BQ436" s="280"/>
      <c r="BR436" s="280"/>
      <c r="BS436" s="280"/>
      <c r="BT436" s="280"/>
      <c r="BU436" s="280"/>
      <c r="BV436" s="280"/>
    </row>
    <row r="437" spans="2:74" s="293" customFormat="1" x14ac:dyDescent="0.25">
      <c r="B437" s="280"/>
      <c r="C437" s="280"/>
      <c r="D437" s="280"/>
      <c r="E437" s="280"/>
      <c r="F437" s="280"/>
      <c r="G437" s="280"/>
      <c r="H437" s="280"/>
      <c r="I437" s="280"/>
      <c r="J437" s="280"/>
      <c r="K437" s="280"/>
      <c r="L437" s="283"/>
      <c r="M437" s="283"/>
      <c r="N437" s="280"/>
      <c r="O437" s="280"/>
      <c r="P437" s="280"/>
      <c r="Q437" s="280"/>
      <c r="R437" s="292"/>
      <c r="S437" s="292"/>
      <c r="T437" s="292"/>
      <c r="U437" s="292"/>
      <c r="V437" s="292"/>
      <c r="W437" s="292"/>
      <c r="X437" s="374"/>
      <c r="Y437" s="374"/>
      <c r="Z437" s="374"/>
      <c r="AA437" s="373"/>
      <c r="AB437" s="283"/>
      <c r="AC437" s="280"/>
      <c r="AD437" s="280"/>
      <c r="AE437" s="280"/>
      <c r="AF437" s="280"/>
      <c r="AG437" s="280"/>
      <c r="AH437" s="280"/>
      <c r="AI437" s="280"/>
      <c r="AJ437" s="280"/>
      <c r="AK437" s="280"/>
      <c r="AL437" s="280"/>
      <c r="AM437" s="280"/>
      <c r="AN437" s="280"/>
      <c r="AO437" s="280"/>
      <c r="AP437" s="280"/>
      <c r="AQ437" s="280"/>
      <c r="AR437" s="280"/>
      <c r="AS437" s="280"/>
      <c r="AT437" s="280"/>
      <c r="AU437" s="280"/>
      <c r="AV437" s="280"/>
      <c r="AW437" s="280"/>
      <c r="AX437" s="280"/>
      <c r="AY437" s="280"/>
      <c r="AZ437" s="280"/>
      <c r="BA437" s="280"/>
      <c r="BB437" s="280"/>
      <c r="BC437" s="280"/>
      <c r="BD437" s="280"/>
      <c r="BE437" s="280"/>
      <c r="BF437" s="280"/>
      <c r="BG437" s="280"/>
      <c r="BH437" s="280"/>
      <c r="BI437" s="280"/>
      <c r="BJ437" s="280"/>
      <c r="BK437" s="280"/>
      <c r="BL437" s="280"/>
      <c r="BM437" s="280"/>
      <c r="BN437" s="280"/>
      <c r="BO437" s="280"/>
      <c r="BP437" s="280"/>
      <c r="BQ437" s="280"/>
      <c r="BR437" s="280"/>
      <c r="BS437" s="280"/>
      <c r="BT437" s="280"/>
      <c r="BU437" s="280"/>
      <c r="BV437" s="280"/>
    </row>
    <row r="438" spans="2:74" s="293" customFormat="1" x14ac:dyDescent="0.25">
      <c r="B438" s="280"/>
      <c r="C438" s="280"/>
      <c r="D438" s="280"/>
      <c r="E438" s="280"/>
      <c r="F438" s="280"/>
      <c r="G438" s="280"/>
      <c r="H438" s="280"/>
      <c r="I438" s="280"/>
      <c r="J438" s="280"/>
      <c r="K438" s="280"/>
      <c r="L438" s="283"/>
      <c r="M438" s="283"/>
      <c r="N438" s="280"/>
      <c r="O438" s="280"/>
      <c r="P438" s="280"/>
      <c r="Q438" s="280"/>
      <c r="R438" s="292"/>
      <c r="S438" s="292"/>
      <c r="T438" s="292"/>
      <c r="U438" s="292"/>
      <c r="V438" s="292"/>
      <c r="W438" s="292"/>
      <c r="X438" s="374"/>
      <c r="Y438" s="374"/>
      <c r="Z438" s="374"/>
      <c r="AA438" s="373"/>
      <c r="AB438" s="283"/>
      <c r="AC438" s="280"/>
      <c r="AD438" s="280"/>
      <c r="AE438" s="280"/>
      <c r="AF438" s="280"/>
      <c r="AG438" s="280"/>
      <c r="AH438" s="280"/>
      <c r="AI438" s="280"/>
      <c r="AJ438" s="280"/>
      <c r="AK438" s="280"/>
      <c r="AL438" s="280"/>
      <c r="AM438" s="280"/>
      <c r="AN438" s="280"/>
      <c r="AO438" s="280"/>
      <c r="AP438" s="280"/>
      <c r="AQ438" s="280"/>
      <c r="AR438" s="280"/>
      <c r="AS438" s="280"/>
      <c r="AT438" s="280"/>
      <c r="AU438" s="280"/>
      <c r="AV438" s="280"/>
      <c r="AW438" s="280"/>
      <c r="AX438" s="280"/>
      <c r="AY438" s="280"/>
      <c r="AZ438" s="280"/>
      <c r="BA438" s="280"/>
      <c r="BB438" s="280"/>
      <c r="BC438" s="280"/>
      <c r="BD438" s="280"/>
      <c r="BE438" s="280"/>
      <c r="BF438" s="280"/>
      <c r="BG438" s="280"/>
      <c r="BH438" s="280"/>
      <c r="BI438" s="280"/>
      <c r="BJ438" s="280"/>
      <c r="BK438" s="280"/>
      <c r="BL438" s="280"/>
      <c r="BM438" s="280"/>
      <c r="BN438" s="280"/>
      <c r="BO438" s="280"/>
      <c r="BP438" s="280"/>
      <c r="BQ438" s="280"/>
      <c r="BR438" s="280"/>
      <c r="BS438" s="280"/>
      <c r="BT438" s="280"/>
      <c r="BU438" s="280"/>
      <c r="BV438" s="280"/>
    </row>
    <row r="439" spans="2:74" s="293" customFormat="1" x14ac:dyDescent="0.25">
      <c r="B439" s="280"/>
      <c r="C439" s="280"/>
      <c r="D439" s="280"/>
      <c r="E439" s="280"/>
      <c r="F439" s="280"/>
      <c r="G439" s="280"/>
      <c r="H439" s="280"/>
      <c r="I439" s="280"/>
      <c r="J439" s="280"/>
      <c r="K439" s="280"/>
      <c r="L439" s="283"/>
      <c r="M439" s="283"/>
      <c r="N439" s="280"/>
      <c r="O439" s="280"/>
      <c r="P439" s="280"/>
      <c r="Q439" s="280"/>
      <c r="R439" s="292"/>
      <c r="S439" s="292"/>
      <c r="T439" s="292"/>
      <c r="U439" s="292"/>
      <c r="V439" s="292"/>
      <c r="W439" s="292"/>
      <c r="X439" s="374"/>
      <c r="Y439" s="374"/>
      <c r="Z439" s="374"/>
      <c r="AA439" s="373"/>
      <c r="AB439" s="283"/>
      <c r="AC439" s="280"/>
      <c r="AD439" s="280"/>
      <c r="AE439" s="280"/>
      <c r="AF439" s="280"/>
      <c r="AG439" s="280"/>
      <c r="AH439" s="280"/>
      <c r="AI439" s="280"/>
      <c r="AJ439" s="280"/>
      <c r="AK439" s="280"/>
      <c r="AL439" s="280"/>
      <c r="AM439" s="280"/>
      <c r="AN439" s="280"/>
      <c r="AO439" s="280"/>
      <c r="AP439" s="280"/>
      <c r="AQ439" s="280"/>
      <c r="AR439" s="280"/>
      <c r="AS439" s="280"/>
      <c r="AT439" s="280"/>
      <c r="AU439" s="280"/>
      <c r="AV439" s="280"/>
      <c r="AW439" s="280"/>
      <c r="AX439" s="280"/>
      <c r="AY439" s="280"/>
      <c r="AZ439" s="280"/>
      <c r="BA439" s="280"/>
      <c r="BB439" s="280"/>
      <c r="BC439" s="280"/>
      <c r="BD439" s="280"/>
      <c r="BE439" s="280"/>
      <c r="BF439" s="280"/>
      <c r="BG439" s="280"/>
      <c r="BH439" s="280"/>
      <c r="BI439" s="280"/>
      <c r="BJ439" s="280"/>
      <c r="BK439" s="280"/>
      <c r="BL439" s="280"/>
      <c r="BM439" s="280"/>
      <c r="BN439" s="280"/>
      <c r="BO439" s="280"/>
      <c r="BP439" s="280"/>
      <c r="BQ439" s="280"/>
      <c r="BR439" s="280"/>
      <c r="BS439" s="280"/>
      <c r="BT439" s="280"/>
      <c r="BU439" s="280"/>
      <c r="BV439" s="280"/>
    </row>
    <row r="440" spans="2:74" s="293" customFormat="1" x14ac:dyDescent="0.25">
      <c r="B440" s="280"/>
      <c r="C440" s="280"/>
      <c r="D440" s="280"/>
      <c r="E440" s="280"/>
      <c r="F440" s="280"/>
      <c r="G440" s="280"/>
      <c r="H440" s="280"/>
      <c r="I440" s="280"/>
      <c r="J440" s="280"/>
      <c r="K440" s="280"/>
      <c r="L440" s="283"/>
      <c r="M440" s="283"/>
      <c r="N440" s="280"/>
      <c r="O440" s="280"/>
      <c r="P440" s="280"/>
      <c r="Q440" s="280"/>
      <c r="R440" s="292"/>
      <c r="S440" s="292"/>
      <c r="T440" s="292"/>
      <c r="U440" s="292"/>
      <c r="V440" s="292"/>
      <c r="W440" s="292"/>
      <c r="X440" s="374"/>
      <c r="Y440" s="374"/>
      <c r="Z440" s="374"/>
      <c r="AA440" s="373"/>
      <c r="AB440" s="283"/>
      <c r="AC440" s="280"/>
      <c r="AD440" s="280"/>
      <c r="AE440" s="280"/>
      <c r="AF440" s="280"/>
      <c r="AG440" s="280"/>
      <c r="AH440" s="280"/>
      <c r="AI440" s="280"/>
      <c r="AJ440" s="280"/>
      <c r="AK440" s="280"/>
      <c r="AL440" s="280"/>
      <c r="AM440" s="280"/>
      <c r="AN440" s="280"/>
      <c r="AO440" s="280"/>
      <c r="AP440" s="280"/>
      <c r="AQ440" s="280"/>
      <c r="AR440" s="280"/>
      <c r="AS440" s="280"/>
      <c r="AT440" s="280"/>
      <c r="AU440" s="280"/>
      <c r="AV440" s="280"/>
      <c r="AW440" s="280"/>
      <c r="AX440" s="280"/>
      <c r="AY440" s="280"/>
      <c r="AZ440" s="280"/>
      <c r="BA440" s="280"/>
      <c r="BB440" s="280"/>
      <c r="BC440" s="280"/>
      <c r="BD440" s="280"/>
      <c r="BE440" s="280"/>
      <c r="BF440" s="280"/>
      <c r="BG440" s="280"/>
      <c r="BH440" s="280"/>
      <c r="BI440" s="280"/>
      <c r="BJ440" s="280"/>
      <c r="BK440" s="280"/>
      <c r="BL440" s="280"/>
      <c r="BM440" s="280"/>
      <c r="BN440" s="280"/>
      <c r="BO440" s="280"/>
      <c r="BP440" s="280"/>
      <c r="BQ440" s="280"/>
      <c r="BR440" s="280"/>
      <c r="BS440" s="280"/>
      <c r="BT440" s="280"/>
      <c r="BU440" s="280"/>
      <c r="BV440" s="280"/>
    </row>
    <row r="441" spans="2:74" s="293" customFormat="1" x14ac:dyDescent="0.25">
      <c r="B441" s="280"/>
      <c r="C441" s="280"/>
      <c r="D441" s="280"/>
      <c r="E441" s="280"/>
      <c r="F441" s="280"/>
      <c r="G441" s="280"/>
      <c r="H441" s="280"/>
      <c r="I441" s="280"/>
      <c r="J441" s="280"/>
      <c r="K441" s="280"/>
      <c r="L441" s="283"/>
      <c r="M441" s="283"/>
      <c r="N441" s="280"/>
      <c r="O441" s="280"/>
      <c r="P441" s="280"/>
      <c r="Q441" s="280"/>
      <c r="R441" s="292"/>
      <c r="S441" s="292"/>
      <c r="T441" s="292"/>
      <c r="U441" s="292"/>
      <c r="V441" s="292"/>
      <c r="W441" s="292"/>
      <c r="X441" s="374"/>
      <c r="Y441" s="374"/>
      <c r="Z441" s="374"/>
      <c r="AA441" s="373"/>
      <c r="AB441" s="283"/>
      <c r="AC441" s="280"/>
      <c r="AD441" s="280"/>
      <c r="AE441" s="280"/>
      <c r="AF441" s="280"/>
      <c r="AG441" s="280"/>
      <c r="AH441" s="280"/>
      <c r="AI441" s="280"/>
      <c r="AJ441" s="280"/>
      <c r="AK441" s="280"/>
      <c r="AL441" s="280"/>
      <c r="AM441" s="280"/>
      <c r="AN441" s="280"/>
      <c r="AO441" s="280"/>
      <c r="AP441" s="280"/>
      <c r="AQ441" s="280"/>
      <c r="AR441" s="280"/>
      <c r="AS441" s="280"/>
      <c r="AT441" s="280"/>
      <c r="AU441" s="280"/>
      <c r="AV441" s="280"/>
      <c r="AW441" s="280"/>
      <c r="AX441" s="280"/>
      <c r="AY441" s="280"/>
      <c r="AZ441" s="280"/>
      <c r="BA441" s="280"/>
      <c r="BB441" s="280"/>
      <c r="BC441" s="280"/>
      <c r="BD441" s="280"/>
      <c r="BE441" s="280"/>
      <c r="BF441" s="280"/>
      <c r="BG441" s="280"/>
      <c r="BH441" s="280"/>
      <c r="BI441" s="280"/>
      <c r="BJ441" s="280"/>
      <c r="BK441" s="280"/>
      <c r="BL441" s="280"/>
      <c r="BM441" s="280"/>
      <c r="BN441" s="280"/>
      <c r="BO441" s="280"/>
      <c r="BP441" s="280"/>
      <c r="BQ441" s="280"/>
      <c r="BR441" s="280"/>
      <c r="BS441" s="280"/>
      <c r="BT441" s="280"/>
      <c r="BU441" s="280"/>
      <c r="BV441" s="280"/>
    </row>
    <row r="442" spans="2:74" s="293" customFormat="1" x14ac:dyDescent="0.25">
      <c r="B442" s="280"/>
      <c r="C442" s="280"/>
      <c r="D442" s="280"/>
      <c r="E442" s="280"/>
      <c r="F442" s="280"/>
      <c r="G442" s="280"/>
      <c r="H442" s="280"/>
      <c r="I442" s="280"/>
      <c r="J442" s="280"/>
      <c r="K442" s="280"/>
      <c r="L442" s="283"/>
      <c r="M442" s="283"/>
      <c r="N442" s="280"/>
      <c r="O442" s="280"/>
      <c r="P442" s="280"/>
      <c r="Q442" s="280"/>
      <c r="R442" s="292"/>
      <c r="S442" s="292"/>
      <c r="T442" s="292"/>
      <c r="U442" s="292"/>
      <c r="V442" s="292"/>
      <c r="W442" s="292"/>
      <c r="X442" s="374"/>
      <c r="Y442" s="374"/>
      <c r="Z442" s="374"/>
      <c r="AA442" s="373"/>
      <c r="AB442" s="283"/>
      <c r="AC442" s="280"/>
      <c r="AD442" s="280"/>
      <c r="AE442" s="280"/>
      <c r="AF442" s="280"/>
      <c r="AG442" s="280"/>
      <c r="AH442" s="280"/>
      <c r="AI442" s="280"/>
      <c r="AJ442" s="280"/>
      <c r="AK442" s="280"/>
      <c r="AL442" s="280"/>
      <c r="AM442" s="280"/>
      <c r="AN442" s="280"/>
      <c r="AO442" s="280"/>
      <c r="AP442" s="280"/>
      <c r="AQ442" s="280"/>
      <c r="AR442" s="280"/>
      <c r="AS442" s="280"/>
      <c r="AT442" s="280"/>
      <c r="AU442" s="280"/>
      <c r="AV442" s="280"/>
      <c r="AW442" s="280"/>
      <c r="AX442" s="280"/>
      <c r="AY442" s="280"/>
      <c r="AZ442" s="280"/>
      <c r="BA442" s="280"/>
      <c r="BB442" s="280"/>
      <c r="BC442" s="280"/>
      <c r="BD442" s="280"/>
      <c r="BE442" s="280"/>
      <c r="BF442" s="280"/>
      <c r="BG442" s="280"/>
      <c r="BH442" s="280"/>
      <c r="BI442" s="280"/>
      <c r="BJ442" s="280"/>
      <c r="BK442" s="280"/>
      <c r="BL442" s="280"/>
      <c r="BM442" s="280"/>
      <c r="BN442" s="280"/>
      <c r="BO442" s="280"/>
      <c r="BP442" s="280"/>
      <c r="BQ442" s="280"/>
      <c r="BR442" s="280"/>
      <c r="BS442" s="280"/>
      <c r="BT442" s="280"/>
      <c r="BU442" s="280"/>
      <c r="BV442" s="280"/>
    </row>
    <row r="443" spans="2:74" s="293" customFormat="1" x14ac:dyDescent="0.25">
      <c r="B443" s="280"/>
      <c r="C443" s="280"/>
      <c r="D443" s="280"/>
      <c r="E443" s="280"/>
      <c r="F443" s="280"/>
      <c r="G443" s="280"/>
      <c r="H443" s="280"/>
      <c r="I443" s="280"/>
      <c r="J443" s="280"/>
      <c r="K443" s="280"/>
      <c r="L443" s="283"/>
      <c r="M443" s="283"/>
      <c r="N443" s="280"/>
      <c r="O443" s="280"/>
      <c r="P443" s="280"/>
      <c r="Q443" s="280"/>
      <c r="R443" s="292"/>
      <c r="S443" s="292"/>
      <c r="T443" s="292"/>
      <c r="U443" s="292"/>
      <c r="V443" s="292"/>
      <c r="W443" s="292"/>
      <c r="X443" s="374"/>
      <c r="Y443" s="374"/>
      <c r="Z443" s="374"/>
      <c r="AA443" s="373"/>
      <c r="AB443" s="283"/>
      <c r="AC443" s="280"/>
      <c r="AD443" s="280"/>
      <c r="AE443" s="280"/>
      <c r="AF443" s="280"/>
      <c r="AG443" s="280"/>
      <c r="AH443" s="280"/>
      <c r="AI443" s="280"/>
      <c r="AJ443" s="280"/>
      <c r="AK443" s="280"/>
      <c r="AL443" s="280"/>
      <c r="AM443" s="280"/>
      <c r="AN443" s="280"/>
      <c r="AO443" s="280"/>
      <c r="AP443" s="280"/>
      <c r="AQ443" s="280"/>
      <c r="AR443" s="280"/>
      <c r="AS443" s="280"/>
      <c r="AT443" s="280"/>
      <c r="AU443" s="280"/>
      <c r="AV443" s="280"/>
      <c r="AW443" s="280"/>
      <c r="AX443" s="280"/>
      <c r="AY443" s="280"/>
      <c r="AZ443" s="280"/>
      <c r="BA443" s="280"/>
      <c r="BB443" s="280"/>
      <c r="BC443" s="280"/>
      <c r="BD443" s="280"/>
      <c r="BE443" s="280"/>
      <c r="BF443" s="280"/>
      <c r="BG443" s="280"/>
      <c r="BH443" s="280"/>
      <c r="BI443" s="280"/>
      <c r="BJ443" s="280"/>
      <c r="BK443" s="280"/>
      <c r="BL443" s="280"/>
      <c r="BM443" s="280"/>
      <c r="BN443" s="280"/>
      <c r="BO443" s="280"/>
      <c r="BP443" s="280"/>
      <c r="BQ443" s="280"/>
      <c r="BR443" s="280"/>
      <c r="BS443" s="280"/>
      <c r="BT443" s="280"/>
      <c r="BU443" s="280"/>
      <c r="BV443" s="280"/>
    </row>
    <row r="444" spans="2:74" s="293" customFormat="1" x14ac:dyDescent="0.25">
      <c r="B444" s="280"/>
      <c r="C444" s="280"/>
      <c r="D444" s="280"/>
      <c r="E444" s="280"/>
      <c r="F444" s="280"/>
      <c r="G444" s="280"/>
      <c r="H444" s="280"/>
      <c r="I444" s="280"/>
      <c r="J444" s="280"/>
      <c r="K444" s="280"/>
      <c r="L444" s="283"/>
      <c r="M444" s="283"/>
      <c r="N444" s="280"/>
      <c r="O444" s="280"/>
      <c r="P444" s="280"/>
      <c r="Q444" s="280"/>
      <c r="R444" s="292"/>
      <c r="S444" s="292"/>
      <c r="T444" s="292"/>
      <c r="U444" s="292"/>
      <c r="V444" s="292"/>
      <c r="W444" s="292"/>
      <c r="X444" s="374"/>
      <c r="Y444" s="374"/>
      <c r="Z444" s="374"/>
      <c r="AA444" s="373"/>
      <c r="AB444" s="283"/>
      <c r="AC444" s="280"/>
      <c r="AD444" s="280"/>
      <c r="AE444" s="280"/>
      <c r="AF444" s="280"/>
      <c r="AG444" s="280"/>
      <c r="AH444" s="280"/>
      <c r="AI444" s="280"/>
      <c r="AJ444" s="280"/>
      <c r="AK444" s="280"/>
      <c r="AL444" s="280"/>
      <c r="AM444" s="280"/>
      <c r="AN444" s="280"/>
      <c r="AO444" s="280"/>
      <c r="AP444" s="280"/>
      <c r="AQ444" s="280"/>
      <c r="AR444" s="280"/>
      <c r="AS444" s="280"/>
      <c r="AT444" s="280"/>
      <c r="AU444" s="280"/>
      <c r="AV444" s="280"/>
      <c r="AW444" s="280"/>
      <c r="AX444" s="280"/>
      <c r="AY444" s="280"/>
      <c r="AZ444" s="280"/>
      <c r="BA444" s="280"/>
      <c r="BB444" s="280"/>
      <c r="BC444" s="280"/>
      <c r="BD444" s="280"/>
      <c r="BE444" s="280"/>
      <c r="BF444" s="280"/>
      <c r="BG444" s="280"/>
      <c r="BH444" s="280"/>
      <c r="BI444" s="280"/>
      <c r="BJ444" s="280"/>
      <c r="BK444" s="280"/>
      <c r="BL444" s="280"/>
      <c r="BM444" s="280"/>
      <c r="BN444" s="280"/>
      <c r="BO444" s="280"/>
      <c r="BP444" s="280"/>
      <c r="BQ444" s="280"/>
      <c r="BR444" s="280"/>
      <c r="BS444" s="280"/>
      <c r="BT444" s="280"/>
      <c r="BU444" s="280"/>
      <c r="BV444" s="280"/>
    </row>
    <row r="445" spans="2:74" s="293" customFormat="1" x14ac:dyDescent="0.25">
      <c r="B445" s="280"/>
      <c r="C445" s="280"/>
      <c r="D445" s="280"/>
      <c r="E445" s="280"/>
      <c r="F445" s="280"/>
      <c r="G445" s="280"/>
      <c r="H445" s="280"/>
      <c r="I445" s="280"/>
      <c r="J445" s="280"/>
      <c r="K445" s="280"/>
      <c r="L445" s="283"/>
      <c r="M445" s="283"/>
      <c r="N445" s="280"/>
      <c r="O445" s="280"/>
      <c r="P445" s="280"/>
      <c r="Q445" s="280"/>
      <c r="R445" s="292"/>
      <c r="S445" s="292"/>
      <c r="T445" s="292"/>
      <c r="U445" s="292"/>
      <c r="V445" s="292"/>
      <c r="W445" s="292"/>
      <c r="X445" s="374"/>
      <c r="Y445" s="374"/>
      <c r="Z445" s="374"/>
      <c r="AA445" s="373"/>
      <c r="AB445" s="283"/>
      <c r="AC445" s="280"/>
      <c r="AD445" s="280"/>
      <c r="AE445" s="280"/>
      <c r="AF445" s="280"/>
      <c r="AG445" s="280"/>
      <c r="AH445" s="280"/>
      <c r="AI445" s="280"/>
      <c r="AJ445" s="280"/>
      <c r="AK445" s="280"/>
      <c r="AL445" s="280"/>
      <c r="AM445" s="280"/>
      <c r="AN445" s="280"/>
      <c r="AO445" s="280"/>
      <c r="AP445" s="280"/>
      <c r="AQ445" s="280"/>
      <c r="AR445" s="280"/>
      <c r="AS445" s="280"/>
      <c r="AT445" s="280"/>
      <c r="AU445" s="280"/>
      <c r="AV445" s="280"/>
      <c r="AW445" s="280"/>
      <c r="AX445" s="280"/>
      <c r="AY445" s="280"/>
      <c r="AZ445" s="280"/>
      <c r="BA445" s="280"/>
      <c r="BB445" s="280"/>
      <c r="BC445" s="280"/>
      <c r="BD445" s="280"/>
      <c r="BE445" s="280"/>
      <c r="BF445" s="280"/>
      <c r="BG445" s="280"/>
      <c r="BH445" s="280"/>
      <c r="BI445" s="280"/>
      <c r="BJ445" s="280"/>
      <c r="BK445" s="280"/>
      <c r="BL445" s="280"/>
      <c r="BM445" s="280"/>
      <c r="BN445" s="280"/>
      <c r="BO445" s="280"/>
      <c r="BP445" s="280"/>
      <c r="BQ445" s="280"/>
      <c r="BR445" s="280"/>
      <c r="BS445" s="280"/>
      <c r="BT445" s="280"/>
      <c r="BU445" s="280"/>
      <c r="BV445" s="280"/>
    </row>
    <row r="446" spans="2:74" s="293" customFormat="1" x14ac:dyDescent="0.25">
      <c r="B446" s="280"/>
      <c r="C446" s="280"/>
      <c r="D446" s="280"/>
      <c r="E446" s="280"/>
      <c r="F446" s="280"/>
      <c r="G446" s="280"/>
      <c r="H446" s="280"/>
      <c r="I446" s="280"/>
      <c r="J446" s="280"/>
      <c r="K446" s="280"/>
      <c r="L446" s="283"/>
      <c r="M446" s="283"/>
      <c r="N446" s="280"/>
      <c r="O446" s="280"/>
      <c r="P446" s="280"/>
      <c r="Q446" s="280"/>
      <c r="R446" s="292"/>
      <c r="S446" s="292"/>
      <c r="T446" s="292"/>
      <c r="U446" s="292"/>
      <c r="V446" s="292"/>
      <c r="W446" s="292"/>
      <c r="X446" s="374"/>
      <c r="Y446" s="374"/>
      <c r="Z446" s="374"/>
      <c r="AA446" s="373"/>
      <c r="AB446" s="283"/>
      <c r="AC446" s="280"/>
      <c r="AD446" s="280"/>
      <c r="AE446" s="280"/>
      <c r="AF446" s="280"/>
      <c r="AG446" s="280"/>
      <c r="AH446" s="280"/>
      <c r="AI446" s="280"/>
      <c r="AJ446" s="280"/>
      <c r="AK446" s="280"/>
      <c r="AL446" s="280"/>
      <c r="AM446" s="280"/>
      <c r="AN446" s="280"/>
      <c r="AO446" s="280"/>
      <c r="AP446" s="280"/>
      <c r="AQ446" s="280"/>
      <c r="AR446" s="280"/>
      <c r="AS446" s="280"/>
      <c r="AT446" s="280"/>
      <c r="AU446" s="280"/>
      <c r="AV446" s="280"/>
      <c r="AW446" s="280"/>
      <c r="AX446" s="280"/>
      <c r="AY446" s="280"/>
      <c r="AZ446" s="280"/>
      <c r="BA446" s="280"/>
      <c r="BB446" s="280"/>
      <c r="BC446" s="280"/>
      <c r="BD446" s="280"/>
      <c r="BE446" s="280"/>
      <c r="BF446" s="280"/>
      <c r="BG446" s="280"/>
      <c r="BH446" s="280"/>
      <c r="BI446" s="280"/>
      <c r="BJ446" s="280"/>
      <c r="BK446" s="280"/>
      <c r="BL446" s="280"/>
      <c r="BM446" s="280"/>
      <c r="BN446" s="280"/>
      <c r="BO446" s="280"/>
      <c r="BP446" s="280"/>
      <c r="BQ446" s="280"/>
      <c r="BR446" s="280"/>
      <c r="BS446" s="280"/>
      <c r="BT446" s="280"/>
      <c r="BU446" s="280"/>
      <c r="BV446" s="280"/>
    </row>
    <row r="447" spans="2:74" s="293" customFormat="1" x14ac:dyDescent="0.25">
      <c r="B447" s="280"/>
      <c r="C447" s="280"/>
      <c r="D447" s="280"/>
      <c r="E447" s="280"/>
      <c r="F447" s="280"/>
      <c r="G447" s="280"/>
      <c r="H447" s="280"/>
      <c r="I447" s="280"/>
      <c r="J447" s="280"/>
      <c r="K447" s="280"/>
      <c r="L447" s="283"/>
      <c r="M447" s="283"/>
      <c r="N447" s="280"/>
      <c r="O447" s="280"/>
      <c r="P447" s="280"/>
      <c r="Q447" s="280"/>
      <c r="R447" s="292"/>
      <c r="S447" s="292"/>
      <c r="T447" s="292"/>
      <c r="U447" s="292"/>
      <c r="V447" s="292"/>
      <c r="W447" s="292"/>
      <c r="X447" s="374"/>
      <c r="Y447" s="374"/>
      <c r="Z447" s="374"/>
      <c r="AA447" s="373"/>
      <c r="AB447" s="283"/>
      <c r="AC447" s="280"/>
      <c r="AD447" s="280"/>
      <c r="AE447" s="280"/>
      <c r="AF447" s="280"/>
      <c r="AG447" s="280"/>
      <c r="AH447" s="280"/>
      <c r="AI447" s="280"/>
      <c r="AJ447" s="280"/>
      <c r="AK447" s="280"/>
      <c r="AL447" s="280"/>
      <c r="AM447" s="280"/>
      <c r="AN447" s="280"/>
      <c r="AO447" s="280"/>
      <c r="AP447" s="280"/>
      <c r="AQ447" s="280"/>
      <c r="AR447" s="280"/>
      <c r="AS447" s="280"/>
      <c r="AT447" s="280"/>
      <c r="AU447" s="280"/>
      <c r="AV447" s="280"/>
      <c r="AW447" s="280"/>
      <c r="AX447" s="280"/>
      <c r="AY447" s="280"/>
      <c r="AZ447" s="280"/>
      <c r="BA447" s="280"/>
      <c r="BB447" s="280"/>
      <c r="BC447" s="280"/>
      <c r="BD447" s="280"/>
      <c r="BE447" s="280"/>
      <c r="BF447" s="280"/>
      <c r="BG447" s="280"/>
      <c r="BH447" s="280"/>
      <c r="BI447" s="280"/>
      <c r="BJ447" s="280"/>
      <c r="BK447" s="280"/>
      <c r="BL447" s="280"/>
      <c r="BM447" s="280"/>
      <c r="BN447" s="280"/>
      <c r="BO447" s="280"/>
      <c r="BP447" s="280"/>
      <c r="BQ447" s="280"/>
      <c r="BR447" s="280"/>
      <c r="BS447" s="280"/>
      <c r="BT447" s="280"/>
      <c r="BU447" s="280"/>
      <c r="BV447" s="280"/>
    </row>
    <row r="448" spans="2:74" s="293" customFormat="1" x14ac:dyDescent="0.25">
      <c r="B448" s="280"/>
      <c r="C448" s="280"/>
      <c r="D448" s="280"/>
      <c r="E448" s="280"/>
      <c r="F448" s="280"/>
      <c r="G448" s="280"/>
      <c r="H448" s="280"/>
      <c r="I448" s="280"/>
      <c r="J448" s="280"/>
      <c r="K448" s="280"/>
      <c r="L448" s="283"/>
      <c r="M448" s="283"/>
      <c r="N448" s="280"/>
      <c r="O448" s="280"/>
      <c r="P448" s="280"/>
      <c r="Q448" s="280"/>
      <c r="R448" s="292"/>
      <c r="S448" s="292"/>
      <c r="T448" s="292"/>
      <c r="U448" s="292"/>
      <c r="V448" s="292"/>
      <c r="W448" s="292"/>
      <c r="X448" s="374"/>
      <c r="Y448" s="374"/>
      <c r="Z448" s="374"/>
      <c r="AA448" s="373"/>
      <c r="AB448" s="283"/>
      <c r="AC448" s="280"/>
      <c r="AD448" s="280"/>
      <c r="AE448" s="280"/>
      <c r="AF448" s="280"/>
      <c r="AG448" s="280"/>
      <c r="AH448" s="280"/>
      <c r="AI448" s="280"/>
      <c r="AJ448" s="280"/>
      <c r="AK448" s="280"/>
      <c r="AL448" s="280"/>
      <c r="AM448" s="280"/>
      <c r="AN448" s="280"/>
      <c r="AO448" s="280"/>
      <c r="AP448" s="280"/>
      <c r="AQ448" s="280"/>
      <c r="AR448" s="280"/>
      <c r="AS448" s="280"/>
      <c r="AT448" s="280"/>
      <c r="AU448" s="280"/>
      <c r="AV448" s="280"/>
      <c r="AW448" s="280"/>
      <c r="AX448" s="280"/>
      <c r="AY448" s="280"/>
      <c r="AZ448" s="280"/>
      <c r="BA448" s="280"/>
      <c r="BB448" s="280"/>
      <c r="BC448" s="280"/>
      <c r="BD448" s="280"/>
      <c r="BE448" s="280"/>
      <c r="BF448" s="280"/>
      <c r="BG448" s="280"/>
      <c r="BH448" s="280"/>
      <c r="BI448" s="280"/>
      <c r="BJ448" s="280"/>
      <c r="BK448" s="280"/>
      <c r="BL448" s="280"/>
      <c r="BM448" s="280"/>
      <c r="BN448" s="280"/>
      <c r="BO448" s="280"/>
      <c r="BP448" s="280"/>
      <c r="BQ448" s="280"/>
      <c r="BR448" s="280"/>
      <c r="BS448" s="280"/>
      <c r="BT448" s="280"/>
      <c r="BU448" s="280"/>
      <c r="BV448" s="280"/>
    </row>
    <row r="449" spans="2:74" s="293" customFormat="1" x14ac:dyDescent="0.25">
      <c r="B449" s="280"/>
      <c r="C449" s="280"/>
      <c r="D449" s="280"/>
      <c r="E449" s="280"/>
      <c r="F449" s="280"/>
      <c r="G449" s="280"/>
      <c r="H449" s="280"/>
      <c r="I449" s="280"/>
      <c r="J449" s="280"/>
      <c r="K449" s="280"/>
      <c r="L449" s="283"/>
      <c r="M449" s="283"/>
      <c r="N449" s="280"/>
      <c r="O449" s="280"/>
      <c r="P449" s="280"/>
      <c r="Q449" s="280"/>
      <c r="R449" s="292"/>
      <c r="S449" s="292"/>
      <c r="T449" s="292"/>
      <c r="U449" s="292"/>
      <c r="V449" s="292"/>
      <c r="W449" s="292"/>
      <c r="X449" s="374"/>
      <c r="Y449" s="374"/>
      <c r="Z449" s="374"/>
      <c r="AA449" s="373"/>
      <c r="AB449" s="283"/>
      <c r="AC449" s="280"/>
      <c r="AD449" s="280"/>
      <c r="AE449" s="280"/>
      <c r="AF449" s="280"/>
      <c r="AG449" s="280"/>
      <c r="AH449" s="280"/>
      <c r="AI449" s="280"/>
      <c r="AJ449" s="280"/>
      <c r="AK449" s="280"/>
      <c r="AL449" s="280"/>
      <c r="AM449" s="280"/>
      <c r="AN449" s="280"/>
      <c r="AO449" s="280"/>
      <c r="AP449" s="280"/>
      <c r="AQ449" s="280"/>
      <c r="AR449" s="280"/>
      <c r="AS449" s="280"/>
      <c r="AT449" s="280"/>
      <c r="AU449" s="280"/>
      <c r="AV449" s="280"/>
      <c r="AW449" s="280"/>
      <c r="AX449" s="280"/>
      <c r="AY449" s="280"/>
      <c r="AZ449" s="280"/>
      <c r="BA449" s="280"/>
      <c r="BB449" s="280"/>
      <c r="BC449" s="280"/>
      <c r="BD449" s="280"/>
      <c r="BE449" s="280"/>
      <c r="BF449" s="280"/>
      <c r="BG449" s="280"/>
      <c r="BH449" s="280"/>
      <c r="BI449" s="280"/>
      <c r="BJ449" s="280"/>
      <c r="BK449" s="280"/>
      <c r="BL449" s="280"/>
      <c r="BM449" s="280"/>
      <c r="BN449" s="280"/>
      <c r="BO449" s="280"/>
      <c r="BP449" s="280"/>
      <c r="BQ449" s="280"/>
      <c r="BR449" s="280"/>
      <c r="BS449" s="280"/>
      <c r="BT449" s="280"/>
      <c r="BU449" s="280"/>
      <c r="BV449" s="280"/>
    </row>
    <row r="450" spans="2:74" s="293" customFormat="1" x14ac:dyDescent="0.25">
      <c r="B450" s="280"/>
      <c r="C450" s="280"/>
      <c r="D450" s="280"/>
      <c r="E450" s="280"/>
      <c r="F450" s="280"/>
      <c r="G450" s="280"/>
      <c r="H450" s="280"/>
      <c r="I450" s="280"/>
      <c r="J450" s="280"/>
      <c r="K450" s="280"/>
      <c r="L450" s="283"/>
      <c r="M450" s="283"/>
      <c r="N450" s="280"/>
      <c r="O450" s="280"/>
      <c r="P450" s="280"/>
      <c r="Q450" s="280"/>
      <c r="R450" s="292"/>
      <c r="S450" s="292"/>
      <c r="T450" s="292"/>
      <c r="U450" s="292"/>
      <c r="V450" s="292"/>
      <c r="W450" s="292"/>
      <c r="X450" s="374"/>
      <c r="Y450" s="374"/>
      <c r="Z450" s="374"/>
      <c r="AA450" s="373"/>
      <c r="AB450" s="283"/>
      <c r="AC450" s="280"/>
      <c r="AD450" s="280"/>
      <c r="AE450" s="280"/>
      <c r="AF450" s="280"/>
      <c r="AG450" s="280"/>
      <c r="AH450" s="280"/>
      <c r="AI450" s="280"/>
      <c r="AJ450" s="280"/>
      <c r="AK450" s="280"/>
      <c r="AL450" s="280"/>
      <c r="AM450" s="280"/>
      <c r="AN450" s="280"/>
      <c r="AO450" s="280"/>
      <c r="AP450" s="280"/>
      <c r="AQ450" s="280"/>
      <c r="AR450" s="280"/>
      <c r="AS450" s="280"/>
      <c r="AT450" s="280"/>
      <c r="AU450" s="280"/>
      <c r="AV450" s="280"/>
      <c r="AW450" s="280"/>
      <c r="AX450" s="280"/>
      <c r="AY450" s="280"/>
      <c r="AZ450" s="280"/>
      <c r="BA450" s="280"/>
      <c r="BB450" s="280"/>
      <c r="BC450" s="280"/>
      <c r="BD450" s="280"/>
      <c r="BE450" s="280"/>
      <c r="BF450" s="280"/>
      <c r="BG450" s="280"/>
      <c r="BH450" s="280"/>
      <c r="BI450" s="280"/>
      <c r="BJ450" s="280"/>
      <c r="BK450" s="280"/>
      <c r="BL450" s="280"/>
      <c r="BM450" s="280"/>
      <c r="BN450" s="280"/>
      <c r="BO450" s="280"/>
      <c r="BP450" s="280"/>
      <c r="BQ450" s="280"/>
      <c r="BR450" s="280"/>
      <c r="BS450" s="280"/>
      <c r="BT450" s="280"/>
      <c r="BU450" s="280"/>
      <c r="BV450" s="280"/>
    </row>
    <row r="451" spans="2:74" s="293" customFormat="1" x14ac:dyDescent="0.25">
      <c r="B451" s="280"/>
      <c r="C451" s="280"/>
      <c r="D451" s="280"/>
      <c r="E451" s="280"/>
      <c r="F451" s="280"/>
      <c r="G451" s="280"/>
      <c r="H451" s="280"/>
      <c r="I451" s="280"/>
      <c r="J451" s="280"/>
      <c r="K451" s="280"/>
      <c r="L451" s="283"/>
      <c r="M451" s="283"/>
      <c r="N451" s="280"/>
      <c r="O451" s="280"/>
      <c r="P451" s="280"/>
      <c r="Q451" s="280"/>
      <c r="R451" s="292"/>
      <c r="S451" s="292"/>
      <c r="T451" s="292"/>
      <c r="U451" s="292"/>
      <c r="V451" s="292"/>
      <c r="W451" s="292"/>
      <c r="X451" s="374"/>
      <c r="Y451" s="374"/>
      <c r="Z451" s="374"/>
      <c r="AA451" s="373"/>
      <c r="AB451" s="283"/>
      <c r="AC451" s="280"/>
      <c r="AD451" s="280"/>
      <c r="AE451" s="280"/>
      <c r="AF451" s="280"/>
      <c r="AG451" s="280"/>
      <c r="AH451" s="280"/>
      <c r="AI451" s="280"/>
      <c r="AJ451" s="280"/>
      <c r="AK451" s="280"/>
      <c r="AL451" s="280"/>
      <c r="AM451" s="280"/>
      <c r="AN451" s="280"/>
      <c r="AO451" s="280"/>
      <c r="AP451" s="280"/>
      <c r="AQ451" s="280"/>
      <c r="AR451" s="280"/>
      <c r="AS451" s="280"/>
      <c r="AT451" s="280"/>
      <c r="AU451" s="280"/>
      <c r="AV451" s="280"/>
      <c r="AW451" s="280"/>
      <c r="AX451" s="280"/>
      <c r="AY451" s="280"/>
      <c r="AZ451" s="280"/>
      <c r="BA451" s="280"/>
      <c r="BB451" s="280"/>
      <c r="BC451" s="280"/>
      <c r="BD451" s="280"/>
      <c r="BE451" s="280"/>
      <c r="BF451" s="280"/>
      <c r="BG451" s="280"/>
      <c r="BH451" s="280"/>
      <c r="BI451" s="280"/>
      <c r="BJ451" s="280"/>
      <c r="BK451" s="280"/>
      <c r="BL451" s="280"/>
      <c r="BM451" s="280"/>
      <c r="BN451" s="280"/>
      <c r="BO451" s="280"/>
      <c r="BP451" s="280"/>
      <c r="BQ451" s="280"/>
      <c r="BR451" s="280"/>
      <c r="BS451" s="280"/>
      <c r="BT451" s="280"/>
      <c r="BU451" s="280"/>
      <c r="BV451" s="280"/>
    </row>
    <row r="452" spans="2:74" s="293" customFormat="1" x14ac:dyDescent="0.25">
      <c r="B452" s="280"/>
      <c r="C452" s="280"/>
      <c r="D452" s="280"/>
      <c r="E452" s="280"/>
      <c r="F452" s="280"/>
      <c r="G452" s="280"/>
      <c r="H452" s="280"/>
      <c r="I452" s="280"/>
      <c r="J452" s="280"/>
      <c r="K452" s="280"/>
      <c r="L452" s="283"/>
      <c r="M452" s="283"/>
      <c r="N452" s="280"/>
      <c r="O452" s="280"/>
      <c r="P452" s="280"/>
      <c r="Q452" s="280"/>
      <c r="R452" s="292"/>
      <c r="S452" s="292"/>
      <c r="T452" s="292"/>
      <c r="U452" s="292"/>
      <c r="V452" s="292"/>
      <c r="W452" s="292"/>
      <c r="X452" s="374"/>
      <c r="Y452" s="374"/>
      <c r="Z452" s="374"/>
      <c r="AA452" s="373"/>
      <c r="AB452" s="283"/>
      <c r="AC452" s="280"/>
      <c r="AD452" s="280"/>
      <c r="AE452" s="280"/>
      <c r="AF452" s="280"/>
      <c r="AG452" s="280"/>
      <c r="AH452" s="280"/>
      <c r="AI452" s="280"/>
      <c r="AJ452" s="280"/>
      <c r="AK452" s="280"/>
      <c r="AL452" s="280"/>
      <c r="AM452" s="280"/>
      <c r="AN452" s="280"/>
      <c r="AO452" s="280"/>
      <c r="AP452" s="280"/>
      <c r="AQ452" s="280"/>
      <c r="AR452" s="280"/>
      <c r="AS452" s="280"/>
      <c r="AT452" s="280"/>
      <c r="AU452" s="280"/>
      <c r="AV452" s="280"/>
      <c r="AW452" s="280"/>
      <c r="AX452" s="280"/>
      <c r="AY452" s="280"/>
      <c r="AZ452" s="280"/>
      <c r="BA452" s="280"/>
      <c r="BB452" s="280"/>
      <c r="BC452" s="280"/>
      <c r="BD452" s="280"/>
      <c r="BE452" s="280"/>
      <c r="BF452" s="280"/>
      <c r="BG452" s="280"/>
      <c r="BH452" s="280"/>
      <c r="BI452" s="280"/>
      <c r="BJ452" s="280"/>
      <c r="BK452" s="280"/>
      <c r="BL452" s="280"/>
      <c r="BM452" s="280"/>
      <c r="BN452" s="280"/>
      <c r="BO452" s="280"/>
      <c r="BP452" s="280"/>
      <c r="BQ452" s="280"/>
      <c r="BR452" s="280"/>
      <c r="BS452" s="280"/>
      <c r="BT452" s="280"/>
      <c r="BU452" s="280"/>
      <c r="BV452" s="280"/>
    </row>
    <row r="453" spans="2:74" s="293" customFormat="1" x14ac:dyDescent="0.25">
      <c r="B453" s="280"/>
      <c r="C453" s="280"/>
      <c r="D453" s="280"/>
      <c r="E453" s="280"/>
      <c r="F453" s="280"/>
      <c r="G453" s="280"/>
      <c r="H453" s="280"/>
      <c r="I453" s="280"/>
      <c r="J453" s="280"/>
      <c r="K453" s="280"/>
      <c r="L453" s="283"/>
      <c r="M453" s="283"/>
      <c r="N453" s="280"/>
      <c r="O453" s="280"/>
      <c r="P453" s="280"/>
      <c r="Q453" s="280"/>
      <c r="R453" s="292"/>
      <c r="S453" s="292"/>
      <c r="T453" s="292"/>
      <c r="U453" s="292"/>
      <c r="V453" s="292"/>
      <c r="W453" s="292"/>
      <c r="X453" s="374"/>
      <c r="Y453" s="374"/>
      <c r="Z453" s="374"/>
      <c r="AA453" s="373"/>
      <c r="AB453" s="283"/>
      <c r="AC453" s="280"/>
      <c r="AD453" s="280"/>
      <c r="AE453" s="280"/>
      <c r="AF453" s="280"/>
      <c r="AG453" s="280"/>
      <c r="AH453" s="280"/>
      <c r="AI453" s="280"/>
      <c r="AJ453" s="280"/>
      <c r="AK453" s="280"/>
      <c r="AL453" s="280"/>
      <c r="AM453" s="280"/>
      <c r="AN453" s="280"/>
      <c r="AO453" s="280"/>
      <c r="AP453" s="280"/>
      <c r="AQ453" s="280"/>
      <c r="AR453" s="280"/>
      <c r="AS453" s="280"/>
      <c r="AT453" s="280"/>
      <c r="AU453" s="280"/>
      <c r="AV453" s="280"/>
      <c r="AW453" s="280"/>
      <c r="AX453" s="280"/>
      <c r="AY453" s="280"/>
      <c r="AZ453" s="280"/>
      <c r="BA453" s="280"/>
      <c r="BB453" s="280"/>
      <c r="BC453" s="280"/>
      <c r="BD453" s="280"/>
      <c r="BE453" s="280"/>
      <c r="BF453" s="280"/>
      <c r="BG453" s="280"/>
      <c r="BH453" s="280"/>
      <c r="BI453" s="280"/>
      <c r="BJ453" s="280"/>
      <c r="BK453" s="280"/>
      <c r="BL453" s="280"/>
      <c r="BM453" s="280"/>
      <c r="BN453" s="280"/>
      <c r="BO453" s="280"/>
      <c r="BP453" s="280"/>
      <c r="BQ453" s="280"/>
      <c r="BR453" s="280"/>
      <c r="BS453" s="280"/>
      <c r="BT453" s="280"/>
      <c r="BU453" s="280"/>
      <c r="BV453" s="280"/>
    </row>
    <row r="454" spans="2:74" s="293" customFormat="1" x14ac:dyDescent="0.25">
      <c r="B454" s="280"/>
      <c r="C454" s="280"/>
      <c r="D454" s="280"/>
      <c r="E454" s="280"/>
      <c r="F454" s="280"/>
      <c r="G454" s="280"/>
      <c r="H454" s="280"/>
      <c r="I454" s="280"/>
      <c r="J454" s="280"/>
      <c r="K454" s="280"/>
      <c r="L454" s="283"/>
      <c r="M454" s="283"/>
      <c r="N454" s="280"/>
      <c r="O454" s="280"/>
      <c r="P454" s="280"/>
      <c r="Q454" s="280"/>
      <c r="R454" s="292"/>
      <c r="S454" s="292"/>
      <c r="T454" s="292"/>
      <c r="U454" s="292"/>
      <c r="V454" s="292"/>
      <c r="W454" s="292"/>
      <c r="X454" s="374"/>
      <c r="Y454" s="374"/>
      <c r="Z454" s="374"/>
      <c r="AA454" s="373"/>
      <c r="AB454" s="283"/>
      <c r="AC454" s="280"/>
      <c r="AD454" s="280"/>
      <c r="AE454" s="280"/>
      <c r="AF454" s="280"/>
      <c r="AG454" s="280"/>
      <c r="AH454" s="280"/>
      <c r="AI454" s="280"/>
      <c r="AJ454" s="280"/>
      <c r="AK454" s="280"/>
      <c r="AL454" s="280"/>
      <c r="AM454" s="280"/>
      <c r="AN454" s="280"/>
      <c r="AO454" s="280"/>
      <c r="AP454" s="280"/>
      <c r="AQ454" s="280"/>
      <c r="AR454" s="280"/>
      <c r="AS454" s="280"/>
      <c r="AT454" s="280"/>
      <c r="AU454" s="280"/>
      <c r="AV454" s="280"/>
      <c r="AW454" s="280"/>
      <c r="AX454" s="280"/>
      <c r="AY454" s="280"/>
      <c r="AZ454" s="280"/>
      <c r="BA454" s="280"/>
      <c r="BB454" s="280"/>
      <c r="BC454" s="280"/>
      <c r="BD454" s="280"/>
      <c r="BE454" s="280"/>
      <c r="BF454" s="280"/>
      <c r="BG454" s="280"/>
      <c r="BH454" s="280"/>
      <c r="BI454" s="280"/>
      <c r="BJ454" s="280"/>
      <c r="BK454" s="280"/>
      <c r="BL454" s="280"/>
      <c r="BM454" s="280"/>
      <c r="BN454" s="280"/>
      <c r="BO454" s="280"/>
      <c r="BP454" s="280"/>
      <c r="BQ454" s="280"/>
      <c r="BR454" s="280"/>
      <c r="BS454" s="280"/>
      <c r="BT454" s="280"/>
      <c r="BU454" s="280"/>
      <c r="BV454" s="280"/>
    </row>
    <row r="455" spans="2:74" s="293" customFormat="1" x14ac:dyDescent="0.25">
      <c r="B455" s="280"/>
      <c r="C455" s="280"/>
      <c r="D455" s="280"/>
      <c r="E455" s="280"/>
      <c r="F455" s="280"/>
      <c r="G455" s="280"/>
      <c r="H455" s="280"/>
      <c r="I455" s="280"/>
      <c r="J455" s="280"/>
      <c r="K455" s="280"/>
      <c r="L455" s="283"/>
      <c r="M455" s="283"/>
      <c r="N455" s="280"/>
      <c r="O455" s="280"/>
      <c r="P455" s="280"/>
      <c r="Q455" s="280"/>
      <c r="R455" s="292"/>
      <c r="S455" s="292"/>
      <c r="T455" s="292"/>
      <c r="U455" s="292"/>
      <c r="V455" s="292"/>
      <c r="W455" s="292"/>
      <c r="X455" s="374"/>
      <c r="Y455" s="374"/>
      <c r="Z455" s="374"/>
      <c r="AA455" s="373"/>
      <c r="AB455" s="283"/>
      <c r="AC455" s="280"/>
      <c r="AD455" s="280"/>
      <c r="AE455" s="280"/>
      <c r="AF455" s="280"/>
      <c r="AG455" s="280"/>
      <c r="AH455" s="280"/>
      <c r="AI455" s="280"/>
      <c r="AJ455" s="280"/>
      <c r="AK455" s="280"/>
      <c r="AL455" s="280"/>
      <c r="AM455" s="280"/>
      <c r="AN455" s="280"/>
      <c r="AO455" s="280"/>
      <c r="AP455" s="280"/>
      <c r="AQ455" s="280"/>
      <c r="AR455" s="280"/>
      <c r="AS455" s="280"/>
      <c r="AT455" s="280"/>
      <c r="AU455" s="280"/>
      <c r="AV455" s="280"/>
      <c r="AW455" s="280"/>
      <c r="AX455" s="280"/>
      <c r="AY455" s="280"/>
      <c r="AZ455" s="280"/>
      <c r="BA455" s="280"/>
      <c r="BB455" s="280"/>
      <c r="BC455" s="280"/>
      <c r="BD455" s="280"/>
      <c r="BE455" s="280"/>
      <c r="BF455" s="280"/>
      <c r="BG455" s="280"/>
      <c r="BH455" s="280"/>
      <c r="BI455" s="280"/>
      <c r="BJ455" s="280"/>
      <c r="BK455" s="280"/>
      <c r="BL455" s="280"/>
      <c r="BM455" s="280"/>
      <c r="BN455" s="280"/>
      <c r="BO455" s="280"/>
      <c r="BP455" s="280"/>
      <c r="BQ455" s="280"/>
      <c r="BR455" s="280"/>
      <c r="BS455" s="280"/>
      <c r="BT455" s="280"/>
      <c r="BU455" s="280"/>
      <c r="BV455" s="280"/>
    </row>
    <row r="456" spans="2:74" s="293" customFormat="1" x14ac:dyDescent="0.25">
      <c r="B456" s="280"/>
      <c r="C456" s="280"/>
      <c r="D456" s="280"/>
      <c r="E456" s="280"/>
      <c r="F456" s="280"/>
      <c r="G456" s="280"/>
      <c r="H456" s="280"/>
      <c r="I456" s="280"/>
      <c r="J456" s="280"/>
      <c r="K456" s="280"/>
      <c r="L456" s="283"/>
      <c r="M456" s="283"/>
      <c r="N456" s="280"/>
      <c r="O456" s="280"/>
      <c r="P456" s="280"/>
      <c r="Q456" s="280"/>
      <c r="R456" s="292"/>
      <c r="S456" s="292"/>
      <c r="T456" s="292"/>
      <c r="U456" s="292"/>
      <c r="V456" s="292"/>
      <c r="W456" s="292"/>
      <c r="X456" s="374"/>
      <c r="Y456" s="374"/>
      <c r="Z456" s="374"/>
      <c r="AA456" s="373"/>
      <c r="AB456" s="283"/>
      <c r="AC456" s="280"/>
      <c r="AD456" s="280"/>
      <c r="AE456" s="280"/>
      <c r="AF456" s="280"/>
      <c r="AG456" s="280"/>
      <c r="AH456" s="280"/>
      <c r="AI456" s="280"/>
      <c r="AJ456" s="280"/>
      <c r="AK456" s="280"/>
      <c r="AL456" s="280"/>
      <c r="AM456" s="280"/>
      <c r="AN456" s="280"/>
      <c r="AO456" s="280"/>
      <c r="AP456" s="280"/>
      <c r="AQ456" s="280"/>
      <c r="AR456" s="280"/>
      <c r="AS456" s="280"/>
      <c r="AT456" s="280"/>
      <c r="AU456" s="280"/>
      <c r="AV456" s="280"/>
      <c r="AW456" s="280"/>
      <c r="AX456" s="280"/>
      <c r="AY456" s="280"/>
      <c r="AZ456" s="280"/>
      <c r="BA456" s="280"/>
      <c r="BB456" s="280"/>
      <c r="BC456" s="280"/>
      <c r="BD456" s="280"/>
      <c r="BE456" s="280"/>
      <c r="BF456" s="280"/>
      <c r="BG456" s="280"/>
      <c r="BH456" s="280"/>
      <c r="BI456" s="280"/>
      <c r="BJ456" s="280"/>
      <c r="BK456" s="280"/>
      <c r="BL456" s="280"/>
      <c r="BM456" s="280"/>
      <c r="BN456" s="280"/>
      <c r="BO456" s="280"/>
      <c r="BP456" s="280"/>
      <c r="BQ456" s="280"/>
      <c r="BR456" s="280"/>
      <c r="BS456" s="280"/>
      <c r="BT456" s="280"/>
      <c r="BU456" s="280"/>
      <c r="BV456" s="280"/>
    </row>
    <row r="457" spans="2:74" s="293" customFormat="1" x14ac:dyDescent="0.25">
      <c r="B457" s="280"/>
      <c r="C457" s="280"/>
      <c r="D457" s="280"/>
      <c r="E457" s="280"/>
      <c r="F457" s="280"/>
      <c r="G457" s="280"/>
      <c r="H457" s="280"/>
      <c r="I457" s="280"/>
      <c r="J457" s="280"/>
      <c r="K457" s="280"/>
      <c r="L457" s="283"/>
      <c r="M457" s="283"/>
      <c r="N457" s="280"/>
      <c r="O457" s="280"/>
      <c r="P457" s="280"/>
      <c r="Q457" s="280"/>
      <c r="R457" s="292"/>
      <c r="S457" s="292"/>
      <c r="T457" s="292"/>
      <c r="U457" s="292"/>
      <c r="V457" s="292"/>
      <c r="W457" s="292"/>
      <c r="X457" s="374"/>
      <c r="Y457" s="374"/>
      <c r="Z457" s="374"/>
      <c r="AA457" s="373"/>
      <c r="AB457" s="283"/>
      <c r="AC457" s="280"/>
      <c r="AD457" s="280"/>
      <c r="AE457" s="280"/>
      <c r="AF457" s="280"/>
      <c r="AG457" s="280"/>
      <c r="AH457" s="280"/>
      <c r="AI457" s="280"/>
      <c r="AJ457" s="280"/>
      <c r="AK457" s="280"/>
      <c r="AL457" s="280"/>
      <c r="AM457" s="280"/>
      <c r="AN457" s="280"/>
      <c r="AO457" s="280"/>
      <c r="AP457" s="280"/>
      <c r="AQ457" s="280"/>
      <c r="AR457" s="280"/>
      <c r="AS457" s="280"/>
      <c r="AT457" s="280"/>
      <c r="AU457" s="280"/>
      <c r="AV457" s="280"/>
      <c r="AW457" s="280"/>
      <c r="AX457" s="280"/>
      <c r="AY457" s="280"/>
      <c r="AZ457" s="280"/>
      <c r="BA457" s="280"/>
      <c r="BB457" s="280"/>
      <c r="BC457" s="280"/>
      <c r="BD457" s="280"/>
      <c r="BE457" s="280"/>
      <c r="BF457" s="280"/>
      <c r="BG457" s="280"/>
      <c r="BH457" s="280"/>
      <c r="BI457" s="280"/>
      <c r="BJ457" s="280"/>
      <c r="BK457" s="280"/>
      <c r="BL457" s="280"/>
      <c r="BM457" s="280"/>
      <c r="BN457" s="280"/>
      <c r="BO457" s="280"/>
      <c r="BP457" s="280"/>
      <c r="BQ457" s="280"/>
      <c r="BR457" s="280"/>
      <c r="BS457" s="280"/>
      <c r="BT457" s="280"/>
      <c r="BU457" s="280"/>
      <c r="BV457" s="280"/>
    </row>
    <row r="458" spans="2:74" s="293" customFormat="1" x14ac:dyDescent="0.25">
      <c r="B458" s="280"/>
      <c r="C458" s="280"/>
      <c r="D458" s="280"/>
      <c r="E458" s="280"/>
      <c r="F458" s="280"/>
      <c r="G458" s="280"/>
      <c r="H458" s="280"/>
      <c r="I458" s="280"/>
      <c r="J458" s="280"/>
      <c r="K458" s="280"/>
      <c r="L458" s="283"/>
      <c r="M458" s="283"/>
      <c r="N458" s="280"/>
      <c r="O458" s="280"/>
      <c r="P458" s="280"/>
      <c r="Q458" s="280"/>
      <c r="R458" s="292"/>
      <c r="S458" s="292"/>
      <c r="T458" s="292"/>
      <c r="U458" s="292"/>
      <c r="V458" s="292"/>
      <c r="W458" s="292"/>
      <c r="X458" s="374"/>
      <c r="Y458" s="374"/>
      <c r="Z458" s="374"/>
      <c r="AA458" s="373"/>
      <c r="AB458" s="283"/>
      <c r="AC458" s="280"/>
      <c r="AD458" s="280"/>
      <c r="AE458" s="280"/>
      <c r="AF458" s="280"/>
      <c r="AG458" s="280"/>
      <c r="AH458" s="280"/>
      <c r="AI458" s="280"/>
      <c r="AJ458" s="280"/>
      <c r="AK458" s="280"/>
      <c r="AL458" s="280"/>
      <c r="AM458" s="280"/>
      <c r="AN458" s="280"/>
      <c r="AO458" s="280"/>
      <c r="AP458" s="280"/>
      <c r="AQ458" s="280"/>
      <c r="AR458" s="280"/>
      <c r="AS458" s="280"/>
      <c r="AT458" s="280"/>
      <c r="AU458" s="280"/>
      <c r="AV458" s="280"/>
      <c r="AW458" s="280"/>
      <c r="AX458" s="280"/>
      <c r="AY458" s="280"/>
      <c r="AZ458" s="280"/>
      <c r="BA458" s="280"/>
      <c r="BB458" s="280"/>
      <c r="BC458" s="280"/>
      <c r="BD458" s="280"/>
      <c r="BE458" s="280"/>
      <c r="BF458" s="280"/>
      <c r="BG458" s="280"/>
      <c r="BH458" s="280"/>
      <c r="BI458" s="280"/>
      <c r="BJ458" s="280"/>
      <c r="BK458" s="280"/>
      <c r="BL458" s="280"/>
      <c r="BM458" s="280"/>
      <c r="BN458" s="280"/>
      <c r="BO458" s="280"/>
      <c r="BP458" s="280"/>
      <c r="BQ458" s="280"/>
      <c r="BR458" s="280"/>
      <c r="BS458" s="280"/>
      <c r="BT458" s="280"/>
      <c r="BU458" s="280"/>
      <c r="BV458" s="280"/>
    </row>
    <row r="459" spans="2:74" s="293" customFormat="1" x14ac:dyDescent="0.25">
      <c r="B459" s="280"/>
      <c r="C459" s="280"/>
      <c r="D459" s="280"/>
      <c r="E459" s="280"/>
      <c r="F459" s="280"/>
      <c r="G459" s="280"/>
      <c r="H459" s="280"/>
      <c r="I459" s="280"/>
      <c r="J459" s="280"/>
      <c r="K459" s="280"/>
      <c r="L459" s="283"/>
      <c r="M459" s="283"/>
      <c r="N459" s="280"/>
      <c r="O459" s="280"/>
      <c r="P459" s="280"/>
      <c r="Q459" s="280"/>
      <c r="R459" s="292"/>
      <c r="S459" s="292"/>
      <c r="T459" s="292"/>
      <c r="U459" s="292"/>
      <c r="V459" s="292"/>
      <c r="W459" s="292"/>
      <c r="X459" s="374"/>
      <c r="Y459" s="374"/>
      <c r="Z459" s="374"/>
      <c r="AA459" s="373"/>
      <c r="AB459" s="283"/>
      <c r="AC459" s="280"/>
      <c r="AD459" s="280"/>
      <c r="AE459" s="280"/>
      <c r="AF459" s="280"/>
      <c r="AG459" s="280"/>
      <c r="AH459" s="280"/>
      <c r="AI459" s="280"/>
      <c r="AJ459" s="280"/>
      <c r="AK459" s="280"/>
      <c r="AL459" s="280"/>
      <c r="AM459" s="280"/>
      <c r="AN459" s="280"/>
      <c r="AO459" s="280"/>
      <c r="AP459" s="280"/>
      <c r="AQ459" s="280"/>
      <c r="AR459" s="280"/>
      <c r="AS459" s="280"/>
      <c r="AT459" s="280"/>
      <c r="AU459" s="280"/>
      <c r="AV459" s="280"/>
      <c r="AW459" s="280"/>
      <c r="AX459" s="280"/>
      <c r="AY459" s="280"/>
      <c r="AZ459" s="280"/>
      <c r="BA459" s="280"/>
      <c r="BB459" s="280"/>
      <c r="BC459" s="280"/>
      <c r="BD459" s="280"/>
      <c r="BE459" s="280"/>
      <c r="BF459" s="280"/>
      <c r="BG459" s="280"/>
      <c r="BH459" s="280"/>
      <c r="BI459" s="280"/>
      <c r="BJ459" s="280"/>
      <c r="BK459" s="280"/>
      <c r="BL459" s="280"/>
      <c r="BM459" s="280"/>
      <c r="BN459" s="280"/>
      <c r="BO459" s="280"/>
      <c r="BP459" s="280"/>
      <c r="BQ459" s="280"/>
      <c r="BR459" s="280"/>
      <c r="BS459" s="280"/>
      <c r="BT459" s="280"/>
      <c r="BU459" s="280"/>
      <c r="BV459" s="280"/>
    </row>
    <row r="460" spans="2:74" s="293" customFormat="1" x14ac:dyDescent="0.25">
      <c r="B460" s="280"/>
      <c r="C460" s="280"/>
      <c r="D460" s="280"/>
      <c r="E460" s="280"/>
      <c r="F460" s="280"/>
      <c r="G460" s="280"/>
      <c r="H460" s="280"/>
      <c r="I460" s="280"/>
      <c r="J460" s="280"/>
      <c r="K460" s="280"/>
      <c r="L460" s="283"/>
      <c r="M460" s="283"/>
      <c r="N460" s="280"/>
      <c r="O460" s="280"/>
      <c r="P460" s="280"/>
      <c r="Q460" s="280"/>
      <c r="R460" s="292"/>
      <c r="S460" s="292"/>
      <c r="T460" s="292"/>
      <c r="U460" s="292"/>
      <c r="V460" s="292"/>
      <c r="W460" s="292"/>
      <c r="X460" s="374"/>
      <c r="Y460" s="374"/>
      <c r="Z460" s="374"/>
      <c r="AA460" s="373"/>
      <c r="AB460" s="283"/>
      <c r="AC460" s="280"/>
      <c r="AD460" s="280"/>
      <c r="AE460" s="280"/>
      <c r="AF460" s="280"/>
      <c r="AG460" s="280"/>
      <c r="AH460" s="280"/>
      <c r="AI460" s="280"/>
      <c r="AJ460" s="280"/>
      <c r="AK460" s="280"/>
      <c r="AL460" s="280"/>
      <c r="AM460" s="280"/>
      <c r="AN460" s="280"/>
      <c r="AO460" s="280"/>
      <c r="AP460" s="280"/>
      <c r="AQ460" s="280"/>
      <c r="AR460" s="280"/>
      <c r="AS460" s="280"/>
      <c r="AT460" s="280"/>
      <c r="AU460" s="280"/>
      <c r="AV460" s="280"/>
      <c r="AW460" s="280"/>
      <c r="AX460" s="280"/>
      <c r="AY460" s="280"/>
      <c r="AZ460" s="280"/>
      <c r="BA460" s="280"/>
      <c r="BB460" s="280"/>
      <c r="BC460" s="280"/>
      <c r="BD460" s="280"/>
      <c r="BE460" s="280"/>
      <c r="BF460" s="280"/>
      <c r="BG460" s="280"/>
      <c r="BH460" s="280"/>
      <c r="BI460" s="280"/>
      <c r="BJ460" s="280"/>
      <c r="BK460" s="280"/>
      <c r="BL460" s="280"/>
      <c r="BM460" s="280"/>
      <c r="BN460" s="280"/>
      <c r="BO460" s="280"/>
      <c r="BP460" s="280"/>
      <c r="BQ460" s="280"/>
      <c r="BR460" s="280"/>
      <c r="BS460" s="280"/>
      <c r="BT460" s="280"/>
      <c r="BU460" s="280"/>
      <c r="BV460" s="280"/>
    </row>
    <row r="461" spans="2:74" s="293" customFormat="1" x14ac:dyDescent="0.25">
      <c r="B461" s="280"/>
      <c r="C461" s="280"/>
      <c r="D461" s="280"/>
      <c r="E461" s="280"/>
      <c r="F461" s="280"/>
      <c r="G461" s="280"/>
      <c r="H461" s="280"/>
      <c r="I461" s="280"/>
      <c r="J461" s="280"/>
      <c r="K461" s="280"/>
      <c r="L461" s="283"/>
      <c r="M461" s="283"/>
      <c r="N461" s="280"/>
      <c r="O461" s="280"/>
      <c r="P461" s="280"/>
      <c r="Q461" s="280"/>
      <c r="R461" s="292"/>
      <c r="S461" s="292"/>
      <c r="T461" s="292"/>
      <c r="U461" s="292"/>
      <c r="V461" s="292"/>
      <c r="W461" s="292"/>
      <c r="X461" s="374"/>
      <c r="Y461" s="374"/>
      <c r="Z461" s="374"/>
      <c r="AA461" s="373"/>
      <c r="AB461" s="283"/>
      <c r="AC461" s="280"/>
      <c r="AD461" s="280"/>
      <c r="AE461" s="280"/>
      <c r="AF461" s="280"/>
      <c r="AG461" s="280"/>
      <c r="AH461" s="280"/>
      <c r="AI461" s="280"/>
      <c r="AJ461" s="280"/>
      <c r="AK461" s="280"/>
      <c r="AL461" s="280"/>
      <c r="AM461" s="280"/>
      <c r="AN461" s="280"/>
      <c r="AO461" s="280"/>
      <c r="AP461" s="280"/>
      <c r="AQ461" s="280"/>
      <c r="AR461" s="280"/>
      <c r="AS461" s="280"/>
      <c r="AT461" s="280"/>
      <c r="AU461" s="280"/>
      <c r="AV461" s="280"/>
      <c r="AW461" s="280"/>
      <c r="AX461" s="280"/>
      <c r="AY461" s="280"/>
      <c r="AZ461" s="280"/>
      <c r="BA461" s="280"/>
      <c r="BB461" s="280"/>
      <c r="BC461" s="280"/>
      <c r="BD461" s="280"/>
      <c r="BE461" s="280"/>
      <c r="BF461" s="280"/>
      <c r="BG461" s="280"/>
      <c r="BH461" s="280"/>
      <c r="BI461" s="280"/>
      <c r="BJ461" s="280"/>
      <c r="BK461" s="280"/>
      <c r="BL461" s="280"/>
      <c r="BM461" s="280"/>
      <c r="BN461" s="280"/>
      <c r="BO461" s="280"/>
      <c r="BP461" s="280"/>
      <c r="BQ461" s="280"/>
      <c r="BR461" s="280"/>
      <c r="BS461" s="280"/>
      <c r="BT461" s="280"/>
      <c r="BU461" s="280"/>
      <c r="BV461" s="280"/>
    </row>
    <row r="462" spans="2:74" s="293" customFormat="1" x14ac:dyDescent="0.25">
      <c r="B462" s="280"/>
      <c r="C462" s="280"/>
      <c r="D462" s="280"/>
      <c r="E462" s="280"/>
      <c r="F462" s="280"/>
      <c r="G462" s="280"/>
      <c r="H462" s="280"/>
      <c r="I462" s="280"/>
      <c r="J462" s="280"/>
      <c r="K462" s="280"/>
      <c r="L462" s="283"/>
      <c r="M462" s="283"/>
      <c r="N462" s="280"/>
      <c r="O462" s="280"/>
      <c r="P462" s="280"/>
      <c r="Q462" s="280"/>
      <c r="R462" s="292"/>
      <c r="S462" s="292"/>
      <c r="T462" s="292"/>
      <c r="U462" s="292"/>
      <c r="V462" s="292"/>
      <c r="W462" s="292"/>
      <c r="X462" s="374"/>
      <c r="Y462" s="374"/>
      <c r="Z462" s="374"/>
      <c r="AA462" s="373"/>
      <c r="AB462" s="283"/>
      <c r="AC462" s="280"/>
      <c r="AD462" s="280"/>
      <c r="AE462" s="280"/>
      <c r="AF462" s="280"/>
      <c r="AG462" s="280"/>
      <c r="AH462" s="280"/>
      <c r="AI462" s="280"/>
      <c r="AJ462" s="280"/>
      <c r="AK462" s="280"/>
      <c r="AL462" s="280"/>
      <c r="AM462" s="280"/>
      <c r="AN462" s="280"/>
      <c r="AO462" s="280"/>
      <c r="AP462" s="280"/>
      <c r="AQ462" s="280"/>
      <c r="AR462" s="280"/>
      <c r="AS462" s="280"/>
      <c r="AT462" s="280"/>
      <c r="AU462" s="280"/>
      <c r="AV462" s="280"/>
      <c r="AW462" s="280"/>
      <c r="AX462" s="280"/>
      <c r="AY462" s="280"/>
      <c r="AZ462" s="280"/>
      <c r="BA462" s="280"/>
      <c r="BB462" s="280"/>
      <c r="BC462" s="280"/>
      <c r="BD462" s="280"/>
      <c r="BE462" s="280"/>
      <c r="BF462" s="280"/>
      <c r="BG462" s="280"/>
      <c r="BH462" s="280"/>
      <c r="BI462" s="280"/>
      <c r="BJ462" s="280"/>
      <c r="BK462" s="280"/>
      <c r="BL462" s="280"/>
      <c r="BM462" s="280"/>
      <c r="BN462" s="280"/>
      <c r="BO462" s="280"/>
      <c r="BP462" s="280"/>
      <c r="BQ462" s="280"/>
      <c r="BR462" s="280"/>
      <c r="BS462" s="280"/>
      <c r="BT462" s="280"/>
      <c r="BU462" s="280"/>
      <c r="BV462" s="280"/>
    </row>
    <row r="463" spans="2:74" s="293" customFormat="1" x14ac:dyDescent="0.25">
      <c r="B463" s="280"/>
      <c r="C463" s="280"/>
      <c r="D463" s="280"/>
      <c r="E463" s="280"/>
      <c r="F463" s="280"/>
      <c r="G463" s="280"/>
      <c r="H463" s="280"/>
      <c r="I463" s="280"/>
      <c r="J463" s="280"/>
      <c r="K463" s="280"/>
      <c r="L463" s="283"/>
      <c r="M463" s="283"/>
      <c r="N463" s="280"/>
      <c r="O463" s="280"/>
      <c r="P463" s="280"/>
      <c r="Q463" s="280"/>
      <c r="R463" s="292"/>
      <c r="S463" s="292"/>
      <c r="T463" s="292"/>
      <c r="U463" s="292"/>
      <c r="V463" s="292"/>
      <c r="W463" s="292"/>
      <c r="X463" s="374"/>
      <c r="Y463" s="374"/>
      <c r="Z463" s="374"/>
      <c r="AA463" s="373"/>
      <c r="AB463" s="283"/>
      <c r="AC463" s="280"/>
      <c r="AD463" s="280"/>
      <c r="AE463" s="280"/>
      <c r="AF463" s="280"/>
      <c r="AG463" s="280"/>
      <c r="AH463" s="280"/>
      <c r="AI463" s="280"/>
      <c r="AJ463" s="280"/>
      <c r="AK463" s="280"/>
      <c r="AL463" s="280"/>
      <c r="AM463" s="280"/>
      <c r="AN463" s="280"/>
      <c r="AO463" s="280"/>
      <c r="AP463" s="280"/>
      <c r="AQ463" s="280"/>
      <c r="AR463" s="280"/>
      <c r="AS463" s="280"/>
      <c r="AT463" s="280"/>
      <c r="AU463" s="280"/>
      <c r="AV463" s="280"/>
      <c r="AW463" s="280"/>
      <c r="AX463" s="280"/>
      <c r="AY463" s="280"/>
      <c r="AZ463" s="280"/>
      <c r="BA463" s="280"/>
      <c r="BB463" s="280"/>
      <c r="BC463" s="280"/>
      <c r="BD463" s="280"/>
      <c r="BE463" s="280"/>
      <c r="BF463" s="280"/>
      <c r="BG463" s="280"/>
      <c r="BH463" s="280"/>
      <c r="BI463" s="280"/>
      <c r="BJ463" s="280"/>
      <c r="BK463" s="280"/>
      <c r="BL463" s="280"/>
      <c r="BM463" s="280"/>
      <c r="BN463" s="280"/>
      <c r="BO463" s="280"/>
      <c r="BP463" s="280"/>
      <c r="BQ463" s="280"/>
      <c r="BR463" s="280"/>
      <c r="BS463" s="280"/>
      <c r="BT463" s="280"/>
      <c r="BU463" s="280"/>
      <c r="BV463" s="280"/>
    </row>
    <row r="464" spans="2:74" s="293" customFormat="1" x14ac:dyDescent="0.25">
      <c r="B464" s="280"/>
      <c r="C464" s="280"/>
      <c r="D464" s="280"/>
      <c r="E464" s="280"/>
      <c r="F464" s="280"/>
      <c r="G464" s="280"/>
      <c r="H464" s="280"/>
      <c r="I464" s="280"/>
      <c r="J464" s="280"/>
      <c r="K464" s="280"/>
      <c r="L464" s="283"/>
      <c r="M464" s="283"/>
      <c r="N464" s="280"/>
      <c r="O464" s="280"/>
      <c r="P464" s="280"/>
      <c r="Q464" s="280"/>
      <c r="R464" s="292"/>
      <c r="S464" s="292"/>
      <c r="T464" s="292"/>
      <c r="U464" s="292"/>
      <c r="V464" s="292"/>
      <c r="W464" s="292"/>
      <c r="X464" s="374"/>
      <c r="Y464" s="374"/>
      <c r="Z464" s="374"/>
      <c r="AA464" s="373"/>
      <c r="AB464" s="283"/>
      <c r="AC464" s="280"/>
      <c r="AD464" s="280"/>
      <c r="AE464" s="280"/>
      <c r="AF464" s="280"/>
      <c r="AG464" s="280"/>
      <c r="AH464" s="280"/>
      <c r="AI464" s="280"/>
      <c r="AJ464" s="280"/>
      <c r="AK464" s="280"/>
      <c r="AL464" s="280"/>
      <c r="AM464" s="280"/>
      <c r="AN464" s="280"/>
      <c r="AO464" s="280"/>
      <c r="AP464" s="280"/>
      <c r="AQ464" s="280"/>
      <c r="AR464" s="280"/>
      <c r="AS464" s="280"/>
      <c r="AT464" s="280"/>
      <c r="AU464" s="280"/>
      <c r="AV464" s="280"/>
      <c r="AW464" s="280"/>
      <c r="AX464" s="280"/>
      <c r="AY464" s="280"/>
      <c r="AZ464" s="280"/>
      <c r="BA464" s="280"/>
      <c r="BB464" s="280"/>
      <c r="BC464" s="280"/>
      <c r="BD464" s="280"/>
      <c r="BE464" s="280"/>
      <c r="BF464" s="280"/>
      <c r="BG464" s="280"/>
      <c r="BH464" s="280"/>
      <c r="BI464" s="280"/>
      <c r="BJ464" s="280"/>
      <c r="BK464" s="280"/>
      <c r="BL464" s="280"/>
      <c r="BM464" s="280"/>
      <c r="BN464" s="280"/>
      <c r="BO464" s="280"/>
      <c r="BP464" s="280"/>
      <c r="BQ464" s="280"/>
      <c r="BR464" s="280"/>
      <c r="BS464" s="280"/>
      <c r="BT464" s="280"/>
      <c r="BU464" s="280"/>
      <c r="BV464" s="280"/>
    </row>
    <row r="465" spans="2:74" s="293" customFormat="1" x14ac:dyDescent="0.25">
      <c r="B465" s="280"/>
      <c r="C465" s="280"/>
      <c r="D465" s="280"/>
      <c r="E465" s="280"/>
      <c r="F465" s="280"/>
      <c r="G465" s="280"/>
      <c r="H465" s="280"/>
      <c r="I465" s="280"/>
      <c r="J465" s="280"/>
      <c r="K465" s="280"/>
      <c r="L465" s="283"/>
      <c r="M465" s="283"/>
      <c r="N465" s="280"/>
      <c r="O465" s="280"/>
      <c r="P465" s="280"/>
      <c r="Q465" s="280"/>
      <c r="R465" s="292"/>
      <c r="S465" s="292"/>
      <c r="T465" s="292"/>
      <c r="U465" s="292"/>
      <c r="V465" s="292"/>
      <c r="W465" s="292"/>
      <c r="X465" s="374"/>
      <c r="Y465" s="374"/>
      <c r="Z465" s="374"/>
      <c r="AA465" s="373"/>
      <c r="AB465" s="283"/>
      <c r="AC465" s="280"/>
      <c r="AD465" s="280"/>
      <c r="AE465" s="280"/>
      <c r="AF465" s="280"/>
      <c r="AG465" s="280"/>
      <c r="AH465" s="280"/>
      <c r="AI465" s="280"/>
      <c r="AJ465" s="280"/>
      <c r="AK465" s="280"/>
      <c r="AL465" s="280"/>
      <c r="AM465" s="280"/>
      <c r="AN465" s="280"/>
      <c r="AO465" s="280"/>
      <c r="AP465" s="280"/>
      <c r="AQ465" s="280"/>
      <c r="AR465" s="280"/>
      <c r="AS465" s="280"/>
      <c r="AT465" s="280"/>
      <c r="AU465" s="280"/>
      <c r="AV465" s="280"/>
      <c r="AW465" s="280"/>
      <c r="AX465" s="280"/>
      <c r="AY465" s="280"/>
      <c r="AZ465" s="280"/>
      <c r="BA465" s="280"/>
      <c r="BB465" s="280"/>
      <c r="BC465" s="280"/>
      <c r="BD465" s="280"/>
      <c r="BE465" s="280"/>
      <c r="BF465" s="280"/>
      <c r="BG465" s="280"/>
      <c r="BH465" s="280"/>
      <c r="BI465" s="280"/>
      <c r="BJ465" s="280"/>
      <c r="BK465" s="280"/>
      <c r="BL465" s="280"/>
      <c r="BM465" s="280"/>
      <c r="BN465" s="280"/>
      <c r="BO465" s="280"/>
      <c r="BP465" s="280"/>
      <c r="BQ465" s="280"/>
      <c r="BR465" s="280"/>
      <c r="BS465" s="280"/>
      <c r="BT465" s="280"/>
      <c r="BU465" s="280"/>
      <c r="BV465" s="280"/>
    </row>
    <row r="466" spans="2:74" s="293" customFormat="1" x14ac:dyDescent="0.25">
      <c r="B466" s="280"/>
      <c r="C466" s="280"/>
      <c r="D466" s="280"/>
      <c r="E466" s="280"/>
      <c r="F466" s="280"/>
      <c r="G466" s="280"/>
      <c r="H466" s="280"/>
      <c r="I466" s="280"/>
      <c r="J466" s="280"/>
      <c r="K466" s="280"/>
      <c r="L466" s="283"/>
      <c r="M466" s="283"/>
      <c r="N466" s="280"/>
      <c r="O466" s="280"/>
      <c r="P466" s="280"/>
      <c r="Q466" s="280"/>
      <c r="R466" s="292"/>
      <c r="S466" s="292"/>
      <c r="T466" s="292"/>
      <c r="U466" s="292"/>
      <c r="V466" s="292"/>
      <c r="W466" s="292"/>
      <c r="X466" s="374"/>
      <c r="Y466" s="374"/>
      <c r="Z466" s="374"/>
      <c r="AA466" s="373"/>
      <c r="AB466" s="283"/>
      <c r="AC466" s="280"/>
      <c r="AD466" s="280"/>
      <c r="AE466" s="280"/>
      <c r="AF466" s="280"/>
      <c r="AG466" s="280"/>
      <c r="AH466" s="280"/>
      <c r="AI466" s="280"/>
      <c r="AJ466" s="280"/>
      <c r="AK466" s="280"/>
      <c r="AL466" s="280"/>
      <c r="AM466" s="280"/>
      <c r="AN466" s="280"/>
      <c r="AO466" s="280"/>
      <c r="AP466" s="280"/>
      <c r="AQ466" s="280"/>
      <c r="AR466" s="280"/>
      <c r="AS466" s="280"/>
      <c r="AT466" s="280"/>
      <c r="AU466" s="280"/>
      <c r="AV466" s="280"/>
      <c r="AW466" s="280"/>
      <c r="AX466" s="280"/>
      <c r="AY466" s="280"/>
      <c r="AZ466" s="280"/>
      <c r="BA466" s="280"/>
      <c r="BB466" s="280"/>
      <c r="BC466" s="280"/>
      <c r="BD466" s="280"/>
      <c r="BE466" s="280"/>
      <c r="BF466" s="280"/>
      <c r="BG466" s="280"/>
      <c r="BH466" s="280"/>
      <c r="BI466" s="280"/>
      <c r="BJ466" s="280"/>
      <c r="BK466" s="280"/>
      <c r="BL466" s="280"/>
      <c r="BM466" s="280"/>
      <c r="BN466" s="280"/>
      <c r="BO466" s="280"/>
      <c r="BP466" s="280"/>
      <c r="BQ466" s="280"/>
      <c r="BR466" s="280"/>
      <c r="BS466" s="280"/>
      <c r="BT466" s="280"/>
      <c r="BU466" s="280"/>
      <c r="BV466" s="280"/>
    </row>
    <row r="467" spans="2:74" s="293" customFormat="1" x14ac:dyDescent="0.25">
      <c r="B467" s="280"/>
      <c r="C467" s="280"/>
      <c r="D467" s="280"/>
      <c r="E467" s="280"/>
      <c r="F467" s="280"/>
      <c r="G467" s="280"/>
      <c r="H467" s="280"/>
      <c r="I467" s="280"/>
      <c r="J467" s="280"/>
      <c r="K467" s="280"/>
      <c r="L467" s="283"/>
      <c r="M467" s="283"/>
      <c r="N467" s="280"/>
      <c r="O467" s="280"/>
      <c r="P467" s="280"/>
      <c r="Q467" s="280"/>
      <c r="R467" s="292"/>
      <c r="S467" s="292"/>
      <c r="T467" s="292"/>
      <c r="U467" s="292"/>
      <c r="V467" s="292"/>
      <c r="W467" s="292"/>
      <c r="X467" s="374"/>
      <c r="Y467" s="374"/>
      <c r="Z467" s="374"/>
      <c r="AA467" s="373"/>
      <c r="AB467" s="283"/>
      <c r="AC467" s="280"/>
      <c r="AD467" s="280"/>
      <c r="AE467" s="280"/>
      <c r="AF467" s="280"/>
      <c r="AG467" s="280"/>
      <c r="AH467" s="280"/>
      <c r="AI467" s="280"/>
      <c r="AJ467" s="280"/>
      <c r="AK467" s="280"/>
      <c r="AL467" s="280"/>
      <c r="AM467" s="280"/>
      <c r="AN467" s="280"/>
      <c r="AO467" s="280"/>
      <c r="AP467" s="280"/>
      <c r="AQ467" s="280"/>
      <c r="AR467" s="280"/>
      <c r="AS467" s="280"/>
      <c r="AT467" s="280"/>
      <c r="AU467" s="280"/>
      <c r="AV467" s="280"/>
      <c r="AW467" s="280"/>
      <c r="AX467" s="280"/>
      <c r="AY467" s="280"/>
      <c r="AZ467" s="280"/>
      <c r="BA467" s="280"/>
      <c r="BB467" s="280"/>
      <c r="BC467" s="280"/>
      <c r="BD467" s="280"/>
      <c r="BE467" s="280"/>
      <c r="BF467" s="280"/>
      <c r="BG467" s="280"/>
      <c r="BH467" s="280"/>
      <c r="BI467" s="280"/>
      <c r="BJ467" s="280"/>
      <c r="BK467" s="280"/>
      <c r="BL467" s="280"/>
      <c r="BM467" s="280"/>
      <c r="BN467" s="280"/>
      <c r="BO467" s="280"/>
      <c r="BP467" s="280"/>
      <c r="BQ467" s="280"/>
      <c r="BR467" s="280"/>
      <c r="BS467" s="280"/>
      <c r="BT467" s="280"/>
      <c r="BU467" s="280"/>
      <c r="BV467" s="280"/>
    </row>
    <row r="468" spans="2:74" s="293" customFormat="1" x14ac:dyDescent="0.25">
      <c r="B468" s="280"/>
      <c r="C468" s="280"/>
      <c r="D468" s="280"/>
      <c r="E468" s="280"/>
      <c r="F468" s="280"/>
      <c r="G468" s="280"/>
      <c r="H468" s="280"/>
      <c r="I468" s="280"/>
      <c r="J468" s="280"/>
      <c r="K468" s="280"/>
      <c r="L468" s="283"/>
      <c r="M468" s="283"/>
      <c r="N468" s="280"/>
      <c r="O468" s="280"/>
      <c r="P468" s="280"/>
      <c r="Q468" s="280"/>
      <c r="R468" s="292"/>
      <c r="S468" s="292"/>
      <c r="T468" s="292"/>
      <c r="U468" s="292"/>
      <c r="V468" s="292"/>
      <c r="W468" s="292"/>
      <c r="X468" s="374"/>
      <c r="Y468" s="374"/>
      <c r="Z468" s="374"/>
      <c r="AA468" s="373"/>
      <c r="AB468" s="283"/>
      <c r="AC468" s="280"/>
      <c r="AD468" s="280"/>
      <c r="AE468" s="280"/>
      <c r="AF468" s="280"/>
      <c r="AG468" s="280"/>
      <c r="AH468" s="280"/>
      <c r="AI468" s="280"/>
      <c r="AJ468" s="280"/>
      <c r="AK468" s="280"/>
      <c r="AL468" s="280"/>
      <c r="AM468" s="280"/>
      <c r="AN468" s="280"/>
      <c r="AO468" s="280"/>
      <c r="AP468" s="280"/>
      <c r="AQ468" s="280"/>
      <c r="AR468" s="280"/>
      <c r="AS468" s="280"/>
      <c r="AT468" s="280"/>
      <c r="AU468" s="280"/>
      <c r="AV468" s="280"/>
      <c r="AW468" s="280"/>
      <c r="AX468" s="280"/>
      <c r="AY468" s="280"/>
      <c r="AZ468" s="280"/>
      <c r="BA468" s="280"/>
      <c r="BB468" s="280"/>
      <c r="BC468" s="280"/>
      <c r="BD468" s="280"/>
      <c r="BE468" s="280"/>
      <c r="BF468" s="280"/>
      <c r="BG468" s="280"/>
      <c r="BH468" s="280"/>
      <c r="BI468" s="280"/>
      <c r="BJ468" s="280"/>
      <c r="BK468" s="280"/>
      <c r="BL468" s="280"/>
      <c r="BM468" s="280"/>
      <c r="BN468" s="280"/>
      <c r="BO468" s="280"/>
      <c r="BP468" s="280"/>
      <c r="BQ468" s="280"/>
      <c r="BR468" s="280"/>
      <c r="BS468" s="280"/>
      <c r="BT468" s="280"/>
      <c r="BU468" s="280"/>
      <c r="BV468" s="280"/>
    </row>
    <row r="469" spans="2:74" s="293" customFormat="1" x14ac:dyDescent="0.25">
      <c r="B469" s="280"/>
      <c r="C469" s="280"/>
      <c r="D469" s="280"/>
      <c r="E469" s="280"/>
      <c r="F469" s="280"/>
      <c r="G469" s="280"/>
      <c r="H469" s="280"/>
      <c r="I469" s="280"/>
      <c r="J469" s="280"/>
      <c r="K469" s="280"/>
      <c r="L469" s="283"/>
      <c r="M469" s="283"/>
      <c r="N469" s="280"/>
      <c r="O469" s="280"/>
      <c r="P469" s="280"/>
      <c r="Q469" s="280"/>
      <c r="R469" s="292"/>
      <c r="S469" s="292"/>
      <c r="T469" s="292"/>
      <c r="U469" s="292"/>
      <c r="V469" s="292"/>
      <c r="W469" s="292"/>
      <c r="X469" s="374"/>
      <c r="Y469" s="374"/>
      <c r="Z469" s="374"/>
      <c r="AA469" s="373"/>
      <c r="AB469" s="283"/>
      <c r="AC469" s="280"/>
      <c r="AD469" s="280"/>
      <c r="AE469" s="280"/>
      <c r="AF469" s="280"/>
      <c r="AG469" s="280"/>
      <c r="AH469" s="280"/>
      <c r="AI469" s="280"/>
      <c r="AJ469" s="280"/>
      <c r="AK469" s="280"/>
      <c r="AL469" s="280"/>
      <c r="AM469" s="280"/>
      <c r="AN469" s="280"/>
      <c r="AO469" s="280"/>
      <c r="AP469" s="280"/>
      <c r="AQ469" s="280"/>
      <c r="AR469" s="280"/>
      <c r="AS469" s="280"/>
      <c r="AT469" s="280"/>
      <c r="AU469" s="280"/>
      <c r="AV469" s="280"/>
      <c r="AW469" s="280"/>
      <c r="AX469" s="280"/>
      <c r="AY469" s="280"/>
      <c r="AZ469" s="280"/>
      <c r="BA469" s="280"/>
      <c r="BB469" s="280"/>
      <c r="BC469" s="280"/>
      <c r="BD469" s="280"/>
      <c r="BE469" s="280"/>
      <c r="BF469" s="280"/>
      <c r="BG469" s="280"/>
      <c r="BH469" s="280"/>
      <c r="BI469" s="280"/>
      <c r="BJ469" s="280"/>
      <c r="BK469" s="280"/>
      <c r="BL469" s="280"/>
      <c r="BM469" s="280"/>
      <c r="BN469" s="280"/>
      <c r="BO469" s="280"/>
      <c r="BP469" s="280"/>
      <c r="BQ469" s="280"/>
      <c r="BR469" s="280"/>
      <c r="BS469" s="280"/>
      <c r="BT469" s="280"/>
      <c r="BU469" s="280"/>
      <c r="BV469" s="280"/>
    </row>
    <row r="470" spans="2:74" s="293" customFormat="1" x14ac:dyDescent="0.25">
      <c r="B470" s="280"/>
      <c r="C470" s="280"/>
      <c r="D470" s="280"/>
      <c r="E470" s="280"/>
      <c r="F470" s="280"/>
      <c r="G470" s="280"/>
      <c r="H470" s="280"/>
      <c r="I470" s="280"/>
      <c r="J470" s="280"/>
      <c r="K470" s="280"/>
      <c r="L470" s="283"/>
      <c r="M470" s="283"/>
      <c r="N470" s="280"/>
      <c r="O470" s="280"/>
      <c r="P470" s="280"/>
      <c r="Q470" s="280"/>
      <c r="R470" s="292"/>
      <c r="S470" s="292"/>
      <c r="T470" s="292"/>
      <c r="U470" s="292"/>
      <c r="V470" s="292"/>
      <c r="W470" s="292"/>
      <c r="X470" s="374"/>
      <c r="Y470" s="374"/>
      <c r="Z470" s="374"/>
      <c r="AA470" s="373"/>
      <c r="AB470" s="283"/>
      <c r="AC470" s="280"/>
      <c r="AD470" s="280"/>
      <c r="AE470" s="280"/>
      <c r="AF470" s="280"/>
      <c r="AG470" s="280"/>
      <c r="AH470" s="280"/>
      <c r="AI470" s="280"/>
      <c r="AJ470" s="280"/>
      <c r="AK470" s="280"/>
      <c r="AL470" s="280"/>
      <c r="AM470" s="280"/>
      <c r="AN470" s="280"/>
      <c r="AO470" s="280"/>
      <c r="AP470" s="280"/>
      <c r="AQ470" s="280"/>
      <c r="AR470" s="280"/>
      <c r="AS470" s="280"/>
      <c r="AT470" s="280"/>
      <c r="AU470" s="280"/>
      <c r="AV470" s="280"/>
      <c r="AW470" s="280"/>
      <c r="AX470" s="280"/>
      <c r="AY470" s="280"/>
      <c r="AZ470" s="280"/>
      <c r="BA470" s="280"/>
      <c r="BB470" s="280"/>
      <c r="BC470" s="280"/>
      <c r="BD470" s="280"/>
      <c r="BE470" s="280"/>
      <c r="BF470" s="280"/>
      <c r="BG470" s="280"/>
      <c r="BH470" s="280"/>
      <c r="BI470" s="280"/>
      <c r="BJ470" s="280"/>
      <c r="BK470" s="280"/>
      <c r="BL470" s="280"/>
      <c r="BM470" s="280"/>
      <c r="BN470" s="280"/>
      <c r="BO470" s="280"/>
      <c r="BP470" s="280"/>
      <c r="BQ470" s="280"/>
      <c r="BR470" s="280"/>
      <c r="BS470" s="280"/>
      <c r="BT470" s="280"/>
      <c r="BU470" s="280"/>
      <c r="BV470" s="280"/>
    </row>
    <row r="471" spans="2:74" s="293" customFormat="1" x14ac:dyDescent="0.25">
      <c r="B471" s="280"/>
      <c r="C471" s="280"/>
      <c r="D471" s="280"/>
      <c r="E471" s="280"/>
      <c r="F471" s="280"/>
      <c r="G471" s="280"/>
      <c r="H471" s="280"/>
      <c r="I471" s="280"/>
      <c r="J471" s="280"/>
      <c r="K471" s="280"/>
      <c r="L471" s="283"/>
      <c r="M471" s="283"/>
      <c r="N471" s="280"/>
      <c r="O471" s="280"/>
      <c r="P471" s="280"/>
      <c r="Q471" s="280"/>
      <c r="R471" s="292"/>
      <c r="S471" s="292"/>
      <c r="T471" s="292"/>
      <c r="U471" s="292"/>
      <c r="V471" s="292"/>
      <c r="W471" s="292"/>
      <c r="X471" s="374"/>
      <c r="Y471" s="374"/>
      <c r="Z471" s="374"/>
      <c r="AA471" s="373"/>
      <c r="AB471" s="283"/>
      <c r="AC471" s="280"/>
      <c r="AD471" s="280"/>
      <c r="AE471" s="280"/>
      <c r="AF471" s="280"/>
      <c r="AG471" s="280"/>
      <c r="AH471" s="280"/>
      <c r="AI471" s="280"/>
      <c r="AJ471" s="280"/>
      <c r="AK471" s="280"/>
      <c r="AL471" s="280"/>
      <c r="AM471" s="280"/>
      <c r="AN471" s="280"/>
      <c r="AO471" s="280"/>
      <c r="AP471" s="280"/>
      <c r="AQ471" s="280"/>
      <c r="AR471" s="280"/>
      <c r="AS471" s="280"/>
      <c r="AT471" s="280"/>
      <c r="AU471" s="280"/>
      <c r="AV471" s="280"/>
      <c r="AW471" s="280"/>
      <c r="AX471" s="280"/>
      <c r="AY471" s="280"/>
      <c r="AZ471" s="280"/>
      <c r="BA471" s="280"/>
      <c r="BB471" s="280"/>
      <c r="BC471" s="280"/>
      <c r="BD471" s="280"/>
      <c r="BE471" s="280"/>
      <c r="BF471" s="280"/>
      <c r="BG471" s="280"/>
      <c r="BH471" s="280"/>
      <c r="BI471" s="280"/>
      <c r="BJ471" s="280"/>
      <c r="BK471" s="280"/>
      <c r="BL471" s="280"/>
      <c r="BM471" s="280"/>
      <c r="BN471" s="280"/>
      <c r="BO471" s="280"/>
      <c r="BP471" s="280"/>
      <c r="BQ471" s="280"/>
      <c r="BR471" s="280"/>
      <c r="BS471" s="280"/>
      <c r="BT471" s="280"/>
      <c r="BU471" s="280"/>
      <c r="BV471" s="280"/>
    </row>
    <row r="472" spans="2:74" s="293" customFormat="1" x14ac:dyDescent="0.25">
      <c r="B472" s="280"/>
      <c r="C472" s="280"/>
      <c r="D472" s="280"/>
      <c r="E472" s="280"/>
      <c r="F472" s="280"/>
      <c r="G472" s="280"/>
      <c r="H472" s="280"/>
      <c r="I472" s="280"/>
      <c r="J472" s="280"/>
      <c r="K472" s="280"/>
      <c r="L472" s="283"/>
      <c r="M472" s="283"/>
      <c r="N472" s="280"/>
      <c r="O472" s="280"/>
      <c r="P472" s="280"/>
      <c r="Q472" s="280"/>
      <c r="R472" s="292"/>
      <c r="S472" s="292"/>
      <c r="T472" s="292"/>
      <c r="U472" s="292"/>
      <c r="V472" s="292"/>
      <c r="W472" s="292"/>
      <c r="X472" s="374"/>
      <c r="Y472" s="374"/>
      <c r="Z472" s="374"/>
      <c r="AA472" s="373"/>
      <c r="AB472" s="283"/>
      <c r="AC472" s="280"/>
      <c r="AD472" s="280"/>
      <c r="AE472" s="280"/>
      <c r="AF472" s="280"/>
      <c r="AG472" s="280"/>
      <c r="AH472" s="280"/>
      <c r="AI472" s="280"/>
      <c r="AJ472" s="280"/>
      <c r="AK472" s="280"/>
      <c r="AL472" s="280"/>
      <c r="AM472" s="280"/>
      <c r="AN472" s="280"/>
      <c r="AO472" s="280"/>
      <c r="AP472" s="280"/>
      <c r="AQ472" s="280"/>
      <c r="AR472" s="280"/>
      <c r="AS472" s="280"/>
      <c r="AT472" s="280"/>
      <c r="AU472" s="280"/>
      <c r="AV472" s="280"/>
      <c r="AW472" s="280"/>
      <c r="AX472" s="280"/>
      <c r="AY472" s="280"/>
      <c r="AZ472" s="280"/>
      <c r="BA472" s="280"/>
      <c r="BB472" s="280"/>
      <c r="BC472" s="280"/>
      <c r="BD472" s="280"/>
      <c r="BE472" s="280"/>
      <c r="BF472" s="280"/>
      <c r="BG472" s="280"/>
      <c r="BH472" s="280"/>
      <c r="BI472" s="280"/>
      <c r="BJ472" s="280"/>
      <c r="BK472" s="280"/>
      <c r="BL472" s="280"/>
      <c r="BM472" s="280"/>
      <c r="BN472" s="280"/>
      <c r="BO472" s="280"/>
      <c r="BP472" s="280"/>
      <c r="BQ472" s="280"/>
      <c r="BR472" s="280"/>
      <c r="BS472" s="280"/>
      <c r="BT472" s="280"/>
      <c r="BU472" s="280"/>
      <c r="BV472" s="280"/>
    </row>
    <row r="473" spans="2:74" s="293" customFormat="1" x14ac:dyDescent="0.25">
      <c r="B473" s="280"/>
      <c r="C473" s="280"/>
      <c r="D473" s="280"/>
      <c r="E473" s="280"/>
      <c r="F473" s="280"/>
      <c r="G473" s="280"/>
      <c r="H473" s="280"/>
      <c r="I473" s="280"/>
      <c r="J473" s="280"/>
      <c r="K473" s="280"/>
      <c r="L473" s="283"/>
      <c r="M473" s="283"/>
      <c r="N473" s="280"/>
      <c r="O473" s="280"/>
      <c r="P473" s="280"/>
      <c r="Q473" s="280"/>
      <c r="R473" s="292"/>
      <c r="S473" s="292"/>
      <c r="T473" s="292"/>
      <c r="U473" s="292"/>
      <c r="V473" s="292"/>
      <c r="W473" s="292"/>
      <c r="X473" s="374"/>
      <c r="Y473" s="374"/>
      <c r="Z473" s="374"/>
      <c r="AA473" s="373"/>
      <c r="AB473" s="283"/>
      <c r="AC473" s="280"/>
      <c r="AD473" s="280"/>
      <c r="AE473" s="280"/>
      <c r="AF473" s="280"/>
      <c r="AG473" s="280"/>
      <c r="AH473" s="280"/>
      <c r="AI473" s="280"/>
      <c r="AJ473" s="280"/>
      <c r="AK473" s="280"/>
      <c r="AL473" s="280"/>
      <c r="AM473" s="280"/>
      <c r="AN473" s="280"/>
      <c r="AO473" s="280"/>
      <c r="AP473" s="280"/>
      <c r="AQ473" s="280"/>
      <c r="AR473" s="280"/>
      <c r="AS473" s="280"/>
      <c r="AT473" s="280"/>
      <c r="AU473" s="280"/>
      <c r="AV473" s="280"/>
      <c r="AW473" s="280"/>
      <c r="AX473" s="280"/>
      <c r="AY473" s="280"/>
      <c r="AZ473" s="280"/>
      <c r="BA473" s="280"/>
      <c r="BB473" s="280"/>
      <c r="BC473" s="280"/>
      <c r="BD473" s="280"/>
      <c r="BE473" s="280"/>
      <c r="BF473" s="280"/>
      <c r="BG473" s="280"/>
      <c r="BH473" s="280"/>
      <c r="BI473" s="280"/>
      <c r="BJ473" s="280"/>
      <c r="BK473" s="280"/>
      <c r="BL473" s="280"/>
      <c r="BM473" s="280"/>
      <c r="BN473" s="280"/>
      <c r="BO473" s="280"/>
      <c r="BP473" s="280"/>
      <c r="BQ473" s="280"/>
      <c r="BR473" s="280"/>
      <c r="BS473" s="280"/>
      <c r="BT473" s="280"/>
      <c r="BU473" s="280"/>
      <c r="BV473" s="280"/>
    </row>
    <row r="474" spans="2:74" s="293" customFormat="1" x14ac:dyDescent="0.25">
      <c r="B474" s="280"/>
      <c r="C474" s="280"/>
      <c r="D474" s="280"/>
      <c r="E474" s="280"/>
      <c r="F474" s="280"/>
      <c r="G474" s="280"/>
      <c r="H474" s="280"/>
      <c r="I474" s="280"/>
      <c r="J474" s="280"/>
      <c r="K474" s="280"/>
      <c r="L474" s="283"/>
      <c r="M474" s="283"/>
      <c r="N474" s="280"/>
      <c r="O474" s="280"/>
      <c r="P474" s="280"/>
      <c r="Q474" s="280"/>
      <c r="R474" s="292"/>
      <c r="S474" s="292"/>
      <c r="T474" s="292"/>
      <c r="U474" s="292"/>
      <c r="V474" s="292"/>
      <c r="W474" s="292"/>
      <c r="X474" s="374"/>
      <c r="Y474" s="374"/>
      <c r="Z474" s="374"/>
      <c r="AA474" s="373"/>
      <c r="AB474" s="283"/>
      <c r="AC474" s="280"/>
      <c r="AD474" s="280"/>
      <c r="AE474" s="280"/>
      <c r="AF474" s="280"/>
      <c r="AG474" s="280"/>
      <c r="AH474" s="280"/>
      <c r="AI474" s="280"/>
      <c r="AJ474" s="280"/>
      <c r="AK474" s="280"/>
      <c r="AL474" s="280"/>
      <c r="AM474" s="280"/>
      <c r="AN474" s="280"/>
      <c r="AO474" s="280"/>
      <c r="AP474" s="280"/>
      <c r="AQ474" s="280"/>
      <c r="AR474" s="280"/>
      <c r="AS474" s="280"/>
      <c r="AT474" s="280"/>
      <c r="AU474" s="280"/>
      <c r="AV474" s="280"/>
      <c r="AW474" s="280"/>
      <c r="AX474" s="280"/>
      <c r="AY474" s="280"/>
      <c r="AZ474" s="280"/>
      <c r="BA474" s="280"/>
      <c r="BB474" s="280"/>
      <c r="BC474" s="280"/>
      <c r="BD474" s="280"/>
      <c r="BE474" s="280"/>
      <c r="BF474" s="280"/>
      <c r="BG474" s="280"/>
      <c r="BH474" s="280"/>
      <c r="BI474" s="280"/>
      <c r="BJ474" s="280"/>
      <c r="BK474" s="280"/>
      <c r="BL474" s="280"/>
      <c r="BM474" s="280"/>
      <c r="BN474" s="280"/>
      <c r="BO474" s="280"/>
      <c r="BP474" s="280"/>
      <c r="BQ474" s="280"/>
      <c r="BR474" s="280"/>
      <c r="BS474" s="280"/>
      <c r="BT474" s="280"/>
      <c r="BU474" s="280"/>
      <c r="BV474" s="280"/>
    </row>
    <row r="475" spans="2:74" s="293" customFormat="1" x14ac:dyDescent="0.25">
      <c r="B475" s="280"/>
      <c r="C475" s="280"/>
      <c r="D475" s="280"/>
      <c r="E475" s="280"/>
      <c r="F475" s="280"/>
      <c r="G475" s="280"/>
      <c r="H475" s="280"/>
      <c r="I475" s="280"/>
      <c r="J475" s="280"/>
      <c r="K475" s="280"/>
      <c r="L475" s="283"/>
      <c r="M475" s="283"/>
      <c r="N475" s="280"/>
      <c r="O475" s="280"/>
      <c r="P475" s="280"/>
      <c r="Q475" s="280"/>
      <c r="R475" s="292"/>
      <c r="S475" s="292"/>
      <c r="T475" s="292"/>
      <c r="U475" s="292"/>
      <c r="V475" s="292"/>
      <c r="W475" s="292"/>
      <c r="X475" s="374"/>
      <c r="Y475" s="374"/>
      <c r="Z475" s="374"/>
      <c r="AA475" s="373"/>
      <c r="AB475" s="283"/>
      <c r="AC475" s="280"/>
      <c r="AD475" s="280"/>
      <c r="AE475" s="280"/>
      <c r="AF475" s="280"/>
      <c r="AG475" s="280"/>
      <c r="AH475" s="280"/>
      <c r="AI475" s="280"/>
      <c r="AJ475" s="280"/>
      <c r="AK475" s="280"/>
      <c r="AL475" s="280"/>
      <c r="AM475" s="280"/>
      <c r="AN475" s="280"/>
      <c r="AO475" s="280"/>
      <c r="AP475" s="280"/>
      <c r="AQ475" s="280"/>
      <c r="AR475" s="280"/>
      <c r="AS475" s="280"/>
      <c r="AT475" s="280"/>
      <c r="AU475" s="280"/>
      <c r="AV475" s="280"/>
      <c r="AW475" s="280"/>
      <c r="AX475" s="280"/>
      <c r="AY475" s="280"/>
      <c r="AZ475" s="280"/>
      <c r="BA475" s="280"/>
      <c r="BB475" s="280"/>
      <c r="BC475" s="280"/>
      <c r="BD475" s="280"/>
      <c r="BE475" s="280"/>
      <c r="BF475" s="280"/>
      <c r="BG475" s="280"/>
      <c r="BH475" s="280"/>
      <c r="BI475" s="280"/>
      <c r="BJ475" s="280"/>
      <c r="BK475" s="280"/>
      <c r="BL475" s="280"/>
      <c r="BM475" s="280"/>
      <c r="BN475" s="280"/>
      <c r="BO475" s="280"/>
      <c r="BP475" s="280"/>
      <c r="BQ475" s="280"/>
      <c r="BR475" s="280"/>
      <c r="BS475" s="280"/>
      <c r="BT475" s="280"/>
      <c r="BU475" s="280"/>
      <c r="BV475" s="280"/>
    </row>
    <row r="476" spans="2:74" s="293" customFormat="1" x14ac:dyDescent="0.25">
      <c r="B476" s="280"/>
      <c r="C476" s="280"/>
      <c r="D476" s="280"/>
      <c r="E476" s="280"/>
      <c r="F476" s="280"/>
      <c r="G476" s="280"/>
      <c r="H476" s="280"/>
      <c r="I476" s="280"/>
      <c r="J476" s="280"/>
      <c r="K476" s="280"/>
      <c r="L476" s="283"/>
      <c r="M476" s="283"/>
      <c r="N476" s="280"/>
      <c r="O476" s="280"/>
      <c r="P476" s="280"/>
      <c r="Q476" s="280"/>
      <c r="R476" s="292"/>
      <c r="S476" s="292"/>
      <c r="T476" s="292"/>
      <c r="U476" s="292"/>
      <c r="V476" s="292"/>
      <c r="W476" s="292"/>
      <c r="X476" s="374"/>
      <c r="Y476" s="374"/>
      <c r="Z476" s="374"/>
      <c r="AA476" s="373"/>
      <c r="AB476" s="283"/>
      <c r="AC476" s="280"/>
      <c r="AD476" s="280"/>
      <c r="AE476" s="280"/>
      <c r="AF476" s="280"/>
      <c r="AG476" s="280"/>
      <c r="AH476" s="280"/>
      <c r="AI476" s="280"/>
      <c r="AJ476" s="280"/>
      <c r="AK476" s="280"/>
      <c r="AL476" s="280"/>
      <c r="AM476" s="280"/>
      <c r="AN476" s="280"/>
      <c r="AO476" s="280"/>
      <c r="AP476" s="280"/>
      <c r="AQ476" s="280"/>
      <c r="AR476" s="280"/>
      <c r="AS476" s="280"/>
      <c r="AT476" s="280"/>
      <c r="AU476" s="280"/>
      <c r="AV476" s="280"/>
      <c r="AW476" s="280"/>
      <c r="AX476" s="280"/>
      <c r="AY476" s="280"/>
      <c r="AZ476" s="280"/>
      <c r="BA476" s="280"/>
      <c r="BB476" s="280"/>
      <c r="BC476" s="280"/>
      <c r="BD476" s="280"/>
      <c r="BE476" s="280"/>
      <c r="BF476" s="280"/>
      <c r="BG476" s="280"/>
      <c r="BH476" s="280"/>
      <c r="BI476" s="280"/>
      <c r="BJ476" s="280"/>
      <c r="BK476" s="280"/>
      <c r="BL476" s="280"/>
      <c r="BM476" s="280"/>
      <c r="BN476" s="280"/>
      <c r="BO476" s="280"/>
      <c r="BP476" s="280"/>
      <c r="BQ476" s="280"/>
      <c r="BR476" s="280"/>
      <c r="BS476" s="280"/>
      <c r="BT476" s="280"/>
      <c r="BU476" s="280"/>
      <c r="BV476" s="280"/>
    </row>
    <row r="477" spans="2:74" s="293" customFormat="1" x14ac:dyDescent="0.25">
      <c r="B477" s="280"/>
      <c r="C477" s="280"/>
      <c r="D477" s="280"/>
      <c r="E477" s="280"/>
      <c r="F477" s="280"/>
      <c r="G477" s="280"/>
      <c r="H477" s="280"/>
      <c r="I477" s="280"/>
      <c r="J477" s="280"/>
      <c r="K477" s="280"/>
      <c r="L477" s="283"/>
      <c r="M477" s="283"/>
      <c r="N477" s="280"/>
      <c r="O477" s="280"/>
      <c r="P477" s="280"/>
      <c r="Q477" s="280"/>
      <c r="R477" s="292"/>
      <c r="S477" s="292"/>
      <c r="T477" s="292"/>
      <c r="U477" s="292"/>
      <c r="V477" s="292"/>
      <c r="W477" s="292"/>
      <c r="X477" s="374"/>
      <c r="Y477" s="374"/>
      <c r="Z477" s="374"/>
      <c r="AA477" s="373"/>
      <c r="AB477" s="283"/>
      <c r="AC477" s="280"/>
      <c r="AD477" s="280"/>
      <c r="AE477" s="280"/>
      <c r="AF477" s="280"/>
      <c r="AG477" s="280"/>
      <c r="AH477" s="280"/>
      <c r="AI477" s="280"/>
      <c r="AJ477" s="280"/>
      <c r="AK477" s="280"/>
      <c r="AL477" s="280"/>
      <c r="AM477" s="280"/>
      <c r="AN477" s="280"/>
      <c r="AO477" s="280"/>
      <c r="AP477" s="280"/>
      <c r="AQ477" s="280"/>
      <c r="AR477" s="280"/>
      <c r="AS477" s="280"/>
      <c r="AT477" s="280"/>
      <c r="AU477" s="280"/>
      <c r="AV477" s="280"/>
      <c r="AW477" s="280"/>
      <c r="AX477" s="280"/>
      <c r="AY477" s="280"/>
      <c r="AZ477" s="280"/>
      <c r="BA477" s="280"/>
      <c r="BB477" s="280"/>
      <c r="BC477" s="280"/>
      <c r="BD477" s="280"/>
      <c r="BE477" s="280"/>
      <c r="BF477" s="280"/>
      <c r="BG477" s="280"/>
      <c r="BH477" s="280"/>
      <c r="BI477" s="280"/>
      <c r="BJ477" s="280"/>
      <c r="BK477" s="280"/>
      <c r="BL477" s="280"/>
      <c r="BM477" s="280"/>
      <c r="BN477" s="280"/>
      <c r="BO477" s="280"/>
      <c r="BP477" s="280"/>
      <c r="BQ477" s="280"/>
      <c r="BR477" s="280"/>
      <c r="BS477" s="280"/>
      <c r="BT477" s="280"/>
      <c r="BU477" s="280"/>
      <c r="BV477" s="280"/>
    </row>
    <row r="478" spans="2:74" s="293" customFormat="1" x14ac:dyDescent="0.25">
      <c r="B478" s="280"/>
      <c r="C478" s="280"/>
      <c r="D478" s="280"/>
      <c r="E478" s="280"/>
      <c r="F478" s="280"/>
      <c r="G478" s="280"/>
      <c r="H478" s="280"/>
      <c r="I478" s="280"/>
      <c r="J478" s="280"/>
      <c r="K478" s="280"/>
      <c r="L478" s="283"/>
      <c r="M478" s="283"/>
      <c r="N478" s="280"/>
      <c r="O478" s="280"/>
      <c r="P478" s="280"/>
      <c r="Q478" s="280"/>
      <c r="R478" s="292"/>
      <c r="S478" s="292"/>
      <c r="T478" s="292"/>
      <c r="U478" s="292"/>
      <c r="V478" s="292"/>
      <c r="W478" s="292"/>
      <c r="X478" s="374"/>
      <c r="Y478" s="374"/>
      <c r="Z478" s="374"/>
      <c r="AA478" s="373"/>
      <c r="AB478" s="283"/>
      <c r="AC478" s="280"/>
      <c r="AD478" s="280"/>
      <c r="AE478" s="280"/>
      <c r="AF478" s="280"/>
      <c r="AG478" s="280"/>
      <c r="AH478" s="280"/>
      <c r="AI478" s="280"/>
      <c r="AJ478" s="280"/>
      <c r="AK478" s="280"/>
      <c r="AL478" s="280"/>
      <c r="AM478" s="280"/>
      <c r="AN478" s="280"/>
      <c r="AO478" s="280"/>
      <c r="AP478" s="280"/>
      <c r="AQ478" s="280"/>
      <c r="AR478" s="280"/>
      <c r="AS478" s="280"/>
      <c r="AT478" s="280"/>
      <c r="AU478" s="280"/>
      <c r="AV478" s="280"/>
      <c r="AW478" s="280"/>
      <c r="AX478" s="280"/>
      <c r="AY478" s="280"/>
      <c r="AZ478" s="280"/>
      <c r="BA478" s="280"/>
      <c r="BB478" s="280"/>
      <c r="BC478" s="280"/>
      <c r="BD478" s="280"/>
      <c r="BE478" s="280"/>
      <c r="BF478" s="280"/>
      <c r="BG478" s="280"/>
      <c r="BH478" s="280"/>
      <c r="BI478" s="280"/>
      <c r="BJ478" s="280"/>
      <c r="BK478" s="280"/>
      <c r="BL478" s="280"/>
      <c r="BM478" s="280"/>
      <c r="BN478" s="280"/>
      <c r="BO478" s="280"/>
      <c r="BP478" s="280"/>
      <c r="BQ478" s="280"/>
      <c r="BR478" s="280"/>
      <c r="BS478" s="280"/>
      <c r="BT478" s="280"/>
      <c r="BU478" s="280"/>
      <c r="BV478" s="280"/>
    </row>
    <row r="479" spans="2:74" s="293" customFormat="1" x14ac:dyDescent="0.25">
      <c r="B479" s="280"/>
      <c r="C479" s="280"/>
      <c r="D479" s="280"/>
      <c r="E479" s="280"/>
      <c r="F479" s="280"/>
      <c r="G479" s="280"/>
      <c r="H479" s="280"/>
      <c r="I479" s="280"/>
      <c r="J479" s="280"/>
      <c r="K479" s="280"/>
      <c r="L479" s="283"/>
      <c r="M479" s="283"/>
      <c r="N479" s="280"/>
      <c r="O479" s="280"/>
      <c r="P479" s="280"/>
      <c r="Q479" s="280"/>
      <c r="R479" s="292"/>
      <c r="S479" s="292"/>
      <c r="T479" s="292"/>
      <c r="U479" s="292"/>
      <c r="V479" s="292"/>
      <c r="W479" s="292"/>
      <c r="X479" s="374"/>
      <c r="Y479" s="374"/>
      <c r="Z479" s="374"/>
      <c r="AA479" s="373"/>
      <c r="AB479" s="283"/>
      <c r="AC479" s="280"/>
      <c r="AD479" s="280"/>
      <c r="AE479" s="280"/>
      <c r="AF479" s="280"/>
      <c r="AG479" s="280"/>
      <c r="AH479" s="280"/>
      <c r="AI479" s="280"/>
      <c r="AJ479" s="280"/>
      <c r="AK479" s="280"/>
      <c r="AL479" s="280"/>
      <c r="AM479" s="280"/>
      <c r="AN479" s="280"/>
      <c r="AO479" s="280"/>
      <c r="AP479" s="280"/>
      <c r="AQ479" s="280"/>
      <c r="AR479" s="280"/>
      <c r="AS479" s="280"/>
      <c r="AT479" s="280"/>
      <c r="AU479" s="280"/>
      <c r="AV479" s="280"/>
      <c r="AW479" s="280"/>
      <c r="AX479" s="280"/>
      <c r="AY479" s="280"/>
      <c r="AZ479" s="280"/>
      <c r="BA479" s="280"/>
      <c r="BB479" s="280"/>
      <c r="BC479" s="280"/>
      <c r="BD479" s="280"/>
      <c r="BE479" s="280"/>
      <c r="BF479" s="280"/>
      <c r="BG479" s="280"/>
      <c r="BH479" s="280"/>
      <c r="BI479" s="280"/>
      <c r="BJ479" s="280"/>
      <c r="BK479" s="280"/>
      <c r="BL479" s="280"/>
      <c r="BM479" s="280"/>
      <c r="BN479" s="280"/>
      <c r="BO479" s="280"/>
      <c r="BP479" s="280"/>
      <c r="BQ479" s="280"/>
      <c r="BR479" s="280"/>
      <c r="BS479" s="280"/>
      <c r="BT479" s="280"/>
      <c r="BU479" s="280"/>
      <c r="BV479" s="280"/>
    </row>
    <row r="480" spans="2:74" s="293" customFormat="1" x14ac:dyDescent="0.25">
      <c r="B480" s="280"/>
      <c r="C480" s="280"/>
      <c r="D480" s="280"/>
      <c r="E480" s="280"/>
      <c r="F480" s="280"/>
      <c r="G480" s="280"/>
      <c r="H480" s="280"/>
      <c r="I480" s="280"/>
      <c r="J480" s="280"/>
      <c r="K480" s="280"/>
      <c r="L480" s="283"/>
      <c r="M480" s="283"/>
      <c r="N480" s="280"/>
      <c r="O480" s="280"/>
      <c r="P480" s="280"/>
      <c r="Q480" s="280"/>
      <c r="R480" s="292"/>
      <c r="S480" s="292"/>
      <c r="T480" s="292"/>
      <c r="U480" s="292"/>
      <c r="V480" s="292"/>
      <c r="W480" s="292"/>
      <c r="X480" s="374"/>
      <c r="Y480" s="374"/>
      <c r="Z480" s="374"/>
      <c r="AA480" s="373"/>
      <c r="AB480" s="283"/>
      <c r="AC480" s="280"/>
      <c r="AD480" s="280"/>
      <c r="AE480" s="280"/>
      <c r="AF480" s="280"/>
      <c r="AG480" s="280"/>
      <c r="AH480" s="280"/>
      <c r="AI480" s="280"/>
      <c r="AJ480" s="280"/>
      <c r="AK480" s="280"/>
      <c r="AL480" s="280"/>
      <c r="AM480" s="280"/>
      <c r="AN480" s="280"/>
      <c r="AO480" s="280"/>
      <c r="AP480" s="280"/>
      <c r="AQ480" s="280"/>
      <c r="AR480" s="280"/>
      <c r="AS480" s="280"/>
      <c r="AT480" s="280"/>
      <c r="AU480" s="280"/>
      <c r="AV480" s="280"/>
      <c r="AW480" s="280"/>
      <c r="AX480" s="280"/>
      <c r="AY480" s="280"/>
      <c r="AZ480" s="280"/>
      <c r="BA480" s="280"/>
      <c r="BB480" s="280"/>
      <c r="BC480" s="280"/>
      <c r="BD480" s="280"/>
      <c r="BE480" s="280"/>
      <c r="BF480" s="280"/>
      <c r="BG480" s="280"/>
      <c r="BH480" s="280"/>
      <c r="BI480" s="280"/>
      <c r="BJ480" s="280"/>
      <c r="BK480" s="280"/>
      <c r="BL480" s="280"/>
      <c r="BM480" s="280"/>
      <c r="BN480" s="280"/>
      <c r="BO480" s="280"/>
      <c r="BP480" s="280"/>
      <c r="BQ480" s="280"/>
      <c r="BR480" s="280"/>
      <c r="BS480" s="280"/>
      <c r="BT480" s="280"/>
      <c r="BU480" s="280"/>
      <c r="BV480" s="280"/>
    </row>
    <row r="481" spans="2:74" s="293" customFormat="1" x14ac:dyDescent="0.25">
      <c r="B481" s="280"/>
      <c r="C481" s="280"/>
      <c r="D481" s="280"/>
      <c r="E481" s="280"/>
      <c r="F481" s="280"/>
      <c r="G481" s="280"/>
      <c r="H481" s="280"/>
      <c r="I481" s="280"/>
      <c r="J481" s="280"/>
      <c r="K481" s="280"/>
      <c r="L481" s="283"/>
      <c r="M481" s="283"/>
      <c r="N481" s="280"/>
      <c r="O481" s="280"/>
      <c r="P481" s="280"/>
      <c r="Q481" s="280"/>
      <c r="R481" s="292"/>
      <c r="S481" s="292"/>
      <c r="T481" s="292"/>
      <c r="U481" s="292"/>
      <c r="V481" s="292"/>
      <c r="W481" s="292"/>
      <c r="X481" s="374"/>
      <c r="Y481" s="374"/>
      <c r="Z481" s="374"/>
      <c r="AA481" s="373"/>
      <c r="AB481" s="283"/>
      <c r="AC481" s="280"/>
      <c r="AD481" s="280"/>
      <c r="AE481" s="280"/>
      <c r="AF481" s="280"/>
      <c r="AG481" s="280"/>
      <c r="AH481" s="280"/>
      <c r="AI481" s="280"/>
      <c r="AJ481" s="280"/>
      <c r="AK481" s="280"/>
      <c r="AL481" s="280"/>
      <c r="AM481" s="280"/>
      <c r="AN481" s="280"/>
      <c r="AO481" s="280"/>
      <c r="AP481" s="280"/>
      <c r="AQ481" s="280"/>
      <c r="AR481" s="280"/>
      <c r="AS481" s="280"/>
      <c r="AT481" s="280"/>
      <c r="AU481" s="280"/>
      <c r="AV481" s="280"/>
      <c r="AW481" s="280"/>
      <c r="AX481" s="280"/>
      <c r="AY481" s="280"/>
      <c r="AZ481" s="280"/>
      <c r="BA481" s="280"/>
      <c r="BB481" s="280"/>
      <c r="BC481" s="280"/>
      <c r="BD481" s="280"/>
      <c r="BE481" s="280"/>
      <c r="BF481" s="280"/>
      <c r="BG481" s="280"/>
      <c r="BH481" s="280"/>
      <c r="BI481" s="280"/>
      <c r="BJ481" s="280"/>
      <c r="BK481" s="280"/>
      <c r="BL481" s="280"/>
      <c r="BM481" s="280"/>
      <c r="BN481" s="280"/>
      <c r="BO481" s="280"/>
      <c r="BP481" s="280"/>
      <c r="BQ481" s="280"/>
      <c r="BR481" s="280"/>
      <c r="BS481" s="280"/>
      <c r="BT481" s="280"/>
      <c r="BU481" s="280"/>
      <c r="BV481" s="280"/>
    </row>
    <row r="482" spans="2:74" s="293" customFormat="1" x14ac:dyDescent="0.25">
      <c r="B482" s="280"/>
      <c r="C482" s="280"/>
      <c r="D482" s="280"/>
      <c r="E482" s="280"/>
      <c r="F482" s="280"/>
      <c r="G482" s="280"/>
      <c r="H482" s="280"/>
      <c r="I482" s="280"/>
      <c r="J482" s="280"/>
      <c r="K482" s="280"/>
      <c r="L482" s="283"/>
      <c r="M482" s="283"/>
      <c r="N482" s="280"/>
      <c r="O482" s="280"/>
      <c r="P482" s="280"/>
      <c r="Q482" s="280"/>
      <c r="R482" s="292"/>
      <c r="S482" s="292"/>
      <c r="T482" s="292"/>
      <c r="U482" s="292"/>
      <c r="V482" s="292"/>
      <c r="W482" s="292"/>
      <c r="X482" s="374"/>
      <c r="Y482" s="374"/>
      <c r="Z482" s="374"/>
      <c r="AA482" s="373"/>
      <c r="AB482" s="283"/>
      <c r="AC482" s="280"/>
      <c r="AD482" s="280"/>
      <c r="AE482" s="280"/>
      <c r="AF482" s="280"/>
      <c r="AG482" s="280"/>
      <c r="AH482" s="280"/>
      <c r="AI482" s="280"/>
      <c r="AJ482" s="280"/>
      <c r="AK482" s="280"/>
      <c r="AL482" s="280"/>
      <c r="AM482" s="280"/>
      <c r="AN482" s="280"/>
      <c r="AO482" s="280"/>
      <c r="AP482" s="280"/>
      <c r="AQ482" s="280"/>
      <c r="AR482" s="280"/>
      <c r="AS482" s="280"/>
      <c r="AT482" s="280"/>
      <c r="AU482" s="280"/>
      <c r="AV482" s="280"/>
      <c r="AW482" s="280"/>
      <c r="AX482" s="280"/>
      <c r="AY482" s="280"/>
      <c r="AZ482" s="280"/>
      <c r="BA482" s="280"/>
      <c r="BB482" s="280"/>
      <c r="BC482" s="280"/>
      <c r="BD482" s="280"/>
      <c r="BE482" s="280"/>
      <c r="BF482" s="280"/>
      <c r="BG482" s="280"/>
      <c r="BH482" s="280"/>
      <c r="BI482" s="280"/>
      <c r="BJ482" s="280"/>
      <c r="BK482" s="280"/>
      <c r="BL482" s="280"/>
      <c r="BM482" s="280"/>
      <c r="BN482" s="280"/>
      <c r="BO482" s="280"/>
      <c r="BP482" s="280"/>
      <c r="BQ482" s="280"/>
      <c r="BR482" s="280"/>
      <c r="BS482" s="280"/>
      <c r="BT482" s="280"/>
      <c r="BU482" s="280"/>
      <c r="BV482" s="280"/>
    </row>
    <row r="483" spans="2:74" s="293" customFormat="1" x14ac:dyDescent="0.25">
      <c r="B483" s="280"/>
      <c r="C483" s="280"/>
      <c r="D483" s="280"/>
      <c r="E483" s="280"/>
      <c r="F483" s="280"/>
      <c r="G483" s="280"/>
      <c r="H483" s="280"/>
      <c r="I483" s="280"/>
      <c r="J483" s="280"/>
      <c r="K483" s="280"/>
      <c r="L483" s="283"/>
      <c r="M483" s="283"/>
      <c r="N483" s="280"/>
      <c r="O483" s="280"/>
      <c r="P483" s="280"/>
      <c r="Q483" s="280"/>
      <c r="R483" s="292"/>
      <c r="S483" s="292"/>
      <c r="T483" s="292"/>
      <c r="U483" s="292"/>
      <c r="V483" s="292"/>
      <c r="W483" s="292"/>
      <c r="X483" s="374"/>
      <c r="Y483" s="374"/>
      <c r="Z483" s="374"/>
      <c r="AA483" s="373"/>
      <c r="AB483" s="283"/>
      <c r="AC483" s="280"/>
      <c r="AD483" s="280"/>
      <c r="AE483" s="280"/>
      <c r="AF483" s="280"/>
      <c r="AG483" s="280"/>
      <c r="AH483" s="280"/>
      <c r="AI483" s="280"/>
      <c r="AJ483" s="280"/>
      <c r="AK483" s="280"/>
      <c r="AL483" s="280"/>
      <c r="AM483" s="280"/>
      <c r="AN483" s="280"/>
      <c r="AO483" s="280"/>
      <c r="AP483" s="280"/>
      <c r="AQ483" s="280"/>
      <c r="AR483" s="280"/>
      <c r="AS483" s="280"/>
      <c r="AT483" s="280"/>
      <c r="AU483" s="280"/>
      <c r="AV483" s="280"/>
      <c r="AW483" s="280"/>
      <c r="AX483" s="280"/>
      <c r="AY483" s="280"/>
      <c r="AZ483" s="280"/>
      <c r="BA483" s="280"/>
      <c r="BB483" s="280"/>
      <c r="BC483" s="280"/>
      <c r="BD483" s="280"/>
      <c r="BE483" s="280"/>
      <c r="BF483" s="280"/>
      <c r="BG483" s="280"/>
      <c r="BH483" s="280"/>
      <c r="BI483" s="280"/>
      <c r="BJ483" s="280"/>
      <c r="BK483" s="280"/>
      <c r="BL483" s="280"/>
      <c r="BM483" s="280"/>
      <c r="BN483" s="280"/>
      <c r="BO483" s="280"/>
      <c r="BP483" s="280"/>
      <c r="BQ483" s="280"/>
      <c r="BR483" s="280"/>
      <c r="BS483" s="280"/>
      <c r="BT483" s="280"/>
      <c r="BU483" s="280"/>
      <c r="BV483" s="280"/>
    </row>
    <row r="484" spans="2:74" s="293" customFormat="1" x14ac:dyDescent="0.25">
      <c r="B484" s="280"/>
      <c r="C484" s="280"/>
      <c r="D484" s="280"/>
      <c r="E484" s="280"/>
      <c r="F484" s="280"/>
      <c r="G484" s="280"/>
      <c r="H484" s="280"/>
      <c r="I484" s="280"/>
      <c r="J484" s="280"/>
      <c r="K484" s="280"/>
      <c r="L484" s="283"/>
      <c r="M484" s="283"/>
      <c r="N484" s="280"/>
      <c r="O484" s="280"/>
      <c r="P484" s="280"/>
      <c r="Q484" s="280"/>
      <c r="R484" s="292"/>
      <c r="S484" s="292"/>
      <c r="T484" s="292"/>
      <c r="U484" s="292"/>
      <c r="V484" s="292"/>
      <c r="W484" s="292"/>
      <c r="X484" s="374"/>
      <c r="Y484" s="374"/>
      <c r="Z484" s="374"/>
      <c r="AA484" s="373"/>
      <c r="AB484" s="283"/>
      <c r="AC484" s="280"/>
      <c r="AD484" s="280"/>
      <c r="AE484" s="280"/>
      <c r="AF484" s="280"/>
      <c r="AG484" s="280"/>
      <c r="AH484" s="280"/>
      <c r="AI484" s="280"/>
      <c r="AJ484" s="280"/>
      <c r="AK484" s="280"/>
      <c r="AL484" s="280"/>
      <c r="AM484" s="280"/>
      <c r="AN484" s="280"/>
      <c r="AO484" s="280"/>
      <c r="AP484" s="280"/>
      <c r="AQ484" s="280"/>
      <c r="AR484" s="280"/>
      <c r="AS484" s="280"/>
      <c r="AT484" s="280"/>
      <c r="AU484" s="280"/>
      <c r="AV484" s="280"/>
      <c r="AW484" s="280"/>
      <c r="AX484" s="280"/>
      <c r="AY484" s="280"/>
      <c r="AZ484" s="280"/>
      <c r="BA484" s="280"/>
      <c r="BB484" s="280"/>
      <c r="BC484" s="280"/>
      <c r="BD484" s="280"/>
      <c r="BE484" s="280"/>
      <c r="BF484" s="280"/>
      <c r="BG484" s="280"/>
      <c r="BH484" s="280"/>
      <c r="BI484" s="280"/>
      <c r="BJ484" s="280"/>
      <c r="BK484" s="280"/>
      <c r="BL484" s="280"/>
      <c r="BM484" s="280"/>
      <c r="BN484" s="280"/>
      <c r="BO484" s="280"/>
      <c r="BP484" s="280"/>
      <c r="BQ484" s="280"/>
      <c r="BR484" s="280"/>
      <c r="BS484" s="280"/>
      <c r="BT484" s="280"/>
      <c r="BU484" s="280"/>
      <c r="BV484" s="280"/>
    </row>
    <row r="485" spans="2:74" s="293" customFormat="1" x14ac:dyDescent="0.25">
      <c r="B485" s="280"/>
      <c r="C485" s="280"/>
      <c r="D485" s="280"/>
      <c r="E485" s="280"/>
      <c r="F485" s="280"/>
      <c r="G485" s="280"/>
      <c r="H485" s="280"/>
      <c r="I485" s="280"/>
      <c r="J485" s="280"/>
      <c r="K485" s="280"/>
      <c r="L485" s="283"/>
      <c r="M485" s="283"/>
      <c r="N485" s="280"/>
      <c r="O485" s="280"/>
      <c r="P485" s="280"/>
      <c r="Q485" s="280"/>
      <c r="R485" s="292"/>
      <c r="S485" s="292"/>
      <c r="T485" s="292"/>
      <c r="U485" s="292"/>
      <c r="V485" s="292"/>
      <c r="W485" s="292"/>
      <c r="X485" s="374"/>
      <c r="Y485" s="374"/>
      <c r="Z485" s="374"/>
      <c r="AA485" s="373"/>
      <c r="AB485" s="283"/>
      <c r="AC485" s="280"/>
      <c r="AD485" s="280"/>
      <c r="AE485" s="280"/>
      <c r="AF485" s="280"/>
      <c r="AG485" s="280"/>
      <c r="AH485" s="280"/>
      <c r="AI485" s="280"/>
      <c r="AJ485" s="280"/>
      <c r="AK485" s="280"/>
      <c r="AL485" s="280"/>
      <c r="AM485" s="280"/>
      <c r="AN485" s="280"/>
      <c r="AO485" s="280"/>
      <c r="AP485" s="280"/>
      <c r="AQ485" s="280"/>
      <c r="AR485" s="280"/>
      <c r="AS485" s="280"/>
      <c r="AT485" s="280"/>
      <c r="AU485" s="280"/>
      <c r="AV485" s="280"/>
      <c r="AW485" s="280"/>
      <c r="AX485" s="280"/>
      <c r="AY485" s="280"/>
      <c r="AZ485" s="280"/>
      <c r="BA485" s="280"/>
      <c r="BB485" s="280"/>
      <c r="BC485" s="280"/>
      <c r="BD485" s="280"/>
      <c r="BE485" s="280"/>
      <c r="BF485" s="280"/>
      <c r="BG485" s="280"/>
      <c r="BH485" s="280"/>
      <c r="BI485" s="280"/>
      <c r="BJ485" s="280"/>
      <c r="BK485" s="280"/>
      <c r="BL485" s="280"/>
      <c r="BM485" s="280"/>
      <c r="BN485" s="280"/>
      <c r="BO485" s="280"/>
      <c r="BP485" s="280"/>
      <c r="BQ485" s="280"/>
      <c r="BR485" s="280"/>
      <c r="BS485" s="280"/>
      <c r="BT485" s="280"/>
      <c r="BU485" s="280"/>
      <c r="BV485" s="280"/>
    </row>
    <row r="486" spans="2:74" s="293" customFormat="1" x14ac:dyDescent="0.25">
      <c r="B486" s="280"/>
      <c r="C486" s="280"/>
      <c r="D486" s="280"/>
      <c r="E486" s="280"/>
      <c r="F486" s="280"/>
      <c r="G486" s="280"/>
      <c r="H486" s="280"/>
      <c r="I486" s="280"/>
      <c r="J486" s="280"/>
      <c r="K486" s="280"/>
      <c r="L486" s="283"/>
      <c r="M486" s="283"/>
      <c r="N486" s="280"/>
      <c r="O486" s="280"/>
      <c r="P486" s="280"/>
      <c r="Q486" s="280"/>
      <c r="R486" s="292"/>
      <c r="S486" s="292"/>
      <c r="T486" s="292"/>
      <c r="U486" s="292"/>
      <c r="V486" s="292"/>
      <c r="W486" s="292"/>
      <c r="X486" s="374"/>
      <c r="Y486" s="374"/>
      <c r="Z486" s="374"/>
      <c r="AA486" s="373"/>
      <c r="AB486" s="283"/>
      <c r="AC486" s="280"/>
      <c r="AD486" s="280"/>
      <c r="AE486" s="280"/>
      <c r="AF486" s="280"/>
      <c r="AG486" s="280"/>
      <c r="AH486" s="280"/>
      <c r="AI486" s="280"/>
      <c r="AJ486" s="280"/>
      <c r="AK486" s="280"/>
      <c r="AL486" s="280"/>
      <c r="AM486" s="280"/>
      <c r="AN486" s="280"/>
      <c r="AO486" s="280"/>
      <c r="AP486" s="280"/>
      <c r="AQ486" s="280"/>
      <c r="AR486" s="280"/>
      <c r="AS486" s="280"/>
      <c r="AT486" s="280"/>
      <c r="AU486" s="280"/>
      <c r="AV486" s="280"/>
      <c r="AW486" s="280"/>
      <c r="AX486" s="280"/>
      <c r="AY486" s="280"/>
      <c r="AZ486" s="280"/>
      <c r="BA486" s="280"/>
      <c r="BB486" s="280"/>
      <c r="BC486" s="280"/>
      <c r="BD486" s="280"/>
      <c r="BE486" s="280"/>
      <c r="BF486" s="280"/>
      <c r="BG486" s="280"/>
      <c r="BH486" s="280"/>
      <c r="BI486" s="280"/>
      <c r="BJ486" s="280"/>
      <c r="BK486" s="280"/>
      <c r="BL486" s="280"/>
      <c r="BM486" s="280"/>
      <c r="BN486" s="280"/>
      <c r="BO486" s="280"/>
      <c r="BP486" s="280"/>
      <c r="BQ486" s="280"/>
      <c r="BR486" s="280"/>
      <c r="BS486" s="280"/>
      <c r="BT486" s="280"/>
      <c r="BU486" s="280"/>
      <c r="BV486" s="280"/>
    </row>
    <row r="487" spans="2:74" s="293" customFormat="1" x14ac:dyDescent="0.25">
      <c r="B487" s="280"/>
      <c r="C487" s="280"/>
      <c r="D487" s="280"/>
      <c r="E487" s="280"/>
      <c r="F487" s="280"/>
      <c r="G487" s="280"/>
      <c r="H487" s="280"/>
      <c r="I487" s="280"/>
      <c r="J487" s="280"/>
      <c r="K487" s="280"/>
      <c r="L487" s="283"/>
      <c r="M487" s="283"/>
      <c r="N487" s="280"/>
      <c r="O487" s="280"/>
      <c r="P487" s="280"/>
      <c r="Q487" s="280"/>
      <c r="R487" s="292"/>
      <c r="S487" s="292"/>
      <c r="T487" s="292"/>
      <c r="U487" s="292"/>
      <c r="V487" s="292"/>
      <c r="W487" s="292"/>
      <c r="X487" s="374"/>
      <c r="Y487" s="374"/>
      <c r="Z487" s="374"/>
      <c r="AA487" s="373"/>
      <c r="AB487" s="283"/>
      <c r="AC487" s="280"/>
      <c r="AD487" s="280"/>
      <c r="AE487" s="280"/>
      <c r="AF487" s="280"/>
      <c r="AG487" s="280"/>
      <c r="AH487" s="280"/>
      <c r="AI487" s="280"/>
      <c r="AJ487" s="280"/>
      <c r="AK487" s="280"/>
      <c r="AL487" s="280"/>
      <c r="AM487" s="280"/>
      <c r="AN487" s="280"/>
      <c r="AO487" s="280"/>
      <c r="AP487" s="280"/>
      <c r="AQ487" s="280"/>
      <c r="AR487" s="280"/>
      <c r="AS487" s="280"/>
      <c r="AT487" s="280"/>
      <c r="AU487" s="280"/>
      <c r="AV487" s="280"/>
      <c r="AW487" s="280"/>
      <c r="AX487" s="280"/>
      <c r="AY487" s="280"/>
      <c r="AZ487" s="280"/>
      <c r="BA487" s="280"/>
      <c r="BB487" s="280"/>
      <c r="BC487" s="280"/>
      <c r="BD487" s="280"/>
      <c r="BE487" s="280"/>
      <c r="BF487" s="280"/>
      <c r="BG487" s="280"/>
      <c r="BH487" s="280"/>
      <c r="BI487" s="280"/>
      <c r="BJ487" s="280"/>
      <c r="BK487" s="280"/>
      <c r="BL487" s="280"/>
      <c r="BM487" s="280"/>
      <c r="BN487" s="280"/>
      <c r="BO487" s="280"/>
      <c r="BP487" s="280"/>
      <c r="BQ487" s="280"/>
      <c r="BR487" s="280"/>
      <c r="BS487" s="280"/>
      <c r="BT487" s="280"/>
      <c r="BU487" s="280"/>
      <c r="BV487" s="280"/>
    </row>
    <row r="488" spans="2:74" s="293" customFormat="1" x14ac:dyDescent="0.25">
      <c r="B488" s="280"/>
      <c r="C488" s="280"/>
      <c r="D488" s="280"/>
      <c r="E488" s="280"/>
      <c r="F488" s="280"/>
      <c r="G488" s="280"/>
      <c r="H488" s="280"/>
      <c r="I488" s="280"/>
      <c r="J488" s="280"/>
      <c r="K488" s="280"/>
      <c r="L488" s="283"/>
      <c r="M488" s="283"/>
      <c r="N488" s="280"/>
      <c r="O488" s="280"/>
      <c r="P488" s="280"/>
      <c r="Q488" s="280"/>
      <c r="R488" s="292"/>
      <c r="S488" s="292"/>
      <c r="T488" s="292"/>
      <c r="U488" s="292"/>
      <c r="V488" s="292"/>
      <c r="W488" s="292"/>
      <c r="X488" s="374"/>
      <c r="Y488" s="374"/>
      <c r="Z488" s="374"/>
      <c r="AA488" s="373"/>
      <c r="AB488" s="283"/>
      <c r="AC488" s="280"/>
      <c r="AD488" s="280"/>
      <c r="AE488" s="280"/>
      <c r="AF488" s="280"/>
      <c r="AG488" s="280"/>
      <c r="AH488" s="280"/>
      <c r="AI488" s="280"/>
      <c r="AJ488" s="280"/>
      <c r="AK488" s="280"/>
      <c r="AL488" s="280"/>
      <c r="AM488" s="280"/>
      <c r="AN488" s="280"/>
      <c r="AO488" s="280"/>
      <c r="AP488" s="280"/>
      <c r="AQ488" s="280"/>
      <c r="AR488" s="280"/>
      <c r="AS488" s="280"/>
      <c r="AT488" s="280"/>
      <c r="AU488" s="280"/>
      <c r="AV488" s="280"/>
      <c r="AW488" s="280"/>
      <c r="AX488" s="280"/>
      <c r="AY488" s="280"/>
      <c r="AZ488" s="280"/>
      <c r="BA488" s="280"/>
      <c r="BB488" s="280"/>
      <c r="BC488" s="280"/>
      <c r="BD488" s="280"/>
      <c r="BE488" s="280"/>
      <c r="BF488" s="280"/>
      <c r="BG488" s="280"/>
      <c r="BH488" s="280"/>
      <c r="BI488" s="280"/>
      <c r="BJ488" s="280"/>
      <c r="BK488" s="280"/>
      <c r="BL488" s="280"/>
      <c r="BM488" s="280"/>
      <c r="BN488" s="280"/>
      <c r="BO488" s="280"/>
      <c r="BP488" s="280"/>
      <c r="BQ488" s="280"/>
      <c r="BR488" s="280"/>
      <c r="BS488" s="280"/>
      <c r="BT488" s="280"/>
      <c r="BU488" s="280"/>
      <c r="BV488" s="280"/>
    </row>
    <row r="489" spans="2:74" s="293" customFormat="1" x14ac:dyDescent="0.25">
      <c r="B489" s="280"/>
      <c r="C489" s="280"/>
      <c r="D489" s="280"/>
      <c r="E489" s="280"/>
      <c r="F489" s="280"/>
      <c r="G489" s="280"/>
      <c r="H489" s="280"/>
      <c r="I489" s="280"/>
      <c r="J489" s="280"/>
      <c r="K489" s="280"/>
      <c r="L489" s="283"/>
      <c r="M489" s="283"/>
      <c r="N489" s="280"/>
      <c r="O489" s="280"/>
      <c r="P489" s="280"/>
      <c r="Q489" s="280"/>
      <c r="R489" s="292"/>
      <c r="S489" s="292"/>
      <c r="T489" s="292"/>
      <c r="U489" s="292"/>
      <c r="V489" s="292"/>
      <c r="W489" s="292"/>
      <c r="X489" s="374"/>
      <c r="Y489" s="374"/>
      <c r="Z489" s="374"/>
      <c r="AA489" s="373"/>
      <c r="AB489" s="283"/>
      <c r="AC489" s="280"/>
      <c r="AD489" s="280"/>
      <c r="AE489" s="280"/>
      <c r="AF489" s="280"/>
      <c r="AG489" s="280"/>
      <c r="AH489" s="280"/>
      <c r="AI489" s="280"/>
      <c r="AJ489" s="280"/>
      <c r="AK489" s="280"/>
      <c r="AL489" s="280"/>
      <c r="AM489" s="280"/>
      <c r="AN489" s="280"/>
      <c r="AO489" s="280"/>
      <c r="AP489" s="280"/>
      <c r="AQ489" s="280"/>
      <c r="AR489" s="280"/>
      <c r="AS489" s="280"/>
      <c r="AT489" s="280"/>
      <c r="AU489" s="280"/>
      <c r="AV489" s="280"/>
      <c r="AW489" s="280"/>
      <c r="AX489" s="280"/>
      <c r="AY489" s="280"/>
      <c r="AZ489" s="280"/>
      <c r="BA489" s="280"/>
      <c r="BB489" s="280"/>
      <c r="BC489" s="280"/>
      <c r="BD489" s="280"/>
      <c r="BE489" s="280"/>
      <c r="BF489" s="280"/>
      <c r="BG489" s="280"/>
      <c r="BH489" s="280"/>
      <c r="BI489" s="280"/>
      <c r="BJ489" s="280"/>
      <c r="BK489" s="280"/>
      <c r="BL489" s="280"/>
      <c r="BM489" s="280"/>
      <c r="BN489" s="280"/>
      <c r="BO489" s="280"/>
      <c r="BP489" s="280"/>
      <c r="BQ489" s="280"/>
      <c r="BR489" s="280"/>
      <c r="BS489" s="280"/>
      <c r="BT489" s="280"/>
      <c r="BU489" s="280"/>
      <c r="BV489" s="280"/>
    </row>
    <row r="490" spans="2:74" s="293" customFormat="1" x14ac:dyDescent="0.25">
      <c r="B490" s="280"/>
      <c r="C490" s="280"/>
      <c r="D490" s="280"/>
      <c r="E490" s="280"/>
      <c r="F490" s="280"/>
      <c r="G490" s="280"/>
      <c r="H490" s="280"/>
      <c r="I490" s="280"/>
      <c r="J490" s="280"/>
      <c r="K490" s="280"/>
      <c r="L490" s="283"/>
      <c r="M490" s="283"/>
      <c r="N490" s="280"/>
      <c r="O490" s="280"/>
      <c r="P490" s="280"/>
      <c r="Q490" s="280"/>
      <c r="R490" s="292"/>
      <c r="S490" s="292"/>
      <c r="T490" s="292"/>
      <c r="U490" s="292"/>
      <c r="V490" s="292"/>
      <c r="W490" s="292"/>
      <c r="X490" s="374"/>
      <c r="Y490" s="374"/>
      <c r="Z490" s="374"/>
      <c r="AA490" s="373"/>
      <c r="AB490" s="283"/>
      <c r="AC490" s="280"/>
      <c r="AD490" s="280"/>
      <c r="AE490" s="280"/>
      <c r="AF490" s="280"/>
      <c r="AG490" s="280"/>
      <c r="AH490" s="280"/>
      <c r="AI490" s="280"/>
      <c r="AJ490" s="280"/>
      <c r="AK490" s="280"/>
      <c r="AL490" s="280"/>
      <c r="AM490" s="280"/>
      <c r="AN490" s="280"/>
      <c r="AO490" s="280"/>
      <c r="AP490" s="280"/>
      <c r="AQ490" s="280"/>
      <c r="AR490" s="280"/>
      <c r="AS490" s="280"/>
      <c r="AT490" s="280"/>
      <c r="AU490" s="280"/>
      <c r="AV490" s="280"/>
      <c r="AW490" s="280"/>
      <c r="AX490" s="280"/>
      <c r="AY490" s="280"/>
      <c r="AZ490" s="280"/>
      <c r="BA490" s="280"/>
      <c r="BB490" s="280"/>
      <c r="BC490" s="280"/>
      <c r="BD490" s="280"/>
      <c r="BE490" s="280"/>
      <c r="BF490" s="280"/>
      <c r="BG490" s="280"/>
      <c r="BH490" s="280"/>
      <c r="BI490" s="280"/>
      <c r="BJ490" s="280"/>
      <c r="BK490" s="280"/>
      <c r="BL490" s="280"/>
      <c r="BM490" s="280"/>
      <c r="BN490" s="280"/>
      <c r="BO490" s="280"/>
      <c r="BP490" s="280"/>
      <c r="BQ490" s="280"/>
      <c r="BR490" s="280"/>
      <c r="BS490" s="280"/>
      <c r="BT490" s="280"/>
      <c r="BU490" s="280"/>
      <c r="BV490" s="280"/>
    </row>
    <row r="491" spans="2:74" s="293" customFormat="1" x14ac:dyDescent="0.25">
      <c r="B491" s="280"/>
      <c r="C491" s="280"/>
      <c r="D491" s="280"/>
      <c r="E491" s="280"/>
      <c r="F491" s="280"/>
      <c r="G491" s="280"/>
      <c r="H491" s="280"/>
      <c r="I491" s="280"/>
      <c r="J491" s="280"/>
      <c r="K491" s="280"/>
      <c r="L491" s="283"/>
      <c r="M491" s="283"/>
      <c r="N491" s="280"/>
      <c r="O491" s="280"/>
      <c r="P491" s="280"/>
      <c r="Q491" s="280"/>
      <c r="R491" s="292"/>
      <c r="S491" s="292"/>
      <c r="T491" s="292"/>
      <c r="U491" s="292"/>
      <c r="V491" s="292"/>
      <c r="W491" s="292"/>
      <c r="X491" s="374"/>
      <c r="Y491" s="374"/>
      <c r="Z491" s="374"/>
      <c r="AA491" s="373"/>
      <c r="AB491" s="283"/>
      <c r="AC491" s="280"/>
      <c r="AD491" s="280"/>
      <c r="AE491" s="280"/>
      <c r="AF491" s="280"/>
      <c r="AG491" s="280"/>
      <c r="AH491" s="280"/>
      <c r="AI491" s="280"/>
      <c r="AJ491" s="280"/>
      <c r="AK491" s="280"/>
      <c r="AL491" s="280"/>
      <c r="AM491" s="280"/>
      <c r="AN491" s="280"/>
      <c r="AO491" s="280"/>
      <c r="AP491" s="280"/>
      <c r="AQ491" s="280"/>
      <c r="AR491" s="280"/>
      <c r="AS491" s="280"/>
      <c r="AT491" s="280"/>
      <c r="AU491" s="280"/>
      <c r="AV491" s="280"/>
      <c r="AW491" s="280"/>
      <c r="AX491" s="280"/>
      <c r="AY491" s="280"/>
      <c r="AZ491" s="280"/>
      <c r="BA491" s="280"/>
      <c r="BB491" s="280"/>
      <c r="BC491" s="280"/>
      <c r="BD491" s="280"/>
      <c r="BE491" s="280"/>
      <c r="BF491" s="280"/>
      <c r="BG491" s="280"/>
      <c r="BH491" s="280"/>
      <c r="BI491" s="280"/>
      <c r="BJ491" s="280"/>
      <c r="BK491" s="280"/>
      <c r="BL491" s="280"/>
      <c r="BM491" s="280"/>
      <c r="BN491" s="280"/>
      <c r="BO491" s="280"/>
      <c r="BP491" s="280"/>
      <c r="BQ491" s="280"/>
      <c r="BR491" s="280"/>
      <c r="BS491" s="280"/>
      <c r="BT491" s="280"/>
      <c r="BU491" s="280"/>
      <c r="BV491" s="280"/>
    </row>
    <row r="492" spans="2:74" s="293" customFormat="1" x14ac:dyDescent="0.25">
      <c r="B492" s="280"/>
      <c r="C492" s="280"/>
      <c r="D492" s="280"/>
      <c r="E492" s="280"/>
      <c r="F492" s="280"/>
      <c r="G492" s="280"/>
      <c r="H492" s="280"/>
      <c r="I492" s="280"/>
      <c r="J492" s="280"/>
      <c r="K492" s="280"/>
      <c r="L492" s="283"/>
      <c r="M492" s="283"/>
      <c r="N492" s="280"/>
      <c r="O492" s="280"/>
      <c r="P492" s="280"/>
      <c r="Q492" s="280"/>
      <c r="R492" s="292"/>
      <c r="S492" s="292"/>
      <c r="T492" s="292"/>
      <c r="U492" s="292"/>
      <c r="V492" s="292"/>
      <c r="W492" s="292"/>
      <c r="X492" s="374"/>
      <c r="Y492" s="374"/>
      <c r="Z492" s="374"/>
      <c r="AA492" s="373"/>
      <c r="AB492" s="283"/>
      <c r="AC492" s="280"/>
      <c r="AD492" s="280"/>
      <c r="AE492" s="280"/>
      <c r="AF492" s="280"/>
      <c r="AG492" s="280"/>
      <c r="AH492" s="280"/>
      <c r="AI492" s="280"/>
      <c r="AJ492" s="280"/>
      <c r="AK492" s="280"/>
      <c r="AL492" s="280"/>
      <c r="AM492" s="280"/>
      <c r="AN492" s="280"/>
      <c r="AO492" s="280"/>
      <c r="AP492" s="280"/>
      <c r="AQ492" s="280"/>
      <c r="AR492" s="280"/>
      <c r="AS492" s="280"/>
      <c r="AT492" s="280"/>
      <c r="AU492" s="280"/>
      <c r="AV492" s="280"/>
      <c r="AW492" s="280"/>
      <c r="AX492" s="280"/>
      <c r="AY492" s="280"/>
      <c r="AZ492" s="280"/>
      <c r="BA492" s="280"/>
      <c r="BB492" s="280"/>
      <c r="BC492" s="280"/>
      <c r="BD492" s="280"/>
      <c r="BE492" s="280"/>
      <c r="BF492" s="280"/>
      <c r="BG492" s="280"/>
      <c r="BH492" s="280"/>
      <c r="BI492" s="280"/>
      <c r="BJ492" s="280"/>
      <c r="BK492" s="280"/>
      <c r="BL492" s="280"/>
      <c r="BM492" s="280"/>
      <c r="BN492" s="280"/>
      <c r="BO492" s="280"/>
      <c r="BP492" s="280"/>
      <c r="BQ492" s="280"/>
      <c r="BR492" s="280"/>
      <c r="BS492" s="280"/>
      <c r="BT492" s="280"/>
      <c r="BU492" s="280"/>
      <c r="BV492" s="280"/>
    </row>
    <row r="493" spans="2:74" s="293" customFormat="1" x14ac:dyDescent="0.25">
      <c r="B493" s="280"/>
      <c r="C493" s="280"/>
      <c r="D493" s="280"/>
      <c r="E493" s="280"/>
      <c r="F493" s="280"/>
      <c r="G493" s="280"/>
      <c r="H493" s="280"/>
      <c r="I493" s="280"/>
      <c r="J493" s="280"/>
      <c r="K493" s="280"/>
      <c r="L493" s="283"/>
      <c r="M493" s="283"/>
      <c r="N493" s="280"/>
      <c r="O493" s="280"/>
      <c r="P493" s="280"/>
      <c r="Q493" s="280"/>
      <c r="R493" s="292"/>
      <c r="S493" s="292"/>
      <c r="T493" s="292"/>
      <c r="U493" s="292"/>
      <c r="V493" s="292"/>
      <c r="W493" s="292"/>
      <c r="X493" s="374"/>
      <c r="Y493" s="374"/>
      <c r="Z493" s="374"/>
      <c r="AA493" s="373"/>
      <c r="AB493" s="283"/>
      <c r="AC493" s="280"/>
      <c r="AD493" s="280"/>
      <c r="AE493" s="280"/>
      <c r="AF493" s="280"/>
      <c r="AG493" s="280"/>
      <c r="AH493" s="280"/>
      <c r="AI493" s="280"/>
      <c r="AJ493" s="280"/>
      <c r="AK493" s="280"/>
      <c r="AL493" s="280"/>
      <c r="AM493" s="280"/>
      <c r="AN493" s="280"/>
      <c r="AO493" s="280"/>
      <c r="AP493" s="280"/>
      <c r="AQ493" s="280"/>
      <c r="AR493" s="280"/>
      <c r="AS493" s="280"/>
      <c r="AT493" s="280"/>
      <c r="AU493" s="280"/>
      <c r="AV493" s="280"/>
      <c r="AW493" s="280"/>
      <c r="AX493" s="280"/>
      <c r="AY493" s="280"/>
      <c r="AZ493" s="280"/>
      <c r="BA493" s="280"/>
      <c r="BB493" s="280"/>
      <c r="BC493" s="280"/>
      <c r="BD493" s="280"/>
      <c r="BE493" s="280"/>
      <c r="BF493" s="280"/>
      <c r="BG493" s="280"/>
      <c r="BH493" s="280"/>
      <c r="BI493" s="280"/>
      <c r="BJ493" s="280"/>
      <c r="BK493" s="280"/>
      <c r="BL493" s="280"/>
      <c r="BM493" s="280"/>
      <c r="BN493" s="280"/>
      <c r="BO493" s="280"/>
      <c r="BP493" s="280"/>
      <c r="BQ493" s="280"/>
      <c r="BR493" s="280"/>
      <c r="BS493" s="280"/>
      <c r="BT493" s="280"/>
      <c r="BU493" s="280"/>
      <c r="BV493" s="280"/>
    </row>
    <row r="494" spans="2:74" s="293" customFormat="1" x14ac:dyDescent="0.25">
      <c r="B494" s="280"/>
      <c r="C494" s="280"/>
      <c r="D494" s="280"/>
      <c r="E494" s="280"/>
      <c r="F494" s="280"/>
      <c r="G494" s="280"/>
      <c r="H494" s="280"/>
      <c r="I494" s="280"/>
      <c r="J494" s="280"/>
      <c r="K494" s="280"/>
      <c r="L494" s="283"/>
      <c r="M494" s="283"/>
      <c r="N494" s="280"/>
      <c r="O494" s="280"/>
      <c r="P494" s="280"/>
      <c r="Q494" s="280"/>
      <c r="R494" s="292"/>
      <c r="S494" s="292"/>
      <c r="T494" s="292"/>
      <c r="U494" s="292"/>
      <c r="V494" s="292"/>
      <c r="W494" s="292"/>
      <c r="X494" s="374"/>
      <c r="Y494" s="374"/>
      <c r="Z494" s="374"/>
      <c r="AA494" s="373"/>
      <c r="AB494" s="283"/>
      <c r="AC494" s="280"/>
      <c r="AD494" s="280"/>
      <c r="AE494" s="280"/>
      <c r="AF494" s="280"/>
      <c r="AG494" s="280"/>
      <c r="AH494" s="280"/>
      <c r="AI494" s="280"/>
      <c r="AJ494" s="280"/>
      <c r="AK494" s="280"/>
      <c r="AL494" s="280"/>
      <c r="AM494" s="280"/>
      <c r="AN494" s="280"/>
      <c r="AO494" s="280"/>
      <c r="AP494" s="280"/>
      <c r="AQ494" s="280"/>
      <c r="AR494" s="280"/>
      <c r="AS494" s="280"/>
      <c r="AT494" s="280"/>
      <c r="AU494" s="280"/>
      <c r="AV494" s="280"/>
      <c r="AW494" s="280"/>
      <c r="AX494" s="280"/>
      <c r="AY494" s="280"/>
      <c r="AZ494" s="280"/>
      <c r="BA494" s="280"/>
      <c r="BB494" s="280"/>
      <c r="BC494" s="280"/>
      <c r="BD494" s="280"/>
      <c r="BE494" s="280"/>
      <c r="BF494" s="280"/>
      <c r="BG494" s="280"/>
      <c r="BH494" s="280"/>
      <c r="BI494" s="280"/>
      <c r="BJ494" s="280"/>
      <c r="BK494" s="280"/>
      <c r="BL494" s="280"/>
      <c r="BM494" s="280"/>
      <c r="BN494" s="280"/>
      <c r="BO494" s="280"/>
      <c r="BP494" s="280"/>
      <c r="BQ494" s="280"/>
      <c r="BR494" s="280"/>
      <c r="BS494" s="280"/>
      <c r="BT494" s="280"/>
      <c r="BU494" s="280"/>
      <c r="BV494" s="280"/>
    </row>
    <row r="495" spans="2:74" s="293" customFormat="1" x14ac:dyDescent="0.25">
      <c r="B495" s="280"/>
      <c r="C495" s="280"/>
      <c r="D495" s="280"/>
      <c r="E495" s="280"/>
      <c r="F495" s="280"/>
      <c r="G495" s="280"/>
      <c r="H495" s="280"/>
      <c r="I495" s="280"/>
      <c r="J495" s="280"/>
      <c r="K495" s="280"/>
      <c r="L495" s="283"/>
      <c r="M495" s="283"/>
      <c r="N495" s="280"/>
      <c r="O495" s="280"/>
      <c r="P495" s="280"/>
      <c r="Q495" s="280"/>
      <c r="R495" s="292"/>
      <c r="S495" s="292"/>
      <c r="T495" s="292"/>
      <c r="U495" s="292"/>
      <c r="V495" s="292"/>
      <c r="W495" s="292"/>
      <c r="X495" s="374"/>
      <c r="Y495" s="374"/>
      <c r="Z495" s="374"/>
      <c r="AA495" s="373"/>
      <c r="AB495" s="283"/>
      <c r="AC495" s="280"/>
      <c r="AD495" s="280"/>
      <c r="AE495" s="280"/>
      <c r="AF495" s="280"/>
      <c r="AG495" s="280"/>
      <c r="AH495" s="280"/>
      <c r="AI495" s="280"/>
      <c r="AJ495" s="280"/>
      <c r="AK495" s="280"/>
      <c r="AL495" s="280"/>
      <c r="AM495" s="280"/>
      <c r="AN495" s="280"/>
      <c r="AO495" s="280"/>
      <c r="AP495" s="280"/>
      <c r="AQ495" s="280"/>
      <c r="AR495" s="280"/>
      <c r="AS495" s="280"/>
      <c r="AT495" s="280"/>
      <c r="AU495" s="280"/>
      <c r="AV495" s="280"/>
      <c r="AW495" s="280"/>
      <c r="AX495" s="280"/>
      <c r="AY495" s="280"/>
      <c r="AZ495" s="280"/>
      <c r="BA495" s="280"/>
      <c r="BB495" s="280"/>
      <c r="BC495" s="280"/>
      <c r="BD495" s="280"/>
      <c r="BE495" s="280"/>
      <c r="BF495" s="280"/>
      <c r="BG495" s="280"/>
      <c r="BH495" s="280"/>
      <c r="BI495" s="280"/>
      <c r="BJ495" s="280"/>
      <c r="BK495" s="280"/>
      <c r="BL495" s="280"/>
      <c r="BM495" s="280"/>
      <c r="BN495" s="280"/>
      <c r="BO495" s="280"/>
      <c r="BP495" s="280"/>
      <c r="BQ495" s="280"/>
      <c r="BR495" s="280"/>
      <c r="BS495" s="280"/>
      <c r="BT495" s="280"/>
      <c r="BU495" s="280"/>
      <c r="BV495" s="280"/>
    </row>
    <row r="496" spans="2:74" s="293" customFormat="1" x14ac:dyDescent="0.25">
      <c r="B496" s="280"/>
      <c r="C496" s="280"/>
      <c r="D496" s="280"/>
      <c r="E496" s="280"/>
      <c r="F496" s="280"/>
      <c r="G496" s="280"/>
      <c r="H496" s="280"/>
      <c r="I496" s="280"/>
      <c r="J496" s="280"/>
      <c r="K496" s="280"/>
      <c r="L496" s="283"/>
      <c r="M496" s="283"/>
      <c r="N496" s="280"/>
      <c r="O496" s="280"/>
      <c r="P496" s="280"/>
      <c r="Q496" s="280"/>
      <c r="R496" s="292"/>
      <c r="S496" s="292"/>
      <c r="T496" s="292"/>
      <c r="U496" s="292"/>
      <c r="V496" s="292"/>
      <c r="W496" s="292"/>
      <c r="X496" s="374"/>
      <c r="Y496" s="374"/>
      <c r="Z496" s="374"/>
      <c r="AA496" s="373"/>
      <c r="AB496" s="283"/>
      <c r="AC496" s="280"/>
      <c r="AD496" s="280"/>
      <c r="AE496" s="280"/>
      <c r="AF496" s="280"/>
      <c r="AG496" s="280"/>
      <c r="AH496" s="280"/>
      <c r="AI496" s="280"/>
      <c r="AJ496" s="280"/>
      <c r="AK496" s="280"/>
      <c r="AL496" s="280"/>
      <c r="AM496" s="280"/>
      <c r="AN496" s="280"/>
      <c r="AO496" s="280"/>
      <c r="AP496" s="280"/>
      <c r="AQ496" s="280"/>
      <c r="AR496" s="280"/>
      <c r="AS496" s="280"/>
      <c r="AT496" s="280"/>
      <c r="AU496" s="280"/>
      <c r="AV496" s="280"/>
      <c r="AW496" s="280"/>
      <c r="AX496" s="280"/>
      <c r="AY496" s="280"/>
      <c r="AZ496" s="280"/>
      <c r="BA496" s="280"/>
      <c r="BB496" s="280"/>
      <c r="BC496" s="280"/>
      <c r="BD496" s="280"/>
      <c r="BE496" s="280"/>
      <c r="BF496" s="280"/>
      <c r="BG496" s="280"/>
      <c r="BH496" s="280"/>
      <c r="BI496" s="280"/>
      <c r="BJ496" s="280"/>
      <c r="BK496" s="280"/>
      <c r="BL496" s="280"/>
      <c r="BM496" s="280"/>
      <c r="BN496" s="280"/>
      <c r="BO496" s="280"/>
      <c r="BP496" s="280"/>
      <c r="BQ496" s="280"/>
      <c r="BR496" s="280"/>
      <c r="BS496" s="280"/>
      <c r="BT496" s="280"/>
      <c r="BU496" s="280"/>
      <c r="BV496" s="280"/>
    </row>
    <row r="497" spans="2:74" s="293" customFormat="1" x14ac:dyDescent="0.25">
      <c r="B497" s="280"/>
      <c r="C497" s="280"/>
      <c r="D497" s="280"/>
      <c r="E497" s="280"/>
      <c r="F497" s="280"/>
      <c r="G497" s="280"/>
      <c r="H497" s="280"/>
      <c r="I497" s="280"/>
      <c r="J497" s="280"/>
      <c r="K497" s="280"/>
      <c r="L497" s="283"/>
      <c r="M497" s="283"/>
      <c r="N497" s="280"/>
      <c r="O497" s="280"/>
      <c r="P497" s="280"/>
      <c r="Q497" s="280"/>
      <c r="R497" s="292"/>
      <c r="S497" s="292"/>
      <c r="T497" s="292"/>
      <c r="U497" s="292"/>
      <c r="V497" s="292"/>
      <c r="W497" s="292"/>
      <c r="X497" s="374"/>
      <c r="Y497" s="374"/>
      <c r="Z497" s="374"/>
      <c r="AA497" s="373"/>
      <c r="AB497" s="283"/>
      <c r="AC497" s="280"/>
      <c r="AD497" s="280"/>
      <c r="AE497" s="280"/>
      <c r="AF497" s="280"/>
      <c r="AG497" s="280"/>
      <c r="AH497" s="280"/>
      <c r="AI497" s="280"/>
      <c r="AJ497" s="280"/>
      <c r="AK497" s="280"/>
      <c r="AL497" s="280"/>
      <c r="AM497" s="280"/>
      <c r="AN497" s="280"/>
      <c r="AO497" s="280"/>
      <c r="AP497" s="280"/>
      <c r="AQ497" s="280"/>
      <c r="AR497" s="280"/>
      <c r="AS497" s="280"/>
      <c r="AT497" s="280"/>
      <c r="AU497" s="280"/>
      <c r="AV497" s="280"/>
      <c r="AW497" s="280"/>
      <c r="AX497" s="280"/>
      <c r="AY497" s="280"/>
      <c r="AZ497" s="280"/>
      <c r="BA497" s="280"/>
      <c r="BB497" s="280"/>
      <c r="BC497" s="280"/>
      <c r="BD497" s="280"/>
      <c r="BE497" s="280"/>
      <c r="BF497" s="280"/>
      <c r="BG497" s="280"/>
      <c r="BH497" s="280"/>
      <c r="BI497" s="280"/>
      <c r="BJ497" s="280"/>
      <c r="BK497" s="280"/>
      <c r="BL497" s="280"/>
      <c r="BM497" s="280"/>
      <c r="BN497" s="280"/>
      <c r="BO497" s="280"/>
      <c r="BP497" s="280"/>
      <c r="BQ497" s="280"/>
      <c r="BR497" s="280"/>
      <c r="BS497" s="280"/>
      <c r="BT497" s="280"/>
      <c r="BU497" s="280"/>
      <c r="BV497" s="280"/>
    </row>
    <row r="498" spans="2:74" s="293" customFormat="1" x14ac:dyDescent="0.25">
      <c r="B498" s="280"/>
      <c r="C498" s="280"/>
      <c r="D498" s="280"/>
      <c r="E498" s="280"/>
      <c r="F498" s="280"/>
      <c r="G498" s="280"/>
      <c r="H498" s="280"/>
      <c r="I498" s="280"/>
      <c r="J498" s="280"/>
      <c r="K498" s="280"/>
      <c r="L498" s="283"/>
      <c r="M498" s="283"/>
      <c r="N498" s="280"/>
      <c r="O498" s="280"/>
      <c r="P498" s="280"/>
      <c r="Q498" s="280"/>
      <c r="R498" s="292"/>
      <c r="S498" s="292"/>
      <c r="T498" s="292"/>
      <c r="U498" s="292"/>
      <c r="V498" s="292"/>
      <c r="W498" s="292"/>
      <c r="X498" s="374"/>
      <c r="Y498" s="374"/>
      <c r="Z498" s="374"/>
      <c r="AA498" s="373"/>
      <c r="AB498" s="283"/>
      <c r="AC498" s="280"/>
      <c r="AD498" s="280"/>
      <c r="AE498" s="280"/>
      <c r="AF498" s="280"/>
      <c r="AG498" s="280"/>
      <c r="AH498" s="280"/>
      <c r="AI498" s="280"/>
      <c r="AJ498" s="280"/>
      <c r="AK498" s="280"/>
      <c r="AL498" s="280"/>
      <c r="AM498" s="280"/>
      <c r="AN498" s="280"/>
      <c r="AO498" s="280"/>
      <c r="AP498" s="280"/>
      <c r="AQ498" s="280"/>
      <c r="AR498" s="280"/>
      <c r="AS498" s="280"/>
      <c r="AT498" s="280"/>
      <c r="AU498" s="280"/>
      <c r="AV498" s="280"/>
      <c r="AW498" s="280"/>
      <c r="AX498" s="280"/>
      <c r="AY498" s="280"/>
      <c r="AZ498" s="280"/>
      <c r="BA498" s="280"/>
      <c r="BB498" s="280"/>
      <c r="BC498" s="280"/>
      <c r="BD498" s="280"/>
      <c r="BE498" s="280"/>
      <c r="BF498" s="280"/>
      <c r="BG498" s="280"/>
      <c r="BH498" s="280"/>
      <c r="BI498" s="280"/>
      <c r="BJ498" s="280"/>
      <c r="BK498" s="280"/>
      <c r="BL498" s="280"/>
      <c r="BM498" s="280"/>
      <c r="BN498" s="280"/>
      <c r="BO498" s="280"/>
      <c r="BP498" s="280"/>
      <c r="BQ498" s="280"/>
      <c r="BR498" s="280"/>
      <c r="BS498" s="280"/>
      <c r="BT498" s="280"/>
      <c r="BU498" s="280"/>
      <c r="BV498" s="280"/>
    </row>
    <row r="499" spans="2:74" s="293" customFormat="1" x14ac:dyDescent="0.25">
      <c r="B499" s="280"/>
      <c r="C499" s="280"/>
      <c r="D499" s="280"/>
      <c r="E499" s="280"/>
      <c r="F499" s="280"/>
      <c r="G499" s="280"/>
      <c r="H499" s="280"/>
      <c r="I499" s="280"/>
      <c r="J499" s="280"/>
      <c r="K499" s="280"/>
      <c r="L499" s="283"/>
      <c r="M499" s="283"/>
      <c r="N499" s="280"/>
      <c r="O499" s="280"/>
      <c r="P499" s="280"/>
      <c r="Q499" s="280"/>
      <c r="R499" s="292"/>
      <c r="S499" s="292"/>
      <c r="T499" s="292"/>
      <c r="U499" s="292"/>
      <c r="V499" s="292"/>
      <c r="W499" s="292"/>
      <c r="X499" s="374"/>
      <c r="Y499" s="374"/>
      <c r="Z499" s="374"/>
      <c r="AA499" s="373"/>
      <c r="AB499" s="283"/>
      <c r="AC499" s="280"/>
      <c r="AD499" s="280"/>
      <c r="AE499" s="280"/>
      <c r="AF499" s="280"/>
      <c r="AG499" s="280"/>
      <c r="AH499" s="280"/>
      <c r="AI499" s="280"/>
      <c r="AJ499" s="280"/>
      <c r="AK499" s="280"/>
      <c r="AL499" s="280"/>
      <c r="AM499" s="280"/>
      <c r="AN499" s="280"/>
      <c r="AO499" s="280"/>
      <c r="AP499" s="280"/>
      <c r="AQ499" s="280"/>
      <c r="AR499" s="280"/>
      <c r="AS499" s="280"/>
      <c r="AT499" s="280"/>
      <c r="AU499" s="280"/>
      <c r="AV499" s="280"/>
      <c r="AW499" s="280"/>
      <c r="AX499" s="280"/>
      <c r="AY499" s="280"/>
      <c r="AZ499" s="280"/>
      <c r="BA499" s="280"/>
      <c r="BB499" s="280"/>
      <c r="BC499" s="280"/>
      <c r="BD499" s="280"/>
      <c r="BE499" s="280"/>
      <c r="BF499" s="280"/>
      <c r="BG499" s="280"/>
      <c r="BH499" s="280"/>
      <c r="BI499" s="280"/>
      <c r="BJ499" s="280"/>
      <c r="BK499" s="280"/>
      <c r="BL499" s="280"/>
      <c r="BM499" s="280"/>
      <c r="BN499" s="280"/>
      <c r="BO499" s="280"/>
      <c r="BP499" s="280"/>
      <c r="BQ499" s="280"/>
      <c r="BR499" s="280"/>
      <c r="BS499" s="280"/>
      <c r="BT499" s="280"/>
      <c r="BU499" s="280"/>
      <c r="BV499" s="280"/>
    </row>
    <row r="500" spans="2:74" s="293" customFormat="1" x14ac:dyDescent="0.25">
      <c r="B500" s="280"/>
      <c r="C500" s="280"/>
      <c r="D500" s="280"/>
      <c r="E500" s="280"/>
      <c r="F500" s="280"/>
      <c r="G500" s="280"/>
      <c r="H500" s="280"/>
      <c r="I500" s="280"/>
      <c r="J500" s="280"/>
      <c r="K500" s="280"/>
      <c r="L500" s="283"/>
      <c r="M500" s="283"/>
      <c r="N500" s="280"/>
      <c r="O500" s="280"/>
      <c r="P500" s="280"/>
      <c r="Q500" s="280"/>
      <c r="R500" s="292"/>
      <c r="S500" s="292"/>
      <c r="T500" s="292"/>
      <c r="U500" s="292"/>
      <c r="V500" s="292"/>
      <c r="W500" s="292"/>
      <c r="X500" s="374"/>
      <c r="Y500" s="374"/>
      <c r="Z500" s="374"/>
      <c r="AA500" s="373"/>
      <c r="AB500" s="283"/>
      <c r="AC500" s="280"/>
      <c r="AD500" s="280"/>
      <c r="AE500" s="280"/>
      <c r="AF500" s="280"/>
      <c r="AG500" s="280"/>
      <c r="AH500" s="280"/>
      <c r="AI500" s="280"/>
      <c r="AJ500" s="280"/>
      <c r="AK500" s="280"/>
      <c r="AL500" s="280"/>
      <c r="AM500" s="280"/>
      <c r="AN500" s="280"/>
      <c r="AO500" s="280"/>
      <c r="AP500" s="280"/>
      <c r="AQ500" s="280"/>
      <c r="AR500" s="280"/>
      <c r="AS500" s="280"/>
      <c r="AT500" s="280"/>
      <c r="AU500" s="280"/>
      <c r="AV500" s="280"/>
      <c r="AW500" s="280"/>
      <c r="AX500" s="280"/>
      <c r="AY500" s="280"/>
      <c r="AZ500" s="280"/>
      <c r="BA500" s="280"/>
      <c r="BB500" s="280"/>
      <c r="BC500" s="280"/>
      <c r="BD500" s="280"/>
      <c r="BE500" s="280"/>
      <c r="BF500" s="280"/>
      <c r="BG500" s="280"/>
      <c r="BH500" s="280"/>
      <c r="BI500" s="280"/>
      <c r="BJ500" s="280"/>
      <c r="BK500" s="280"/>
      <c r="BL500" s="280"/>
      <c r="BM500" s="280"/>
      <c r="BN500" s="280"/>
      <c r="BO500" s="280"/>
      <c r="BP500" s="280"/>
      <c r="BQ500" s="280"/>
      <c r="BR500" s="280"/>
      <c r="BS500" s="280"/>
      <c r="BT500" s="280"/>
      <c r="BU500" s="280"/>
      <c r="BV500" s="280"/>
    </row>
    <row r="501" spans="2:74" s="293" customFormat="1" x14ac:dyDescent="0.25">
      <c r="B501" s="280"/>
      <c r="C501" s="280"/>
      <c r="D501" s="280"/>
      <c r="E501" s="280"/>
      <c r="F501" s="280"/>
      <c r="G501" s="280"/>
      <c r="H501" s="280"/>
      <c r="I501" s="280"/>
      <c r="J501" s="280"/>
      <c r="K501" s="280"/>
      <c r="L501" s="283"/>
      <c r="M501" s="283"/>
      <c r="N501" s="280"/>
      <c r="O501" s="280"/>
      <c r="P501" s="280"/>
      <c r="Q501" s="280"/>
      <c r="R501" s="292"/>
      <c r="S501" s="292"/>
      <c r="T501" s="292"/>
      <c r="U501" s="292"/>
      <c r="V501" s="292"/>
      <c r="W501" s="292"/>
      <c r="X501" s="374"/>
      <c r="Y501" s="374"/>
      <c r="Z501" s="374"/>
      <c r="AA501" s="373"/>
      <c r="AB501" s="283"/>
      <c r="AC501" s="280"/>
      <c r="AD501" s="280"/>
      <c r="AE501" s="280"/>
      <c r="AF501" s="280"/>
      <c r="AG501" s="280"/>
      <c r="AH501" s="280"/>
      <c r="AI501" s="280"/>
      <c r="AJ501" s="280"/>
      <c r="AK501" s="280"/>
      <c r="AL501" s="280"/>
      <c r="AM501" s="280"/>
      <c r="AN501" s="280"/>
      <c r="AO501" s="280"/>
      <c r="AP501" s="280"/>
      <c r="AQ501" s="280"/>
      <c r="AR501" s="280"/>
      <c r="AS501" s="280"/>
      <c r="AT501" s="280"/>
      <c r="AU501" s="280"/>
      <c r="AV501" s="280"/>
      <c r="AW501" s="280"/>
      <c r="AX501" s="280"/>
      <c r="AY501" s="280"/>
      <c r="AZ501" s="280"/>
      <c r="BA501" s="280"/>
      <c r="BB501" s="280"/>
      <c r="BC501" s="280"/>
      <c r="BD501" s="280"/>
      <c r="BE501" s="280"/>
      <c r="BF501" s="280"/>
      <c r="BG501" s="280"/>
      <c r="BH501" s="280"/>
      <c r="BI501" s="280"/>
      <c r="BJ501" s="280"/>
      <c r="BK501" s="280"/>
      <c r="BL501" s="280"/>
      <c r="BM501" s="280"/>
      <c r="BN501" s="280"/>
      <c r="BO501" s="280"/>
      <c r="BP501" s="280"/>
      <c r="BQ501" s="280"/>
      <c r="BR501" s="280"/>
      <c r="BS501" s="280"/>
      <c r="BT501" s="280"/>
      <c r="BU501" s="280"/>
      <c r="BV501" s="280"/>
    </row>
    <row r="502" spans="2:74" s="293" customFormat="1" x14ac:dyDescent="0.25">
      <c r="B502" s="280"/>
      <c r="C502" s="280"/>
      <c r="D502" s="280"/>
      <c r="E502" s="280"/>
      <c r="F502" s="280"/>
      <c r="G502" s="280"/>
      <c r="H502" s="280"/>
      <c r="I502" s="280"/>
      <c r="J502" s="280"/>
      <c r="K502" s="280"/>
      <c r="L502" s="283"/>
      <c r="M502" s="283"/>
      <c r="N502" s="280"/>
      <c r="O502" s="280"/>
      <c r="P502" s="280"/>
      <c r="Q502" s="280"/>
      <c r="R502" s="292"/>
      <c r="S502" s="292"/>
      <c r="T502" s="292"/>
      <c r="U502" s="292"/>
      <c r="V502" s="292"/>
      <c r="W502" s="292"/>
      <c r="X502" s="374"/>
      <c r="Y502" s="374"/>
      <c r="Z502" s="374"/>
      <c r="AA502" s="373"/>
      <c r="AB502" s="283"/>
      <c r="AC502" s="280"/>
      <c r="AD502" s="280"/>
      <c r="AE502" s="280"/>
      <c r="AF502" s="280"/>
      <c r="AG502" s="280"/>
      <c r="AH502" s="280"/>
      <c r="AI502" s="280"/>
      <c r="AJ502" s="280"/>
      <c r="AK502" s="280"/>
      <c r="AL502" s="280"/>
      <c r="AM502" s="280"/>
      <c r="AN502" s="280"/>
      <c r="AO502" s="280"/>
      <c r="AP502" s="280"/>
      <c r="AQ502" s="280"/>
      <c r="AR502" s="280"/>
      <c r="AS502" s="280"/>
      <c r="AT502" s="280"/>
      <c r="AU502" s="280"/>
      <c r="AV502" s="280"/>
      <c r="AW502" s="280"/>
      <c r="AX502" s="280"/>
      <c r="AY502" s="280"/>
      <c r="AZ502" s="280"/>
      <c r="BA502" s="280"/>
      <c r="BB502" s="280"/>
      <c r="BC502" s="280"/>
      <c r="BD502" s="280"/>
      <c r="BE502" s="280"/>
      <c r="BF502" s="280"/>
      <c r="BG502" s="280"/>
      <c r="BH502" s="280"/>
      <c r="BI502" s="280"/>
      <c r="BJ502" s="280"/>
      <c r="BK502" s="280"/>
      <c r="BL502" s="280"/>
      <c r="BM502" s="280"/>
      <c r="BN502" s="280"/>
      <c r="BO502" s="280"/>
      <c r="BP502" s="280"/>
      <c r="BQ502" s="280"/>
      <c r="BR502" s="280"/>
      <c r="BS502" s="280"/>
      <c r="BT502" s="280"/>
      <c r="BU502" s="280"/>
      <c r="BV502" s="280"/>
    </row>
    <row r="503" spans="2:74" s="293" customFormat="1" x14ac:dyDescent="0.25">
      <c r="B503" s="280"/>
      <c r="C503" s="280"/>
      <c r="D503" s="280"/>
      <c r="E503" s="280"/>
      <c r="F503" s="280"/>
      <c r="G503" s="280"/>
      <c r="H503" s="280"/>
      <c r="I503" s="280"/>
      <c r="J503" s="280"/>
      <c r="K503" s="280"/>
      <c r="L503" s="283"/>
      <c r="M503" s="283"/>
      <c r="N503" s="280"/>
      <c r="O503" s="280"/>
      <c r="P503" s="280"/>
      <c r="Q503" s="280"/>
      <c r="R503" s="292"/>
      <c r="S503" s="292"/>
      <c r="T503" s="292"/>
      <c r="U503" s="292"/>
      <c r="V503" s="292"/>
      <c r="W503" s="292"/>
      <c r="X503" s="374"/>
      <c r="Y503" s="374"/>
      <c r="Z503" s="374"/>
      <c r="AA503" s="373"/>
      <c r="AB503" s="283"/>
      <c r="AC503" s="280"/>
      <c r="AD503" s="280"/>
      <c r="AE503" s="280"/>
      <c r="AF503" s="280"/>
      <c r="AG503" s="280"/>
      <c r="AH503" s="280"/>
      <c r="AI503" s="280"/>
      <c r="AJ503" s="280"/>
      <c r="AK503" s="280"/>
      <c r="AL503" s="280"/>
      <c r="AM503" s="280"/>
      <c r="AN503" s="280"/>
      <c r="AO503" s="280"/>
      <c r="AP503" s="280"/>
      <c r="AQ503" s="280"/>
      <c r="AR503" s="280"/>
      <c r="AS503" s="280"/>
      <c r="AT503" s="280"/>
      <c r="AU503" s="280"/>
      <c r="AV503" s="280"/>
      <c r="AW503" s="280"/>
      <c r="AX503" s="280"/>
      <c r="AY503" s="280"/>
      <c r="AZ503" s="280"/>
      <c r="BA503" s="280"/>
      <c r="BB503" s="280"/>
      <c r="BC503" s="280"/>
      <c r="BD503" s="280"/>
      <c r="BE503" s="280"/>
      <c r="BF503" s="280"/>
      <c r="BG503" s="280"/>
      <c r="BH503" s="280"/>
      <c r="BI503" s="280"/>
      <c r="BJ503" s="280"/>
      <c r="BK503" s="280"/>
      <c r="BL503" s="280"/>
      <c r="BM503" s="280"/>
      <c r="BN503" s="280"/>
      <c r="BO503" s="280"/>
      <c r="BP503" s="280"/>
      <c r="BQ503" s="280"/>
      <c r="BR503" s="280"/>
      <c r="BS503" s="280"/>
      <c r="BT503" s="280"/>
      <c r="BU503" s="280"/>
      <c r="BV503" s="280"/>
    </row>
    <row r="504" spans="2:74" s="293" customFormat="1" x14ac:dyDescent="0.25">
      <c r="B504" s="280"/>
      <c r="C504" s="280"/>
      <c r="D504" s="280"/>
      <c r="E504" s="280"/>
      <c r="F504" s="280"/>
      <c r="G504" s="280"/>
      <c r="H504" s="280"/>
      <c r="I504" s="280"/>
      <c r="J504" s="280"/>
      <c r="K504" s="280"/>
      <c r="L504" s="283"/>
      <c r="M504" s="283"/>
      <c r="N504" s="280"/>
      <c r="O504" s="280"/>
      <c r="P504" s="280"/>
      <c r="Q504" s="280"/>
      <c r="R504" s="292"/>
      <c r="S504" s="292"/>
      <c r="T504" s="292"/>
      <c r="U504" s="292"/>
      <c r="V504" s="292"/>
      <c r="W504" s="292"/>
      <c r="X504" s="374"/>
      <c r="Y504" s="374"/>
      <c r="Z504" s="374"/>
      <c r="AA504" s="373"/>
      <c r="AB504" s="283"/>
      <c r="AC504" s="280"/>
      <c r="AD504" s="280"/>
      <c r="AE504" s="280"/>
      <c r="AF504" s="280"/>
      <c r="AG504" s="280"/>
      <c r="AH504" s="280"/>
      <c r="AI504" s="280"/>
      <c r="AJ504" s="280"/>
      <c r="AK504" s="280"/>
      <c r="AL504" s="280"/>
      <c r="AM504" s="280"/>
      <c r="AN504" s="280"/>
      <c r="AO504" s="280"/>
      <c r="AP504" s="280"/>
      <c r="AQ504" s="280"/>
      <c r="AR504" s="280"/>
      <c r="AS504" s="280"/>
      <c r="AT504" s="280"/>
      <c r="AU504" s="280"/>
      <c r="AV504" s="280"/>
      <c r="AW504" s="280"/>
      <c r="AX504" s="280"/>
      <c r="AY504" s="280"/>
      <c r="AZ504" s="280"/>
      <c r="BA504" s="280"/>
      <c r="BB504" s="280"/>
      <c r="BC504" s="280"/>
      <c r="BD504" s="280"/>
      <c r="BE504" s="280"/>
      <c r="BF504" s="280"/>
      <c r="BG504" s="280"/>
      <c r="BH504" s="280"/>
      <c r="BI504" s="280"/>
      <c r="BJ504" s="280"/>
      <c r="BK504" s="280"/>
      <c r="BL504" s="280"/>
      <c r="BM504" s="280"/>
      <c r="BN504" s="280"/>
      <c r="BO504" s="280"/>
      <c r="BP504" s="280"/>
      <c r="BQ504" s="280"/>
      <c r="BR504" s="280"/>
      <c r="BS504" s="280"/>
      <c r="BT504" s="280"/>
      <c r="BU504" s="280"/>
      <c r="BV504" s="280"/>
    </row>
    <row r="505" spans="2:74" s="293" customFormat="1" x14ac:dyDescent="0.25">
      <c r="B505" s="280"/>
      <c r="C505" s="280"/>
      <c r="D505" s="280"/>
      <c r="E505" s="280"/>
      <c r="F505" s="280"/>
      <c r="G505" s="280"/>
      <c r="H505" s="280"/>
      <c r="I505" s="280"/>
      <c r="J505" s="280"/>
      <c r="K505" s="280"/>
      <c r="L505" s="283"/>
      <c r="M505" s="283"/>
      <c r="N505" s="280"/>
      <c r="O505" s="280"/>
      <c r="P505" s="280"/>
      <c r="Q505" s="280"/>
      <c r="R505" s="292"/>
      <c r="S505" s="292"/>
      <c r="T505" s="292"/>
      <c r="U505" s="292"/>
      <c r="V505" s="292"/>
      <c r="W505" s="292"/>
      <c r="X505" s="374"/>
      <c r="Y505" s="374"/>
      <c r="Z505" s="374"/>
      <c r="AA505" s="373"/>
      <c r="AB505" s="283"/>
      <c r="AC505" s="280"/>
      <c r="AD505" s="280"/>
      <c r="AE505" s="280"/>
      <c r="AF505" s="280"/>
      <c r="AG505" s="280"/>
      <c r="AH505" s="280"/>
      <c r="AI505" s="280"/>
      <c r="AJ505" s="280"/>
      <c r="AK505" s="280"/>
      <c r="AL505" s="280"/>
      <c r="AM505" s="280"/>
      <c r="AN505" s="280"/>
      <c r="AO505" s="280"/>
      <c r="AP505" s="280"/>
      <c r="AQ505" s="280"/>
      <c r="AR505" s="280"/>
      <c r="AS505" s="280"/>
      <c r="AT505" s="280"/>
      <c r="AU505" s="280"/>
      <c r="AV505" s="280"/>
      <c r="AW505" s="280"/>
      <c r="AX505" s="280"/>
      <c r="AY505" s="280"/>
      <c r="AZ505" s="280"/>
      <c r="BA505" s="280"/>
      <c r="BB505" s="280"/>
      <c r="BC505" s="280"/>
      <c r="BD505" s="280"/>
      <c r="BE505" s="280"/>
      <c r="BF505" s="280"/>
      <c r="BG505" s="280"/>
      <c r="BH505" s="280"/>
      <c r="BI505" s="280"/>
      <c r="BJ505" s="280"/>
      <c r="BK505" s="280"/>
      <c r="BL505" s="280"/>
      <c r="BM505" s="280"/>
      <c r="BN505" s="280"/>
      <c r="BO505" s="280"/>
      <c r="BP505" s="280"/>
      <c r="BQ505" s="280"/>
      <c r="BR505" s="280"/>
      <c r="BS505" s="280"/>
      <c r="BT505" s="280"/>
      <c r="BU505" s="280"/>
      <c r="BV505" s="280"/>
    </row>
    <row r="506" spans="2:74" s="293" customFormat="1" x14ac:dyDescent="0.25">
      <c r="B506" s="280"/>
      <c r="C506" s="280"/>
      <c r="D506" s="280"/>
      <c r="E506" s="280"/>
      <c r="F506" s="280"/>
      <c r="G506" s="280"/>
      <c r="H506" s="280"/>
      <c r="I506" s="280"/>
      <c r="J506" s="280"/>
      <c r="K506" s="280"/>
      <c r="L506" s="283"/>
      <c r="M506" s="283"/>
      <c r="N506" s="280"/>
      <c r="O506" s="280"/>
      <c r="P506" s="280"/>
      <c r="Q506" s="280"/>
      <c r="R506" s="292"/>
      <c r="S506" s="292"/>
      <c r="T506" s="292"/>
      <c r="U506" s="292"/>
      <c r="V506" s="292"/>
      <c r="W506" s="292"/>
      <c r="X506" s="374"/>
      <c r="Y506" s="374"/>
      <c r="Z506" s="374"/>
      <c r="AA506" s="373"/>
      <c r="AB506" s="283"/>
      <c r="AC506" s="280"/>
      <c r="AD506" s="280"/>
      <c r="AE506" s="280"/>
      <c r="AF506" s="280"/>
      <c r="AG506" s="280"/>
      <c r="AH506" s="280"/>
      <c r="AI506" s="280"/>
      <c r="AJ506" s="280"/>
      <c r="AK506" s="280"/>
      <c r="AL506" s="280"/>
      <c r="AM506" s="280"/>
      <c r="AN506" s="280"/>
      <c r="AO506" s="280"/>
      <c r="AP506" s="280"/>
      <c r="AQ506" s="280"/>
      <c r="AR506" s="280"/>
      <c r="AS506" s="280"/>
      <c r="AT506" s="280"/>
      <c r="AU506" s="280"/>
      <c r="AV506" s="280"/>
      <c r="AW506" s="280"/>
      <c r="AX506" s="280"/>
      <c r="AY506" s="280"/>
      <c r="AZ506" s="280"/>
      <c r="BA506" s="280"/>
      <c r="BB506" s="280"/>
      <c r="BC506" s="280"/>
      <c r="BD506" s="280"/>
      <c r="BE506" s="280"/>
      <c r="BF506" s="280"/>
      <c r="BG506" s="280"/>
      <c r="BH506" s="280"/>
      <c r="BI506" s="280"/>
      <c r="BJ506" s="280"/>
      <c r="BK506" s="280"/>
      <c r="BL506" s="280"/>
      <c r="BM506" s="280"/>
      <c r="BN506" s="280"/>
      <c r="BO506" s="280"/>
      <c r="BP506" s="280"/>
      <c r="BQ506" s="280"/>
      <c r="BR506" s="280"/>
      <c r="BS506" s="280"/>
      <c r="BT506" s="280"/>
      <c r="BU506" s="280"/>
      <c r="BV506" s="280"/>
    </row>
    <row r="507" spans="2:74" s="293" customFormat="1" x14ac:dyDescent="0.25">
      <c r="B507" s="280"/>
      <c r="C507" s="280"/>
      <c r="D507" s="280"/>
      <c r="E507" s="280"/>
      <c r="F507" s="280"/>
      <c r="G507" s="280"/>
      <c r="H507" s="280"/>
      <c r="I507" s="280"/>
      <c r="J507" s="280"/>
      <c r="K507" s="280"/>
      <c r="L507" s="283"/>
      <c r="M507" s="283"/>
      <c r="N507" s="280"/>
      <c r="O507" s="280"/>
      <c r="P507" s="280"/>
      <c r="Q507" s="280"/>
      <c r="R507" s="292"/>
      <c r="S507" s="292"/>
      <c r="T507" s="292"/>
      <c r="U507" s="292"/>
      <c r="V507" s="292"/>
      <c r="W507" s="292"/>
      <c r="X507" s="374"/>
      <c r="Y507" s="374"/>
      <c r="Z507" s="374"/>
      <c r="AA507" s="373"/>
      <c r="AB507" s="283"/>
      <c r="AC507" s="280"/>
      <c r="AD507" s="280"/>
      <c r="AE507" s="280"/>
      <c r="AF507" s="280"/>
      <c r="AG507" s="280"/>
      <c r="AH507" s="280"/>
      <c r="AI507" s="280"/>
      <c r="AJ507" s="280"/>
      <c r="AK507" s="280"/>
      <c r="AL507" s="280"/>
      <c r="AM507" s="280"/>
      <c r="AN507" s="280"/>
      <c r="AO507" s="280"/>
      <c r="AP507" s="280"/>
      <c r="AQ507" s="280"/>
      <c r="AR507" s="280"/>
      <c r="AS507" s="280"/>
      <c r="AT507" s="280"/>
      <c r="AU507" s="280"/>
      <c r="AV507" s="280"/>
      <c r="AW507" s="280"/>
      <c r="AX507" s="280"/>
      <c r="AY507" s="280"/>
      <c r="AZ507" s="280"/>
      <c r="BA507" s="280"/>
      <c r="BB507" s="280"/>
      <c r="BC507" s="280"/>
      <c r="BD507" s="280"/>
      <c r="BE507" s="280"/>
      <c r="BF507" s="280"/>
      <c r="BG507" s="280"/>
      <c r="BH507" s="280"/>
      <c r="BI507" s="280"/>
      <c r="BJ507" s="280"/>
      <c r="BK507" s="280"/>
      <c r="BL507" s="280"/>
      <c r="BM507" s="280"/>
      <c r="BN507" s="280"/>
      <c r="BO507" s="280"/>
      <c r="BP507" s="280"/>
      <c r="BQ507" s="280"/>
      <c r="BR507" s="280"/>
      <c r="BS507" s="280"/>
      <c r="BT507" s="280"/>
      <c r="BU507" s="280"/>
      <c r="BV507" s="280"/>
    </row>
    <row r="508" spans="2:74" s="293" customFormat="1" x14ac:dyDescent="0.25">
      <c r="B508" s="280"/>
      <c r="C508" s="280"/>
      <c r="D508" s="280"/>
      <c r="E508" s="280"/>
      <c r="F508" s="280"/>
      <c r="G508" s="280"/>
      <c r="H508" s="280"/>
      <c r="I508" s="280"/>
      <c r="J508" s="280"/>
      <c r="K508" s="280"/>
      <c r="L508" s="283"/>
      <c r="M508" s="283"/>
      <c r="N508" s="280"/>
      <c r="O508" s="280"/>
      <c r="P508" s="280"/>
      <c r="Q508" s="280"/>
      <c r="R508" s="292"/>
      <c r="S508" s="292"/>
      <c r="T508" s="292"/>
      <c r="U508" s="292"/>
      <c r="V508" s="292"/>
      <c r="W508" s="292"/>
      <c r="X508" s="374"/>
      <c r="Y508" s="374"/>
      <c r="Z508" s="374"/>
      <c r="AA508" s="373"/>
      <c r="AB508" s="283"/>
      <c r="AC508" s="280"/>
      <c r="AD508" s="280"/>
      <c r="AE508" s="280"/>
      <c r="AF508" s="280"/>
      <c r="AG508" s="280"/>
      <c r="AH508" s="280"/>
      <c r="AI508" s="280"/>
      <c r="AJ508" s="280"/>
      <c r="AK508" s="280"/>
      <c r="AL508" s="280"/>
      <c r="AM508" s="280"/>
      <c r="AN508" s="280"/>
      <c r="AO508" s="280"/>
      <c r="AP508" s="280"/>
      <c r="AQ508" s="280"/>
      <c r="AR508" s="280"/>
      <c r="AS508" s="280"/>
      <c r="AT508" s="280"/>
      <c r="AU508" s="280"/>
      <c r="AV508" s="280"/>
      <c r="AW508" s="280"/>
      <c r="AX508" s="280"/>
      <c r="AY508" s="280"/>
      <c r="AZ508" s="280"/>
      <c r="BA508" s="280"/>
      <c r="BB508" s="280"/>
      <c r="BC508" s="280"/>
      <c r="BD508" s="280"/>
      <c r="BE508" s="280"/>
      <c r="BF508" s="280"/>
      <c r="BG508" s="280"/>
      <c r="BH508" s="280"/>
      <c r="BI508" s="280"/>
      <c r="BJ508" s="280"/>
      <c r="BK508" s="280"/>
      <c r="BL508" s="280"/>
      <c r="BM508" s="280"/>
      <c r="BN508" s="280"/>
      <c r="BO508" s="280"/>
      <c r="BP508" s="280"/>
      <c r="BQ508" s="280"/>
      <c r="BR508" s="280"/>
      <c r="BS508" s="280"/>
      <c r="BT508" s="280"/>
      <c r="BU508" s="280"/>
      <c r="BV508" s="280"/>
    </row>
    <row r="509" spans="2:74" s="293" customFormat="1" x14ac:dyDescent="0.25">
      <c r="B509" s="280"/>
      <c r="C509" s="280"/>
      <c r="D509" s="280"/>
      <c r="E509" s="280"/>
      <c r="F509" s="280"/>
      <c r="G509" s="280"/>
      <c r="H509" s="280"/>
      <c r="I509" s="280"/>
      <c r="J509" s="280"/>
      <c r="K509" s="280"/>
      <c r="L509" s="283"/>
      <c r="M509" s="283"/>
      <c r="N509" s="280"/>
      <c r="O509" s="280"/>
      <c r="P509" s="280"/>
      <c r="Q509" s="280"/>
      <c r="R509" s="292"/>
      <c r="S509" s="292"/>
      <c r="T509" s="292"/>
      <c r="U509" s="292"/>
      <c r="V509" s="292"/>
      <c r="W509" s="292"/>
      <c r="X509" s="374"/>
      <c r="Y509" s="374"/>
      <c r="Z509" s="374"/>
      <c r="AA509" s="373"/>
      <c r="AB509" s="283"/>
      <c r="AC509" s="280"/>
      <c r="AD509" s="280"/>
      <c r="AE509" s="280"/>
      <c r="AF509" s="280"/>
      <c r="AG509" s="280"/>
      <c r="AH509" s="280"/>
      <c r="AI509" s="280"/>
      <c r="AJ509" s="280"/>
      <c r="AK509" s="280"/>
      <c r="AL509" s="280"/>
      <c r="AM509" s="280"/>
      <c r="AN509" s="280"/>
      <c r="AO509" s="280"/>
      <c r="AP509" s="280"/>
      <c r="AQ509" s="280"/>
      <c r="AR509" s="280"/>
      <c r="AS509" s="280"/>
      <c r="AT509" s="280"/>
      <c r="AU509" s="280"/>
      <c r="AV509" s="280"/>
      <c r="AW509" s="280"/>
      <c r="AX509" s="280"/>
      <c r="AY509" s="280"/>
      <c r="AZ509" s="280"/>
      <c r="BA509" s="280"/>
      <c r="BB509" s="280"/>
      <c r="BC509" s="280"/>
      <c r="BD509" s="280"/>
      <c r="BE509" s="280"/>
      <c r="BF509" s="280"/>
      <c r="BG509" s="280"/>
      <c r="BH509" s="280"/>
      <c r="BI509" s="280"/>
      <c r="BJ509" s="280"/>
      <c r="BK509" s="280"/>
      <c r="BL509" s="280"/>
      <c r="BM509" s="280"/>
      <c r="BN509" s="280"/>
      <c r="BO509" s="280"/>
      <c r="BP509" s="280"/>
      <c r="BQ509" s="280"/>
      <c r="BR509" s="280"/>
      <c r="BS509" s="280"/>
      <c r="BT509" s="280"/>
      <c r="BU509" s="280"/>
      <c r="BV509" s="280"/>
    </row>
    <row r="510" spans="2:74" s="293" customFormat="1" x14ac:dyDescent="0.25">
      <c r="B510" s="280"/>
      <c r="C510" s="280"/>
      <c r="D510" s="280"/>
      <c r="E510" s="280"/>
      <c r="F510" s="280"/>
      <c r="G510" s="280"/>
      <c r="H510" s="280"/>
      <c r="I510" s="280"/>
      <c r="J510" s="280"/>
      <c r="K510" s="280"/>
      <c r="L510" s="283"/>
      <c r="M510" s="283"/>
      <c r="N510" s="280"/>
      <c r="O510" s="280"/>
      <c r="P510" s="280"/>
      <c r="Q510" s="280"/>
      <c r="R510" s="292"/>
      <c r="S510" s="292"/>
      <c r="T510" s="292"/>
      <c r="U510" s="292"/>
      <c r="V510" s="292"/>
      <c r="W510" s="292"/>
      <c r="X510" s="374"/>
      <c r="Y510" s="374"/>
      <c r="Z510" s="374"/>
      <c r="AA510" s="373"/>
      <c r="AB510" s="283"/>
      <c r="AC510" s="280"/>
      <c r="AD510" s="280"/>
      <c r="AE510" s="280"/>
      <c r="AF510" s="280"/>
      <c r="AG510" s="280"/>
      <c r="AH510" s="280"/>
      <c r="AI510" s="280"/>
      <c r="AJ510" s="280"/>
      <c r="AK510" s="280"/>
      <c r="AL510" s="280"/>
      <c r="AM510" s="280"/>
      <c r="AN510" s="280"/>
      <c r="AO510" s="280"/>
      <c r="AP510" s="280"/>
      <c r="AQ510" s="280"/>
      <c r="AR510" s="280"/>
      <c r="AS510" s="280"/>
      <c r="AT510" s="280"/>
      <c r="AU510" s="280"/>
      <c r="AV510" s="280"/>
      <c r="AW510" s="280"/>
      <c r="AX510" s="280"/>
      <c r="AY510" s="280"/>
      <c r="AZ510" s="280"/>
      <c r="BA510" s="280"/>
      <c r="BB510" s="280"/>
      <c r="BC510" s="280"/>
      <c r="BD510" s="280"/>
      <c r="BE510" s="280"/>
      <c r="BF510" s="280"/>
      <c r="BG510" s="280"/>
      <c r="BH510" s="280"/>
      <c r="BI510" s="280"/>
      <c r="BJ510" s="280"/>
      <c r="BK510" s="280"/>
      <c r="BL510" s="280"/>
      <c r="BM510" s="280"/>
      <c r="BN510" s="280"/>
      <c r="BO510" s="280"/>
      <c r="BP510" s="280"/>
      <c r="BQ510" s="280"/>
      <c r="BR510" s="280"/>
      <c r="BS510" s="280"/>
      <c r="BT510" s="280"/>
      <c r="BU510" s="280"/>
      <c r="BV510" s="280"/>
    </row>
    <row r="511" spans="2:74" s="293" customFormat="1" x14ac:dyDescent="0.25">
      <c r="B511" s="280"/>
      <c r="C511" s="280"/>
      <c r="D511" s="280"/>
      <c r="E511" s="280"/>
      <c r="F511" s="280"/>
      <c r="G511" s="280"/>
      <c r="H511" s="280"/>
      <c r="I511" s="280"/>
      <c r="J511" s="280"/>
      <c r="K511" s="280"/>
      <c r="L511" s="283"/>
      <c r="M511" s="283"/>
      <c r="N511" s="280"/>
      <c r="O511" s="280"/>
      <c r="P511" s="280"/>
      <c r="Q511" s="280"/>
      <c r="R511" s="292"/>
      <c r="S511" s="292"/>
      <c r="T511" s="292"/>
      <c r="U511" s="292"/>
      <c r="V511" s="292"/>
      <c r="W511" s="292"/>
      <c r="X511" s="374"/>
      <c r="Y511" s="374"/>
      <c r="Z511" s="374"/>
      <c r="AA511" s="373"/>
      <c r="AB511" s="283"/>
      <c r="AC511" s="280"/>
      <c r="AD511" s="280"/>
      <c r="AE511" s="280"/>
      <c r="AF511" s="280"/>
      <c r="AG511" s="280"/>
      <c r="AH511" s="280"/>
      <c r="AI511" s="280"/>
      <c r="AJ511" s="280"/>
      <c r="AK511" s="280"/>
      <c r="AL511" s="280"/>
      <c r="AM511" s="280"/>
      <c r="AN511" s="280"/>
      <c r="AO511" s="280"/>
      <c r="AP511" s="280"/>
      <c r="AQ511" s="280"/>
      <c r="AR511" s="280"/>
      <c r="AS511" s="280"/>
      <c r="AT511" s="280"/>
      <c r="AU511" s="280"/>
      <c r="AV511" s="280"/>
      <c r="AW511" s="280"/>
      <c r="AX511" s="280"/>
      <c r="AY511" s="280"/>
      <c r="AZ511" s="280"/>
      <c r="BA511" s="280"/>
      <c r="BB511" s="280"/>
      <c r="BC511" s="280"/>
      <c r="BD511" s="280"/>
      <c r="BE511" s="280"/>
      <c r="BF511" s="280"/>
      <c r="BG511" s="280"/>
      <c r="BH511" s="280"/>
      <c r="BI511" s="280"/>
      <c r="BJ511" s="280"/>
      <c r="BK511" s="280"/>
      <c r="BL511" s="280"/>
      <c r="BM511" s="280"/>
      <c r="BN511" s="280"/>
      <c r="BO511" s="280"/>
      <c r="BP511" s="280"/>
      <c r="BQ511" s="280"/>
      <c r="BR511" s="280"/>
      <c r="BS511" s="280"/>
      <c r="BT511" s="280"/>
      <c r="BU511" s="280"/>
      <c r="BV511" s="280"/>
    </row>
    <row r="512" spans="2:74" s="293" customFormat="1" x14ac:dyDescent="0.25">
      <c r="B512" s="280"/>
      <c r="C512" s="280"/>
      <c r="D512" s="280"/>
      <c r="E512" s="280"/>
      <c r="F512" s="280"/>
      <c r="G512" s="280"/>
      <c r="H512" s="280"/>
      <c r="I512" s="280"/>
      <c r="J512" s="280"/>
      <c r="K512" s="280"/>
      <c r="L512" s="283"/>
      <c r="M512" s="283"/>
      <c r="N512" s="280"/>
      <c r="O512" s="280"/>
      <c r="P512" s="280"/>
      <c r="Q512" s="280"/>
      <c r="R512" s="292"/>
      <c r="S512" s="292"/>
      <c r="T512" s="292"/>
      <c r="U512" s="292"/>
      <c r="V512" s="292"/>
      <c r="W512" s="292"/>
      <c r="X512" s="374"/>
      <c r="Y512" s="374"/>
      <c r="Z512" s="374"/>
      <c r="AA512" s="373"/>
      <c r="AB512" s="283"/>
      <c r="AC512" s="280"/>
      <c r="AD512" s="280"/>
      <c r="AE512" s="280"/>
      <c r="AF512" s="280"/>
      <c r="AG512" s="280"/>
      <c r="AH512" s="280"/>
      <c r="AI512" s="280"/>
      <c r="AJ512" s="280"/>
      <c r="AK512" s="280"/>
      <c r="AL512" s="280"/>
      <c r="AM512" s="280"/>
      <c r="AN512" s="280"/>
      <c r="AO512" s="280"/>
      <c r="AP512" s="280"/>
      <c r="AQ512" s="280"/>
      <c r="AR512" s="280"/>
      <c r="AS512" s="280"/>
      <c r="AT512" s="280"/>
      <c r="AU512" s="280"/>
      <c r="AV512" s="280"/>
      <c r="AW512" s="280"/>
      <c r="AX512" s="280"/>
      <c r="AY512" s="280"/>
      <c r="AZ512" s="280"/>
      <c r="BA512" s="280"/>
      <c r="BB512" s="280"/>
      <c r="BC512" s="280"/>
      <c r="BD512" s="280"/>
      <c r="BE512" s="280"/>
      <c r="BF512" s="280"/>
      <c r="BG512" s="280"/>
      <c r="BH512" s="280"/>
      <c r="BI512" s="280"/>
      <c r="BJ512" s="280"/>
      <c r="BK512" s="280"/>
      <c r="BL512" s="280"/>
      <c r="BM512" s="280"/>
      <c r="BN512" s="280"/>
      <c r="BO512" s="280"/>
      <c r="BP512" s="280"/>
      <c r="BQ512" s="280"/>
      <c r="BR512" s="280"/>
      <c r="BS512" s="280"/>
      <c r="BT512" s="280"/>
      <c r="BU512" s="280"/>
      <c r="BV512" s="280"/>
    </row>
    <row r="513" spans="2:74" s="293" customFormat="1" x14ac:dyDescent="0.25">
      <c r="B513" s="280"/>
      <c r="C513" s="280"/>
      <c r="D513" s="280"/>
      <c r="E513" s="280"/>
      <c r="F513" s="280"/>
      <c r="G513" s="280"/>
      <c r="H513" s="280"/>
      <c r="I513" s="280"/>
      <c r="J513" s="280"/>
      <c r="K513" s="280"/>
      <c r="L513" s="283"/>
      <c r="M513" s="283"/>
      <c r="N513" s="280"/>
      <c r="O513" s="280"/>
      <c r="P513" s="280"/>
      <c r="Q513" s="280"/>
      <c r="R513" s="292"/>
      <c r="S513" s="292"/>
      <c r="T513" s="292"/>
      <c r="U513" s="292"/>
      <c r="V513" s="292"/>
      <c r="W513" s="292"/>
      <c r="X513" s="374"/>
      <c r="Y513" s="374"/>
      <c r="Z513" s="374"/>
      <c r="AA513" s="373"/>
      <c r="AB513" s="283"/>
      <c r="AC513" s="280"/>
      <c r="AD513" s="280"/>
      <c r="AE513" s="280"/>
      <c r="AF513" s="280"/>
      <c r="AG513" s="280"/>
      <c r="AH513" s="280"/>
      <c r="AI513" s="280"/>
      <c r="AJ513" s="280"/>
      <c r="AK513" s="280"/>
      <c r="AL513" s="280"/>
      <c r="AM513" s="280"/>
      <c r="AN513" s="280"/>
      <c r="AO513" s="280"/>
      <c r="AP513" s="280"/>
      <c r="AQ513" s="280"/>
      <c r="AR513" s="280"/>
      <c r="AS513" s="280"/>
      <c r="AT513" s="280"/>
      <c r="AU513" s="280"/>
      <c r="AV513" s="280"/>
      <c r="AW513" s="280"/>
      <c r="AX513" s="280"/>
      <c r="AY513" s="280"/>
      <c r="AZ513" s="280"/>
      <c r="BA513" s="280"/>
      <c r="BB513" s="280"/>
      <c r="BC513" s="280"/>
      <c r="BD513" s="280"/>
      <c r="BE513" s="280"/>
      <c r="BF513" s="280"/>
      <c r="BG513" s="280"/>
      <c r="BH513" s="280"/>
      <c r="BI513" s="280"/>
      <c r="BJ513" s="280"/>
      <c r="BK513" s="280"/>
      <c r="BL513" s="280"/>
      <c r="BM513" s="280"/>
      <c r="BN513" s="280"/>
      <c r="BO513" s="280"/>
      <c r="BP513" s="280"/>
      <c r="BQ513" s="280"/>
      <c r="BR513" s="280"/>
      <c r="BS513" s="280"/>
      <c r="BT513" s="280"/>
      <c r="BU513" s="280"/>
      <c r="BV513" s="280"/>
    </row>
    <row r="514" spans="2:74" s="293" customFormat="1" x14ac:dyDescent="0.25">
      <c r="B514" s="280"/>
      <c r="C514" s="280"/>
      <c r="D514" s="280"/>
      <c r="E514" s="280"/>
      <c r="F514" s="280"/>
      <c r="G514" s="280"/>
      <c r="H514" s="280"/>
      <c r="I514" s="280"/>
      <c r="J514" s="280"/>
      <c r="K514" s="280"/>
      <c r="L514" s="283"/>
      <c r="M514" s="283"/>
      <c r="N514" s="280"/>
      <c r="O514" s="280"/>
      <c r="P514" s="280"/>
      <c r="Q514" s="280"/>
      <c r="R514" s="292"/>
      <c r="S514" s="292"/>
      <c r="T514" s="292"/>
      <c r="U514" s="292"/>
      <c r="V514" s="292"/>
      <c r="W514" s="292"/>
      <c r="X514" s="374"/>
      <c r="Y514" s="374"/>
      <c r="Z514" s="374"/>
      <c r="AA514" s="373"/>
      <c r="AB514" s="283"/>
      <c r="AC514" s="280"/>
      <c r="AD514" s="280"/>
      <c r="AE514" s="280"/>
      <c r="AF514" s="280"/>
      <c r="AG514" s="280"/>
      <c r="AH514" s="280"/>
      <c r="AI514" s="280"/>
      <c r="AJ514" s="280"/>
      <c r="AK514" s="280"/>
      <c r="AL514" s="280"/>
      <c r="AM514" s="280"/>
      <c r="AN514" s="280"/>
      <c r="AO514" s="280"/>
      <c r="AP514" s="280"/>
      <c r="AQ514" s="280"/>
      <c r="AR514" s="280"/>
      <c r="AS514" s="280"/>
      <c r="AT514" s="280"/>
      <c r="AU514" s="280"/>
      <c r="AV514" s="280"/>
      <c r="AW514" s="280"/>
      <c r="AX514" s="280"/>
      <c r="AY514" s="280"/>
      <c r="AZ514" s="280"/>
      <c r="BA514" s="280"/>
      <c r="BB514" s="280"/>
      <c r="BC514" s="280"/>
      <c r="BD514" s="280"/>
      <c r="BE514" s="280"/>
      <c r="BF514" s="280"/>
      <c r="BG514" s="280"/>
      <c r="BH514" s="280"/>
      <c r="BI514" s="280"/>
      <c r="BJ514" s="280"/>
      <c r="BK514" s="280"/>
      <c r="BL514" s="280"/>
      <c r="BM514" s="280"/>
      <c r="BN514" s="280"/>
      <c r="BO514" s="280"/>
      <c r="BP514" s="280"/>
      <c r="BQ514" s="280"/>
      <c r="BR514" s="280"/>
      <c r="BS514" s="280"/>
      <c r="BT514" s="280"/>
      <c r="BU514" s="280"/>
      <c r="BV514" s="280"/>
    </row>
    <row r="515" spans="2:74" s="293" customFormat="1" x14ac:dyDescent="0.25">
      <c r="B515" s="280"/>
      <c r="C515" s="280"/>
      <c r="D515" s="280"/>
      <c r="E515" s="280"/>
      <c r="F515" s="280"/>
      <c r="G515" s="280"/>
      <c r="H515" s="280"/>
      <c r="I515" s="280"/>
      <c r="J515" s="280"/>
      <c r="K515" s="280"/>
      <c r="L515" s="283"/>
      <c r="M515" s="283"/>
      <c r="N515" s="280"/>
      <c r="O515" s="280"/>
      <c r="P515" s="280"/>
      <c r="Q515" s="280"/>
      <c r="R515" s="292"/>
      <c r="S515" s="292"/>
      <c r="T515" s="292"/>
      <c r="U515" s="292"/>
      <c r="V515" s="292"/>
      <c r="W515" s="292"/>
      <c r="X515" s="374"/>
      <c r="Y515" s="374"/>
      <c r="Z515" s="374"/>
      <c r="AA515" s="373"/>
      <c r="AB515" s="283"/>
      <c r="AC515" s="280"/>
      <c r="AD515" s="280"/>
      <c r="AE515" s="280"/>
      <c r="AF515" s="280"/>
      <c r="AG515" s="280"/>
      <c r="AH515" s="280"/>
      <c r="AI515" s="280"/>
      <c r="AJ515" s="280"/>
      <c r="AK515" s="280"/>
      <c r="AL515" s="280"/>
      <c r="AM515" s="280"/>
      <c r="AN515" s="280"/>
      <c r="AO515" s="280"/>
      <c r="AP515" s="280"/>
      <c r="AQ515" s="280"/>
      <c r="AR515" s="280"/>
      <c r="AS515" s="280"/>
      <c r="AT515" s="280"/>
      <c r="AU515" s="280"/>
      <c r="AV515" s="280"/>
      <c r="AW515" s="280"/>
      <c r="AX515" s="280"/>
      <c r="AY515" s="280"/>
      <c r="AZ515" s="280"/>
      <c r="BA515" s="280"/>
      <c r="BB515" s="280"/>
      <c r="BC515" s="280"/>
      <c r="BD515" s="280"/>
      <c r="BE515" s="280"/>
      <c r="BF515" s="280"/>
      <c r="BG515" s="280"/>
      <c r="BH515" s="280"/>
      <c r="BI515" s="280"/>
      <c r="BJ515" s="280"/>
      <c r="BK515" s="280"/>
      <c r="BL515" s="280"/>
      <c r="BM515" s="280"/>
      <c r="BN515" s="280"/>
      <c r="BO515" s="280"/>
      <c r="BP515" s="280"/>
      <c r="BQ515" s="280"/>
      <c r="BR515" s="280"/>
      <c r="BS515" s="280"/>
      <c r="BT515" s="280"/>
      <c r="BU515" s="280"/>
      <c r="BV515" s="280"/>
    </row>
    <row r="516" spans="2:74" s="293" customFormat="1" x14ac:dyDescent="0.25">
      <c r="B516" s="280"/>
      <c r="C516" s="280"/>
      <c r="D516" s="280"/>
      <c r="E516" s="280"/>
      <c r="F516" s="280"/>
      <c r="G516" s="280"/>
      <c r="H516" s="280"/>
      <c r="I516" s="280"/>
      <c r="J516" s="280"/>
      <c r="K516" s="280"/>
      <c r="L516" s="283"/>
      <c r="M516" s="283"/>
      <c r="N516" s="280"/>
      <c r="O516" s="280"/>
      <c r="P516" s="280"/>
      <c r="Q516" s="280"/>
      <c r="R516" s="292"/>
      <c r="S516" s="292"/>
      <c r="T516" s="292"/>
      <c r="U516" s="292"/>
      <c r="V516" s="292"/>
      <c r="W516" s="292"/>
      <c r="X516" s="374"/>
      <c r="Y516" s="374"/>
      <c r="Z516" s="374"/>
      <c r="AA516" s="373"/>
      <c r="AB516" s="283"/>
      <c r="AC516" s="280"/>
      <c r="AD516" s="280"/>
      <c r="AE516" s="280"/>
      <c r="AF516" s="280"/>
      <c r="AG516" s="280"/>
      <c r="AH516" s="280"/>
      <c r="AI516" s="280"/>
      <c r="AJ516" s="280"/>
      <c r="AK516" s="280"/>
      <c r="AL516" s="280"/>
      <c r="AM516" s="280"/>
      <c r="AN516" s="280"/>
      <c r="AO516" s="280"/>
      <c r="AP516" s="280"/>
      <c r="AQ516" s="280"/>
      <c r="AR516" s="280"/>
      <c r="AS516" s="280"/>
      <c r="AT516" s="280"/>
      <c r="AU516" s="280"/>
      <c r="AV516" s="280"/>
      <c r="AW516" s="280"/>
      <c r="AX516" s="280"/>
      <c r="AY516" s="280"/>
      <c r="AZ516" s="280"/>
      <c r="BA516" s="280"/>
      <c r="BB516" s="280"/>
      <c r="BC516" s="280"/>
      <c r="BD516" s="280"/>
      <c r="BE516" s="280"/>
      <c r="BF516" s="280"/>
      <c r="BG516" s="280"/>
      <c r="BH516" s="280"/>
      <c r="BI516" s="280"/>
      <c r="BJ516" s="280"/>
      <c r="BK516" s="280"/>
      <c r="BL516" s="280"/>
      <c r="BM516" s="280"/>
      <c r="BN516" s="280"/>
      <c r="BO516" s="280"/>
      <c r="BP516" s="280"/>
      <c r="BQ516" s="280"/>
      <c r="BR516" s="280"/>
      <c r="BS516" s="280"/>
      <c r="BT516" s="280"/>
      <c r="BU516" s="280"/>
      <c r="BV516" s="280"/>
    </row>
    <row r="517" spans="2:74" s="293" customFormat="1" x14ac:dyDescent="0.25">
      <c r="B517" s="280"/>
      <c r="C517" s="280"/>
      <c r="D517" s="280"/>
      <c r="E517" s="280"/>
      <c r="F517" s="280"/>
      <c r="G517" s="280"/>
      <c r="H517" s="280"/>
      <c r="I517" s="280"/>
      <c r="J517" s="280"/>
      <c r="K517" s="280"/>
      <c r="L517" s="283"/>
      <c r="M517" s="283"/>
      <c r="N517" s="280"/>
      <c r="O517" s="280"/>
      <c r="P517" s="280"/>
      <c r="Q517" s="280"/>
      <c r="R517" s="292"/>
      <c r="S517" s="292"/>
      <c r="T517" s="292"/>
      <c r="U517" s="292"/>
      <c r="V517" s="292"/>
      <c r="W517" s="292"/>
      <c r="X517" s="374"/>
      <c r="Y517" s="374"/>
      <c r="Z517" s="374"/>
      <c r="AA517" s="373"/>
      <c r="AB517" s="283"/>
      <c r="AC517" s="280"/>
      <c r="AD517" s="280"/>
      <c r="AE517" s="280"/>
      <c r="AF517" s="280"/>
      <c r="AG517" s="280"/>
      <c r="AH517" s="280"/>
      <c r="AI517" s="280"/>
      <c r="AJ517" s="280"/>
      <c r="AK517" s="280"/>
      <c r="AL517" s="280"/>
      <c r="AM517" s="280"/>
      <c r="AN517" s="280"/>
      <c r="AO517" s="280"/>
      <c r="AP517" s="280"/>
      <c r="AQ517" s="280"/>
      <c r="AR517" s="280"/>
      <c r="AS517" s="280"/>
      <c r="AT517" s="280"/>
      <c r="AU517" s="280"/>
      <c r="AV517" s="280"/>
      <c r="AW517" s="280"/>
      <c r="AX517" s="280"/>
      <c r="AY517" s="280"/>
      <c r="AZ517" s="280"/>
      <c r="BA517" s="280"/>
      <c r="BB517" s="280"/>
      <c r="BC517" s="280"/>
      <c r="BD517" s="280"/>
      <c r="BE517" s="280"/>
      <c r="BF517" s="280"/>
      <c r="BG517" s="280"/>
      <c r="BH517" s="280"/>
      <c r="BI517" s="280"/>
      <c r="BJ517" s="280"/>
      <c r="BK517" s="280"/>
      <c r="BL517" s="280"/>
      <c r="BM517" s="280"/>
      <c r="BN517" s="280"/>
      <c r="BO517" s="280"/>
      <c r="BP517" s="280"/>
      <c r="BQ517" s="280"/>
      <c r="BR517" s="280"/>
      <c r="BS517" s="280"/>
      <c r="BT517" s="280"/>
      <c r="BU517" s="280"/>
      <c r="BV517" s="280"/>
    </row>
    <row r="518" spans="2:74" s="293" customFormat="1" x14ac:dyDescent="0.25">
      <c r="B518" s="280"/>
      <c r="C518" s="280"/>
      <c r="D518" s="280"/>
      <c r="E518" s="280"/>
      <c r="F518" s="280"/>
      <c r="G518" s="280"/>
      <c r="H518" s="280"/>
      <c r="I518" s="280"/>
      <c r="J518" s="280"/>
      <c r="K518" s="280"/>
      <c r="L518" s="283"/>
      <c r="M518" s="283"/>
      <c r="N518" s="280"/>
      <c r="O518" s="280"/>
      <c r="P518" s="280"/>
      <c r="Q518" s="280"/>
      <c r="R518" s="292"/>
      <c r="S518" s="292"/>
      <c r="T518" s="292"/>
      <c r="U518" s="292"/>
      <c r="V518" s="292"/>
      <c r="W518" s="292"/>
      <c r="X518" s="374"/>
      <c r="Y518" s="374"/>
      <c r="Z518" s="374"/>
      <c r="AA518" s="373"/>
      <c r="AB518" s="283"/>
      <c r="AC518" s="280"/>
      <c r="AD518" s="280"/>
      <c r="AE518" s="280"/>
      <c r="AF518" s="280"/>
      <c r="AG518" s="280"/>
      <c r="AH518" s="280"/>
      <c r="AI518" s="280"/>
      <c r="AJ518" s="280"/>
      <c r="AK518" s="280"/>
      <c r="AL518" s="280"/>
      <c r="AM518" s="280"/>
      <c r="AN518" s="280"/>
      <c r="AO518" s="280"/>
      <c r="AP518" s="280"/>
      <c r="AQ518" s="280"/>
      <c r="AR518" s="280"/>
      <c r="AS518" s="280"/>
      <c r="AT518" s="280"/>
      <c r="AU518" s="280"/>
      <c r="AV518" s="280"/>
      <c r="AW518" s="280"/>
      <c r="AX518" s="280"/>
      <c r="AY518" s="280"/>
      <c r="AZ518" s="280"/>
      <c r="BA518" s="280"/>
      <c r="BB518" s="280"/>
      <c r="BC518" s="280"/>
      <c r="BD518" s="280"/>
      <c r="BE518" s="280"/>
      <c r="BF518" s="280"/>
      <c r="BG518" s="280"/>
      <c r="BH518" s="280"/>
      <c r="BI518" s="280"/>
      <c r="BJ518" s="280"/>
      <c r="BK518" s="280"/>
      <c r="BL518" s="280"/>
      <c r="BM518" s="280"/>
      <c r="BN518" s="280"/>
      <c r="BO518" s="280"/>
      <c r="BP518" s="280"/>
      <c r="BQ518" s="280"/>
      <c r="BR518" s="280"/>
      <c r="BS518" s="280"/>
      <c r="BT518" s="280"/>
      <c r="BU518" s="280"/>
      <c r="BV518" s="280"/>
    </row>
    <row r="519" spans="2:74" s="293" customFormat="1" x14ac:dyDescent="0.25">
      <c r="B519" s="280"/>
      <c r="C519" s="280"/>
      <c r="D519" s="280"/>
      <c r="E519" s="280"/>
      <c r="F519" s="280"/>
      <c r="G519" s="280"/>
      <c r="H519" s="280"/>
      <c r="I519" s="280"/>
      <c r="J519" s="280"/>
      <c r="K519" s="280"/>
      <c r="L519" s="283"/>
      <c r="M519" s="283"/>
      <c r="N519" s="280"/>
      <c r="O519" s="280"/>
      <c r="P519" s="280"/>
      <c r="Q519" s="280"/>
      <c r="R519" s="292"/>
      <c r="S519" s="292"/>
      <c r="T519" s="292"/>
      <c r="U519" s="292"/>
      <c r="V519" s="292"/>
      <c r="W519" s="292"/>
      <c r="X519" s="374"/>
      <c r="Y519" s="374"/>
      <c r="Z519" s="374"/>
      <c r="AA519" s="373"/>
      <c r="AB519" s="283"/>
      <c r="AC519" s="280"/>
      <c r="AD519" s="280"/>
      <c r="AE519" s="280"/>
      <c r="AF519" s="280"/>
      <c r="AG519" s="280"/>
      <c r="AH519" s="280"/>
      <c r="AI519" s="280"/>
      <c r="AJ519" s="280"/>
      <c r="AK519" s="280"/>
      <c r="AL519" s="280"/>
      <c r="AM519" s="280"/>
      <c r="AN519" s="280"/>
      <c r="AO519" s="280"/>
      <c r="AP519" s="280"/>
      <c r="AQ519" s="280"/>
      <c r="AR519" s="280"/>
      <c r="AS519" s="280"/>
      <c r="AT519" s="280"/>
      <c r="AU519" s="280"/>
      <c r="AV519" s="280"/>
      <c r="AW519" s="280"/>
      <c r="AX519" s="280"/>
      <c r="AY519" s="280"/>
      <c r="AZ519" s="280"/>
      <c r="BA519" s="280"/>
      <c r="BB519" s="280"/>
      <c r="BC519" s="280"/>
      <c r="BD519" s="280"/>
      <c r="BE519" s="280"/>
      <c r="BF519" s="280"/>
      <c r="BG519" s="280"/>
      <c r="BH519" s="280"/>
      <c r="BI519" s="280"/>
      <c r="BJ519" s="280"/>
      <c r="BK519" s="280"/>
      <c r="BL519" s="280"/>
      <c r="BM519" s="280"/>
      <c r="BN519" s="280"/>
      <c r="BO519" s="280"/>
      <c r="BP519" s="280"/>
      <c r="BQ519" s="280"/>
      <c r="BR519" s="280"/>
      <c r="BS519" s="280"/>
      <c r="BT519" s="280"/>
      <c r="BU519" s="280"/>
      <c r="BV519" s="280"/>
    </row>
    <row r="520" spans="2:74" s="293" customFormat="1" x14ac:dyDescent="0.25">
      <c r="B520" s="280"/>
      <c r="C520" s="280"/>
      <c r="D520" s="280"/>
      <c r="E520" s="280"/>
      <c r="F520" s="280"/>
      <c r="G520" s="280"/>
      <c r="H520" s="280"/>
      <c r="I520" s="280"/>
      <c r="J520" s="280"/>
      <c r="K520" s="280"/>
      <c r="L520" s="283"/>
      <c r="M520" s="283"/>
      <c r="N520" s="280"/>
      <c r="O520" s="280"/>
      <c r="P520" s="280"/>
      <c r="Q520" s="280"/>
      <c r="R520" s="292"/>
      <c r="S520" s="292"/>
      <c r="T520" s="292"/>
      <c r="U520" s="292"/>
      <c r="V520" s="292"/>
      <c r="W520" s="292"/>
      <c r="X520" s="374"/>
      <c r="Y520" s="374"/>
      <c r="Z520" s="374"/>
      <c r="AA520" s="373"/>
      <c r="AB520" s="283"/>
      <c r="AC520" s="280"/>
      <c r="AD520" s="280"/>
      <c r="AE520" s="280"/>
      <c r="AF520" s="280"/>
      <c r="AG520" s="280"/>
      <c r="AH520" s="280"/>
      <c r="AI520" s="280"/>
      <c r="AJ520" s="280"/>
      <c r="AK520" s="280"/>
      <c r="AL520" s="280"/>
      <c r="AM520" s="280"/>
      <c r="AN520" s="280"/>
      <c r="AO520" s="280"/>
      <c r="AP520" s="280"/>
      <c r="AQ520" s="280"/>
      <c r="AR520" s="280"/>
      <c r="AS520" s="280"/>
      <c r="AT520" s="280"/>
      <c r="AU520" s="280"/>
      <c r="AV520" s="280"/>
      <c r="AW520" s="280"/>
      <c r="AX520" s="280"/>
      <c r="AY520" s="280"/>
      <c r="AZ520" s="280"/>
      <c r="BA520" s="280"/>
      <c r="BB520" s="280"/>
      <c r="BC520" s="280"/>
      <c r="BD520" s="280"/>
      <c r="BE520" s="280"/>
      <c r="BF520" s="280"/>
      <c r="BG520" s="280"/>
      <c r="BH520" s="280"/>
      <c r="BI520" s="280"/>
      <c r="BJ520" s="280"/>
      <c r="BK520" s="280"/>
      <c r="BL520" s="280"/>
      <c r="BM520" s="280"/>
      <c r="BN520" s="280"/>
      <c r="BO520" s="280"/>
      <c r="BP520" s="280"/>
      <c r="BQ520" s="280"/>
      <c r="BR520" s="280"/>
      <c r="BS520" s="280"/>
      <c r="BT520" s="280"/>
      <c r="BU520" s="280"/>
      <c r="BV520" s="280"/>
    </row>
    <row r="521" spans="2:74" s="293" customFormat="1" x14ac:dyDescent="0.25">
      <c r="B521" s="280"/>
      <c r="C521" s="280"/>
      <c r="D521" s="280"/>
      <c r="E521" s="280"/>
      <c r="F521" s="280"/>
      <c r="G521" s="280"/>
      <c r="H521" s="280"/>
      <c r="I521" s="280"/>
      <c r="J521" s="280"/>
      <c r="K521" s="280"/>
      <c r="L521" s="283"/>
      <c r="M521" s="283"/>
      <c r="N521" s="280"/>
      <c r="O521" s="280"/>
      <c r="P521" s="280"/>
      <c r="Q521" s="280"/>
      <c r="R521" s="292"/>
      <c r="S521" s="292"/>
      <c r="T521" s="292"/>
      <c r="U521" s="292"/>
      <c r="V521" s="292"/>
      <c r="W521" s="292"/>
      <c r="X521" s="374"/>
      <c r="Y521" s="374"/>
      <c r="Z521" s="374"/>
      <c r="AA521" s="373"/>
      <c r="AB521" s="283"/>
      <c r="AC521" s="280"/>
      <c r="AD521" s="280"/>
      <c r="AE521" s="280"/>
      <c r="AF521" s="280"/>
      <c r="AG521" s="280"/>
      <c r="AH521" s="280"/>
      <c r="AI521" s="280"/>
      <c r="AJ521" s="280"/>
      <c r="AK521" s="280"/>
      <c r="AL521" s="280"/>
      <c r="AM521" s="280"/>
      <c r="AN521" s="280"/>
      <c r="AO521" s="280"/>
      <c r="AP521" s="280"/>
      <c r="AQ521" s="280"/>
      <c r="AR521" s="280"/>
      <c r="AS521" s="280"/>
      <c r="AT521" s="280"/>
      <c r="AU521" s="280"/>
      <c r="AV521" s="280"/>
      <c r="AW521" s="280"/>
      <c r="AX521" s="280"/>
      <c r="AY521" s="280"/>
      <c r="AZ521" s="280"/>
      <c r="BA521" s="280"/>
      <c r="BB521" s="280"/>
      <c r="BC521" s="280"/>
      <c r="BD521" s="280"/>
      <c r="BE521" s="280"/>
      <c r="BF521" s="280"/>
      <c r="BG521" s="280"/>
      <c r="BH521" s="280"/>
      <c r="BI521" s="280"/>
      <c r="BJ521" s="280"/>
      <c r="BK521" s="280"/>
      <c r="BL521" s="280"/>
      <c r="BM521" s="280"/>
      <c r="BN521" s="280"/>
      <c r="BO521" s="280"/>
      <c r="BP521" s="280"/>
      <c r="BQ521" s="280"/>
      <c r="BR521" s="280"/>
      <c r="BS521" s="280"/>
      <c r="BT521" s="280"/>
      <c r="BU521" s="280"/>
      <c r="BV521" s="280"/>
    </row>
    <row r="522" spans="2:74" s="293" customFormat="1" x14ac:dyDescent="0.25">
      <c r="B522" s="280"/>
      <c r="C522" s="280"/>
      <c r="D522" s="280"/>
      <c r="E522" s="280"/>
      <c r="F522" s="280"/>
      <c r="G522" s="280"/>
      <c r="H522" s="280"/>
      <c r="I522" s="280"/>
      <c r="J522" s="280"/>
      <c r="K522" s="280"/>
      <c r="L522" s="283"/>
      <c r="M522" s="283"/>
      <c r="N522" s="280"/>
      <c r="O522" s="280"/>
      <c r="P522" s="280"/>
      <c r="Q522" s="280"/>
      <c r="R522" s="292"/>
      <c r="S522" s="292"/>
      <c r="T522" s="292"/>
      <c r="U522" s="292"/>
      <c r="V522" s="292"/>
      <c r="W522" s="292"/>
      <c r="X522" s="374"/>
      <c r="Y522" s="374"/>
      <c r="Z522" s="374"/>
      <c r="AA522" s="373"/>
      <c r="AB522" s="283"/>
      <c r="AC522" s="280"/>
      <c r="AD522" s="280"/>
      <c r="AE522" s="280"/>
      <c r="AF522" s="280"/>
      <c r="AG522" s="280"/>
      <c r="AH522" s="280"/>
      <c r="AI522" s="280"/>
      <c r="AJ522" s="280"/>
      <c r="AK522" s="280"/>
      <c r="AL522" s="280"/>
      <c r="AM522" s="280"/>
      <c r="AN522" s="280"/>
      <c r="AO522" s="280"/>
      <c r="AP522" s="280"/>
      <c r="AQ522" s="280"/>
      <c r="AR522" s="280"/>
      <c r="AS522" s="280"/>
      <c r="AT522" s="280"/>
      <c r="AU522" s="280"/>
      <c r="AV522" s="280"/>
      <c r="AW522" s="280"/>
      <c r="AX522" s="280"/>
      <c r="AY522" s="280"/>
      <c r="AZ522" s="280"/>
      <c r="BA522" s="280"/>
      <c r="BB522" s="280"/>
      <c r="BC522" s="280"/>
      <c r="BD522" s="280"/>
      <c r="BE522" s="280"/>
      <c r="BF522" s="280"/>
      <c r="BG522" s="280"/>
      <c r="BH522" s="280"/>
      <c r="BI522" s="280"/>
      <c r="BJ522" s="280"/>
      <c r="BK522" s="280"/>
      <c r="BL522" s="280"/>
      <c r="BM522" s="280"/>
      <c r="BN522" s="280"/>
      <c r="BO522" s="280"/>
      <c r="BP522" s="280"/>
      <c r="BQ522" s="280"/>
      <c r="BR522" s="280"/>
      <c r="BS522" s="280"/>
      <c r="BT522" s="280"/>
      <c r="BU522" s="280"/>
      <c r="BV522" s="280"/>
    </row>
    <row r="523" spans="2:74" s="293" customFormat="1" x14ac:dyDescent="0.25">
      <c r="B523" s="280"/>
      <c r="C523" s="280"/>
      <c r="D523" s="280"/>
      <c r="E523" s="280"/>
      <c r="F523" s="280"/>
      <c r="G523" s="280"/>
      <c r="H523" s="280"/>
      <c r="I523" s="280"/>
      <c r="J523" s="280"/>
      <c r="K523" s="280"/>
      <c r="L523" s="283"/>
      <c r="M523" s="283"/>
      <c r="N523" s="280"/>
      <c r="O523" s="280"/>
      <c r="P523" s="280"/>
      <c r="Q523" s="280"/>
      <c r="R523" s="292"/>
      <c r="S523" s="292"/>
      <c r="T523" s="292"/>
      <c r="U523" s="292"/>
      <c r="V523" s="292"/>
      <c r="W523" s="292"/>
      <c r="X523" s="374"/>
      <c r="Y523" s="374"/>
      <c r="Z523" s="374"/>
      <c r="AA523" s="373"/>
      <c r="AB523" s="283"/>
      <c r="AC523" s="280"/>
      <c r="AD523" s="280"/>
      <c r="AE523" s="280"/>
      <c r="AF523" s="280"/>
      <c r="AG523" s="280"/>
      <c r="AH523" s="280"/>
      <c r="AI523" s="280"/>
      <c r="AJ523" s="280"/>
      <c r="AK523" s="280"/>
      <c r="AL523" s="280"/>
      <c r="AM523" s="280"/>
      <c r="AN523" s="280"/>
      <c r="AO523" s="280"/>
      <c r="AP523" s="280"/>
      <c r="AQ523" s="280"/>
      <c r="AR523" s="280"/>
      <c r="AS523" s="280"/>
      <c r="AT523" s="280"/>
      <c r="AU523" s="280"/>
      <c r="AV523" s="280"/>
      <c r="AW523" s="280"/>
      <c r="AX523" s="280"/>
      <c r="AY523" s="280"/>
      <c r="AZ523" s="280"/>
      <c r="BA523" s="280"/>
      <c r="BB523" s="280"/>
      <c r="BC523" s="280"/>
      <c r="BD523" s="280"/>
      <c r="BE523" s="280"/>
      <c r="BF523" s="280"/>
      <c r="BG523" s="280"/>
      <c r="BH523" s="280"/>
      <c r="BI523" s="280"/>
      <c r="BJ523" s="280"/>
      <c r="BK523" s="280"/>
      <c r="BL523" s="280"/>
      <c r="BM523" s="280"/>
      <c r="BN523" s="280"/>
      <c r="BO523" s="280"/>
      <c r="BP523" s="280"/>
      <c r="BQ523" s="280"/>
      <c r="BR523" s="280"/>
      <c r="BS523" s="280"/>
      <c r="BT523" s="280"/>
      <c r="BU523" s="280"/>
      <c r="BV523" s="280"/>
    </row>
    <row r="524" spans="2:74" s="293" customFormat="1" x14ac:dyDescent="0.25">
      <c r="B524" s="280"/>
      <c r="C524" s="280"/>
      <c r="D524" s="280"/>
      <c r="E524" s="280"/>
      <c r="F524" s="280"/>
      <c r="G524" s="280"/>
      <c r="H524" s="280"/>
      <c r="I524" s="280"/>
      <c r="J524" s="280"/>
      <c r="K524" s="280"/>
      <c r="L524" s="283"/>
      <c r="M524" s="283"/>
      <c r="N524" s="280"/>
      <c r="O524" s="280"/>
      <c r="P524" s="280"/>
      <c r="Q524" s="280"/>
      <c r="R524" s="292"/>
      <c r="S524" s="292"/>
      <c r="T524" s="292"/>
      <c r="U524" s="292"/>
      <c r="V524" s="292"/>
      <c r="W524" s="292"/>
      <c r="X524" s="374"/>
      <c r="Y524" s="374"/>
      <c r="Z524" s="374"/>
      <c r="AA524" s="373"/>
      <c r="AB524" s="283"/>
      <c r="AC524" s="280"/>
      <c r="AD524" s="280"/>
      <c r="AE524" s="280"/>
      <c r="AF524" s="280"/>
      <c r="AG524" s="280"/>
      <c r="AH524" s="280"/>
      <c r="AI524" s="280"/>
      <c r="AJ524" s="280"/>
      <c r="AK524" s="280"/>
      <c r="AL524" s="280"/>
      <c r="AM524" s="280"/>
      <c r="AN524" s="280"/>
      <c r="AO524" s="280"/>
      <c r="AP524" s="280"/>
      <c r="AQ524" s="280"/>
      <c r="AR524" s="280"/>
      <c r="AS524" s="280"/>
      <c r="AT524" s="280"/>
      <c r="AU524" s="280"/>
      <c r="AV524" s="280"/>
      <c r="AW524" s="280"/>
      <c r="AX524" s="280"/>
      <c r="AY524" s="280"/>
      <c r="AZ524" s="280"/>
      <c r="BA524" s="280"/>
      <c r="BB524" s="280"/>
      <c r="BC524" s="280"/>
      <c r="BD524" s="280"/>
      <c r="BE524" s="280"/>
      <c r="BF524" s="280"/>
      <c r="BG524" s="280"/>
      <c r="BH524" s="280"/>
      <c r="BI524" s="280"/>
      <c r="BJ524" s="280"/>
      <c r="BK524" s="280"/>
      <c r="BL524" s="280"/>
      <c r="BM524" s="280"/>
      <c r="BN524" s="280"/>
      <c r="BO524" s="280"/>
      <c r="BP524" s="280"/>
      <c r="BQ524" s="280"/>
      <c r="BR524" s="280"/>
      <c r="BS524" s="280"/>
      <c r="BT524" s="280"/>
      <c r="BU524" s="280"/>
      <c r="BV524" s="280"/>
    </row>
    <row r="525" spans="2:74" s="293" customFormat="1" x14ac:dyDescent="0.25">
      <c r="B525" s="280"/>
      <c r="C525" s="280"/>
      <c r="D525" s="280"/>
      <c r="E525" s="280"/>
      <c r="F525" s="280"/>
      <c r="G525" s="280"/>
      <c r="H525" s="280"/>
      <c r="I525" s="280"/>
      <c r="J525" s="280"/>
      <c r="K525" s="280"/>
      <c r="L525" s="283"/>
      <c r="M525" s="283"/>
      <c r="N525" s="280"/>
      <c r="O525" s="280"/>
      <c r="P525" s="280"/>
      <c r="Q525" s="280"/>
      <c r="R525" s="292"/>
      <c r="S525" s="292"/>
      <c r="T525" s="292"/>
      <c r="U525" s="292"/>
      <c r="V525" s="292"/>
      <c r="W525" s="292"/>
      <c r="X525" s="374"/>
      <c r="Y525" s="374"/>
      <c r="Z525" s="374"/>
      <c r="AA525" s="373"/>
      <c r="AB525" s="283"/>
      <c r="AC525" s="280"/>
      <c r="AD525" s="280"/>
      <c r="AE525" s="280"/>
      <c r="AF525" s="280"/>
      <c r="AG525" s="280"/>
      <c r="AH525" s="280"/>
      <c r="AI525" s="280"/>
      <c r="AJ525" s="280"/>
      <c r="AK525" s="280"/>
      <c r="AL525" s="280"/>
      <c r="AM525" s="280"/>
      <c r="AN525" s="280"/>
      <c r="AO525" s="280"/>
      <c r="AP525" s="280"/>
      <c r="AQ525" s="280"/>
      <c r="AR525" s="280"/>
      <c r="AS525" s="280"/>
      <c r="AT525" s="280"/>
      <c r="AU525" s="280"/>
      <c r="AV525" s="280"/>
      <c r="AW525" s="280"/>
      <c r="AX525" s="280"/>
      <c r="AY525" s="280"/>
      <c r="AZ525" s="280"/>
      <c r="BA525" s="280"/>
      <c r="BB525" s="280"/>
      <c r="BC525" s="280"/>
      <c r="BD525" s="280"/>
      <c r="BE525" s="280"/>
      <c r="BF525" s="280"/>
      <c r="BG525" s="280"/>
      <c r="BH525" s="280"/>
      <c r="BI525" s="280"/>
      <c r="BJ525" s="280"/>
      <c r="BK525" s="280"/>
      <c r="BL525" s="280"/>
      <c r="BM525" s="280"/>
      <c r="BN525" s="280"/>
      <c r="BO525" s="280"/>
      <c r="BP525" s="280"/>
      <c r="BQ525" s="280"/>
      <c r="BR525" s="280"/>
      <c r="BS525" s="280"/>
      <c r="BT525" s="280"/>
      <c r="BU525" s="280"/>
      <c r="BV525" s="280"/>
    </row>
    <row r="526" spans="2:74" s="293" customFormat="1" x14ac:dyDescent="0.25">
      <c r="B526" s="280"/>
      <c r="C526" s="280"/>
      <c r="D526" s="280"/>
      <c r="E526" s="280"/>
      <c r="F526" s="280"/>
      <c r="G526" s="280"/>
      <c r="H526" s="280"/>
      <c r="I526" s="280"/>
      <c r="J526" s="280"/>
      <c r="K526" s="280"/>
      <c r="L526" s="283"/>
      <c r="M526" s="283"/>
      <c r="N526" s="280"/>
      <c r="O526" s="280"/>
      <c r="P526" s="280"/>
      <c r="Q526" s="280"/>
      <c r="R526" s="292"/>
      <c r="S526" s="292"/>
      <c r="T526" s="292"/>
      <c r="U526" s="292"/>
      <c r="V526" s="292"/>
      <c r="W526" s="292"/>
      <c r="X526" s="374"/>
      <c r="Y526" s="374"/>
      <c r="Z526" s="374"/>
      <c r="AA526" s="373"/>
      <c r="AB526" s="283"/>
      <c r="AC526" s="280"/>
      <c r="AD526" s="280"/>
      <c r="AE526" s="280"/>
      <c r="AF526" s="280"/>
      <c r="AG526" s="280"/>
      <c r="AH526" s="280"/>
      <c r="AI526" s="280"/>
      <c r="AJ526" s="280"/>
      <c r="AK526" s="280"/>
      <c r="AL526" s="280"/>
      <c r="AM526" s="280"/>
      <c r="AN526" s="280"/>
      <c r="AO526" s="280"/>
      <c r="AP526" s="280"/>
      <c r="AQ526" s="280"/>
      <c r="AR526" s="280"/>
      <c r="AS526" s="280"/>
      <c r="AT526" s="280"/>
      <c r="AU526" s="280"/>
      <c r="AV526" s="280"/>
      <c r="AW526" s="280"/>
      <c r="AX526" s="280"/>
      <c r="AY526" s="280"/>
      <c r="AZ526" s="280"/>
      <c r="BA526" s="280"/>
      <c r="BB526" s="280"/>
      <c r="BC526" s="280"/>
      <c r="BD526" s="280"/>
      <c r="BE526" s="280"/>
      <c r="BF526" s="280"/>
      <c r="BG526" s="280"/>
      <c r="BH526" s="280"/>
      <c r="BI526" s="280"/>
      <c r="BJ526" s="280"/>
      <c r="BK526" s="280"/>
      <c r="BL526" s="280"/>
      <c r="BM526" s="280"/>
      <c r="BN526" s="280"/>
      <c r="BO526" s="280"/>
      <c r="BP526" s="280"/>
      <c r="BQ526" s="280"/>
      <c r="BR526" s="280"/>
      <c r="BS526" s="280"/>
      <c r="BT526" s="280"/>
      <c r="BU526" s="280"/>
      <c r="BV526" s="280"/>
    </row>
    <row r="527" spans="2:74" s="293" customFormat="1" x14ac:dyDescent="0.25">
      <c r="B527" s="280"/>
      <c r="C527" s="280"/>
      <c r="D527" s="280"/>
      <c r="E527" s="280"/>
      <c r="F527" s="280"/>
      <c r="G527" s="280"/>
      <c r="H527" s="280"/>
      <c r="I527" s="280"/>
      <c r="J527" s="280"/>
      <c r="K527" s="280"/>
      <c r="L527" s="283"/>
      <c r="M527" s="283"/>
      <c r="N527" s="280"/>
      <c r="O527" s="280"/>
      <c r="P527" s="280"/>
      <c r="Q527" s="280"/>
      <c r="R527" s="292"/>
      <c r="S527" s="292"/>
      <c r="T527" s="292"/>
      <c r="U527" s="292"/>
      <c r="V527" s="292"/>
      <c r="W527" s="292"/>
      <c r="X527" s="374"/>
      <c r="Y527" s="374"/>
      <c r="Z527" s="374"/>
      <c r="AA527" s="373"/>
      <c r="AB527" s="283"/>
      <c r="AC527" s="280"/>
      <c r="AD527" s="280"/>
      <c r="AE527" s="280"/>
      <c r="AF527" s="280"/>
      <c r="AG527" s="280"/>
      <c r="AH527" s="280"/>
      <c r="AI527" s="280"/>
      <c r="AJ527" s="280"/>
      <c r="AK527" s="280"/>
      <c r="AL527" s="280"/>
      <c r="AM527" s="280"/>
      <c r="AN527" s="280"/>
      <c r="AO527" s="280"/>
      <c r="AP527" s="280"/>
      <c r="AQ527" s="280"/>
      <c r="AR527" s="280"/>
      <c r="AS527" s="280"/>
      <c r="AT527" s="280"/>
      <c r="AU527" s="280"/>
      <c r="AV527" s="280"/>
      <c r="AW527" s="280"/>
      <c r="AX527" s="280"/>
      <c r="AY527" s="280"/>
      <c r="AZ527" s="280"/>
      <c r="BA527" s="280"/>
      <c r="BB527" s="280"/>
      <c r="BC527" s="280"/>
      <c r="BD527" s="280"/>
      <c r="BE527" s="280"/>
      <c r="BF527" s="280"/>
      <c r="BG527" s="280"/>
      <c r="BH527" s="280"/>
      <c r="BI527" s="280"/>
      <c r="BJ527" s="280"/>
      <c r="BK527" s="280"/>
      <c r="BL527" s="280"/>
      <c r="BM527" s="280"/>
      <c r="BN527" s="280"/>
      <c r="BO527" s="280"/>
      <c r="BP527" s="280"/>
      <c r="BQ527" s="280"/>
      <c r="BR527" s="280"/>
      <c r="BS527" s="280"/>
      <c r="BT527" s="280"/>
      <c r="BU527" s="280"/>
      <c r="BV527" s="280"/>
    </row>
    <row r="528" spans="2:74" s="293" customFormat="1" x14ac:dyDescent="0.25">
      <c r="B528" s="280"/>
      <c r="C528" s="280"/>
      <c r="D528" s="280"/>
      <c r="E528" s="280"/>
      <c r="F528" s="280"/>
      <c r="G528" s="280"/>
      <c r="H528" s="280"/>
      <c r="I528" s="280"/>
      <c r="J528" s="280"/>
      <c r="K528" s="280"/>
      <c r="L528" s="283"/>
      <c r="M528" s="283"/>
      <c r="N528" s="280"/>
      <c r="O528" s="280"/>
      <c r="P528" s="280"/>
      <c r="Q528" s="280"/>
      <c r="R528" s="292"/>
      <c r="S528" s="292"/>
      <c r="T528" s="292"/>
      <c r="U528" s="292"/>
      <c r="V528" s="292"/>
      <c r="W528" s="292"/>
      <c r="X528" s="374"/>
      <c r="Y528" s="374"/>
      <c r="Z528" s="374"/>
      <c r="AA528" s="373"/>
      <c r="AB528" s="283"/>
      <c r="AC528" s="280"/>
      <c r="AD528" s="280"/>
      <c r="AE528" s="280"/>
      <c r="AF528" s="280"/>
      <c r="AG528" s="280"/>
      <c r="AH528" s="280"/>
      <c r="AI528" s="280"/>
      <c r="AJ528" s="280"/>
      <c r="AK528" s="280"/>
      <c r="AL528" s="280"/>
      <c r="AM528" s="280"/>
      <c r="AN528" s="280"/>
      <c r="AO528" s="280"/>
      <c r="AP528" s="280"/>
      <c r="AQ528" s="280"/>
      <c r="AR528" s="280"/>
      <c r="AS528" s="280"/>
      <c r="AT528" s="280"/>
      <c r="AU528" s="280"/>
      <c r="AV528" s="280"/>
      <c r="AW528" s="280"/>
      <c r="AX528" s="280"/>
      <c r="AY528" s="280"/>
      <c r="AZ528" s="280"/>
      <c r="BA528" s="280"/>
      <c r="BB528" s="280"/>
      <c r="BC528" s="280"/>
      <c r="BD528" s="280"/>
      <c r="BE528" s="280"/>
      <c r="BF528" s="280"/>
      <c r="BG528" s="280"/>
      <c r="BH528" s="280"/>
      <c r="BI528" s="280"/>
      <c r="BJ528" s="280"/>
      <c r="BK528" s="280"/>
      <c r="BL528" s="280"/>
      <c r="BM528" s="280"/>
      <c r="BN528" s="280"/>
      <c r="BO528" s="280"/>
      <c r="BP528" s="280"/>
      <c r="BQ528" s="280"/>
      <c r="BR528" s="280"/>
      <c r="BS528" s="280"/>
      <c r="BT528" s="280"/>
      <c r="BU528" s="280"/>
      <c r="BV528" s="280"/>
    </row>
    <row r="529" spans="2:74" s="293" customFormat="1" x14ac:dyDescent="0.25">
      <c r="B529" s="280"/>
      <c r="C529" s="280"/>
      <c r="D529" s="280"/>
      <c r="E529" s="280"/>
      <c r="F529" s="280"/>
      <c r="G529" s="280"/>
      <c r="H529" s="280"/>
      <c r="I529" s="280"/>
      <c r="J529" s="280"/>
      <c r="K529" s="280"/>
      <c r="L529" s="283"/>
      <c r="M529" s="283"/>
      <c r="N529" s="280"/>
      <c r="O529" s="280"/>
      <c r="P529" s="280"/>
      <c r="Q529" s="280"/>
      <c r="R529" s="292"/>
      <c r="S529" s="292"/>
      <c r="T529" s="292"/>
      <c r="U529" s="292"/>
      <c r="V529" s="292"/>
      <c r="W529" s="292"/>
      <c r="X529" s="374"/>
      <c r="Y529" s="374"/>
      <c r="Z529" s="374"/>
      <c r="AA529" s="373"/>
      <c r="AB529" s="283"/>
      <c r="AC529" s="280"/>
      <c r="AD529" s="280"/>
      <c r="AE529" s="280"/>
      <c r="AF529" s="280"/>
      <c r="AG529" s="280"/>
      <c r="AH529" s="280"/>
      <c r="AI529" s="280"/>
      <c r="AJ529" s="280"/>
      <c r="AK529" s="280"/>
      <c r="AL529" s="280"/>
      <c r="AM529" s="280"/>
      <c r="AN529" s="280"/>
      <c r="AO529" s="280"/>
      <c r="AP529" s="280"/>
      <c r="AQ529" s="280"/>
      <c r="AR529" s="280"/>
      <c r="AS529" s="280"/>
      <c r="AT529" s="280"/>
      <c r="AU529" s="280"/>
      <c r="AV529" s="280"/>
      <c r="AW529" s="280"/>
      <c r="AX529" s="280"/>
      <c r="AY529" s="280"/>
      <c r="AZ529" s="280"/>
      <c r="BA529" s="280"/>
      <c r="BB529" s="280"/>
      <c r="BC529" s="280"/>
      <c r="BD529" s="280"/>
      <c r="BE529" s="280"/>
      <c r="BF529" s="280"/>
      <c r="BG529" s="280"/>
      <c r="BH529" s="280"/>
      <c r="BI529" s="280"/>
      <c r="BJ529" s="280"/>
      <c r="BK529" s="280"/>
      <c r="BL529" s="280"/>
      <c r="BM529" s="280"/>
      <c r="BN529" s="280"/>
      <c r="BO529" s="280"/>
      <c r="BP529" s="280"/>
      <c r="BQ529" s="280"/>
      <c r="BR529" s="280"/>
      <c r="BS529" s="280"/>
      <c r="BT529" s="280"/>
      <c r="BU529" s="280"/>
      <c r="BV529" s="280"/>
    </row>
    <row r="530" spans="2:74" s="293" customFormat="1" x14ac:dyDescent="0.25">
      <c r="B530" s="280"/>
      <c r="C530" s="280"/>
      <c r="D530" s="280"/>
      <c r="E530" s="280"/>
      <c r="F530" s="280"/>
      <c r="G530" s="280"/>
      <c r="H530" s="280"/>
      <c r="I530" s="280"/>
      <c r="J530" s="280"/>
      <c r="K530" s="280"/>
      <c r="L530" s="283"/>
      <c r="M530" s="283"/>
      <c r="N530" s="280"/>
      <c r="O530" s="280"/>
      <c r="P530" s="280"/>
      <c r="Q530" s="280"/>
      <c r="R530" s="292"/>
      <c r="S530" s="292"/>
      <c r="T530" s="292"/>
      <c r="U530" s="292"/>
      <c r="V530" s="292"/>
      <c r="W530" s="292"/>
      <c r="X530" s="374"/>
      <c r="Y530" s="374"/>
      <c r="Z530" s="374"/>
      <c r="AA530" s="373"/>
      <c r="AB530" s="283"/>
      <c r="AC530" s="280"/>
      <c r="AD530" s="280"/>
      <c r="AE530" s="280"/>
      <c r="AF530" s="280"/>
      <c r="AG530" s="280"/>
      <c r="AH530" s="280"/>
      <c r="AI530" s="280"/>
      <c r="AJ530" s="280"/>
      <c r="AK530" s="280"/>
      <c r="AL530" s="280"/>
      <c r="AM530" s="280"/>
      <c r="AN530" s="280"/>
      <c r="AO530" s="280"/>
      <c r="AP530" s="280"/>
      <c r="AQ530" s="280"/>
      <c r="AR530" s="280"/>
      <c r="AS530" s="280"/>
      <c r="AT530" s="280"/>
      <c r="AU530" s="280"/>
      <c r="AV530" s="280"/>
      <c r="AW530" s="280"/>
      <c r="AX530" s="280"/>
      <c r="AY530" s="280"/>
      <c r="AZ530" s="280"/>
      <c r="BA530" s="280"/>
      <c r="BB530" s="280"/>
      <c r="BC530" s="280"/>
      <c r="BD530" s="280"/>
      <c r="BE530" s="280"/>
      <c r="BF530" s="280"/>
      <c r="BG530" s="280"/>
      <c r="BH530" s="280"/>
      <c r="BI530" s="280"/>
      <c r="BJ530" s="280"/>
      <c r="BK530" s="280"/>
      <c r="BL530" s="280"/>
      <c r="BM530" s="280"/>
      <c r="BN530" s="280"/>
      <c r="BO530" s="280"/>
      <c r="BP530" s="280"/>
      <c r="BQ530" s="280"/>
      <c r="BR530" s="280"/>
      <c r="BS530" s="280"/>
      <c r="BT530" s="280"/>
      <c r="BU530" s="280"/>
      <c r="BV530" s="280"/>
    </row>
    <row r="531" spans="2:74" s="293" customFormat="1" x14ac:dyDescent="0.25">
      <c r="B531" s="280"/>
      <c r="C531" s="280"/>
      <c r="D531" s="280"/>
      <c r="E531" s="280"/>
      <c r="F531" s="280"/>
      <c r="G531" s="280"/>
      <c r="H531" s="280"/>
      <c r="I531" s="280"/>
      <c r="J531" s="280"/>
      <c r="K531" s="280"/>
      <c r="L531" s="283"/>
      <c r="M531" s="283"/>
      <c r="N531" s="280"/>
      <c r="O531" s="280"/>
      <c r="P531" s="280"/>
      <c r="Q531" s="280"/>
      <c r="R531" s="292"/>
      <c r="S531" s="292"/>
      <c r="T531" s="292"/>
      <c r="U531" s="292"/>
      <c r="V531" s="292"/>
      <c r="W531" s="292"/>
      <c r="X531" s="374"/>
      <c r="Y531" s="374"/>
      <c r="Z531" s="374"/>
      <c r="AA531" s="373"/>
      <c r="AB531" s="283"/>
      <c r="AC531" s="280"/>
      <c r="AD531" s="280"/>
      <c r="AE531" s="280"/>
      <c r="AF531" s="280"/>
      <c r="AG531" s="280"/>
      <c r="AH531" s="280"/>
      <c r="AI531" s="280"/>
      <c r="AJ531" s="280"/>
      <c r="AK531" s="280"/>
      <c r="AL531" s="280"/>
      <c r="AM531" s="280"/>
      <c r="AN531" s="280"/>
      <c r="AO531" s="280"/>
      <c r="AP531" s="280"/>
      <c r="AQ531" s="280"/>
      <c r="AR531" s="280"/>
      <c r="AS531" s="280"/>
      <c r="AT531" s="280"/>
      <c r="AU531" s="280"/>
      <c r="AV531" s="280"/>
      <c r="AW531" s="280"/>
      <c r="AX531" s="280"/>
      <c r="AY531" s="280"/>
      <c r="AZ531" s="280"/>
      <c r="BA531" s="280"/>
      <c r="BB531" s="280"/>
      <c r="BC531" s="280"/>
      <c r="BD531" s="280"/>
      <c r="BE531" s="280"/>
      <c r="BF531" s="280"/>
      <c r="BG531" s="280"/>
      <c r="BH531" s="280"/>
      <c r="BI531" s="280"/>
      <c r="BJ531" s="280"/>
      <c r="BK531" s="280"/>
      <c r="BL531" s="280"/>
      <c r="BM531" s="280"/>
      <c r="BN531" s="280"/>
      <c r="BO531" s="280"/>
      <c r="BP531" s="280"/>
      <c r="BQ531" s="280"/>
      <c r="BR531" s="280"/>
      <c r="BS531" s="280"/>
      <c r="BT531" s="280"/>
      <c r="BU531" s="280"/>
      <c r="BV531" s="280"/>
    </row>
    <row r="532" spans="2:74" s="293" customFormat="1" x14ac:dyDescent="0.25">
      <c r="B532" s="280"/>
      <c r="C532" s="280"/>
      <c r="D532" s="280"/>
      <c r="E532" s="280"/>
      <c r="F532" s="280"/>
      <c r="G532" s="280"/>
      <c r="H532" s="280"/>
      <c r="I532" s="280"/>
      <c r="J532" s="280"/>
      <c r="K532" s="280"/>
      <c r="L532" s="283"/>
      <c r="M532" s="283"/>
      <c r="N532" s="280"/>
      <c r="O532" s="280"/>
      <c r="P532" s="280"/>
      <c r="Q532" s="280"/>
      <c r="R532" s="292"/>
      <c r="S532" s="292"/>
      <c r="T532" s="292"/>
      <c r="U532" s="292"/>
      <c r="V532" s="292"/>
      <c r="W532" s="292"/>
      <c r="X532" s="374"/>
      <c r="Y532" s="374"/>
      <c r="Z532" s="374"/>
      <c r="AA532" s="373"/>
      <c r="AB532" s="283"/>
      <c r="AC532" s="280"/>
      <c r="AD532" s="280"/>
      <c r="AE532" s="280"/>
      <c r="AF532" s="280"/>
      <c r="AG532" s="280"/>
      <c r="AH532" s="280"/>
      <c r="AI532" s="280"/>
      <c r="AJ532" s="280"/>
      <c r="AK532" s="280"/>
      <c r="AL532" s="280"/>
      <c r="AM532" s="280"/>
      <c r="AN532" s="280"/>
      <c r="AO532" s="280"/>
      <c r="AP532" s="280"/>
      <c r="AQ532" s="280"/>
      <c r="AR532" s="280"/>
      <c r="AS532" s="280"/>
      <c r="AT532" s="280"/>
      <c r="AU532" s="280"/>
      <c r="AV532" s="280"/>
      <c r="AW532" s="280"/>
      <c r="AX532" s="280"/>
      <c r="AY532" s="280"/>
      <c r="AZ532" s="280"/>
      <c r="BA532" s="280"/>
      <c r="BB532" s="280"/>
      <c r="BC532" s="280"/>
      <c r="BD532" s="280"/>
      <c r="BE532" s="280"/>
      <c r="BF532" s="280"/>
      <c r="BG532" s="280"/>
      <c r="BH532" s="280"/>
      <c r="BI532" s="280"/>
      <c r="BJ532" s="280"/>
      <c r="BK532" s="280"/>
      <c r="BL532" s="280"/>
      <c r="BM532" s="280"/>
      <c r="BN532" s="280"/>
      <c r="BO532" s="280"/>
      <c r="BP532" s="280"/>
      <c r="BQ532" s="280"/>
      <c r="BR532" s="280"/>
      <c r="BS532" s="280"/>
      <c r="BT532" s="280"/>
      <c r="BU532" s="280"/>
      <c r="BV532" s="280"/>
    </row>
    <row r="533" spans="2:74" s="293" customFormat="1" x14ac:dyDescent="0.25">
      <c r="B533" s="280"/>
      <c r="C533" s="280"/>
      <c r="D533" s="280"/>
      <c r="E533" s="280"/>
      <c r="F533" s="280"/>
      <c r="G533" s="280"/>
      <c r="H533" s="280"/>
      <c r="I533" s="280"/>
      <c r="J533" s="280"/>
      <c r="K533" s="280"/>
      <c r="L533" s="283"/>
      <c r="M533" s="283"/>
      <c r="N533" s="280"/>
      <c r="O533" s="280"/>
      <c r="P533" s="280"/>
      <c r="Q533" s="280"/>
      <c r="R533" s="292"/>
      <c r="S533" s="292"/>
      <c r="T533" s="292"/>
      <c r="U533" s="292"/>
      <c r="V533" s="292"/>
      <c r="W533" s="292"/>
      <c r="X533" s="374"/>
      <c r="Y533" s="374"/>
      <c r="Z533" s="374"/>
      <c r="AA533" s="373"/>
      <c r="AB533" s="283"/>
      <c r="AC533" s="280"/>
      <c r="AD533" s="280"/>
      <c r="AE533" s="280"/>
      <c r="AF533" s="280"/>
      <c r="AG533" s="280"/>
      <c r="AH533" s="280"/>
      <c r="AI533" s="280"/>
      <c r="AJ533" s="280"/>
      <c r="AK533" s="280"/>
      <c r="AL533" s="280"/>
      <c r="AM533" s="280"/>
      <c r="AN533" s="280"/>
      <c r="AO533" s="280"/>
      <c r="AP533" s="280"/>
      <c r="AQ533" s="280"/>
      <c r="AR533" s="280"/>
      <c r="AS533" s="280"/>
      <c r="AT533" s="280"/>
      <c r="AU533" s="280"/>
      <c r="AV533" s="280"/>
      <c r="AW533" s="280"/>
      <c r="AX533" s="280"/>
      <c r="AY533" s="280"/>
      <c r="AZ533" s="280"/>
      <c r="BA533" s="280"/>
      <c r="BB533" s="280"/>
      <c r="BC533" s="280"/>
      <c r="BD533" s="280"/>
      <c r="BE533" s="280"/>
      <c r="BF533" s="280"/>
      <c r="BG533" s="280"/>
      <c r="BH533" s="280"/>
      <c r="BI533" s="280"/>
      <c r="BJ533" s="280"/>
      <c r="BK533" s="280"/>
      <c r="BL533" s="280"/>
      <c r="BM533" s="280"/>
      <c r="BN533" s="280"/>
      <c r="BO533" s="280"/>
      <c r="BP533" s="280"/>
      <c r="BQ533" s="280"/>
      <c r="BR533" s="280"/>
      <c r="BS533" s="280"/>
      <c r="BT533" s="280"/>
      <c r="BU533" s="280"/>
      <c r="BV533" s="280"/>
    </row>
    <row r="534" spans="2:74" s="293" customFormat="1" x14ac:dyDescent="0.25">
      <c r="B534" s="280"/>
      <c r="C534" s="280"/>
      <c r="D534" s="280"/>
      <c r="E534" s="280"/>
      <c r="F534" s="280"/>
      <c r="G534" s="280"/>
      <c r="H534" s="280"/>
      <c r="I534" s="280"/>
      <c r="J534" s="280"/>
      <c r="K534" s="280"/>
      <c r="L534" s="283"/>
      <c r="M534" s="283"/>
      <c r="N534" s="280"/>
      <c r="O534" s="280"/>
      <c r="P534" s="280"/>
      <c r="Q534" s="280"/>
      <c r="R534" s="292"/>
      <c r="S534" s="292"/>
      <c r="T534" s="292"/>
      <c r="U534" s="292"/>
      <c r="V534" s="292"/>
      <c r="W534" s="292"/>
      <c r="X534" s="374"/>
      <c r="Y534" s="374"/>
      <c r="Z534" s="374"/>
      <c r="AA534" s="373"/>
      <c r="AB534" s="283"/>
      <c r="AC534" s="280"/>
      <c r="AD534" s="280"/>
      <c r="AE534" s="280"/>
      <c r="AF534" s="280"/>
      <c r="AG534" s="280"/>
      <c r="AH534" s="280"/>
      <c r="AI534" s="280"/>
      <c r="AJ534" s="280"/>
      <c r="AK534" s="280"/>
      <c r="AL534" s="280"/>
      <c r="AM534" s="280"/>
      <c r="AN534" s="280"/>
      <c r="AO534" s="280"/>
      <c r="AP534" s="280"/>
      <c r="AQ534" s="280"/>
      <c r="AR534" s="280"/>
      <c r="AS534" s="280"/>
      <c r="AT534" s="280"/>
      <c r="AU534" s="280"/>
      <c r="AV534" s="280"/>
      <c r="AW534" s="280"/>
      <c r="AX534" s="280"/>
      <c r="AY534" s="280"/>
      <c r="AZ534" s="280"/>
      <c r="BA534" s="280"/>
      <c r="BB534" s="280"/>
      <c r="BC534" s="280"/>
      <c r="BD534" s="280"/>
      <c r="BE534" s="280"/>
      <c r="BF534" s="280"/>
      <c r="BG534" s="280"/>
      <c r="BH534" s="280"/>
      <c r="BI534" s="280"/>
      <c r="BJ534" s="280"/>
      <c r="BK534" s="280"/>
      <c r="BL534" s="280"/>
      <c r="BM534" s="280"/>
      <c r="BN534" s="280"/>
      <c r="BO534" s="280"/>
      <c r="BP534" s="280"/>
      <c r="BQ534" s="280"/>
      <c r="BR534" s="280"/>
      <c r="BS534" s="280"/>
      <c r="BT534" s="280"/>
      <c r="BU534" s="280"/>
      <c r="BV534" s="280"/>
    </row>
    <row r="535" spans="2:74" s="293" customFormat="1" x14ac:dyDescent="0.25">
      <c r="B535" s="280"/>
      <c r="C535" s="280"/>
      <c r="D535" s="280"/>
      <c r="E535" s="280"/>
      <c r="F535" s="280"/>
      <c r="G535" s="280"/>
      <c r="H535" s="280"/>
      <c r="I535" s="280"/>
      <c r="J535" s="280"/>
      <c r="K535" s="280"/>
      <c r="L535" s="283"/>
      <c r="M535" s="283"/>
      <c r="N535" s="280"/>
      <c r="O535" s="280"/>
      <c r="P535" s="280"/>
      <c r="Q535" s="280"/>
      <c r="R535" s="292"/>
      <c r="S535" s="292"/>
      <c r="T535" s="292"/>
      <c r="U535" s="292"/>
      <c r="V535" s="292"/>
      <c r="W535" s="292"/>
      <c r="X535" s="374"/>
      <c r="Y535" s="374"/>
      <c r="Z535" s="374"/>
      <c r="AA535" s="373"/>
      <c r="AB535" s="283"/>
      <c r="AC535" s="280"/>
      <c r="AD535" s="280"/>
      <c r="AE535" s="280"/>
      <c r="AF535" s="280"/>
      <c r="AG535" s="280"/>
      <c r="AH535" s="280"/>
      <c r="AI535" s="280"/>
      <c r="AJ535" s="280"/>
      <c r="AK535" s="280"/>
      <c r="AL535" s="280"/>
      <c r="AM535" s="280"/>
      <c r="AN535" s="280"/>
      <c r="AO535" s="280"/>
      <c r="AP535" s="280"/>
      <c r="AQ535" s="280"/>
      <c r="AR535" s="280"/>
      <c r="AS535" s="280"/>
      <c r="AT535" s="280"/>
      <c r="AU535" s="280"/>
      <c r="AV535" s="280"/>
      <c r="AW535" s="280"/>
      <c r="AX535" s="280"/>
      <c r="AY535" s="280"/>
      <c r="AZ535" s="280"/>
      <c r="BA535" s="280"/>
      <c r="BB535" s="280"/>
      <c r="BC535" s="280"/>
      <c r="BD535" s="280"/>
      <c r="BE535" s="280"/>
      <c r="BF535" s="280"/>
      <c r="BG535" s="280"/>
      <c r="BH535" s="280"/>
      <c r="BI535" s="280"/>
      <c r="BJ535" s="280"/>
      <c r="BK535" s="280"/>
      <c r="BL535" s="280"/>
      <c r="BM535" s="280"/>
      <c r="BN535" s="280"/>
      <c r="BO535" s="280"/>
      <c r="BP535" s="280"/>
      <c r="BQ535" s="280"/>
      <c r="BR535" s="280"/>
      <c r="BS535" s="280"/>
      <c r="BT535" s="280"/>
      <c r="BU535" s="280"/>
      <c r="BV535" s="280"/>
    </row>
    <row r="536" spans="2:74" s="293" customFormat="1" x14ac:dyDescent="0.25">
      <c r="B536" s="280"/>
      <c r="C536" s="280"/>
      <c r="D536" s="280"/>
      <c r="E536" s="280"/>
      <c r="F536" s="280"/>
      <c r="G536" s="280"/>
      <c r="H536" s="280"/>
      <c r="I536" s="280"/>
      <c r="J536" s="280"/>
      <c r="K536" s="280"/>
      <c r="L536" s="283"/>
      <c r="M536" s="283"/>
      <c r="N536" s="280"/>
      <c r="O536" s="280"/>
      <c r="P536" s="280"/>
      <c r="Q536" s="280"/>
      <c r="R536" s="292"/>
      <c r="S536" s="292"/>
      <c r="T536" s="292"/>
      <c r="U536" s="292"/>
      <c r="V536" s="292"/>
      <c r="W536" s="292"/>
      <c r="X536" s="374"/>
      <c r="Y536" s="374"/>
      <c r="Z536" s="374"/>
      <c r="AA536" s="373"/>
      <c r="AB536" s="283"/>
      <c r="AC536" s="280"/>
      <c r="AD536" s="280"/>
      <c r="AE536" s="280"/>
      <c r="AF536" s="280"/>
      <c r="AG536" s="280"/>
      <c r="AH536" s="280"/>
      <c r="AI536" s="280"/>
      <c r="AJ536" s="280"/>
      <c r="AK536" s="280"/>
      <c r="AL536" s="280"/>
      <c r="AM536" s="280"/>
      <c r="AN536" s="280"/>
      <c r="AO536" s="280"/>
      <c r="AP536" s="280"/>
      <c r="AQ536" s="280"/>
      <c r="AR536" s="280"/>
      <c r="AS536" s="280"/>
      <c r="AT536" s="280"/>
      <c r="AU536" s="280"/>
      <c r="AV536" s="280"/>
      <c r="AW536" s="280"/>
      <c r="AX536" s="280"/>
      <c r="AY536" s="280"/>
      <c r="AZ536" s="280"/>
      <c r="BA536" s="280"/>
      <c r="BB536" s="280"/>
      <c r="BC536" s="280"/>
      <c r="BD536" s="280"/>
      <c r="BE536" s="280"/>
      <c r="BF536" s="280"/>
      <c r="BG536" s="280"/>
      <c r="BH536" s="280"/>
      <c r="BI536" s="280"/>
      <c r="BJ536" s="280"/>
      <c r="BK536" s="280"/>
      <c r="BL536" s="280"/>
      <c r="BM536" s="280"/>
      <c r="BN536" s="280"/>
      <c r="BO536" s="280"/>
      <c r="BP536" s="280"/>
      <c r="BQ536" s="280"/>
      <c r="BR536" s="280"/>
      <c r="BS536" s="280"/>
      <c r="BT536" s="280"/>
      <c r="BU536" s="280"/>
      <c r="BV536" s="280"/>
    </row>
    <row r="537" spans="2:74" s="293" customFormat="1" x14ac:dyDescent="0.25">
      <c r="B537" s="280"/>
      <c r="C537" s="280"/>
      <c r="D537" s="280"/>
      <c r="E537" s="280"/>
      <c r="F537" s="280"/>
      <c r="G537" s="280"/>
      <c r="H537" s="280"/>
      <c r="I537" s="280"/>
      <c r="J537" s="280"/>
      <c r="K537" s="280"/>
      <c r="L537" s="283"/>
      <c r="M537" s="283"/>
      <c r="N537" s="280"/>
      <c r="O537" s="280"/>
      <c r="P537" s="280"/>
      <c r="Q537" s="280"/>
      <c r="R537" s="292"/>
      <c r="S537" s="292"/>
      <c r="T537" s="292"/>
      <c r="U537" s="292"/>
      <c r="V537" s="292"/>
      <c r="W537" s="292"/>
      <c r="X537" s="374"/>
      <c r="Y537" s="374"/>
      <c r="Z537" s="374"/>
      <c r="AA537" s="373"/>
      <c r="AB537" s="283"/>
      <c r="AC537" s="280"/>
      <c r="AD537" s="280"/>
      <c r="AE537" s="280"/>
      <c r="AF537" s="280"/>
      <c r="AG537" s="280"/>
      <c r="AH537" s="280"/>
      <c r="AI537" s="280"/>
      <c r="AJ537" s="280"/>
      <c r="AK537" s="280"/>
      <c r="AL537" s="280"/>
      <c r="AM537" s="280"/>
      <c r="AN537" s="280"/>
      <c r="AO537" s="280"/>
      <c r="AP537" s="280"/>
      <c r="AQ537" s="280"/>
      <c r="AR537" s="280"/>
      <c r="AS537" s="280"/>
      <c r="AT537" s="280"/>
      <c r="AU537" s="280"/>
      <c r="AV537" s="280"/>
      <c r="AW537" s="280"/>
      <c r="AX537" s="280"/>
      <c r="AY537" s="280"/>
      <c r="AZ537" s="280"/>
      <c r="BA537" s="280"/>
      <c r="BB537" s="280"/>
      <c r="BC537" s="280"/>
      <c r="BD537" s="280"/>
      <c r="BE537" s="280"/>
      <c r="BF537" s="280"/>
      <c r="BG537" s="280"/>
      <c r="BH537" s="280"/>
      <c r="BI537" s="280"/>
      <c r="BJ537" s="280"/>
      <c r="BK537" s="280"/>
      <c r="BL537" s="280"/>
      <c r="BM537" s="280"/>
      <c r="BN537" s="280"/>
      <c r="BO537" s="280"/>
      <c r="BP537" s="280"/>
      <c r="BQ537" s="280"/>
      <c r="BR537" s="280"/>
      <c r="BS537" s="280"/>
      <c r="BT537" s="280"/>
      <c r="BU537" s="280"/>
      <c r="BV537" s="280"/>
    </row>
    <row r="538" spans="2:74" s="293" customFormat="1" x14ac:dyDescent="0.25">
      <c r="B538" s="280"/>
      <c r="C538" s="280"/>
      <c r="D538" s="280"/>
      <c r="E538" s="280"/>
      <c r="F538" s="280"/>
      <c r="G538" s="280"/>
      <c r="H538" s="280"/>
      <c r="I538" s="280"/>
      <c r="J538" s="280"/>
      <c r="K538" s="280"/>
      <c r="L538" s="283"/>
      <c r="M538" s="283"/>
      <c r="N538" s="280"/>
      <c r="O538" s="280"/>
      <c r="P538" s="280"/>
      <c r="Q538" s="280"/>
      <c r="R538" s="292"/>
      <c r="S538" s="292"/>
      <c r="T538" s="292"/>
      <c r="U538" s="292"/>
      <c r="V538" s="292"/>
      <c r="W538" s="292"/>
      <c r="X538" s="374"/>
      <c r="Y538" s="374"/>
      <c r="Z538" s="374"/>
      <c r="AA538" s="373"/>
      <c r="AB538" s="283"/>
      <c r="AC538" s="280"/>
      <c r="AD538" s="280"/>
      <c r="AE538" s="280"/>
      <c r="AF538" s="280"/>
      <c r="AG538" s="280"/>
      <c r="AH538" s="280"/>
      <c r="AI538" s="280"/>
      <c r="AJ538" s="280"/>
      <c r="AK538" s="280"/>
      <c r="AL538" s="280"/>
      <c r="AM538" s="280"/>
      <c r="AN538" s="280"/>
      <c r="AO538" s="280"/>
      <c r="AP538" s="280"/>
      <c r="AQ538" s="280"/>
      <c r="AR538" s="280"/>
      <c r="AS538" s="280"/>
      <c r="AT538" s="280"/>
      <c r="AU538" s="280"/>
      <c r="AV538" s="280"/>
      <c r="AW538" s="280"/>
      <c r="AX538" s="280"/>
      <c r="AY538" s="280"/>
      <c r="AZ538" s="280"/>
      <c r="BA538" s="280"/>
      <c r="BB538" s="280"/>
      <c r="BC538" s="280"/>
      <c r="BD538" s="280"/>
      <c r="BE538" s="280"/>
      <c r="BF538" s="280"/>
      <c r="BG538" s="280"/>
      <c r="BH538" s="280"/>
      <c r="BI538" s="280"/>
      <c r="BJ538" s="280"/>
      <c r="BK538" s="280"/>
      <c r="BL538" s="280"/>
      <c r="BM538" s="280"/>
      <c r="BN538" s="280"/>
      <c r="BO538" s="280"/>
      <c r="BP538" s="280"/>
      <c r="BQ538" s="280"/>
      <c r="BR538" s="280"/>
      <c r="BS538" s="280"/>
      <c r="BT538" s="280"/>
      <c r="BU538" s="280"/>
      <c r="BV538" s="280"/>
    </row>
    <row r="539" spans="2:74" s="293" customFormat="1" x14ac:dyDescent="0.25">
      <c r="B539" s="280"/>
      <c r="C539" s="280"/>
      <c r="D539" s="280"/>
      <c r="E539" s="280"/>
      <c r="F539" s="280"/>
      <c r="G539" s="280"/>
      <c r="H539" s="280"/>
      <c r="I539" s="280"/>
      <c r="J539" s="280"/>
      <c r="K539" s="280"/>
      <c r="L539" s="283"/>
      <c r="M539" s="283"/>
      <c r="N539" s="280"/>
      <c r="O539" s="280"/>
      <c r="P539" s="280"/>
      <c r="Q539" s="280"/>
      <c r="R539" s="292"/>
      <c r="S539" s="292"/>
      <c r="T539" s="292"/>
      <c r="U539" s="292"/>
      <c r="V539" s="292"/>
      <c r="W539" s="292"/>
      <c r="X539" s="374"/>
      <c r="Y539" s="374"/>
      <c r="Z539" s="374"/>
      <c r="AA539" s="373"/>
      <c r="AB539" s="283"/>
      <c r="AC539" s="280"/>
      <c r="AD539" s="280"/>
      <c r="AE539" s="280"/>
      <c r="AF539" s="280"/>
      <c r="AG539" s="280"/>
      <c r="AH539" s="280"/>
      <c r="AI539" s="280"/>
      <c r="AJ539" s="280"/>
      <c r="AK539" s="280"/>
      <c r="AL539" s="280"/>
      <c r="AM539" s="280"/>
      <c r="AN539" s="280"/>
      <c r="AO539" s="280"/>
      <c r="AP539" s="280"/>
      <c r="AQ539" s="280"/>
      <c r="AR539" s="280"/>
      <c r="AS539" s="280"/>
      <c r="AT539" s="280"/>
      <c r="AU539" s="280"/>
      <c r="AV539" s="280"/>
      <c r="AW539" s="280"/>
      <c r="AX539" s="280"/>
      <c r="AY539" s="280"/>
      <c r="AZ539" s="280"/>
      <c r="BA539" s="280"/>
      <c r="BB539" s="280"/>
      <c r="BC539" s="280"/>
      <c r="BD539" s="280"/>
      <c r="BE539" s="280"/>
      <c r="BF539" s="280"/>
      <c r="BG539" s="280"/>
      <c r="BH539" s="280"/>
      <c r="BI539" s="280"/>
      <c r="BJ539" s="280"/>
      <c r="BK539" s="280"/>
      <c r="BL539" s="280"/>
      <c r="BM539" s="280"/>
      <c r="BN539" s="280"/>
      <c r="BO539" s="280"/>
      <c r="BP539" s="280"/>
      <c r="BQ539" s="280"/>
      <c r="BR539" s="280"/>
      <c r="BS539" s="280"/>
      <c r="BT539" s="280"/>
      <c r="BU539" s="280"/>
      <c r="BV539" s="280"/>
    </row>
    <row r="540" spans="2:74" s="293" customFormat="1" x14ac:dyDescent="0.25">
      <c r="B540" s="280"/>
      <c r="C540" s="280"/>
      <c r="D540" s="280"/>
      <c r="E540" s="280"/>
      <c r="F540" s="280"/>
      <c r="G540" s="280"/>
      <c r="H540" s="280"/>
      <c r="I540" s="280"/>
      <c r="J540" s="280"/>
      <c r="K540" s="280"/>
      <c r="L540" s="283"/>
      <c r="M540" s="283"/>
      <c r="N540" s="280"/>
      <c r="O540" s="280"/>
      <c r="P540" s="280"/>
      <c r="Q540" s="280"/>
      <c r="R540" s="292"/>
      <c r="S540" s="292"/>
      <c r="T540" s="292"/>
      <c r="U540" s="292"/>
      <c r="V540" s="292"/>
      <c r="W540" s="292"/>
      <c r="X540" s="374"/>
      <c r="Y540" s="374"/>
      <c r="Z540" s="374"/>
      <c r="AA540" s="373"/>
      <c r="AB540" s="283"/>
      <c r="AC540" s="280"/>
      <c r="AD540" s="280"/>
      <c r="AE540" s="280"/>
      <c r="AF540" s="280"/>
      <c r="AG540" s="280"/>
      <c r="AH540" s="280"/>
      <c r="AI540" s="280"/>
      <c r="AJ540" s="280"/>
      <c r="AK540" s="280"/>
      <c r="AL540" s="280"/>
      <c r="AM540" s="280"/>
      <c r="AN540" s="280"/>
      <c r="AO540" s="280"/>
      <c r="AP540" s="280"/>
      <c r="AQ540" s="280"/>
      <c r="AR540" s="280"/>
      <c r="AS540" s="280"/>
      <c r="AT540" s="280"/>
      <c r="AU540" s="280"/>
      <c r="AV540" s="280"/>
      <c r="AW540" s="280"/>
      <c r="AX540" s="280"/>
      <c r="AY540" s="280"/>
      <c r="AZ540" s="280"/>
      <c r="BA540" s="280"/>
      <c r="BB540" s="280"/>
      <c r="BC540" s="280"/>
      <c r="BD540" s="280"/>
      <c r="BE540" s="280"/>
      <c r="BF540" s="280"/>
      <c r="BG540" s="280"/>
      <c r="BH540" s="280"/>
      <c r="BI540" s="280"/>
      <c r="BJ540" s="280"/>
      <c r="BK540" s="280"/>
      <c r="BL540" s="280"/>
      <c r="BM540" s="280"/>
      <c r="BN540" s="280"/>
      <c r="BO540" s="280"/>
      <c r="BP540" s="280"/>
      <c r="BQ540" s="280"/>
      <c r="BR540" s="280"/>
      <c r="BS540" s="280"/>
      <c r="BT540" s="280"/>
      <c r="BU540" s="280"/>
      <c r="BV540" s="280"/>
    </row>
    <row r="541" spans="2:74" s="293" customFormat="1" x14ac:dyDescent="0.25">
      <c r="B541" s="280"/>
      <c r="C541" s="280"/>
      <c r="D541" s="280"/>
      <c r="E541" s="280"/>
      <c r="F541" s="280"/>
      <c r="G541" s="280"/>
      <c r="H541" s="280"/>
      <c r="I541" s="280"/>
      <c r="J541" s="280"/>
      <c r="K541" s="280"/>
      <c r="L541" s="283"/>
      <c r="M541" s="283"/>
      <c r="N541" s="280"/>
      <c r="O541" s="280"/>
      <c r="P541" s="280"/>
      <c r="Q541" s="280"/>
      <c r="R541" s="292"/>
      <c r="S541" s="292"/>
      <c r="T541" s="292"/>
      <c r="U541" s="292"/>
      <c r="V541" s="292"/>
      <c r="W541" s="292"/>
      <c r="X541" s="374"/>
      <c r="Y541" s="374"/>
      <c r="Z541" s="374"/>
      <c r="AA541" s="373"/>
      <c r="AB541" s="283"/>
      <c r="AC541" s="280"/>
      <c r="AD541" s="280"/>
      <c r="AE541" s="280"/>
      <c r="AF541" s="280"/>
      <c r="AG541" s="280"/>
      <c r="AH541" s="280"/>
      <c r="AI541" s="280"/>
      <c r="AJ541" s="280"/>
      <c r="AK541" s="280"/>
      <c r="AL541" s="280"/>
      <c r="AM541" s="280"/>
      <c r="AN541" s="280"/>
      <c r="AO541" s="280"/>
      <c r="AP541" s="280"/>
      <c r="AQ541" s="280"/>
      <c r="AR541" s="280"/>
      <c r="AS541" s="280"/>
      <c r="AT541" s="280"/>
      <c r="AU541" s="280"/>
      <c r="AV541" s="280"/>
      <c r="AW541" s="280"/>
      <c r="AX541" s="280"/>
      <c r="AY541" s="280"/>
      <c r="AZ541" s="280"/>
      <c r="BA541" s="280"/>
      <c r="BB541" s="280"/>
      <c r="BC541" s="280"/>
      <c r="BD541" s="280"/>
      <c r="BE541" s="280"/>
      <c r="BF541" s="280"/>
      <c r="BG541" s="280"/>
      <c r="BH541" s="280"/>
      <c r="BI541" s="280"/>
      <c r="BJ541" s="280"/>
      <c r="BK541" s="280"/>
      <c r="BL541" s="280"/>
      <c r="BM541" s="280"/>
      <c r="BN541" s="280"/>
      <c r="BO541" s="280"/>
      <c r="BP541" s="280"/>
      <c r="BQ541" s="280"/>
      <c r="BR541" s="280"/>
      <c r="BS541" s="280"/>
      <c r="BT541" s="280"/>
      <c r="BU541" s="280"/>
      <c r="BV541" s="280"/>
    </row>
    <row r="542" spans="2:74" s="293" customFormat="1" x14ac:dyDescent="0.25">
      <c r="B542" s="280"/>
      <c r="C542" s="280"/>
      <c r="D542" s="280"/>
      <c r="E542" s="280"/>
      <c r="F542" s="280"/>
      <c r="G542" s="280"/>
      <c r="H542" s="280"/>
      <c r="I542" s="280"/>
      <c r="J542" s="280"/>
      <c r="K542" s="280"/>
      <c r="L542" s="283"/>
      <c r="M542" s="283"/>
      <c r="N542" s="280"/>
      <c r="O542" s="280"/>
      <c r="P542" s="280"/>
      <c r="Q542" s="280"/>
      <c r="R542" s="292"/>
      <c r="S542" s="292"/>
      <c r="T542" s="292"/>
      <c r="U542" s="292"/>
      <c r="V542" s="292"/>
      <c r="W542" s="292"/>
      <c r="X542" s="374"/>
      <c r="Y542" s="374"/>
      <c r="Z542" s="374"/>
      <c r="AA542" s="373"/>
      <c r="AB542" s="283"/>
      <c r="AC542" s="280"/>
      <c r="AD542" s="280"/>
      <c r="AE542" s="280"/>
      <c r="AF542" s="280"/>
      <c r="AG542" s="280"/>
      <c r="AH542" s="280"/>
      <c r="AI542" s="280"/>
      <c r="AJ542" s="280"/>
      <c r="AK542" s="280"/>
      <c r="AL542" s="280"/>
      <c r="AM542" s="280"/>
      <c r="AN542" s="280"/>
      <c r="AO542" s="280"/>
      <c r="AP542" s="280"/>
      <c r="AQ542" s="280"/>
      <c r="AR542" s="280"/>
      <c r="AS542" s="280"/>
      <c r="AT542" s="280"/>
      <c r="AU542" s="280"/>
      <c r="AV542" s="280"/>
      <c r="AW542" s="280"/>
      <c r="AX542" s="280"/>
      <c r="AY542" s="280"/>
      <c r="AZ542" s="280"/>
      <c r="BA542" s="280"/>
      <c r="BB542" s="280"/>
      <c r="BC542" s="280"/>
      <c r="BD542" s="280"/>
      <c r="BE542" s="280"/>
      <c r="BF542" s="280"/>
      <c r="BG542" s="280"/>
      <c r="BH542" s="280"/>
      <c r="BI542" s="280"/>
      <c r="BJ542" s="280"/>
      <c r="BK542" s="280"/>
      <c r="BL542" s="280"/>
      <c r="BM542" s="280"/>
      <c r="BN542" s="280"/>
      <c r="BO542" s="280"/>
      <c r="BP542" s="280"/>
      <c r="BQ542" s="280"/>
      <c r="BR542" s="280"/>
      <c r="BS542" s="280"/>
      <c r="BT542" s="280"/>
      <c r="BU542" s="280"/>
      <c r="BV542" s="280"/>
    </row>
    <row r="543" spans="2:74" s="293" customFormat="1" x14ac:dyDescent="0.25">
      <c r="B543" s="280"/>
      <c r="C543" s="280"/>
      <c r="D543" s="280"/>
      <c r="E543" s="280"/>
      <c r="F543" s="280"/>
      <c r="G543" s="280"/>
      <c r="H543" s="280"/>
      <c r="I543" s="280"/>
      <c r="J543" s="280"/>
      <c r="K543" s="280"/>
      <c r="L543" s="283"/>
      <c r="M543" s="283"/>
      <c r="N543" s="280"/>
      <c r="O543" s="280"/>
      <c r="P543" s="280"/>
      <c r="Q543" s="280"/>
      <c r="R543" s="292"/>
      <c r="S543" s="292"/>
      <c r="T543" s="292"/>
      <c r="U543" s="292"/>
      <c r="V543" s="292"/>
      <c r="W543" s="292"/>
      <c r="X543" s="374"/>
      <c r="Y543" s="374"/>
      <c r="Z543" s="374"/>
      <c r="AA543" s="373"/>
      <c r="AB543" s="283"/>
      <c r="AC543" s="280"/>
      <c r="AD543" s="280"/>
      <c r="AE543" s="280"/>
      <c r="AF543" s="280"/>
      <c r="AG543" s="280"/>
      <c r="AH543" s="280"/>
      <c r="AI543" s="280"/>
      <c r="AJ543" s="280"/>
      <c r="AK543" s="280"/>
      <c r="AL543" s="280"/>
      <c r="AM543" s="280"/>
      <c r="AN543" s="280"/>
      <c r="AO543" s="280"/>
      <c r="AP543" s="280"/>
      <c r="AQ543" s="280"/>
      <c r="AR543" s="280"/>
      <c r="AS543" s="280"/>
      <c r="AT543" s="280"/>
      <c r="AU543" s="280"/>
      <c r="AV543" s="280"/>
      <c r="AW543" s="280"/>
      <c r="AX543" s="280"/>
      <c r="AY543" s="280"/>
      <c r="AZ543" s="280"/>
      <c r="BA543" s="280"/>
      <c r="BB543" s="280"/>
      <c r="BC543" s="280"/>
      <c r="BD543" s="280"/>
      <c r="BE543" s="280"/>
      <c r="BF543" s="280"/>
      <c r="BG543" s="280"/>
      <c r="BH543" s="280"/>
      <c r="BI543" s="280"/>
      <c r="BJ543" s="280"/>
      <c r="BK543" s="280"/>
      <c r="BL543" s="280"/>
      <c r="BM543" s="280"/>
      <c r="BN543" s="280"/>
      <c r="BO543" s="280"/>
      <c r="BP543" s="280"/>
      <c r="BQ543" s="280"/>
      <c r="BR543" s="280"/>
      <c r="BS543" s="280"/>
      <c r="BT543" s="280"/>
      <c r="BU543" s="280"/>
      <c r="BV543" s="280"/>
    </row>
    <row r="544" spans="2:74" s="293" customFormat="1" x14ac:dyDescent="0.25">
      <c r="B544" s="280"/>
      <c r="C544" s="280"/>
      <c r="D544" s="280"/>
      <c r="E544" s="280"/>
      <c r="F544" s="280"/>
      <c r="G544" s="280"/>
      <c r="H544" s="280"/>
      <c r="I544" s="280"/>
      <c r="J544" s="280"/>
      <c r="K544" s="280"/>
      <c r="L544" s="283"/>
      <c r="M544" s="283"/>
      <c r="N544" s="280"/>
      <c r="O544" s="280"/>
      <c r="P544" s="280"/>
      <c r="Q544" s="280"/>
      <c r="R544" s="292"/>
      <c r="S544" s="292"/>
      <c r="T544" s="292"/>
      <c r="U544" s="292"/>
      <c r="V544" s="292"/>
      <c r="W544" s="292"/>
      <c r="X544" s="374"/>
      <c r="Y544" s="374"/>
      <c r="Z544" s="374"/>
      <c r="AA544" s="373"/>
      <c r="AB544" s="283"/>
      <c r="AC544" s="280"/>
      <c r="AD544" s="280"/>
      <c r="AE544" s="280"/>
      <c r="AF544" s="280"/>
      <c r="AG544" s="280"/>
      <c r="AH544" s="280"/>
      <c r="AI544" s="280"/>
      <c r="AJ544" s="280"/>
      <c r="AK544" s="280"/>
      <c r="AL544" s="280"/>
      <c r="AM544" s="280"/>
      <c r="AN544" s="280"/>
      <c r="AO544" s="280"/>
      <c r="AP544" s="280"/>
      <c r="AQ544" s="280"/>
      <c r="AR544" s="280"/>
      <c r="AS544" s="280"/>
      <c r="AT544" s="280"/>
      <c r="AU544" s="280"/>
      <c r="AV544" s="280"/>
      <c r="AW544" s="280"/>
      <c r="AX544" s="280"/>
      <c r="AY544" s="280"/>
      <c r="AZ544" s="280"/>
      <c r="BA544" s="280"/>
      <c r="BB544" s="280"/>
      <c r="BC544" s="280"/>
      <c r="BD544" s="280"/>
      <c r="BE544" s="280"/>
      <c r="BF544" s="280"/>
      <c r="BG544" s="280"/>
      <c r="BH544" s="280"/>
      <c r="BI544" s="280"/>
      <c r="BJ544" s="280"/>
      <c r="BK544" s="280"/>
      <c r="BL544" s="280"/>
      <c r="BM544" s="280"/>
      <c r="BN544" s="280"/>
      <c r="BO544" s="280"/>
      <c r="BP544" s="280"/>
      <c r="BQ544" s="280"/>
      <c r="BR544" s="280"/>
      <c r="BS544" s="280"/>
      <c r="BT544" s="280"/>
      <c r="BU544" s="280"/>
      <c r="BV544" s="280"/>
    </row>
    <row r="545" spans="2:74" s="293" customFormat="1" x14ac:dyDescent="0.25">
      <c r="B545" s="280"/>
      <c r="C545" s="280"/>
      <c r="D545" s="280"/>
      <c r="E545" s="280"/>
      <c r="F545" s="280"/>
      <c r="G545" s="280"/>
      <c r="H545" s="280"/>
      <c r="I545" s="280"/>
      <c r="J545" s="280"/>
      <c r="K545" s="280"/>
      <c r="L545" s="283"/>
      <c r="M545" s="283"/>
      <c r="N545" s="280"/>
      <c r="O545" s="280"/>
      <c r="P545" s="280"/>
      <c r="Q545" s="280"/>
      <c r="R545" s="292"/>
      <c r="S545" s="292"/>
      <c r="T545" s="292"/>
      <c r="U545" s="292"/>
      <c r="V545" s="292"/>
      <c r="W545" s="292"/>
      <c r="X545" s="374"/>
      <c r="Y545" s="374"/>
      <c r="Z545" s="374"/>
      <c r="AA545" s="373"/>
      <c r="AB545" s="283"/>
      <c r="AC545" s="280"/>
      <c r="AD545" s="280"/>
      <c r="AE545" s="280"/>
      <c r="AF545" s="280"/>
      <c r="AG545" s="280"/>
      <c r="AH545" s="280"/>
      <c r="AI545" s="280"/>
      <c r="AJ545" s="280"/>
      <c r="AK545" s="280"/>
      <c r="AL545" s="280"/>
      <c r="AM545" s="280"/>
      <c r="AN545" s="280"/>
      <c r="AO545" s="280"/>
      <c r="AP545" s="280"/>
      <c r="AQ545" s="280"/>
      <c r="AR545" s="280"/>
      <c r="AS545" s="280"/>
      <c r="AT545" s="280"/>
      <c r="AU545" s="280"/>
      <c r="AV545" s="280"/>
      <c r="AW545" s="280"/>
      <c r="AX545" s="280"/>
      <c r="AY545" s="280"/>
      <c r="AZ545" s="280"/>
      <c r="BA545" s="280"/>
      <c r="BB545" s="280"/>
      <c r="BC545" s="280"/>
      <c r="BD545" s="280"/>
      <c r="BE545" s="280"/>
      <c r="BF545" s="280"/>
      <c r="BG545" s="280"/>
      <c r="BH545" s="280"/>
      <c r="BI545" s="280"/>
      <c r="BJ545" s="280"/>
      <c r="BK545" s="280"/>
      <c r="BL545" s="280"/>
      <c r="BM545" s="280"/>
      <c r="BN545" s="280"/>
      <c r="BO545" s="280"/>
      <c r="BP545" s="280"/>
      <c r="BQ545" s="280"/>
      <c r="BR545" s="280"/>
      <c r="BS545" s="280"/>
      <c r="BT545" s="280"/>
      <c r="BU545" s="280"/>
      <c r="BV545" s="280"/>
    </row>
    <row r="546" spans="2:74" s="293" customFormat="1" x14ac:dyDescent="0.25">
      <c r="B546" s="280"/>
      <c r="C546" s="280"/>
      <c r="D546" s="280"/>
      <c r="E546" s="280"/>
      <c r="F546" s="280"/>
      <c r="G546" s="280"/>
      <c r="H546" s="280"/>
      <c r="I546" s="280"/>
      <c r="J546" s="280"/>
      <c r="K546" s="280"/>
      <c r="L546" s="283"/>
      <c r="M546" s="283"/>
      <c r="N546" s="280"/>
      <c r="O546" s="280"/>
      <c r="P546" s="280"/>
      <c r="Q546" s="280"/>
      <c r="R546" s="292"/>
      <c r="S546" s="292"/>
      <c r="T546" s="292"/>
      <c r="U546" s="292"/>
      <c r="V546" s="292"/>
      <c r="W546" s="292"/>
      <c r="X546" s="374"/>
      <c r="Y546" s="374"/>
      <c r="Z546" s="374"/>
      <c r="AA546" s="373"/>
      <c r="AB546" s="283"/>
      <c r="AC546" s="280"/>
      <c r="AD546" s="280"/>
      <c r="AE546" s="280"/>
      <c r="AF546" s="280"/>
      <c r="AG546" s="280"/>
      <c r="AH546" s="280"/>
      <c r="AI546" s="280"/>
      <c r="AJ546" s="280"/>
      <c r="AK546" s="280"/>
      <c r="AL546" s="280"/>
      <c r="AM546" s="280"/>
      <c r="AN546" s="280"/>
      <c r="AO546" s="280"/>
      <c r="AP546" s="280"/>
      <c r="AQ546" s="280"/>
      <c r="AR546" s="280"/>
      <c r="AS546" s="280"/>
      <c r="AT546" s="280"/>
      <c r="AU546" s="280"/>
      <c r="AV546" s="280"/>
      <c r="AW546" s="280"/>
      <c r="AX546" s="280"/>
      <c r="AY546" s="280"/>
      <c r="AZ546" s="280"/>
      <c r="BA546" s="280"/>
      <c r="BB546" s="280"/>
      <c r="BC546" s="280"/>
      <c r="BD546" s="280"/>
      <c r="BE546" s="280"/>
      <c r="BF546" s="280"/>
      <c r="BG546" s="280"/>
      <c r="BH546" s="280"/>
      <c r="BI546" s="280"/>
      <c r="BJ546" s="280"/>
      <c r="BK546" s="280"/>
      <c r="BL546" s="280"/>
      <c r="BM546" s="280"/>
      <c r="BN546" s="280"/>
      <c r="BO546" s="280"/>
      <c r="BP546" s="280"/>
      <c r="BQ546" s="280"/>
      <c r="BR546" s="280"/>
      <c r="BS546" s="280"/>
      <c r="BT546" s="280"/>
      <c r="BU546" s="280"/>
      <c r="BV546" s="280"/>
    </row>
    <row r="547" spans="2:74" s="293" customFormat="1" x14ac:dyDescent="0.25">
      <c r="B547" s="280"/>
      <c r="C547" s="280"/>
      <c r="D547" s="280"/>
      <c r="E547" s="280"/>
      <c r="F547" s="280"/>
      <c r="G547" s="280"/>
      <c r="H547" s="280"/>
      <c r="I547" s="280"/>
      <c r="J547" s="280"/>
      <c r="K547" s="280"/>
      <c r="L547" s="283"/>
      <c r="M547" s="283"/>
      <c r="N547" s="280"/>
      <c r="O547" s="280"/>
      <c r="P547" s="280"/>
      <c r="Q547" s="280"/>
      <c r="R547" s="292"/>
      <c r="S547" s="292"/>
      <c r="T547" s="292"/>
      <c r="U547" s="292"/>
      <c r="V547" s="292"/>
      <c r="W547" s="292"/>
      <c r="X547" s="374"/>
      <c r="Y547" s="374"/>
      <c r="Z547" s="374"/>
      <c r="AA547" s="373"/>
      <c r="AB547" s="283"/>
      <c r="AC547" s="280"/>
      <c r="AD547" s="280"/>
      <c r="AE547" s="280"/>
      <c r="AF547" s="280"/>
      <c r="AG547" s="280"/>
      <c r="AH547" s="280"/>
      <c r="AI547" s="280"/>
      <c r="AJ547" s="280"/>
      <c r="AK547" s="280"/>
      <c r="AL547" s="280"/>
      <c r="AM547" s="280"/>
      <c r="AN547" s="280"/>
      <c r="AO547" s="280"/>
      <c r="AP547" s="280"/>
      <c r="AQ547" s="280"/>
      <c r="AR547" s="280"/>
      <c r="AS547" s="280"/>
      <c r="AT547" s="280"/>
      <c r="AU547" s="280"/>
      <c r="AV547" s="280"/>
      <c r="AW547" s="280"/>
      <c r="AX547" s="280"/>
      <c r="AY547" s="280"/>
      <c r="AZ547" s="280"/>
      <c r="BA547" s="280"/>
      <c r="BB547" s="280"/>
      <c r="BC547" s="280"/>
      <c r="BD547" s="280"/>
      <c r="BE547" s="280"/>
      <c r="BF547" s="280"/>
      <c r="BG547" s="280"/>
      <c r="BH547" s="280"/>
      <c r="BI547" s="280"/>
      <c r="BJ547" s="280"/>
      <c r="BK547" s="280"/>
      <c r="BL547" s="280"/>
      <c r="BM547" s="280"/>
      <c r="BN547" s="280"/>
      <c r="BO547" s="280"/>
      <c r="BP547" s="280"/>
      <c r="BQ547" s="280"/>
      <c r="BR547" s="280"/>
      <c r="BS547" s="280"/>
      <c r="BT547" s="280"/>
      <c r="BU547" s="280"/>
      <c r="BV547" s="280"/>
    </row>
    <row r="548" spans="2:74" s="293" customFormat="1" x14ac:dyDescent="0.25">
      <c r="B548" s="280"/>
      <c r="C548" s="280"/>
      <c r="D548" s="280"/>
      <c r="E548" s="280"/>
      <c r="F548" s="280"/>
      <c r="G548" s="280"/>
      <c r="H548" s="280"/>
      <c r="I548" s="280"/>
      <c r="J548" s="280"/>
      <c r="K548" s="280"/>
      <c r="L548" s="283"/>
      <c r="M548" s="283"/>
      <c r="N548" s="280"/>
      <c r="O548" s="280"/>
      <c r="P548" s="280"/>
      <c r="Q548" s="280"/>
      <c r="R548" s="292"/>
      <c r="S548" s="292"/>
      <c r="T548" s="292"/>
      <c r="U548" s="292"/>
      <c r="V548" s="292"/>
      <c r="W548" s="292"/>
      <c r="X548" s="374"/>
      <c r="Y548" s="374"/>
      <c r="Z548" s="374"/>
      <c r="AA548" s="373"/>
      <c r="AB548" s="283"/>
      <c r="AC548" s="280"/>
      <c r="AD548" s="280"/>
      <c r="AE548" s="280"/>
      <c r="AF548" s="280"/>
      <c r="AG548" s="280"/>
      <c r="AH548" s="280"/>
      <c r="AI548" s="280"/>
      <c r="AJ548" s="280"/>
      <c r="AK548" s="280"/>
      <c r="AL548" s="280"/>
      <c r="AM548" s="280"/>
      <c r="AN548" s="280"/>
      <c r="AO548" s="280"/>
      <c r="AP548" s="280"/>
      <c r="AQ548" s="280"/>
      <c r="AR548" s="280"/>
      <c r="AS548" s="280"/>
      <c r="AT548" s="280"/>
      <c r="AU548" s="280"/>
      <c r="AV548" s="280"/>
      <c r="AW548" s="280"/>
      <c r="AX548" s="280"/>
      <c r="AY548" s="280"/>
      <c r="AZ548" s="280"/>
      <c r="BA548" s="280"/>
      <c r="BB548" s="280"/>
      <c r="BC548" s="280"/>
      <c r="BD548" s="280"/>
      <c r="BE548" s="280"/>
      <c r="BF548" s="280"/>
      <c r="BG548" s="280"/>
      <c r="BH548" s="280"/>
      <c r="BI548" s="280"/>
      <c r="BJ548" s="280"/>
      <c r="BK548" s="280"/>
      <c r="BL548" s="280"/>
      <c r="BM548" s="280"/>
      <c r="BN548" s="280"/>
      <c r="BO548" s="280"/>
      <c r="BP548" s="280"/>
      <c r="BQ548" s="280"/>
      <c r="BR548" s="280"/>
      <c r="BS548" s="280"/>
      <c r="BT548" s="280"/>
      <c r="BU548" s="280"/>
      <c r="BV548" s="280"/>
    </row>
    <row r="549" spans="2:74" s="293" customFormat="1" x14ac:dyDescent="0.25">
      <c r="B549" s="280"/>
      <c r="C549" s="280"/>
      <c r="D549" s="280"/>
      <c r="E549" s="280"/>
      <c r="F549" s="280"/>
      <c r="G549" s="280"/>
      <c r="H549" s="280"/>
      <c r="I549" s="280"/>
      <c r="J549" s="280"/>
      <c r="K549" s="280"/>
      <c r="L549" s="283"/>
      <c r="M549" s="283"/>
      <c r="N549" s="280"/>
      <c r="O549" s="280"/>
      <c r="P549" s="280"/>
      <c r="Q549" s="280"/>
      <c r="R549" s="292"/>
      <c r="S549" s="292"/>
      <c r="T549" s="292"/>
      <c r="U549" s="292"/>
      <c r="V549" s="292"/>
      <c r="W549" s="292"/>
      <c r="X549" s="374"/>
      <c r="Y549" s="374"/>
      <c r="Z549" s="374"/>
      <c r="AA549" s="373"/>
      <c r="AB549" s="283"/>
      <c r="AC549" s="280"/>
      <c r="AD549" s="280"/>
      <c r="AE549" s="280"/>
      <c r="AF549" s="280"/>
      <c r="AG549" s="280"/>
      <c r="AH549" s="280"/>
      <c r="AI549" s="280"/>
      <c r="AJ549" s="280"/>
      <c r="AK549" s="280"/>
      <c r="AL549" s="280"/>
      <c r="AM549" s="280"/>
      <c r="AN549" s="280"/>
      <c r="AO549" s="280"/>
      <c r="AP549" s="280"/>
      <c r="AQ549" s="280"/>
      <c r="AR549" s="280"/>
      <c r="AS549" s="280"/>
      <c r="AT549" s="280"/>
      <c r="AU549" s="280"/>
      <c r="AV549" s="280"/>
      <c r="AW549" s="280"/>
      <c r="AX549" s="280"/>
      <c r="AY549" s="280"/>
      <c r="AZ549" s="280"/>
      <c r="BA549" s="280"/>
      <c r="BB549" s="280"/>
      <c r="BC549" s="280"/>
      <c r="BD549" s="280"/>
      <c r="BE549" s="280"/>
      <c r="BF549" s="280"/>
      <c r="BG549" s="280"/>
      <c r="BH549" s="280"/>
      <c r="BI549" s="280"/>
      <c r="BJ549" s="280"/>
      <c r="BK549" s="280"/>
      <c r="BL549" s="280"/>
      <c r="BM549" s="280"/>
      <c r="BN549" s="280"/>
      <c r="BO549" s="280"/>
      <c r="BP549" s="280"/>
      <c r="BQ549" s="280"/>
      <c r="BR549" s="280"/>
      <c r="BS549" s="280"/>
      <c r="BT549" s="280"/>
      <c r="BU549" s="280"/>
      <c r="BV549" s="280"/>
    </row>
    <row r="550" spans="2:74" s="293" customFormat="1" x14ac:dyDescent="0.25">
      <c r="B550" s="280"/>
      <c r="C550" s="280"/>
      <c r="D550" s="280"/>
      <c r="E550" s="280"/>
      <c r="F550" s="280"/>
      <c r="G550" s="280"/>
      <c r="H550" s="280"/>
      <c r="I550" s="280"/>
      <c r="J550" s="280"/>
      <c r="K550" s="280"/>
      <c r="L550" s="283"/>
      <c r="M550" s="283"/>
      <c r="N550" s="280"/>
      <c r="O550" s="280"/>
      <c r="P550" s="280"/>
      <c r="Q550" s="280"/>
      <c r="R550" s="292"/>
      <c r="S550" s="292"/>
      <c r="T550" s="292"/>
      <c r="U550" s="292"/>
      <c r="V550" s="292"/>
      <c r="W550" s="292"/>
      <c r="X550" s="374"/>
      <c r="Y550" s="374"/>
      <c r="Z550" s="374"/>
      <c r="AA550" s="373"/>
      <c r="AB550" s="283"/>
      <c r="AC550" s="280"/>
      <c r="AD550" s="280"/>
      <c r="AE550" s="280"/>
      <c r="AF550" s="280"/>
      <c r="AG550" s="280"/>
      <c r="AH550" s="280"/>
      <c r="AI550" s="280"/>
      <c r="AJ550" s="280"/>
      <c r="AK550" s="280"/>
      <c r="AL550" s="280"/>
      <c r="AM550" s="280"/>
      <c r="AN550" s="280"/>
      <c r="AO550" s="280"/>
      <c r="AP550" s="280"/>
      <c r="AQ550" s="280"/>
      <c r="AR550" s="280"/>
      <c r="AS550" s="280"/>
      <c r="AT550" s="280"/>
      <c r="AU550" s="280"/>
      <c r="AV550" s="280"/>
      <c r="AW550" s="280"/>
      <c r="AX550" s="280"/>
      <c r="AY550" s="280"/>
      <c r="AZ550" s="280"/>
      <c r="BA550" s="280"/>
      <c r="BB550" s="280"/>
      <c r="BC550" s="280"/>
      <c r="BD550" s="280"/>
      <c r="BE550" s="280"/>
      <c r="BF550" s="280"/>
      <c r="BG550" s="280"/>
      <c r="BH550" s="280"/>
      <c r="BI550" s="280"/>
      <c r="BJ550" s="280"/>
      <c r="BK550" s="280"/>
      <c r="BL550" s="280"/>
      <c r="BM550" s="280"/>
      <c r="BN550" s="280"/>
      <c r="BO550" s="280"/>
      <c r="BP550" s="280"/>
      <c r="BQ550" s="280"/>
      <c r="BR550" s="280"/>
      <c r="BS550" s="280"/>
      <c r="BT550" s="280"/>
      <c r="BU550" s="280"/>
      <c r="BV550" s="280"/>
    </row>
    <row r="551" spans="2:74" s="293" customFormat="1" x14ac:dyDescent="0.25">
      <c r="B551" s="280"/>
      <c r="C551" s="280"/>
      <c r="D551" s="280"/>
      <c r="E551" s="280"/>
      <c r="F551" s="280"/>
      <c r="G551" s="280"/>
      <c r="H551" s="280"/>
      <c r="I551" s="280"/>
      <c r="J551" s="280"/>
      <c r="K551" s="280"/>
      <c r="L551" s="283"/>
      <c r="M551" s="283"/>
      <c r="N551" s="280"/>
      <c r="O551" s="280"/>
      <c r="P551" s="280"/>
      <c r="Q551" s="280"/>
      <c r="R551" s="292"/>
      <c r="S551" s="292"/>
      <c r="T551" s="292"/>
      <c r="U551" s="292"/>
      <c r="V551" s="292"/>
      <c r="W551" s="292"/>
      <c r="X551" s="374"/>
      <c r="Y551" s="374"/>
      <c r="Z551" s="374"/>
      <c r="AA551" s="373"/>
      <c r="AB551" s="283"/>
      <c r="AC551" s="280"/>
      <c r="AD551" s="280"/>
      <c r="AE551" s="280"/>
      <c r="AF551" s="280"/>
      <c r="AG551" s="280"/>
      <c r="AH551" s="280"/>
      <c r="AI551" s="280"/>
      <c r="AJ551" s="280"/>
      <c r="AK551" s="280"/>
      <c r="AL551" s="280"/>
      <c r="AM551" s="280"/>
      <c r="AN551" s="280"/>
      <c r="AO551" s="280"/>
      <c r="AP551" s="280"/>
      <c r="AQ551" s="280"/>
      <c r="AR551" s="280"/>
      <c r="AS551" s="280"/>
      <c r="AT551" s="280"/>
      <c r="AU551" s="280"/>
      <c r="AV551" s="280"/>
      <c r="AW551" s="280"/>
      <c r="AX551" s="280"/>
      <c r="AY551" s="280"/>
      <c r="AZ551" s="280"/>
      <c r="BA551" s="280"/>
      <c r="BB551" s="280"/>
      <c r="BC551" s="280"/>
      <c r="BD551" s="280"/>
      <c r="BE551" s="280"/>
      <c r="BF551" s="280"/>
      <c r="BG551" s="280"/>
      <c r="BH551" s="280"/>
      <c r="BI551" s="280"/>
      <c r="BJ551" s="280"/>
      <c r="BK551" s="280"/>
      <c r="BL551" s="280"/>
      <c r="BM551" s="280"/>
      <c r="BN551" s="280"/>
      <c r="BO551" s="280"/>
      <c r="BP551" s="280"/>
      <c r="BQ551" s="280"/>
      <c r="BR551" s="280"/>
      <c r="BS551" s="280"/>
      <c r="BT551" s="280"/>
      <c r="BU551" s="280"/>
      <c r="BV551" s="280"/>
    </row>
    <row r="552" spans="2:74" s="293" customFormat="1" x14ac:dyDescent="0.25">
      <c r="B552" s="280"/>
      <c r="C552" s="280"/>
      <c r="D552" s="280"/>
      <c r="E552" s="280"/>
      <c r="F552" s="280"/>
      <c r="G552" s="280"/>
      <c r="H552" s="280"/>
      <c r="I552" s="280"/>
      <c r="J552" s="280"/>
      <c r="K552" s="280"/>
      <c r="L552" s="283"/>
      <c r="M552" s="283"/>
      <c r="N552" s="280"/>
      <c r="O552" s="280"/>
      <c r="P552" s="280"/>
      <c r="Q552" s="280"/>
      <c r="R552" s="292"/>
      <c r="S552" s="292"/>
      <c r="T552" s="292"/>
      <c r="U552" s="292"/>
      <c r="V552" s="292"/>
      <c r="W552" s="292"/>
      <c r="X552" s="374"/>
      <c r="Y552" s="374"/>
      <c r="Z552" s="374"/>
      <c r="AA552" s="373"/>
      <c r="AB552" s="283"/>
      <c r="AC552" s="280"/>
      <c r="AD552" s="280"/>
      <c r="AE552" s="280"/>
      <c r="AF552" s="280"/>
      <c r="AG552" s="280"/>
      <c r="AH552" s="280"/>
      <c r="AI552" s="280"/>
      <c r="AJ552" s="280"/>
      <c r="AK552" s="280"/>
      <c r="AL552" s="280"/>
      <c r="AM552" s="280"/>
      <c r="AN552" s="280"/>
      <c r="AO552" s="280"/>
      <c r="AP552" s="280"/>
      <c r="AQ552" s="280"/>
      <c r="AR552" s="280"/>
      <c r="AS552" s="280"/>
      <c r="AT552" s="280"/>
      <c r="AU552" s="280"/>
      <c r="AV552" s="280"/>
      <c r="AW552" s="280"/>
      <c r="AX552" s="280"/>
      <c r="AY552" s="280"/>
      <c r="AZ552" s="280"/>
      <c r="BA552" s="280"/>
      <c r="BB552" s="280"/>
      <c r="BC552" s="280"/>
      <c r="BD552" s="280"/>
      <c r="BE552" s="280"/>
      <c r="BF552" s="280"/>
      <c r="BG552" s="280"/>
      <c r="BH552" s="280"/>
      <c r="BI552" s="280"/>
      <c r="BJ552" s="280"/>
      <c r="BK552" s="280"/>
      <c r="BL552" s="280"/>
      <c r="BM552" s="280"/>
      <c r="BN552" s="280"/>
      <c r="BO552" s="280"/>
      <c r="BP552" s="280"/>
      <c r="BQ552" s="280"/>
      <c r="BR552" s="280"/>
      <c r="BS552" s="280"/>
      <c r="BT552" s="280"/>
      <c r="BU552" s="280"/>
      <c r="BV552" s="280"/>
    </row>
    <row r="553" spans="2:74" s="293" customFormat="1" x14ac:dyDescent="0.25">
      <c r="B553" s="280"/>
      <c r="C553" s="280"/>
      <c r="D553" s="280"/>
      <c r="E553" s="280"/>
      <c r="F553" s="280"/>
      <c r="G553" s="280"/>
      <c r="H553" s="280"/>
      <c r="I553" s="280"/>
      <c r="J553" s="280"/>
      <c r="K553" s="280"/>
      <c r="L553" s="283"/>
      <c r="M553" s="283"/>
      <c r="N553" s="280"/>
      <c r="O553" s="280"/>
      <c r="P553" s="280"/>
      <c r="Q553" s="280"/>
      <c r="R553" s="292"/>
      <c r="S553" s="292"/>
      <c r="T553" s="292"/>
      <c r="U553" s="292"/>
      <c r="V553" s="292"/>
      <c r="W553" s="292"/>
      <c r="X553" s="374"/>
      <c r="Y553" s="374"/>
      <c r="Z553" s="374"/>
      <c r="AA553" s="373"/>
      <c r="AB553" s="283"/>
      <c r="AC553" s="280"/>
      <c r="AD553" s="280"/>
      <c r="AE553" s="280"/>
      <c r="AF553" s="280"/>
      <c r="AG553" s="280"/>
      <c r="AH553" s="280"/>
      <c r="AI553" s="280"/>
      <c r="AJ553" s="280"/>
      <c r="AK553" s="280"/>
      <c r="AL553" s="280"/>
      <c r="AM553" s="280"/>
      <c r="AN553" s="280"/>
      <c r="AO553" s="280"/>
      <c r="AP553" s="280"/>
      <c r="AQ553" s="280"/>
      <c r="AR553" s="280"/>
      <c r="AS553" s="280"/>
      <c r="AT553" s="280"/>
      <c r="AU553" s="280"/>
      <c r="AV553" s="280"/>
      <c r="AW553" s="280"/>
      <c r="AX553" s="280"/>
      <c r="AY553" s="280"/>
      <c r="AZ553" s="280"/>
      <c r="BA553" s="280"/>
      <c r="BB553" s="280"/>
      <c r="BC553" s="280"/>
      <c r="BD553" s="280"/>
      <c r="BE553" s="280"/>
      <c r="BF553" s="280"/>
      <c r="BG553" s="280"/>
      <c r="BH553" s="280"/>
      <c r="BI553" s="280"/>
      <c r="BJ553" s="280"/>
      <c r="BK553" s="280"/>
      <c r="BL553" s="280"/>
      <c r="BM553" s="280"/>
      <c r="BN553" s="280"/>
      <c r="BO553" s="280"/>
      <c r="BP553" s="280"/>
      <c r="BQ553" s="280"/>
      <c r="BR553" s="280"/>
      <c r="BS553" s="280"/>
      <c r="BT553" s="280"/>
      <c r="BU553" s="280"/>
      <c r="BV553" s="280"/>
    </row>
    <row r="554" spans="2:74" s="293" customFormat="1" x14ac:dyDescent="0.25">
      <c r="B554" s="280"/>
      <c r="C554" s="280"/>
      <c r="D554" s="280"/>
      <c r="E554" s="280"/>
      <c r="F554" s="280"/>
      <c r="G554" s="280"/>
      <c r="H554" s="280"/>
      <c r="I554" s="280"/>
      <c r="J554" s="280"/>
      <c r="K554" s="280"/>
      <c r="L554" s="283"/>
      <c r="M554" s="283"/>
      <c r="N554" s="280"/>
      <c r="O554" s="280"/>
      <c r="P554" s="280"/>
      <c r="Q554" s="280"/>
      <c r="R554" s="292"/>
      <c r="S554" s="292"/>
      <c r="T554" s="292"/>
      <c r="U554" s="292"/>
      <c r="V554" s="292"/>
      <c r="W554" s="292"/>
      <c r="X554" s="374"/>
      <c r="Y554" s="374"/>
      <c r="Z554" s="374"/>
      <c r="AA554" s="373"/>
      <c r="AB554" s="283"/>
      <c r="AC554" s="280"/>
      <c r="AD554" s="280"/>
      <c r="AE554" s="280"/>
      <c r="AF554" s="280"/>
      <c r="AG554" s="280"/>
      <c r="AH554" s="280"/>
      <c r="AI554" s="280"/>
      <c r="AJ554" s="280"/>
      <c r="AK554" s="280"/>
      <c r="AL554" s="280"/>
      <c r="AM554" s="280"/>
      <c r="AN554" s="280"/>
      <c r="AO554" s="280"/>
      <c r="AP554" s="280"/>
      <c r="AQ554" s="280"/>
      <c r="AR554" s="280"/>
      <c r="AS554" s="280"/>
      <c r="AT554" s="280"/>
      <c r="AU554" s="280"/>
      <c r="AV554" s="280"/>
      <c r="AW554" s="280"/>
      <c r="AX554" s="280"/>
      <c r="AY554" s="280"/>
      <c r="AZ554" s="280"/>
      <c r="BA554" s="280"/>
      <c r="BB554" s="280"/>
      <c r="BC554" s="280"/>
      <c r="BD554" s="280"/>
      <c r="BE554" s="280"/>
      <c r="BF554" s="280"/>
      <c r="BG554" s="280"/>
      <c r="BH554" s="280"/>
      <c r="BI554" s="280"/>
      <c r="BJ554" s="280"/>
      <c r="BK554" s="280"/>
      <c r="BL554" s="280"/>
      <c r="BM554" s="280"/>
      <c r="BN554" s="280"/>
      <c r="BO554" s="280"/>
      <c r="BP554" s="280"/>
      <c r="BQ554" s="280"/>
      <c r="BR554" s="280"/>
      <c r="BS554" s="280"/>
      <c r="BT554" s="280"/>
      <c r="BU554" s="280"/>
      <c r="BV554" s="280"/>
    </row>
    <row r="555" spans="2:74" s="293" customFormat="1" x14ac:dyDescent="0.25">
      <c r="B555" s="280"/>
      <c r="C555" s="280"/>
      <c r="D555" s="280"/>
      <c r="E555" s="280"/>
      <c r="F555" s="280"/>
      <c r="G555" s="280"/>
      <c r="H555" s="280"/>
      <c r="I555" s="280"/>
      <c r="J555" s="280"/>
      <c r="K555" s="280"/>
      <c r="L555" s="283"/>
      <c r="M555" s="283"/>
      <c r="N555" s="280"/>
      <c r="O555" s="280"/>
      <c r="P555" s="280"/>
      <c r="Q555" s="280"/>
      <c r="R555" s="292"/>
      <c r="S555" s="292"/>
      <c r="T555" s="292"/>
      <c r="U555" s="292"/>
      <c r="V555" s="292"/>
      <c r="W555" s="292"/>
      <c r="X555" s="374"/>
      <c r="Y555" s="374"/>
      <c r="Z555" s="374"/>
      <c r="AA555" s="373"/>
      <c r="AB555" s="283"/>
      <c r="AC555" s="280"/>
      <c r="AD555" s="280"/>
      <c r="AE555" s="280"/>
      <c r="AF555" s="280"/>
      <c r="AG555" s="280"/>
      <c r="AH555" s="280"/>
      <c r="AI555" s="280"/>
      <c r="AJ555" s="280"/>
      <c r="AK555" s="280"/>
      <c r="AL555" s="280"/>
      <c r="AM555" s="280"/>
      <c r="AN555" s="280"/>
      <c r="AO555" s="280"/>
      <c r="AP555" s="280"/>
      <c r="AQ555" s="280"/>
      <c r="AR555" s="280"/>
      <c r="AS555" s="280"/>
      <c r="AT555" s="280"/>
      <c r="AU555" s="280"/>
      <c r="AV555" s="280"/>
      <c r="AW555" s="280"/>
      <c r="AX555" s="280"/>
      <c r="AY555" s="280"/>
      <c r="AZ555" s="280"/>
      <c r="BA555" s="280"/>
      <c r="BB555" s="280"/>
      <c r="BC555" s="280"/>
      <c r="BD555" s="280"/>
      <c r="BE555" s="280"/>
      <c r="BF555" s="280"/>
      <c r="BG555" s="280"/>
      <c r="BH555" s="280"/>
      <c r="BI555" s="280"/>
      <c r="BJ555" s="280"/>
      <c r="BK555" s="280"/>
      <c r="BL555" s="280"/>
      <c r="BM555" s="280"/>
      <c r="BN555" s="280"/>
      <c r="BO555" s="280"/>
      <c r="BP555" s="280"/>
      <c r="BQ555" s="280"/>
      <c r="BR555" s="280"/>
      <c r="BS555" s="280"/>
      <c r="BT555" s="280"/>
      <c r="BU555" s="280"/>
      <c r="BV555" s="280"/>
    </row>
    <row r="556" spans="2:74" s="293" customFormat="1" x14ac:dyDescent="0.25">
      <c r="B556" s="280"/>
      <c r="C556" s="280"/>
      <c r="D556" s="280"/>
      <c r="E556" s="280"/>
      <c r="F556" s="280"/>
      <c r="G556" s="280"/>
      <c r="H556" s="280"/>
      <c r="I556" s="280"/>
      <c r="J556" s="280"/>
      <c r="K556" s="280"/>
      <c r="L556" s="283"/>
      <c r="M556" s="283"/>
      <c r="N556" s="280"/>
      <c r="O556" s="280"/>
      <c r="P556" s="280"/>
      <c r="Q556" s="280"/>
      <c r="R556" s="292"/>
      <c r="S556" s="292"/>
      <c r="T556" s="292"/>
      <c r="U556" s="292"/>
      <c r="V556" s="292"/>
      <c r="W556" s="292"/>
      <c r="X556" s="374"/>
      <c r="Y556" s="374"/>
      <c r="Z556" s="374"/>
      <c r="AA556" s="373"/>
      <c r="AB556" s="283"/>
      <c r="AC556" s="280"/>
      <c r="AD556" s="280"/>
      <c r="AE556" s="280"/>
      <c r="AF556" s="280"/>
      <c r="AG556" s="280"/>
      <c r="AH556" s="280"/>
      <c r="AI556" s="280"/>
      <c r="AJ556" s="280"/>
      <c r="AK556" s="280"/>
      <c r="AL556" s="280"/>
      <c r="AM556" s="280"/>
      <c r="AN556" s="280"/>
      <c r="AO556" s="280"/>
      <c r="AP556" s="280"/>
      <c r="AQ556" s="280"/>
      <c r="AR556" s="280"/>
      <c r="AS556" s="280"/>
      <c r="AT556" s="280"/>
      <c r="AU556" s="280"/>
      <c r="AV556" s="280"/>
      <c r="AW556" s="280"/>
      <c r="AX556" s="280"/>
      <c r="AY556" s="280"/>
      <c r="AZ556" s="280"/>
      <c r="BA556" s="280"/>
      <c r="BB556" s="280"/>
      <c r="BC556" s="280"/>
      <c r="BD556" s="280"/>
      <c r="BE556" s="280"/>
      <c r="BF556" s="280"/>
      <c r="BG556" s="280"/>
      <c r="BH556" s="280"/>
      <c r="BI556" s="280"/>
      <c r="BJ556" s="280"/>
      <c r="BK556" s="280"/>
      <c r="BL556" s="280"/>
      <c r="BM556" s="280"/>
      <c r="BN556" s="280"/>
      <c r="BO556" s="280"/>
      <c r="BP556" s="280"/>
      <c r="BQ556" s="280"/>
      <c r="BR556" s="280"/>
      <c r="BS556" s="280"/>
      <c r="BT556" s="280"/>
      <c r="BU556" s="280"/>
      <c r="BV556" s="280"/>
    </row>
    <row r="557" spans="2:74" s="293" customFormat="1" x14ac:dyDescent="0.25">
      <c r="B557" s="280"/>
      <c r="C557" s="280"/>
      <c r="D557" s="280"/>
      <c r="E557" s="280"/>
      <c r="F557" s="280"/>
      <c r="G557" s="280"/>
      <c r="H557" s="280"/>
      <c r="I557" s="280"/>
      <c r="J557" s="280"/>
      <c r="K557" s="280"/>
      <c r="L557" s="283"/>
      <c r="M557" s="283"/>
      <c r="N557" s="280"/>
      <c r="O557" s="280"/>
      <c r="P557" s="280"/>
      <c r="Q557" s="280"/>
      <c r="R557" s="292"/>
      <c r="S557" s="292"/>
      <c r="T557" s="292"/>
      <c r="U557" s="292"/>
      <c r="V557" s="292"/>
      <c r="W557" s="292"/>
      <c r="X557" s="374"/>
      <c r="Y557" s="374"/>
      <c r="Z557" s="374"/>
      <c r="AA557" s="373"/>
      <c r="AB557" s="283"/>
      <c r="AC557" s="280"/>
      <c r="AD557" s="280"/>
      <c r="AE557" s="280"/>
      <c r="AF557" s="280"/>
      <c r="AG557" s="280"/>
      <c r="AH557" s="280"/>
      <c r="AI557" s="280"/>
      <c r="AJ557" s="280"/>
      <c r="AK557" s="280"/>
      <c r="AL557" s="280"/>
      <c r="AM557" s="280"/>
      <c r="AN557" s="280"/>
      <c r="AO557" s="280"/>
      <c r="AP557" s="280"/>
      <c r="AQ557" s="280"/>
      <c r="AR557" s="280"/>
      <c r="AS557" s="280"/>
      <c r="AT557" s="280"/>
      <c r="AU557" s="280"/>
      <c r="AV557" s="280"/>
      <c r="AW557" s="280"/>
      <c r="AX557" s="280"/>
      <c r="AY557" s="280"/>
      <c r="AZ557" s="280"/>
      <c r="BA557" s="280"/>
      <c r="BB557" s="280"/>
      <c r="BC557" s="280"/>
      <c r="BD557" s="280"/>
      <c r="BE557" s="280"/>
      <c r="BF557" s="280"/>
      <c r="BG557" s="280"/>
      <c r="BH557" s="280"/>
      <c r="BI557" s="280"/>
      <c r="BJ557" s="280"/>
      <c r="BK557" s="280"/>
      <c r="BL557" s="280"/>
      <c r="BM557" s="280"/>
      <c r="BN557" s="280"/>
      <c r="BO557" s="280"/>
      <c r="BP557" s="280"/>
      <c r="BQ557" s="280"/>
      <c r="BR557" s="280"/>
      <c r="BS557" s="280"/>
      <c r="BT557" s="280"/>
      <c r="BU557" s="280"/>
      <c r="BV557" s="280"/>
    </row>
    <row r="558" spans="2:74" s="293" customFormat="1" x14ac:dyDescent="0.25">
      <c r="B558" s="280"/>
      <c r="C558" s="280"/>
      <c r="D558" s="280"/>
      <c r="E558" s="280"/>
      <c r="F558" s="280"/>
      <c r="G558" s="280"/>
      <c r="H558" s="280"/>
      <c r="I558" s="280"/>
      <c r="J558" s="280"/>
      <c r="K558" s="280"/>
      <c r="L558" s="283"/>
      <c r="M558" s="283"/>
      <c r="N558" s="280"/>
      <c r="O558" s="280"/>
      <c r="P558" s="280"/>
      <c r="Q558" s="280"/>
      <c r="R558" s="292"/>
      <c r="S558" s="292"/>
      <c r="T558" s="292"/>
      <c r="U558" s="292"/>
      <c r="V558" s="292"/>
      <c r="W558" s="292"/>
      <c r="X558" s="374"/>
      <c r="Y558" s="374"/>
      <c r="Z558" s="374"/>
      <c r="AA558" s="373"/>
      <c r="AB558" s="283"/>
      <c r="AC558" s="280"/>
      <c r="AD558" s="280"/>
      <c r="AE558" s="280"/>
      <c r="AF558" s="280"/>
      <c r="AG558" s="280"/>
      <c r="AH558" s="280"/>
      <c r="AI558" s="280"/>
      <c r="AJ558" s="280"/>
      <c r="AK558" s="280"/>
      <c r="AL558" s="280"/>
      <c r="AM558" s="280"/>
      <c r="AN558" s="280"/>
      <c r="AO558" s="280"/>
      <c r="AP558" s="280"/>
      <c r="AQ558" s="280"/>
      <c r="AR558" s="280"/>
      <c r="AS558" s="280"/>
      <c r="AT558" s="280"/>
      <c r="AU558" s="280"/>
      <c r="AV558" s="280"/>
      <c r="AW558" s="280"/>
      <c r="AX558" s="280"/>
      <c r="AY558" s="280"/>
      <c r="AZ558" s="280"/>
      <c r="BA558" s="280"/>
      <c r="BB558" s="280"/>
      <c r="BC558" s="280"/>
      <c r="BD558" s="280"/>
      <c r="BE558" s="280"/>
      <c r="BF558" s="280"/>
      <c r="BG558" s="280"/>
      <c r="BH558" s="280"/>
      <c r="BI558" s="280"/>
      <c r="BJ558" s="280"/>
      <c r="BK558" s="280"/>
      <c r="BL558" s="280"/>
      <c r="BM558" s="280"/>
      <c r="BN558" s="280"/>
      <c r="BO558" s="280"/>
      <c r="BP558" s="280"/>
      <c r="BQ558" s="280"/>
      <c r="BR558" s="280"/>
      <c r="BS558" s="280"/>
      <c r="BT558" s="280"/>
      <c r="BU558" s="280"/>
      <c r="BV558" s="280"/>
    </row>
    <row r="559" spans="2:74" s="293" customFormat="1" x14ac:dyDescent="0.25">
      <c r="B559" s="280"/>
      <c r="C559" s="280"/>
      <c r="D559" s="280"/>
      <c r="E559" s="280"/>
      <c r="F559" s="280"/>
      <c r="G559" s="280"/>
      <c r="H559" s="280"/>
      <c r="I559" s="280"/>
      <c r="J559" s="280"/>
      <c r="K559" s="280"/>
      <c r="L559" s="283"/>
      <c r="M559" s="283"/>
      <c r="N559" s="280"/>
      <c r="O559" s="280"/>
      <c r="P559" s="280"/>
      <c r="Q559" s="280"/>
      <c r="R559" s="292"/>
      <c r="S559" s="292"/>
      <c r="T559" s="292"/>
      <c r="U559" s="292"/>
      <c r="V559" s="292"/>
      <c r="W559" s="292"/>
      <c r="X559" s="374"/>
      <c r="Y559" s="374"/>
      <c r="Z559" s="374"/>
      <c r="AA559" s="373"/>
      <c r="AB559" s="283"/>
      <c r="AC559" s="280"/>
      <c r="AD559" s="280"/>
      <c r="AE559" s="280"/>
      <c r="AF559" s="280"/>
      <c r="AG559" s="280"/>
      <c r="AH559" s="280"/>
      <c r="AI559" s="280"/>
      <c r="AJ559" s="280"/>
      <c r="AK559" s="280"/>
      <c r="AL559" s="280"/>
      <c r="AM559" s="280"/>
      <c r="AN559" s="280"/>
      <c r="AO559" s="280"/>
      <c r="AP559" s="280"/>
      <c r="AQ559" s="280"/>
      <c r="AR559" s="280"/>
      <c r="AS559" s="280"/>
      <c r="AT559" s="280"/>
      <c r="AU559" s="280"/>
      <c r="AV559" s="280"/>
      <c r="AW559" s="280"/>
      <c r="AX559" s="280"/>
      <c r="AY559" s="280"/>
      <c r="AZ559" s="280"/>
      <c r="BA559" s="280"/>
      <c r="BB559" s="280"/>
      <c r="BC559" s="280"/>
      <c r="BD559" s="280"/>
      <c r="BE559" s="280"/>
      <c r="BF559" s="280"/>
      <c r="BG559" s="280"/>
      <c r="BH559" s="280"/>
      <c r="BI559" s="280"/>
      <c r="BJ559" s="280"/>
      <c r="BK559" s="280"/>
      <c r="BL559" s="280"/>
      <c r="BM559" s="280"/>
      <c r="BN559" s="280"/>
      <c r="BO559" s="280"/>
      <c r="BP559" s="280"/>
      <c r="BQ559" s="280"/>
      <c r="BR559" s="280"/>
      <c r="BS559" s="280"/>
      <c r="BT559" s="280"/>
      <c r="BU559" s="280"/>
      <c r="BV559" s="280"/>
    </row>
    <row r="560" spans="2:74" s="293" customFormat="1" x14ac:dyDescent="0.25">
      <c r="B560" s="280"/>
      <c r="C560" s="280"/>
      <c r="D560" s="280"/>
      <c r="E560" s="280"/>
      <c r="F560" s="280"/>
      <c r="G560" s="280"/>
      <c r="H560" s="280"/>
      <c r="I560" s="280"/>
      <c r="J560" s="280"/>
      <c r="K560" s="280"/>
      <c r="L560" s="283"/>
      <c r="M560" s="283"/>
      <c r="N560" s="280"/>
      <c r="O560" s="280"/>
      <c r="P560" s="280"/>
      <c r="Q560" s="280"/>
      <c r="R560" s="292"/>
      <c r="S560" s="292"/>
      <c r="T560" s="292"/>
      <c r="U560" s="292"/>
      <c r="V560" s="292"/>
      <c r="W560" s="292"/>
      <c r="X560" s="374"/>
      <c r="Y560" s="374"/>
      <c r="Z560" s="374"/>
      <c r="AA560" s="373"/>
      <c r="AB560" s="283"/>
      <c r="AC560" s="280"/>
      <c r="AD560" s="280"/>
      <c r="AE560" s="280"/>
      <c r="AF560" s="280"/>
      <c r="AG560" s="280"/>
      <c r="AH560" s="280"/>
      <c r="AI560" s="280"/>
      <c r="AJ560" s="280"/>
      <c r="AK560" s="280"/>
      <c r="AL560" s="280"/>
      <c r="AM560" s="280"/>
      <c r="AN560" s="280"/>
      <c r="AO560" s="280"/>
      <c r="AP560" s="280"/>
      <c r="AQ560" s="280"/>
      <c r="AR560" s="280"/>
      <c r="AS560" s="280"/>
      <c r="AT560" s="280"/>
      <c r="AU560" s="280"/>
      <c r="AV560" s="280"/>
      <c r="AW560" s="280"/>
      <c r="AX560" s="280"/>
      <c r="AY560" s="280"/>
      <c r="AZ560" s="280"/>
      <c r="BA560" s="280"/>
      <c r="BB560" s="280"/>
      <c r="BC560" s="280"/>
      <c r="BD560" s="280"/>
      <c r="BE560" s="280"/>
      <c r="BF560" s="280"/>
      <c r="BG560" s="280"/>
      <c r="BH560" s="280"/>
      <c r="BI560" s="280"/>
      <c r="BJ560" s="280"/>
      <c r="BK560" s="280"/>
      <c r="BL560" s="280"/>
      <c r="BM560" s="280"/>
      <c r="BN560" s="280"/>
      <c r="BO560" s="280"/>
      <c r="BP560" s="280"/>
      <c r="BQ560" s="280"/>
      <c r="BR560" s="280"/>
      <c r="BS560" s="280"/>
      <c r="BT560" s="280"/>
      <c r="BU560" s="280"/>
      <c r="BV560" s="280"/>
    </row>
    <row r="561" spans="2:74" s="293" customFormat="1" x14ac:dyDescent="0.25">
      <c r="B561" s="280"/>
      <c r="C561" s="280"/>
      <c r="D561" s="280"/>
      <c r="E561" s="280"/>
      <c r="F561" s="280"/>
      <c r="G561" s="280"/>
      <c r="H561" s="280"/>
      <c r="I561" s="280"/>
      <c r="J561" s="280"/>
      <c r="K561" s="280"/>
      <c r="L561" s="283"/>
      <c r="M561" s="283"/>
      <c r="N561" s="280"/>
      <c r="O561" s="280"/>
      <c r="P561" s="280"/>
      <c r="Q561" s="280"/>
      <c r="R561" s="292"/>
      <c r="S561" s="292"/>
      <c r="T561" s="292"/>
      <c r="U561" s="292"/>
      <c r="V561" s="292"/>
      <c r="W561" s="292"/>
      <c r="X561" s="374"/>
      <c r="Y561" s="374"/>
      <c r="Z561" s="374"/>
      <c r="AA561" s="373"/>
      <c r="AB561" s="283"/>
      <c r="AC561" s="280"/>
      <c r="AD561" s="280"/>
      <c r="AE561" s="280"/>
      <c r="AF561" s="280"/>
      <c r="AG561" s="280"/>
      <c r="AH561" s="280"/>
      <c r="AI561" s="280"/>
      <c r="AJ561" s="280"/>
      <c r="AK561" s="280"/>
      <c r="AL561" s="280"/>
      <c r="AM561" s="280"/>
      <c r="AN561" s="280"/>
      <c r="AO561" s="280"/>
      <c r="AP561" s="280"/>
      <c r="AQ561" s="280"/>
      <c r="AR561" s="280"/>
      <c r="AS561" s="280"/>
      <c r="AT561" s="280"/>
      <c r="AU561" s="280"/>
      <c r="AV561" s="280"/>
      <c r="AW561" s="280"/>
      <c r="AX561" s="280"/>
      <c r="AY561" s="280"/>
      <c r="AZ561" s="280"/>
      <c r="BA561" s="280"/>
      <c r="BB561" s="280"/>
      <c r="BC561" s="280"/>
      <c r="BD561" s="280"/>
      <c r="BE561" s="280"/>
      <c r="BF561" s="280"/>
      <c r="BG561" s="280"/>
      <c r="BH561" s="280"/>
      <c r="BI561" s="280"/>
      <c r="BJ561" s="280"/>
      <c r="BK561" s="280"/>
      <c r="BL561" s="280"/>
      <c r="BM561" s="280"/>
      <c r="BN561" s="280"/>
      <c r="BO561" s="280"/>
      <c r="BP561" s="280"/>
      <c r="BQ561" s="280"/>
      <c r="BR561" s="280"/>
      <c r="BS561" s="280"/>
      <c r="BT561" s="280"/>
      <c r="BU561" s="280"/>
      <c r="BV561" s="280"/>
    </row>
    <row r="562" spans="2:74" s="293" customFormat="1" x14ac:dyDescent="0.25">
      <c r="B562" s="280"/>
      <c r="C562" s="280"/>
      <c r="D562" s="280"/>
      <c r="E562" s="280"/>
      <c r="F562" s="280"/>
      <c r="G562" s="280"/>
      <c r="H562" s="280"/>
      <c r="I562" s="280"/>
      <c r="J562" s="280"/>
      <c r="K562" s="280"/>
      <c r="L562" s="283"/>
      <c r="M562" s="283"/>
      <c r="N562" s="280"/>
      <c r="O562" s="280"/>
      <c r="P562" s="280"/>
      <c r="Q562" s="280"/>
      <c r="R562" s="292"/>
      <c r="S562" s="292"/>
      <c r="T562" s="292"/>
      <c r="U562" s="292"/>
      <c r="V562" s="292"/>
      <c r="W562" s="292"/>
      <c r="X562" s="374"/>
      <c r="Y562" s="374"/>
      <c r="Z562" s="374"/>
      <c r="AA562" s="373"/>
      <c r="AB562" s="283"/>
      <c r="AC562" s="280"/>
      <c r="AD562" s="280"/>
      <c r="AE562" s="280"/>
      <c r="AF562" s="280"/>
      <c r="AG562" s="280"/>
      <c r="AH562" s="280"/>
      <c r="AI562" s="280"/>
      <c r="AJ562" s="280"/>
      <c r="AK562" s="280"/>
      <c r="AL562" s="280"/>
      <c r="AM562" s="280"/>
      <c r="AN562" s="280"/>
      <c r="AO562" s="280"/>
      <c r="AP562" s="280"/>
      <c r="AQ562" s="280"/>
      <c r="AR562" s="280"/>
      <c r="AS562" s="280"/>
      <c r="AT562" s="280"/>
      <c r="AU562" s="280"/>
      <c r="AV562" s="280"/>
      <c r="AW562" s="280"/>
      <c r="AX562" s="280"/>
      <c r="AY562" s="280"/>
      <c r="AZ562" s="280"/>
      <c r="BA562" s="280"/>
      <c r="BB562" s="280"/>
      <c r="BC562" s="280"/>
      <c r="BD562" s="280"/>
      <c r="BE562" s="280"/>
      <c r="BF562" s="280"/>
      <c r="BG562" s="280"/>
      <c r="BH562" s="280"/>
      <c r="BI562" s="280"/>
      <c r="BJ562" s="280"/>
      <c r="BK562" s="280"/>
      <c r="BL562" s="280"/>
      <c r="BM562" s="280"/>
      <c r="BN562" s="280"/>
      <c r="BO562" s="280"/>
      <c r="BP562" s="280"/>
      <c r="BQ562" s="280"/>
      <c r="BR562" s="280"/>
      <c r="BS562" s="280"/>
      <c r="BT562" s="280"/>
      <c r="BU562" s="280"/>
      <c r="BV562" s="280"/>
    </row>
    <row r="563" spans="2:74" s="293" customFormat="1" x14ac:dyDescent="0.25">
      <c r="B563" s="280"/>
      <c r="C563" s="280"/>
      <c r="D563" s="280"/>
      <c r="E563" s="280"/>
      <c r="F563" s="280"/>
      <c r="G563" s="280"/>
      <c r="H563" s="280"/>
      <c r="I563" s="280"/>
      <c r="J563" s="280"/>
      <c r="K563" s="280"/>
      <c r="L563" s="283"/>
      <c r="M563" s="283"/>
      <c r="N563" s="280"/>
      <c r="O563" s="280"/>
      <c r="P563" s="280"/>
      <c r="Q563" s="280"/>
      <c r="R563" s="292"/>
      <c r="S563" s="292"/>
      <c r="T563" s="292"/>
      <c r="U563" s="292"/>
      <c r="V563" s="292"/>
      <c r="W563" s="292"/>
      <c r="X563" s="374"/>
      <c r="Y563" s="374"/>
      <c r="Z563" s="374"/>
      <c r="AA563" s="373"/>
      <c r="AB563" s="283"/>
      <c r="AC563" s="280"/>
      <c r="AD563" s="280"/>
      <c r="AE563" s="280"/>
      <c r="AF563" s="280"/>
      <c r="AG563" s="280"/>
      <c r="AH563" s="280"/>
      <c r="AI563" s="280"/>
      <c r="AJ563" s="280"/>
      <c r="AK563" s="280"/>
      <c r="AL563" s="280"/>
      <c r="AM563" s="280"/>
      <c r="AN563" s="280"/>
      <c r="AO563" s="280"/>
      <c r="AP563" s="280"/>
      <c r="AQ563" s="280"/>
      <c r="AR563" s="280"/>
      <c r="AS563" s="280"/>
      <c r="AT563" s="280"/>
      <c r="AU563" s="280"/>
      <c r="AV563" s="280"/>
      <c r="AW563" s="280"/>
      <c r="AX563" s="280"/>
      <c r="AY563" s="280"/>
      <c r="AZ563" s="280"/>
      <c r="BA563" s="280"/>
      <c r="BB563" s="280"/>
      <c r="BC563" s="280"/>
      <c r="BD563" s="280"/>
      <c r="BE563" s="280"/>
      <c r="BF563" s="280"/>
      <c r="BG563" s="280"/>
      <c r="BH563" s="280"/>
      <c r="BI563" s="280"/>
      <c r="BJ563" s="280"/>
      <c r="BK563" s="280"/>
      <c r="BL563" s="280"/>
      <c r="BM563" s="280"/>
      <c r="BN563" s="280"/>
      <c r="BO563" s="280"/>
      <c r="BP563" s="280"/>
      <c r="BQ563" s="280"/>
      <c r="BR563" s="280"/>
      <c r="BS563" s="280"/>
      <c r="BT563" s="280"/>
      <c r="BU563" s="280"/>
      <c r="BV563" s="280"/>
    </row>
    <row r="564" spans="2:74" s="293" customFormat="1" x14ac:dyDescent="0.25">
      <c r="B564" s="280"/>
      <c r="C564" s="280"/>
      <c r="D564" s="280"/>
      <c r="E564" s="280"/>
      <c r="F564" s="280"/>
      <c r="G564" s="280"/>
      <c r="H564" s="280"/>
      <c r="I564" s="280"/>
      <c r="J564" s="280"/>
      <c r="K564" s="280"/>
      <c r="L564" s="283"/>
      <c r="M564" s="283"/>
      <c r="N564" s="280"/>
      <c r="O564" s="280"/>
      <c r="P564" s="280"/>
      <c r="Q564" s="280"/>
      <c r="R564" s="292"/>
      <c r="S564" s="292"/>
      <c r="T564" s="292"/>
      <c r="U564" s="292"/>
      <c r="V564" s="292"/>
      <c r="W564" s="292"/>
      <c r="X564" s="374"/>
      <c r="Y564" s="374"/>
      <c r="Z564" s="374"/>
      <c r="AA564" s="373"/>
      <c r="AB564" s="283"/>
      <c r="AC564" s="280"/>
      <c r="AD564" s="280"/>
      <c r="AE564" s="280"/>
      <c r="AF564" s="280"/>
      <c r="AG564" s="280"/>
      <c r="AH564" s="280"/>
      <c r="AI564" s="280"/>
      <c r="AJ564" s="280"/>
      <c r="AK564" s="280"/>
      <c r="AL564" s="280"/>
      <c r="AM564" s="280"/>
      <c r="AN564" s="280"/>
      <c r="AO564" s="280"/>
      <c r="AP564" s="280"/>
      <c r="AQ564" s="280"/>
      <c r="AR564" s="280"/>
      <c r="AS564" s="280"/>
      <c r="AT564" s="280"/>
      <c r="AU564" s="280"/>
      <c r="AV564" s="280"/>
      <c r="AW564" s="280"/>
      <c r="AX564" s="280"/>
      <c r="AY564" s="280"/>
      <c r="AZ564" s="280"/>
      <c r="BA564" s="280"/>
      <c r="BB564" s="280"/>
      <c r="BC564" s="280"/>
      <c r="BD564" s="280"/>
      <c r="BE564" s="280"/>
      <c r="BF564" s="280"/>
      <c r="BG564" s="280"/>
      <c r="BH564" s="280"/>
      <c r="BI564" s="280"/>
      <c r="BJ564" s="280"/>
      <c r="BK564" s="280"/>
      <c r="BL564" s="280"/>
      <c r="BM564" s="280"/>
      <c r="BN564" s="280"/>
      <c r="BO564" s="280"/>
      <c r="BP564" s="280"/>
      <c r="BQ564" s="280"/>
      <c r="BR564" s="280"/>
      <c r="BS564" s="280"/>
      <c r="BT564" s="280"/>
      <c r="BU564" s="280"/>
      <c r="BV564" s="280"/>
    </row>
    <row r="565" spans="2:74" s="293" customFormat="1" x14ac:dyDescent="0.25">
      <c r="B565" s="280"/>
      <c r="C565" s="280"/>
      <c r="D565" s="280"/>
      <c r="E565" s="280"/>
      <c r="F565" s="280"/>
      <c r="G565" s="280"/>
      <c r="H565" s="280"/>
      <c r="I565" s="280"/>
      <c r="J565" s="280"/>
      <c r="K565" s="280"/>
      <c r="L565" s="283"/>
      <c r="M565" s="283"/>
      <c r="N565" s="280"/>
      <c r="O565" s="280"/>
      <c r="P565" s="280"/>
      <c r="Q565" s="280"/>
      <c r="R565" s="292"/>
      <c r="S565" s="292"/>
      <c r="T565" s="292"/>
      <c r="U565" s="292"/>
      <c r="V565" s="292"/>
      <c r="W565" s="292"/>
      <c r="X565" s="374"/>
      <c r="Y565" s="374"/>
      <c r="Z565" s="374"/>
      <c r="AA565" s="373"/>
      <c r="AB565" s="283"/>
      <c r="AC565" s="280"/>
      <c r="AD565" s="280"/>
      <c r="AE565" s="280"/>
      <c r="AF565" s="280"/>
      <c r="AG565" s="280"/>
      <c r="AH565" s="280"/>
      <c r="AI565" s="280"/>
      <c r="AJ565" s="280"/>
      <c r="AK565" s="280"/>
      <c r="AL565" s="280"/>
      <c r="AM565" s="280"/>
      <c r="AN565" s="280"/>
      <c r="AO565" s="280"/>
      <c r="AP565" s="280"/>
      <c r="AQ565" s="280"/>
      <c r="AR565" s="280"/>
      <c r="AS565" s="280"/>
      <c r="AT565" s="280"/>
      <c r="AU565" s="280"/>
      <c r="AV565" s="280"/>
      <c r="AW565" s="280"/>
      <c r="AX565" s="280"/>
      <c r="AY565" s="280"/>
      <c r="AZ565" s="280"/>
      <c r="BA565" s="280"/>
      <c r="BB565" s="280"/>
      <c r="BC565" s="280"/>
      <c r="BD565" s="280"/>
      <c r="BE565" s="280"/>
      <c r="BF565" s="280"/>
      <c r="BG565" s="280"/>
      <c r="BH565" s="280"/>
      <c r="BI565" s="280"/>
      <c r="BJ565" s="280"/>
      <c r="BK565" s="280"/>
      <c r="BL565" s="280"/>
      <c r="BM565" s="280"/>
      <c r="BN565" s="280"/>
      <c r="BO565" s="280"/>
      <c r="BP565" s="280"/>
      <c r="BQ565" s="280"/>
      <c r="BR565" s="280"/>
      <c r="BS565" s="280"/>
      <c r="BT565" s="280"/>
      <c r="BU565" s="280"/>
      <c r="BV565" s="280"/>
    </row>
    <row r="566" spans="2:74" s="293" customFormat="1" x14ac:dyDescent="0.25">
      <c r="B566" s="280"/>
      <c r="C566" s="280"/>
      <c r="D566" s="280"/>
      <c r="E566" s="280"/>
      <c r="F566" s="280"/>
      <c r="G566" s="280"/>
      <c r="H566" s="280"/>
      <c r="I566" s="280"/>
      <c r="J566" s="280"/>
      <c r="K566" s="280"/>
      <c r="L566" s="283"/>
      <c r="M566" s="283"/>
      <c r="N566" s="280"/>
      <c r="O566" s="280"/>
      <c r="P566" s="280"/>
      <c r="Q566" s="280"/>
      <c r="R566" s="292"/>
      <c r="S566" s="292"/>
      <c r="T566" s="292"/>
      <c r="U566" s="292"/>
      <c r="V566" s="292"/>
      <c r="W566" s="292"/>
      <c r="X566" s="374"/>
      <c r="Y566" s="374"/>
      <c r="Z566" s="374"/>
      <c r="AA566" s="373"/>
      <c r="AB566" s="283"/>
      <c r="AC566" s="280"/>
      <c r="AD566" s="280"/>
      <c r="AE566" s="280"/>
      <c r="AF566" s="280"/>
      <c r="AG566" s="280"/>
      <c r="AH566" s="280"/>
      <c r="AI566" s="280"/>
      <c r="AJ566" s="280"/>
      <c r="AK566" s="280"/>
      <c r="AL566" s="280"/>
      <c r="AM566" s="280"/>
      <c r="AN566" s="280"/>
      <c r="AO566" s="280"/>
      <c r="AP566" s="280"/>
      <c r="AQ566" s="280"/>
      <c r="AR566" s="280"/>
      <c r="AS566" s="280"/>
      <c r="AT566" s="280"/>
      <c r="AU566" s="280"/>
      <c r="AV566" s="280"/>
      <c r="AW566" s="280"/>
      <c r="AX566" s="280"/>
      <c r="AY566" s="280"/>
      <c r="AZ566" s="280"/>
      <c r="BA566" s="280"/>
      <c r="BB566" s="280"/>
      <c r="BC566" s="280"/>
      <c r="BD566" s="280"/>
      <c r="BE566" s="280"/>
      <c r="BF566" s="280"/>
      <c r="BG566" s="280"/>
      <c r="BH566" s="280"/>
      <c r="BI566" s="280"/>
      <c r="BJ566" s="280"/>
      <c r="BK566" s="280"/>
      <c r="BL566" s="280"/>
      <c r="BM566" s="280"/>
      <c r="BN566" s="280"/>
      <c r="BO566" s="280"/>
      <c r="BP566" s="280"/>
      <c r="BQ566" s="280"/>
      <c r="BR566" s="280"/>
      <c r="BS566" s="280"/>
      <c r="BT566" s="280"/>
      <c r="BU566" s="280"/>
      <c r="BV566" s="280"/>
    </row>
    <row r="567" spans="2:74" s="293" customFormat="1" x14ac:dyDescent="0.25">
      <c r="B567" s="280"/>
      <c r="C567" s="280"/>
      <c r="D567" s="280"/>
      <c r="E567" s="280"/>
      <c r="F567" s="280"/>
      <c r="G567" s="280"/>
      <c r="H567" s="280"/>
      <c r="I567" s="280"/>
      <c r="J567" s="280"/>
      <c r="K567" s="280"/>
      <c r="L567" s="283"/>
      <c r="M567" s="283"/>
      <c r="N567" s="280"/>
      <c r="O567" s="280"/>
      <c r="P567" s="280"/>
      <c r="Q567" s="280"/>
      <c r="R567" s="292"/>
      <c r="S567" s="292"/>
      <c r="T567" s="292"/>
      <c r="U567" s="292"/>
      <c r="V567" s="292"/>
      <c r="W567" s="292"/>
      <c r="X567" s="374"/>
      <c r="Y567" s="374"/>
      <c r="Z567" s="374"/>
      <c r="AA567" s="373"/>
      <c r="AB567" s="283"/>
      <c r="AC567" s="280"/>
      <c r="AD567" s="280"/>
      <c r="AE567" s="280"/>
      <c r="AF567" s="280"/>
      <c r="AG567" s="280"/>
      <c r="AH567" s="280"/>
      <c r="AI567" s="280"/>
      <c r="AJ567" s="280"/>
      <c r="AK567" s="280"/>
      <c r="AL567" s="280"/>
      <c r="AM567" s="280"/>
      <c r="AN567" s="280"/>
      <c r="AO567" s="280"/>
      <c r="AP567" s="280"/>
      <c r="AQ567" s="280"/>
      <c r="AR567" s="280"/>
      <c r="AS567" s="280"/>
      <c r="AT567" s="280"/>
      <c r="AU567" s="280"/>
      <c r="AV567" s="280"/>
      <c r="AW567" s="280"/>
      <c r="AX567" s="280"/>
      <c r="AY567" s="280"/>
      <c r="AZ567" s="280"/>
      <c r="BA567" s="280"/>
      <c r="BB567" s="280"/>
      <c r="BC567" s="280"/>
      <c r="BD567" s="280"/>
      <c r="BE567" s="280"/>
      <c r="BF567" s="280"/>
      <c r="BG567" s="280"/>
      <c r="BH567" s="280"/>
      <c r="BI567" s="280"/>
      <c r="BJ567" s="280"/>
      <c r="BK567" s="280"/>
      <c r="BL567" s="280"/>
      <c r="BM567" s="280"/>
      <c r="BN567" s="280"/>
      <c r="BO567" s="280"/>
      <c r="BP567" s="280"/>
      <c r="BQ567" s="280"/>
      <c r="BR567" s="280"/>
      <c r="BS567" s="280"/>
      <c r="BT567" s="280"/>
      <c r="BU567" s="280"/>
      <c r="BV567" s="280"/>
    </row>
    <row r="568" spans="2:74" s="293" customFormat="1" x14ac:dyDescent="0.25">
      <c r="B568" s="280"/>
      <c r="C568" s="280"/>
      <c r="D568" s="280"/>
      <c r="E568" s="280"/>
      <c r="F568" s="280"/>
      <c r="G568" s="280"/>
      <c r="H568" s="280"/>
      <c r="I568" s="280"/>
      <c r="J568" s="280"/>
      <c r="K568" s="280"/>
      <c r="L568" s="283"/>
      <c r="M568" s="283"/>
      <c r="N568" s="280"/>
      <c r="O568" s="280"/>
      <c r="P568" s="280"/>
      <c r="Q568" s="280"/>
      <c r="R568" s="292"/>
      <c r="S568" s="292"/>
      <c r="T568" s="292"/>
      <c r="U568" s="292"/>
      <c r="V568" s="292"/>
      <c r="W568" s="292"/>
      <c r="X568" s="374"/>
      <c r="Y568" s="374"/>
      <c r="Z568" s="374"/>
      <c r="AA568" s="373"/>
      <c r="AB568" s="283"/>
      <c r="AC568" s="280"/>
      <c r="AD568" s="280"/>
      <c r="AE568" s="280"/>
      <c r="AF568" s="280"/>
      <c r="AG568" s="280"/>
      <c r="AH568" s="280"/>
      <c r="AI568" s="280"/>
      <c r="AJ568" s="280"/>
      <c r="AK568" s="280"/>
      <c r="AL568" s="280"/>
      <c r="AM568" s="280"/>
      <c r="AN568" s="280"/>
      <c r="AO568" s="280"/>
      <c r="AP568" s="280"/>
      <c r="AQ568" s="280"/>
      <c r="AR568" s="280"/>
      <c r="AS568" s="280"/>
      <c r="AT568" s="280"/>
      <c r="AU568" s="280"/>
      <c r="AV568" s="280"/>
      <c r="AW568" s="280"/>
      <c r="AX568" s="280"/>
      <c r="AY568" s="280"/>
      <c r="AZ568" s="280"/>
      <c r="BA568" s="280"/>
      <c r="BB568" s="280"/>
      <c r="BC568" s="280"/>
      <c r="BD568" s="280"/>
      <c r="BE568" s="280"/>
      <c r="BF568" s="280"/>
      <c r="BG568" s="280"/>
      <c r="BH568" s="280"/>
      <c r="BI568" s="280"/>
      <c r="BJ568" s="280"/>
      <c r="BK568" s="280"/>
      <c r="BL568" s="280"/>
      <c r="BM568" s="280"/>
      <c r="BN568" s="280"/>
      <c r="BO568" s="280"/>
      <c r="BP568" s="280"/>
      <c r="BQ568" s="280"/>
      <c r="BR568" s="280"/>
      <c r="BS568" s="280"/>
      <c r="BT568" s="280"/>
      <c r="BU568" s="280"/>
      <c r="BV568" s="280"/>
    </row>
    <row r="569" spans="2:74" s="293" customFormat="1" x14ac:dyDescent="0.25">
      <c r="B569" s="280"/>
      <c r="C569" s="280"/>
      <c r="D569" s="280"/>
      <c r="E569" s="280"/>
      <c r="F569" s="280"/>
      <c r="G569" s="280"/>
      <c r="H569" s="280"/>
      <c r="I569" s="280"/>
      <c r="J569" s="280"/>
      <c r="K569" s="280"/>
      <c r="L569" s="283"/>
      <c r="M569" s="283"/>
      <c r="N569" s="280"/>
      <c r="O569" s="280"/>
      <c r="P569" s="280"/>
      <c r="Q569" s="280"/>
      <c r="R569" s="292"/>
      <c r="S569" s="292"/>
      <c r="T569" s="292"/>
      <c r="U569" s="292"/>
      <c r="V569" s="292"/>
      <c r="W569" s="292"/>
      <c r="X569" s="374"/>
      <c r="Y569" s="374"/>
      <c r="Z569" s="374"/>
      <c r="AA569" s="373"/>
      <c r="AB569" s="283"/>
      <c r="AC569" s="280"/>
      <c r="AD569" s="280"/>
      <c r="AE569" s="280"/>
      <c r="AF569" s="280"/>
      <c r="AG569" s="280"/>
      <c r="AH569" s="280"/>
      <c r="AI569" s="280"/>
      <c r="AJ569" s="280"/>
      <c r="AK569" s="280"/>
      <c r="AL569" s="280"/>
      <c r="AM569" s="280"/>
      <c r="AN569" s="280"/>
      <c r="AO569" s="280"/>
      <c r="AP569" s="280"/>
      <c r="AQ569" s="280"/>
      <c r="AR569" s="280"/>
      <c r="AS569" s="280"/>
      <c r="AT569" s="280"/>
      <c r="AU569" s="280"/>
      <c r="AV569" s="280"/>
      <c r="AW569" s="280"/>
      <c r="AX569" s="280"/>
      <c r="AY569" s="280"/>
      <c r="AZ569" s="280"/>
      <c r="BA569" s="280"/>
      <c r="BB569" s="280"/>
      <c r="BC569" s="280"/>
      <c r="BD569" s="280"/>
      <c r="BE569" s="280"/>
      <c r="BF569" s="280"/>
      <c r="BG569" s="280"/>
      <c r="BH569" s="280"/>
      <c r="BI569" s="280"/>
      <c r="BJ569" s="280"/>
      <c r="BK569" s="280"/>
      <c r="BL569" s="280"/>
      <c r="BM569" s="280"/>
      <c r="BN569" s="280"/>
      <c r="BO569" s="280"/>
      <c r="BP569" s="280"/>
      <c r="BQ569" s="280"/>
      <c r="BR569" s="280"/>
      <c r="BS569" s="280"/>
      <c r="BT569" s="280"/>
      <c r="BU569" s="280"/>
      <c r="BV569" s="280"/>
    </row>
    <row r="570" spans="2:74" s="293" customFormat="1" x14ac:dyDescent="0.25">
      <c r="B570" s="280"/>
      <c r="C570" s="280"/>
      <c r="D570" s="280"/>
      <c r="E570" s="280"/>
      <c r="F570" s="280"/>
      <c r="G570" s="280"/>
      <c r="H570" s="280"/>
      <c r="I570" s="280"/>
      <c r="J570" s="280"/>
      <c r="K570" s="280"/>
      <c r="L570" s="283"/>
      <c r="M570" s="283"/>
      <c r="N570" s="280"/>
      <c r="O570" s="280"/>
      <c r="P570" s="280"/>
      <c r="Q570" s="280"/>
      <c r="R570" s="292"/>
      <c r="S570" s="292"/>
      <c r="T570" s="292"/>
      <c r="U570" s="292"/>
      <c r="V570" s="292"/>
      <c r="W570" s="292"/>
      <c r="X570" s="374"/>
      <c r="Y570" s="374"/>
      <c r="Z570" s="374"/>
      <c r="AA570" s="373"/>
      <c r="AB570" s="283"/>
      <c r="AC570" s="280"/>
      <c r="AD570" s="280"/>
      <c r="AE570" s="280"/>
      <c r="AF570" s="280"/>
      <c r="AG570" s="280"/>
      <c r="AH570" s="280"/>
      <c r="AI570" s="280"/>
      <c r="AJ570" s="280"/>
      <c r="AK570" s="280"/>
      <c r="AL570" s="280"/>
      <c r="AM570" s="280"/>
      <c r="AN570" s="280"/>
      <c r="AO570" s="280"/>
      <c r="AP570" s="280"/>
      <c r="AQ570" s="280"/>
      <c r="AR570" s="280"/>
      <c r="AS570" s="280"/>
      <c r="AT570" s="280"/>
      <c r="AU570" s="280"/>
      <c r="AV570" s="280"/>
      <c r="AW570" s="280"/>
      <c r="AX570" s="280"/>
      <c r="AY570" s="280"/>
      <c r="AZ570" s="280"/>
      <c r="BA570" s="280"/>
      <c r="BB570" s="280"/>
      <c r="BC570" s="280"/>
      <c r="BD570" s="280"/>
      <c r="BE570" s="280"/>
      <c r="BF570" s="280"/>
      <c r="BG570" s="280"/>
      <c r="BH570" s="280"/>
      <c r="BI570" s="280"/>
      <c r="BJ570" s="280"/>
      <c r="BK570" s="280"/>
      <c r="BL570" s="280"/>
      <c r="BM570" s="280"/>
      <c r="BN570" s="280"/>
      <c r="BO570" s="280"/>
      <c r="BP570" s="280"/>
      <c r="BQ570" s="280"/>
      <c r="BR570" s="280"/>
      <c r="BS570" s="280"/>
      <c r="BT570" s="280"/>
      <c r="BU570" s="280"/>
      <c r="BV570" s="280"/>
    </row>
    <row r="571" spans="2:74" s="293" customFormat="1" x14ac:dyDescent="0.25">
      <c r="B571" s="280"/>
      <c r="C571" s="280"/>
      <c r="D571" s="280"/>
      <c r="E571" s="280"/>
      <c r="F571" s="280"/>
      <c r="G571" s="280"/>
      <c r="H571" s="280"/>
      <c r="I571" s="280"/>
      <c r="J571" s="280"/>
      <c r="K571" s="280"/>
      <c r="L571" s="283"/>
      <c r="M571" s="283"/>
      <c r="N571" s="280"/>
      <c r="O571" s="280"/>
      <c r="P571" s="280"/>
      <c r="Q571" s="280"/>
      <c r="R571" s="292"/>
      <c r="S571" s="292"/>
      <c r="T571" s="292"/>
      <c r="U571" s="292"/>
      <c r="V571" s="292"/>
      <c r="W571" s="292"/>
      <c r="X571" s="374"/>
      <c r="Y571" s="374"/>
      <c r="Z571" s="374"/>
      <c r="AA571" s="373"/>
      <c r="AB571" s="283"/>
      <c r="AC571" s="280"/>
      <c r="AD571" s="280"/>
      <c r="AE571" s="280"/>
      <c r="AF571" s="280"/>
      <c r="AG571" s="280"/>
      <c r="AH571" s="280"/>
      <c r="AI571" s="280"/>
      <c r="AJ571" s="280"/>
      <c r="AK571" s="280"/>
      <c r="AL571" s="280"/>
      <c r="AM571" s="280"/>
      <c r="AN571" s="280"/>
      <c r="AO571" s="280"/>
      <c r="AP571" s="280"/>
      <c r="AQ571" s="280"/>
      <c r="AR571" s="280"/>
      <c r="AS571" s="280"/>
      <c r="AT571" s="280"/>
      <c r="AU571" s="280"/>
      <c r="AV571" s="280"/>
      <c r="AW571" s="280"/>
      <c r="AX571" s="280"/>
      <c r="AY571" s="280"/>
      <c r="AZ571" s="280"/>
      <c r="BA571" s="280"/>
      <c r="BB571" s="280"/>
      <c r="BC571" s="280"/>
      <c r="BD571" s="280"/>
      <c r="BE571" s="280"/>
      <c r="BF571" s="280"/>
      <c r="BG571" s="280"/>
      <c r="BH571" s="280"/>
      <c r="BI571" s="280"/>
      <c r="BJ571" s="280"/>
      <c r="BK571" s="280"/>
      <c r="BL571" s="280"/>
      <c r="BM571" s="280"/>
      <c r="BN571" s="280"/>
      <c r="BO571" s="280"/>
      <c r="BP571" s="280"/>
      <c r="BQ571" s="280"/>
      <c r="BR571" s="280"/>
      <c r="BS571" s="280"/>
      <c r="BT571" s="280"/>
      <c r="BU571" s="280"/>
      <c r="BV571" s="280"/>
    </row>
    <row r="572" spans="2:74" s="293" customFormat="1" x14ac:dyDescent="0.25">
      <c r="B572" s="280"/>
      <c r="C572" s="280"/>
      <c r="D572" s="280"/>
      <c r="E572" s="280"/>
      <c r="F572" s="280"/>
      <c r="G572" s="280"/>
      <c r="H572" s="280"/>
      <c r="I572" s="280"/>
      <c r="J572" s="280"/>
      <c r="K572" s="280"/>
      <c r="L572" s="283"/>
      <c r="M572" s="283"/>
      <c r="N572" s="280"/>
      <c r="O572" s="280"/>
      <c r="P572" s="280"/>
      <c r="Q572" s="280"/>
      <c r="R572" s="292"/>
      <c r="S572" s="292"/>
      <c r="T572" s="292"/>
      <c r="U572" s="292"/>
      <c r="V572" s="292"/>
      <c r="W572" s="292"/>
      <c r="X572" s="374"/>
      <c r="Y572" s="374"/>
      <c r="Z572" s="374"/>
      <c r="AA572" s="373"/>
      <c r="AB572" s="283"/>
      <c r="AC572" s="280"/>
      <c r="AD572" s="280"/>
      <c r="AE572" s="280"/>
      <c r="AF572" s="280"/>
      <c r="AG572" s="280"/>
      <c r="AH572" s="280"/>
      <c r="AI572" s="280"/>
      <c r="AJ572" s="280"/>
      <c r="AK572" s="280"/>
      <c r="AL572" s="280"/>
      <c r="AM572" s="280"/>
      <c r="AN572" s="280"/>
      <c r="AO572" s="280"/>
      <c r="AP572" s="280"/>
      <c r="AQ572" s="280"/>
      <c r="AR572" s="280"/>
      <c r="AS572" s="280"/>
      <c r="AT572" s="280"/>
      <c r="AU572" s="280"/>
      <c r="AV572" s="280"/>
      <c r="AW572" s="280"/>
      <c r="AX572" s="280"/>
      <c r="AY572" s="280"/>
      <c r="AZ572" s="280"/>
      <c r="BA572" s="280"/>
      <c r="BB572" s="280"/>
      <c r="BC572" s="280"/>
      <c r="BD572" s="280"/>
      <c r="BE572" s="280"/>
      <c r="BF572" s="280"/>
      <c r="BG572" s="280"/>
      <c r="BH572" s="280"/>
      <c r="BI572" s="280"/>
      <c r="BJ572" s="280"/>
      <c r="BK572" s="280"/>
      <c r="BL572" s="280"/>
      <c r="BM572" s="280"/>
      <c r="BN572" s="280"/>
      <c r="BO572" s="280"/>
      <c r="BP572" s="280"/>
      <c r="BQ572" s="280"/>
      <c r="BR572" s="280"/>
      <c r="BS572" s="280"/>
      <c r="BT572" s="280"/>
      <c r="BU572" s="280"/>
      <c r="BV572" s="280"/>
    </row>
    <row r="573" spans="2:74" s="293" customFormat="1" x14ac:dyDescent="0.25">
      <c r="B573" s="280"/>
      <c r="C573" s="280"/>
      <c r="D573" s="280"/>
      <c r="E573" s="280"/>
      <c r="F573" s="280"/>
      <c r="G573" s="280"/>
      <c r="H573" s="280"/>
      <c r="I573" s="280"/>
      <c r="J573" s="280"/>
      <c r="K573" s="280"/>
      <c r="L573" s="283"/>
      <c r="M573" s="283"/>
      <c r="N573" s="280"/>
      <c r="O573" s="280"/>
      <c r="P573" s="280"/>
      <c r="Q573" s="280"/>
      <c r="R573" s="292"/>
      <c r="S573" s="292"/>
      <c r="T573" s="292"/>
      <c r="U573" s="292"/>
      <c r="V573" s="292"/>
      <c r="W573" s="292"/>
      <c r="X573" s="374"/>
      <c r="Y573" s="374"/>
      <c r="Z573" s="374"/>
      <c r="AA573" s="373"/>
      <c r="AB573" s="283"/>
      <c r="AC573" s="280"/>
      <c r="AD573" s="280"/>
      <c r="AE573" s="280"/>
      <c r="AF573" s="280"/>
      <c r="AG573" s="280"/>
      <c r="AH573" s="280"/>
      <c r="AI573" s="280"/>
      <c r="AJ573" s="280"/>
      <c r="AK573" s="280"/>
      <c r="AL573" s="280"/>
      <c r="AM573" s="280"/>
      <c r="AN573" s="280"/>
      <c r="AO573" s="280"/>
      <c r="AP573" s="280"/>
      <c r="AQ573" s="280"/>
      <c r="AR573" s="280"/>
      <c r="AS573" s="280"/>
      <c r="AT573" s="280"/>
      <c r="AU573" s="280"/>
      <c r="AV573" s="280"/>
      <c r="AW573" s="280"/>
      <c r="AX573" s="280"/>
      <c r="AY573" s="280"/>
      <c r="AZ573" s="280"/>
      <c r="BA573" s="280"/>
      <c r="BB573" s="280"/>
      <c r="BC573" s="280"/>
      <c r="BD573" s="280"/>
      <c r="BE573" s="280"/>
      <c r="BF573" s="280"/>
      <c r="BG573" s="280"/>
      <c r="BH573" s="280"/>
      <c r="BI573" s="280"/>
      <c r="BJ573" s="280"/>
      <c r="BK573" s="280"/>
      <c r="BL573" s="280"/>
      <c r="BM573" s="280"/>
      <c r="BN573" s="280"/>
      <c r="BO573" s="280"/>
      <c r="BP573" s="280"/>
      <c r="BQ573" s="280"/>
      <c r="BR573" s="280"/>
      <c r="BS573" s="280"/>
      <c r="BT573" s="280"/>
      <c r="BU573" s="280"/>
      <c r="BV573" s="280"/>
    </row>
    <row r="574" spans="2:74" s="293" customFormat="1" x14ac:dyDescent="0.25">
      <c r="B574" s="280"/>
      <c r="C574" s="280"/>
      <c r="D574" s="280"/>
      <c r="E574" s="280"/>
      <c r="F574" s="280"/>
      <c r="G574" s="280"/>
      <c r="H574" s="280"/>
      <c r="I574" s="280"/>
      <c r="J574" s="280"/>
      <c r="K574" s="280"/>
      <c r="L574" s="283"/>
      <c r="M574" s="283"/>
      <c r="N574" s="280"/>
      <c r="O574" s="280"/>
      <c r="P574" s="280"/>
      <c r="Q574" s="280"/>
      <c r="R574" s="292"/>
      <c r="S574" s="292"/>
      <c r="T574" s="292"/>
      <c r="U574" s="292"/>
      <c r="V574" s="292"/>
      <c r="W574" s="292"/>
      <c r="X574" s="374"/>
      <c r="Y574" s="374"/>
      <c r="Z574" s="374"/>
      <c r="AA574" s="373"/>
      <c r="AB574" s="283"/>
      <c r="AC574" s="280"/>
      <c r="AD574" s="280"/>
      <c r="AE574" s="280"/>
      <c r="AF574" s="280"/>
      <c r="AG574" s="280"/>
      <c r="AH574" s="280"/>
      <c r="AI574" s="280"/>
      <c r="AJ574" s="280"/>
      <c r="AK574" s="280"/>
      <c r="AL574" s="280"/>
      <c r="AM574" s="280"/>
      <c r="AN574" s="280"/>
      <c r="AO574" s="280"/>
      <c r="AP574" s="280"/>
      <c r="AQ574" s="280"/>
      <c r="AR574" s="280"/>
      <c r="AS574" s="280"/>
      <c r="AT574" s="280"/>
      <c r="AU574" s="280"/>
      <c r="AV574" s="280"/>
      <c r="AW574" s="280"/>
      <c r="AX574" s="280"/>
      <c r="AY574" s="280"/>
      <c r="AZ574" s="280"/>
      <c r="BA574" s="280"/>
      <c r="BB574" s="280"/>
      <c r="BC574" s="280"/>
      <c r="BD574" s="280"/>
      <c r="BE574" s="280"/>
      <c r="BF574" s="280"/>
      <c r="BG574" s="280"/>
      <c r="BH574" s="280"/>
      <c r="BI574" s="280"/>
      <c r="BJ574" s="280"/>
      <c r="BK574" s="280"/>
      <c r="BL574" s="280"/>
      <c r="BM574" s="280"/>
      <c r="BN574" s="280"/>
      <c r="BO574" s="280"/>
      <c r="BP574" s="280"/>
      <c r="BQ574" s="280"/>
      <c r="BR574" s="280"/>
      <c r="BS574" s="280"/>
      <c r="BT574" s="280"/>
      <c r="BU574" s="280"/>
      <c r="BV574" s="280"/>
    </row>
    <row r="575" spans="2:74" s="293" customFormat="1" x14ac:dyDescent="0.25">
      <c r="B575" s="280"/>
      <c r="C575" s="280"/>
      <c r="D575" s="280"/>
      <c r="E575" s="280"/>
      <c r="F575" s="280"/>
      <c r="G575" s="280"/>
      <c r="H575" s="280"/>
      <c r="I575" s="280"/>
      <c r="J575" s="280"/>
      <c r="K575" s="280"/>
      <c r="L575" s="283"/>
      <c r="M575" s="283"/>
      <c r="N575" s="280"/>
      <c r="O575" s="280"/>
      <c r="P575" s="280"/>
      <c r="Q575" s="280"/>
      <c r="R575" s="292"/>
      <c r="S575" s="292"/>
      <c r="T575" s="292"/>
      <c r="U575" s="292"/>
      <c r="V575" s="292"/>
      <c r="W575" s="292"/>
      <c r="X575" s="374"/>
      <c r="Y575" s="374"/>
      <c r="Z575" s="374"/>
      <c r="AA575" s="373"/>
      <c r="AB575" s="283"/>
      <c r="AC575" s="280"/>
      <c r="AD575" s="280"/>
      <c r="AE575" s="280"/>
      <c r="AF575" s="280"/>
      <c r="AG575" s="280"/>
      <c r="AH575" s="280"/>
      <c r="AI575" s="280"/>
      <c r="AJ575" s="280"/>
      <c r="AK575" s="280"/>
      <c r="AL575" s="280"/>
      <c r="AM575" s="280"/>
      <c r="AN575" s="280"/>
      <c r="AO575" s="280"/>
      <c r="AP575" s="280"/>
      <c r="AQ575" s="280"/>
      <c r="AR575" s="280"/>
      <c r="AS575" s="280"/>
      <c r="AT575" s="280"/>
      <c r="AU575" s="280"/>
      <c r="AV575" s="280"/>
      <c r="AW575" s="280"/>
      <c r="AX575" s="280"/>
      <c r="AY575" s="280"/>
      <c r="AZ575" s="280"/>
      <c r="BA575" s="280"/>
      <c r="BB575" s="280"/>
      <c r="BC575" s="280"/>
      <c r="BD575" s="280"/>
      <c r="BE575" s="280"/>
      <c r="BF575" s="280"/>
      <c r="BG575" s="280"/>
      <c r="BH575" s="280"/>
      <c r="BI575" s="280"/>
      <c r="BJ575" s="280"/>
      <c r="BK575" s="280"/>
      <c r="BL575" s="280"/>
      <c r="BM575" s="280"/>
      <c r="BN575" s="280"/>
      <c r="BO575" s="280"/>
      <c r="BP575" s="280"/>
      <c r="BQ575" s="280"/>
      <c r="BR575" s="280"/>
      <c r="BS575" s="280"/>
      <c r="BT575" s="280"/>
      <c r="BU575" s="280"/>
      <c r="BV575" s="280"/>
    </row>
    <row r="576" spans="2:74" s="293" customFormat="1" x14ac:dyDescent="0.25">
      <c r="B576" s="280"/>
      <c r="C576" s="280"/>
      <c r="D576" s="280"/>
      <c r="E576" s="280"/>
      <c r="F576" s="280"/>
      <c r="G576" s="280"/>
      <c r="H576" s="280"/>
      <c r="I576" s="280"/>
      <c r="J576" s="280"/>
      <c r="K576" s="280"/>
      <c r="L576" s="283"/>
      <c r="M576" s="283"/>
      <c r="N576" s="280"/>
      <c r="O576" s="280"/>
      <c r="P576" s="280"/>
      <c r="Q576" s="280"/>
      <c r="R576" s="292"/>
      <c r="S576" s="292"/>
      <c r="T576" s="292"/>
      <c r="U576" s="292"/>
      <c r="V576" s="292"/>
      <c r="W576" s="292"/>
      <c r="X576" s="374"/>
      <c r="Y576" s="374"/>
      <c r="Z576" s="374"/>
      <c r="AA576" s="373"/>
      <c r="AB576" s="283"/>
      <c r="AC576" s="280"/>
      <c r="AD576" s="280"/>
      <c r="AE576" s="280"/>
      <c r="AF576" s="280"/>
      <c r="AG576" s="280"/>
      <c r="AH576" s="280"/>
      <c r="AI576" s="280"/>
      <c r="AJ576" s="280"/>
      <c r="AK576" s="280"/>
      <c r="AL576" s="280"/>
      <c r="AM576" s="280"/>
      <c r="AN576" s="280"/>
      <c r="AO576" s="280"/>
      <c r="AP576" s="280"/>
      <c r="AQ576" s="280"/>
      <c r="AR576" s="280"/>
      <c r="AS576" s="280"/>
      <c r="AT576" s="280"/>
      <c r="AU576" s="280"/>
      <c r="AV576" s="280"/>
      <c r="AW576" s="280"/>
      <c r="AX576" s="280"/>
      <c r="AY576" s="280"/>
      <c r="AZ576" s="280"/>
      <c r="BA576" s="280"/>
      <c r="BB576" s="280"/>
      <c r="BC576" s="280"/>
      <c r="BD576" s="280"/>
      <c r="BE576" s="280"/>
      <c r="BF576" s="280"/>
      <c r="BG576" s="280"/>
      <c r="BH576" s="280"/>
      <c r="BI576" s="280"/>
      <c r="BJ576" s="280"/>
      <c r="BK576" s="280"/>
      <c r="BL576" s="280"/>
      <c r="BM576" s="280"/>
      <c r="BN576" s="280"/>
      <c r="BO576" s="280"/>
      <c r="BP576" s="280"/>
      <c r="BQ576" s="280"/>
      <c r="BR576" s="280"/>
      <c r="BS576" s="280"/>
      <c r="BT576" s="280"/>
      <c r="BU576" s="280"/>
      <c r="BV576" s="280"/>
    </row>
    <row r="577" spans="2:74" s="293" customFormat="1" x14ac:dyDescent="0.25">
      <c r="B577" s="280"/>
      <c r="C577" s="280"/>
      <c r="D577" s="280"/>
      <c r="E577" s="280"/>
      <c r="F577" s="280"/>
      <c r="G577" s="280"/>
      <c r="H577" s="280"/>
      <c r="I577" s="280"/>
      <c r="J577" s="280"/>
      <c r="K577" s="280"/>
      <c r="L577" s="283"/>
      <c r="M577" s="283"/>
      <c r="N577" s="280"/>
      <c r="O577" s="280"/>
      <c r="P577" s="280"/>
      <c r="Q577" s="280"/>
      <c r="R577" s="292"/>
      <c r="S577" s="292"/>
      <c r="T577" s="292"/>
      <c r="U577" s="292"/>
      <c r="V577" s="292"/>
      <c r="W577" s="292"/>
      <c r="X577" s="374"/>
      <c r="Y577" s="374"/>
      <c r="Z577" s="374"/>
      <c r="AA577" s="373"/>
      <c r="AB577" s="283"/>
      <c r="AC577" s="280"/>
      <c r="AD577" s="280"/>
      <c r="AE577" s="280"/>
      <c r="AF577" s="280"/>
      <c r="AG577" s="280"/>
      <c r="AH577" s="280"/>
      <c r="AI577" s="280"/>
      <c r="AJ577" s="280"/>
      <c r="AK577" s="280"/>
      <c r="AL577" s="280"/>
      <c r="AM577" s="280"/>
      <c r="AN577" s="280"/>
      <c r="AO577" s="280"/>
      <c r="AP577" s="280"/>
      <c r="AQ577" s="280"/>
      <c r="AR577" s="280"/>
      <c r="AS577" s="280"/>
      <c r="AT577" s="280"/>
      <c r="AU577" s="280"/>
      <c r="AV577" s="280"/>
      <c r="AW577" s="280"/>
      <c r="AX577" s="280"/>
      <c r="AY577" s="280"/>
      <c r="AZ577" s="280"/>
      <c r="BA577" s="280"/>
      <c r="BB577" s="280"/>
      <c r="BC577" s="280"/>
      <c r="BD577" s="280"/>
      <c r="BE577" s="280"/>
      <c r="BF577" s="280"/>
      <c r="BG577" s="280"/>
      <c r="BH577" s="280"/>
      <c r="BI577" s="280"/>
      <c r="BJ577" s="280"/>
      <c r="BK577" s="280"/>
      <c r="BL577" s="280"/>
      <c r="BM577" s="280"/>
      <c r="BN577" s="280"/>
      <c r="BO577" s="280"/>
      <c r="BP577" s="280"/>
      <c r="BQ577" s="280"/>
      <c r="BR577" s="280"/>
      <c r="BS577" s="280"/>
      <c r="BT577" s="280"/>
      <c r="BU577" s="280"/>
      <c r="BV577" s="280"/>
    </row>
    <row r="578" spans="2:74" s="293" customFormat="1" x14ac:dyDescent="0.25">
      <c r="B578" s="280"/>
      <c r="C578" s="280"/>
      <c r="D578" s="280"/>
      <c r="E578" s="280"/>
      <c r="F578" s="280"/>
      <c r="G578" s="280"/>
      <c r="H578" s="280"/>
      <c r="I578" s="280"/>
      <c r="J578" s="280"/>
      <c r="K578" s="280"/>
      <c r="L578" s="283"/>
      <c r="M578" s="283"/>
      <c r="N578" s="280"/>
      <c r="O578" s="280"/>
      <c r="P578" s="280"/>
      <c r="Q578" s="280"/>
      <c r="R578" s="292"/>
      <c r="S578" s="292"/>
      <c r="T578" s="292"/>
      <c r="U578" s="292"/>
      <c r="V578" s="292"/>
      <c r="W578" s="292"/>
      <c r="X578" s="374"/>
      <c r="Y578" s="374"/>
      <c r="Z578" s="374"/>
      <c r="AA578" s="373"/>
      <c r="AB578" s="283"/>
      <c r="AC578" s="280"/>
      <c r="AD578" s="280"/>
      <c r="AE578" s="280"/>
      <c r="AF578" s="280"/>
      <c r="AG578" s="280"/>
      <c r="AH578" s="280"/>
      <c r="AI578" s="280"/>
      <c r="AJ578" s="280"/>
      <c r="AK578" s="280"/>
      <c r="AL578" s="280"/>
      <c r="AM578" s="280"/>
      <c r="AN578" s="280"/>
      <c r="AO578" s="280"/>
      <c r="AP578" s="280"/>
      <c r="AQ578" s="280"/>
      <c r="AR578" s="280"/>
      <c r="AS578" s="280"/>
      <c r="AT578" s="280"/>
      <c r="AU578" s="280"/>
      <c r="AV578" s="280"/>
      <c r="AW578" s="280"/>
      <c r="AX578" s="280"/>
      <c r="AY578" s="280"/>
      <c r="AZ578" s="280"/>
      <c r="BA578" s="280"/>
      <c r="BB578" s="280"/>
      <c r="BC578" s="280"/>
      <c r="BD578" s="280"/>
      <c r="BE578" s="280"/>
      <c r="BF578" s="280"/>
      <c r="BG578" s="280"/>
      <c r="BH578" s="280"/>
      <c r="BI578" s="280"/>
      <c r="BJ578" s="280"/>
      <c r="BK578" s="280"/>
      <c r="BL578" s="280"/>
      <c r="BM578" s="280"/>
      <c r="BN578" s="280"/>
      <c r="BO578" s="280"/>
      <c r="BP578" s="280"/>
      <c r="BQ578" s="280"/>
      <c r="BR578" s="280"/>
      <c r="BS578" s="280"/>
      <c r="BT578" s="280"/>
      <c r="BU578" s="280"/>
      <c r="BV578" s="280"/>
    </row>
    <row r="579" spans="2:74" s="293" customFormat="1" x14ac:dyDescent="0.25">
      <c r="B579" s="280"/>
      <c r="C579" s="280"/>
      <c r="D579" s="280"/>
      <c r="E579" s="280"/>
      <c r="F579" s="280"/>
      <c r="G579" s="280"/>
      <c r="H579" s="280"/>
      <c r="I579" s="280"/>
      <c r="J579" s="280"/>
      <c r="K579" s="280"/>
      <c r="L579" s="283"/>
      <c r="M579" s="283"/>
      <c r="N579" s="280"/>
      <c r="O579" s="280"/>
      <c r="P579" s="280"/>
      <c r="Q579" s="280"/>
      <c r="R579" s="292"/>
      <c r="S579" s="292"/>
      <c r="T579" s="292"/>
      <c r="U579" s="292"/>
      <c r="V579" s="292"/>
      <c r="W579" s="292"/>
      <c r="X579" s="374"/>
      <c r="Y579" s="374"/>
      <c r="Z579" s="374"/>
      <c r="AA579" s="373"/>
      <c r="AB579" s="283"/>
      <c r="AC579" s="280"/>
      <c r="AD579" s="280"/>
      <c r="AE579" s="280"/>
      <c r="AF579" s="280"/>
      <c r="AG579" s="280"/>
      <c r="AH579" s="280"/>
      <c r="AI579" s="280"/>
      <c r="AJ579" s="280"/>
      <c r="AK579" s="280"/>
      <c r="AL579" s="280"/>
      <c r="AM579" s="280"/>
      <c r="AN579" s="280"/>
      <c r="AO579" s="280"/>
      <c r="AP579" s="280"/>
      <c r="AQ579" s="280"/>
      <c r="AR579" s="280"/>
      <c r="AS579" s="280"/>
      <c r="AT579" s="280"/>
      <c r="AU579" s="280"/>
      <c r="AV579" s="280"/>
      <c r="AW579" s="280"/>
      <c r="AX579" s="280"/>
      <c r="AY579" s="280"/>
      <c r="AZ579" s="280"/>
      <c r="BA579" s="280"/>
      <c r="BB579" s="280"/>
      <c r="BC579" s="280"/>
      <c r="BD579" s="280"/>
      <c r="BE579" s="280"/>
      <c r="BF579" s="280"/>
      <c r="BG579" s="280"/>
      <c r="BH579" s="280"/>
      <c r="BI579" s="280"/>
      <c r="BJ579" s="280"/>
      <c r="BK579" s="280"/>
      <c r="BL579" s="280"/>
      <c r="BM579" s="280"/>
      <c r="BN579" s="280"/>
      <c r="BO579" s="280"/>
      <c r="BP579" s="280"/>
      <c r="BQ579" s="280"/>
      <c r="BR579" s="280"/>
      <c r="BS579" s="280"/>
      <c r="BT579" s="280"/>
      <c r="BU579" s="280"/>
      <c r="BV579" s="280"/>
    </row>
    <row r="580" spans="2:74" s="293" customFormat="1" x14ac:dyDescent="0.25">
      <c r="B580" s="280"/>
      <c r="C580" s="280"/>
      <c r="D580" s="280"/>
      <c r="E580" s="280"/>
      <c r="F580" s="280"/>
      <c r="G580" s="280"/>
      <c r="H580" s="280"/>
      <c r="I580" s="280"/>
      <c r="J580" s="280"/>
      <c r="K580" s="280"/>
      <c r="L580" s="283"/>
      <c r="M580" s="283"/>
      <c r="N580" s="280"/>
      <c r="O580" s="280"/>
      <c r="P580" s="280"/>
      <c r="Q580" s="280"/>
      <c r="R580" s="292"/>
      <c r="S580" s="292"/>
      <c r="T580" s="292"/>
      <c r="U580" s="292"/>
      <c r="V580" s="292"/>
      <c r="W580" s="292"/>
      <c r="X580" s="374"/>
      <c r="Y580" s="374"/>
      <c r="Z580" s="374"/>
      <c r="AA580" s="373"/>
      <c r="AB580" s="283"/>
      <c r="AC580" s="280"/>
      <c r="AD580" s="280"/>
      <c r="AE580" s="280"/>
      <c r="AF580" s="280"/>
      <c r="AG580" s="280"/>
      <c r="AH580" s="280"/>
      <c r="AI580" s="280"/>
      <c r="AJ580" s="280"/>
      <c r="AK580" s="280"/>
      <c r="AL580" s="280"/>
      <c r="AM580" s="280"/>
      <c r="AN580" s="280"/>
      <c r="AO580" s="280"/>
      <c r="AP580" s="280"/>
      <c r="AQ580" s="280"/>
      <c r="AR580" s="280"/>
      <c r="AS580" s="280"/>
      <c r="AT580" s="280"/>
      <c r="AU580" s="280"/>
      <c r="AV580" s="280"/>
      <c r="AW580" s="280"/>
      <c r="AX580" s="280"/>
      <c r="AY580" s="280"/>
      <c r="AZ580" s="280"/>
      <c r="BA580" s="280"/>
      <c r="BB580" s="280"/>
      <c r="BC580" s="280"/>
      <c r="BD580" s="280"/>
      <c r="BE580" s="280"/>
      <c r="BF580" s="280"/>
      <c r="BG580" s="280"/>
      <c r="BH580" s="280"/>
      <c r="BI580" s="280"/>
      <c r="BJ580" s="280"/>
      <c r="BK580" s="280"/>
      <c r="BL580" s="280"/>
      <c r="BM580" s="280"/>
      <c r="BN580" s="280"/>
      <c r="BO580" s="280"/>
      <c r="BP580" s="280"/>
      <c r="BQ580" s="280"/>
      <c r="BR580" s="280"/>
      <c r="BS580" s="280"/>
      <c r="BT580" s="280"/>
      <c r="BU580" s="280"/>
      <c r="BV580" s="280"/>
    </row>
    <row r="581" spans="2:74" s="293" customFormat="1" x14ac:dyDescent="0.25">
      <c r="B581" s="280"/>
      <c r="C581" s="280"/>
      <c r="D581" s="280"/>
      <c r="E581" s="280"/>
      <c r="F581" s="280"/>
      <c r="G581" s="280"/>
      <c r="H581" s="280"/>
      <c r="I581" s="280"/>
      <c r="J581" s="280"/>
      <c r="K581" s="280"/>
      <c r="L581" s="283"/>
      <c r="M581" s="283"/>
      <c r="N581" s="280"/>
      <c r="O581" s="280"/>
      <c r="P581" s="280"/>
      <c r="Q581" s="280"/>
      <c r="R581" s="292"/>
      <c r="S581" s="292"/>
      <c r="T581" s="292"/>
      <c r="U581" s="292"/>
      <c r="V581" s="292"/>
      <c r="W581" s="292"/>
      <c r="X581" s="374"/>
      <c r="Y581" s="374"/>
      <c r="Z581" s="374"/>
      <c r="AA581" s="373"/>
      <c r="AB581" s="283"/>
      <c r="AC581" s="280"/>
      <c r="AD581" s="280"/>
      <c r="AE581" s="280"/>
      <c r="AF581" s="280"/>
      <c r="AG581" s="280"/>
      <c r="AH581" s="280"/>
      <c r="AI581" s="280"/>
      <c r="AJ581" s="280"/>
      <c r="AK581" s="280"/>
      <c r="AL581" s="280"/>
      <c r="AM581" s="280"/>
      <c r="AN581" s="280"/>
      <c r="AO581" s="280"/>
      <c r="AP581" s="280"/>
      <c r="AQ581" s="280"/>
      <c r="AR581" s="280"/>
      <c r="AS581" s="280"/>
      <c r="AT581" s="280"/>
      <c r="AU581" s="280"/>
      <c r="AV581" s="280"/>
      <c r="AW581" s="280"/>
      <c r="AX581" s="280"/>
      <c r="AY581" s="280"/>
      <c r="AZ581" s="280"/>
      <c r="BA581" s="280"/>
      <c r="BB581" s="280"/>
      <c r="BC581" s="280"/>
      <c r="BD581" s="280"/>
      <c r="BE581" s="280"/>
      <c r="BF581" s="280"/>
      <c r="BG581" s="280"/>
      <c r="BH581" s="280"/>
      <c r="BI581" s="280"/>
      <c r="BJ581" s="280"/>
      <c r="BK581" s="280"/>
      <c r="BL581" s="280"/>
      <c r="BM581" s="280"/>
      <c r="BN581" s="280"/>
      <c r="BO581" s="280"/>
      <c r="BP581" s="280"/>
      <c r="BQ581" s="280"/>
      <c r="BR581" s="280"/>
      <c r="BS581" s="280"/>
      <c r="BT581" s="280"/>
      <c r="BU581" s="280"/>
      <c r="BV581" s="280"/>
    </row>
    <row r="582" spans="2:74" s="293" customFormat="1" x14ac:dyDescent="0.25">
      <c r="B582" s="280"/>
      <c r="C582" s="280"/>
      <c r="D582" s="280"/>
      <c r="E582" s="280"/>
      <c r="F582" s="280"/>
      <c r="G582" s="280"/>
      <c r="H582" s="280"/>
      <c r="I582" s="280"/>
      <c r="J582" s="280"/>
      <c r="K582" s="280"/>
      <c r="L582" s="283"/>
      <c r="M582" s="283"/>
      <c r="N582" s="280"/>
      <c r="O582" s="280"/>
      <c r="P582" s="280"/>
      <c r="Q582" s="280"/>
      <c r="R582" s="292"/>
      <c r="S582" s="292"/>
      <c r="T582" s="292"/>
      <c r="U582" s="292"/>
      <c r="V582" s="292"/>
      <c r="W582" s="292"/>
      <c r="X582" s="374"/>
      <c r="Y582" s="374"/>
      <c r="Z582" s="374"/>
      <c r="AA582" s="373"/>
      <c r="AB582" s="283"/>
      <c r="AC582" s="280"/>
      <c r="AD582" s="280"/>
      <c r="AE582" s="280"/>
      <c r="AF582" s="280"/>
      <c r="AG582" s="280"/>
      <c r="AH582" s="280"/>
      <c r="AI582" s="280"/>
      <c r="AJ582" s="280"/>
      <c r="AK582" s="280"/>
      <c r="AL582" s="280"/>
      <c r="AM582" s="280"/>
      <c r="AN582" s="280"/>
      <c r="AO582" s="280"/>
      <c r="AP582" s="280"/>
      <c r="AQ582" s="280"/>
      <c r="AR582" s="280"/>
      <c r="AS582" s="280"/>
      <c r="AT582" s="280"/>
      <c r="AU582" s="280"/>
      <c r="AV582" s="280"/>
      <c r="AW582" s="280"/>
      <c r="AX582" s="280"/>
      <c r="AY582" s="280"/>
      <c r="AZ582" s="280"/>
      <c r="BA582" s="280"/>
      <c r="BB582" s="280"/>
      <c r="BC582" s="280"/>
      <c r="BD582" s="280"/>
      <c r="BE582" s="280"/>
      <c r="BF582" s="280"/>
      <c r="BG582" s="280"/>
      <c r="BH582" s="280"/>
      <c r="BI582" s="280"/>
      <c r="BJ582" s="280"/>
      <c r="BK582" s="280"/>
      <c r="BL582" s="280"/>
      <c r="BM582" s="280"/>
      <c r="BN582" s="280"/>
      <c r="BO582" s="280"/>
      <c r="BP582" s="280"/>
      <c r="BQ582" s="280"/>
      <c r="BR582" s="280"/>
      <c r="BS582" s="280"/>
      <c r="BT582" s="280"/>
      <c r="BU582" s="280"/>
      <c r="BV582" s="280"/>
    </row>
    <row r="583" spans="2:74" s="293" customFormat="1" x14ac:dyDescent="0.25">
      <c r="B583" s="280"/>
      <c r="C583" s="280"/>
      <c r="D583" s="280"/>
      <c r="E583" s="280"/>
      <c r="F583" s="280"/>
      <c r="G583" s="280"/>
      <c r="H583" s="280"/>
      <c r="I583" s="280"/>
      <c r="J583" s="280"/>
      <c r="K583" s="280"/>
      <c r="L583" s="283"/>
      <c r="M583" s="283"/>
      <c r="N583" s="280"/>
      <c r="O583" s="280"/>
      <c r="P583" s="280"/>
      <c r="Q583" s="280"/>
      <c r="R583" s="292"/>
      <c r="S583" s="292"/>
      <c r="T583" s="292"/>
      <c r="U583" s="292"/>
      <c r="V583" s="292"/>
      <c r="W583" s="292"/>
      <c r="X583" s="374"/>
      <c r="Y583" s="374"/>
      <c r="Z583" s="374"/>
      <c r="AA583" s="373"/>
      <c r="AB583" s="283"/>
      <c r="AC583" s="280"/>
      <c r="AD583" s="280"/>
      <c r="AE583" s="280"/>
      <c r="AF583" s="280"/>
      <c r="AG583" s="280"/>
      <c r="AH583" s="280"/>
      <c r="AI583" s="280"/>
      <c r="AJ583" s="280"/>
      <c r="AK583" s="280"/>
      <c r="AL583" s="280"/>
      <c r="AM583" s="280"/>
      <c r="AN583" s="280"/>
      <c r="AO583" s="280"/>
      <c r="AP583" s="280"/>
      <c r="AQ583" s="280"/>
      <c r="AR583" s="280"/>
      <c r="AS583" s="280"/>
      <c r="AT583" s="280"/>
      <c r="AU583" s="280"/>
      <c r="AV583" s="280"/>
      <c r="AW583" s="280"/>
      <c r="AX583" s="280"/>
      <c r="AY583" s="280"/>
      <c r="AZ583" s="280"/>
      <c r="BA583" s="280"/>
      <c r="BB583" s="280"/>
      <c r="BC583" s="280"/>
      <c r="BD583" s="280"/>
      <c r="BE583" s="280"/>
      <c r="BF583" s="280"/>
      <c r="BG583" s="280"/>
      <c r="BH583" s="280"/>
      <c r="BI583" s="280"/>
      <c r="BJ583" s="280"/>
      <c r="BK583" s="280"/>
      <c r="BL583" s="280"/>
      <c r="BM583" s="280"/>
      <c r="BN583" s="280"/>
      <c r="BO583" s="280"/>
      <c r="BP583" s="280"/>
      <c r="BQ583" s="280"/>
      <c r="BR583" s="280"/>
      <c r="BS583" s="280"/>
      <c r="BT583" s="280"/>
      <c r="BU583" s="280"/>
      <c r="BV583" s="280"/>
    </row>
    <row r="584" spans="2:74" s="293" customFormat="1" x14ac:dyDescent="0.25">
      <c r="B584" s="280"/>
      <c r="C584" s="280"/>
      <c r="D584" s="280"/>
      <c r="E584" s="280"/>
      <c r="F584" s="280"/>
      <c r="G584" s="280"/>
      <c r="H584" s="280"/>
      <c r="I584" s="280"/>
      <c r="J584" s="280"/>
      <c r="K584" s="280"/>
      <c r="L584" s="283"/>
      <c r="M584" s="283"/>
      <c r="N584" s="280"/>
      <c r="O584" s="280"/>
      <c r="P584" s="280"/>
      <c r="Q584" s="280"/>
      <c r="R584" s="292"/>
      <c r="S584" s="292"/>
      <c r="T584" s="292"/>
      <c r="U584" s="292"/>
      <c r="V584" s="292"/>
      <c r="W584" s="292"/>
      <c r="X584" s="374"/>
      <c r="Y584" s="374"/>
      <c r="Z584" s="374"/>
      <c r="AA584" s="373"/>
      <c r="AB584" s="283"/>
      <c r="AC584" s="280"/>
      <c r="AD584" s="280"/>
      <c r="AE584" s="280"/>
      <c r="AF584" s="280"/>
      <c r="AG584" s="280"/>
      <c r="AH584" s="280"/>
      <c r="AI584" s="280"/>
      <c r="AJ584" s="280"/>
      <c r="AK584" s="280"/>
      <c r="AL584" s="280"/>
      <c r="AM584" s="280"/>
      <c r="AN584" s="280"/>
      <c r="AO584" s="280"/>
      <c r="AP584" s="280"/>
      <c r="AQ584" s="280"/>
      <c r="AR584" s="280"/>
      <c r="AS584" s="280"/>
      <c r="AT584" s="280"/>
      <c r="AU584" s="280"/>
      <c r="AV584" s="280"/>
      <c r="AW584" s="280"/>
      <c r="AX584" s="280"/>
      <c r="AY584" s="280"/>
      <c r="AZ584" s="280"/>
      <c r="BA584" s="280"/>
      <c r="BB584" s="280"/>
      <c r="BC584" s="280"/>
      <c r="BD584" s="280"/>
      <c r="BE584" s="280"/>
      <c r="BF584" s="280"/>
      <c r="BG584" s="280"/>
      <c r="BH584" s="280"/>
      <c r="BI584" s="280"/>
      <c r="BJ584" s="280"/>
      <c r="BK584" s="280"/>
      <c r="BL584" s="280"/>
      <c r="BM584" s="280"/>
      <c r="BN584" s="280"/>
      <c r="BO584" s="280"/>
      <c r="BP584" s="280"/>
      <c r="BQ584" s="280"/>
      <c r="BR584" s="280"/>
      <c r="BS584" s="280"/>
      <c r="BT584" s="280"/>
      <c r="BU584" s="280"/>
      <c r="BV584" s="280"/>
    </row>
    <row r="585" spans="2:74" s="293" customFormat="1" x14ac:dyDescent="0.25">
      <c r="B585" s="280"/>
      <c r="C585" s="280"/>
      <c r="D585" s="280"/>
      <c r="E585" s="280"/>
      <c r="F585" s="280"/>
      <c r="G585" s="280"/>
      <c r="H585" s="280"/>
      <c r="I585" s="280"/>
      <c r="J585" s="280"/>
      <c r="K585" s="280"/>
      <c r="L585" s="283"/>
      <c r="M585" s="283"/>
      <c r="N585" s="280"/>
      <c r="O585" s="280"/>
      <c r="P585" s="280"/>
      <c r="Q585" s="280"/>
      <c r="R585" s="292"/>
      <c r="S585" s="292"/>
      <c r="T585" s="292"/>
      <c r="U585" s="292"/>
      <c r="V585" s="292"/>
      <c r="W585" s="292"/>
      <c r="X585" s="374"/>
      <c r="Y585" s="374"/>
      <c r="Z585" s="374"/>
      <c r="AA585" s="373"/>
      <c r="AB585" s="283"/>
      <c r="AC585" s="280"/>
      <c r="AD585" s="280"/>
      <c r="AE585" s="280"/>
      <c r="AF585" s="280"/>
      <c r="AG585" s="280"/>
      <c r="AH585" s="280"/>
      <c r="AI585" s="280"/>
      <c r="AJ585" s="280"/>
      <c r="AK585" s="280"/>
      <c r="AL585" s="280"/>
      <c r="AM585" s="280"/>
      <c r="AN585" s="280"/>
      <c r="AO585" s="280"/>
      <c r="AP585" s="280"/>
      <c r="AQ585" s="280"/>
      <c r="AR585" s="280"/>
      <c r="AS585" s="280"/>
      <c r="AT585" s="280"/>
      <c r="AU585" s="280"/>
      <c r="AV585" s="280"/>
      <c r="AW585" s="280"/>
      <c r="AX585" s="280"/>
      <c r="AY585" s="280"/>
      <c r="AZ585" s="280"/>
      <c r="BA585" s="280"/>
      <c r="BB585" s="280"/>
      <c r="BC585" s="280"/>
      <c r="BD585" s="280"/>
      <c r="BE585" s="280"/>
      <c r="BF585" s="280"/>
      <c r="BG585" s="280"/>
      <c r="BH585" s="280"/>
      <c r="BI585" s="280"/>
      <c r="BJ585" s="280"/>
      <c r="BK585" s="280"/>
      <c r="BL585" s="280"/>
      <c r="BM585" s="280"/>
      <c r="BN585" s="280"/>
      <c r="BO585" s="280"/>
      <c r="BP585" s="280"/>
      <c r="BQ585" s="280"/>
      <c r="BR585" s="280"/>
      <c r="BS585" s="280"/>
      <c r="BT585" s="280"/>
      <c r="BU585" s="280"/>
      <c r="BV585" s="280"/>
    </row>
    <row r="586" spans="2:74" s="293" customFormat="1" x14ac:dyDescent="0.25">
      <c r="B586" s="280"/>
      <c r="C586" s="280"/>
      <c r="D586" s="280"/>
      <c r="E586" s="280"/>
      <c r="F586" s="280"/>
      <c r="G586" s="280"/>
      <c r="H586" s="280"/>
      <c r="I586" s="280"/>
      <c r="J586" s="280"/>
      <c r="K586" s="280"/>
      <c r="L586" s="283"/>
      <c r="M586" s="283"/>
      <c r="N586" s="280"/>
      <c r="O586" s="280"/>
      <c r="P586" s="280"/>
      <c r="Q586" s="280"/>
      <c r="R586" s="292"/>
      <c r="S586" s="292"/>
      <c r="T586" s="292"/>
      <c r="U586" s="292"/>
      <c r="V586" s="292"/>
      <c r="W586" s="292"/>
      <c r="X586" s="374"/>
      <c r="Y586" s="374"/>
      <c r="Z586" s="374"/>
      <c r="AA586" s="373"/>
      <c r="AB586" s="283"/>
      <c r="AC586" s="280"/>
      <c r="AD586" s="280"/>
      <c r="AE586" s="280"/>
      <c r="AF586" s="280"/>
      <c r="AG586" s="280"/>
      <c r="AH586" s="280"/>
      <c r="AI586" s="280"/>
      <c r="AJ586" s="280"/>
      <c r="AK586" s="280"/>
      <c r="AL586" s="280"/>
      <c r="AM586" s="280"/>
      <c r="AN586" s="280"/>
      <c r="AO586" s="280"/>
      <c r="AP586" s="280"/>
      <c r="AQ586" s="280"/>
      <c r="AR586" s="280"/>
      <c r="AS586" s="280"/>
      <c r="AT586" s="280"/>
      <c r="AU586" s="280"/>
      <c r="AV586" s="280"/>
      <c r="AW586" s="280"/>
      <c r="AX586" s="280"/>
      <c r="AY586" s="280"/>
      <c r="AZ586" s="280"/>
      <c r="BA586" s="280"/>
      <c r="BB586" s="280"/>
      <c r="BC586" s="280"/>
      <c r="BD586" s="280"/>
      <c r="BE586" s="280"/>
      <c r="BF586" s="280"/>
      <c r="BG586" s="280"/>
      <c r="BH586" s="280"/>
      <c r="BI586" s="280"/>
      <c r="BJ586" s="280"/>
      <c r="BK586" s="280"/>
      <c r="BL586" s="280"/>
      <c r="BM586" s="280"/>
      <c r="BN586" s="280"/>
      <c r="BO586" s="280"/>
      <c r="BP586" s="280"/>
      <c r="BQ586" s="280"/>
      <c r="BR586" s="280"/>
      <c r="BS586" s="280"/>
      <c r="BT586" s="280"/>
      <c r="BU586" s="280"/>
      <c r="BV586" s="280"/>
    </row>
    <row r="587" spans="2:74" s="293" customFormat="1" x14ac:dyDescent="0.25">
      <c r="B587" s="280"/>
      <c r="C587" s="280"/>
      <c r="D587" s="280"/>
      <c r="E587" s="280"/>
      <c r="F587" s="280"/>
      <c r="G587" s="280"/>
      <c r="H587" s="280"/>
      <c r="I587" s="280"/>
      <c r="J587" s="280"/>
      <c r="K587" s="280"/>
      <c r="L587" s="283"/>
      <c r="M587" s="283"/>
      <c r="N587" s="280"/>
      <c r="O587" s="280"/>
      <c r="P587" s="280"/>
      <c r="Q587" s="280"/>
      <c r="R587" s="292"/>
      <c r="S587" s="292"/>
      <c r="T587" s="292"/>
      <c r="U587" s="292"/>
      <c r="V587" s="292"/>
      <c r="W587" s="292"/>
      <c r="X587" s="374"/>
      <c r="Y587" s="374"/>
      <c r="Z587" s="374"/>
      <c r="AA587" s="373"/>
      <c r="AB587" s="283"/>
      <c r="AC587" s="280"/>
      <c r="AD587" s="280"/>
      <c r="AE587" s="280"/>
      <c r="AF587" s="280"/>
      <c r="AG587" s="280"/>
      <c r="AH587" s="280"/>
      <c r="AI587" s="280"/>
      <c r="AJ587" s="280"/>
      <c r="AK587" s="280"/>
      <c r="AL587" s="280"/>
      <c r="AM587" s="280"/>
      <c r="AN587" s="280"/>
      <c r="AO587" s="280"/>
      <c r="AP587" s="280"/>
      <c r="AQ587" s="280"/>
      <c r="AR587" s="280"/>
      <c r="AS587" s="280"/>
      <c r="AT587" s="280"/>
      <c r="AU587" s="280"/>
      <c r="AV587" s="280"/>
      <c r="AW587" s="280"/>
      <c r="AX587" s="280"/>
      <c r="AY587" s="280"/>
      <c r="AZ587" s="280"/>
      <c r="BA587" s="280"/>
      <c r="BB587" s="280"/>
      <c r="BC587" s="280"/>
      <c r="BD587" s="280"/>
      <c r="BE587" s="280"/>
      <c r="BF587" s="280"/>
      <c r="BG587" s="280"/>
      <c r="BH587" s="280"/>
      <c r="BI587" s="280"/>
      <c r="BJ587" s="280"/>
      <c r="BK587" s="280"/>
      <c r="BL587" s="280"/>
      <c r="BM587" s="280"/>
      <c r="BN587" s="280"/>
      <c r="BO587" s="280"/>
      <c r="BP587" s="280"/>
      <c r="BQ587" s="280"/>
      <c r="BR587" s="280"/>
      <c r="BS587" s="280"/>
      <c r="BT587" s="280"/>
      <c r="BU587" s="280"/>
      <c r="BV587" s="280"/>
    </row>
    <row r="588" spans="2:74" s="293" customFormat="1" x14ac:dyDescent="0.25">
      <c r="B588" s="280"/>
      <c r="C588" s="280"/>
      <c r="D588" s="280"/>
      <c r="E588" s="280"/>
      <c r="F588" s="280"/>
      <c r="G588" s="280"/>
      <c r="H588" s="280"/>
      <c r="I588" s="280"/>
      <c r="J588" s="280"/>
      <c r="K588" s="280"/>
      <c r="L588" s="283"/>
      <c r="M588" s="283"/>
      <c r="N588" s="280"/>
      <c r="O588" s="280"/>
      <c r="P588" s="280"/>
      <c r="Q588" s="280"/>
      <c r="R588" s="292"/>
      <c r="S588" s="292"/>
      <c r="T588" s="292"/>
      <c r="U588" s="292"/>
      <c r="V588" s="292"/>
      <c r="W588" s="292"/>
      <c r="X588" s="374"/>
      <c r="Y588" s="374"/>
      <c r="Z588" s="374"/>
      <c r="AA588" s="373"/>
      <c r="AB588" s="283"/>
      <c r="AC588" s="280"/>
      <c r="AD588" s="280"/>
      <c r="AE588" s="280"/>
      <c r="AF588" s="280"/>
      <c r="AG588" s="280"/>
      <c r="AH588" s="280"/>
      <c r="AI588" s="280"/>
      <c r="AJ588" s="280"/>
      <c r="AK588" s="280"/>
      <c r="AL588" s="280"/>
      <c r="AM588" s="280"/>
      <c r="AN588" s="280"/>
      <c r="AO588" s="280"/>
      <c r="AP588" s="280"/>
      <c r="AQ588" s="280"/>
      <c r="AR588" s="280"/>
      <c r="AS588" s="280"/>
      <c r="AT588" s="280"/>
      <c r="AU588" s="280"/>
      <c r="AV588" s="280"/>
      <c r="AW588" s="280"/>
      <c r="AX588" s="280"/>
      <c r="AY588" s="280"/>
      <c r="AZ588" s="280"/>
      <c r="BA588" s="280"/>
      <c r="BB588" s="280"/>
      <c r="BC588" s="280"/>
      <c r="BD588" s="280"/>
      <c r="BE588" s="280"/>
      <c r="BF588" s="280"/>
      <c r="BG588" s="280"/>
      <c r="BH588" s="280"/>
      <c r="BI588" s="280"/>
      <c r="BJ588" s="280"/>
      <c r="BK588" s="280"/>
      <c r="BL588" s="280"/>
      <c r="BM588" s="280"/>
      <c r="BN588" s="280"/>
      <c r="BO588" s="280"/>
      <c r="BP588" s="280"/>
      <c r="BQ588" s="280"/>
      <c r="BR588" s="280"/>
      <c r="BS588" s="280"/>
      <c r="BT588" s="280"/>
      <c r="BU588" s="280"/>
      <c r="BV588" s="280"/>
    </row>
    <row r="589" spans="2:74" s="293" customFormat="1" x14ac:dyDescent="0.25">
      <c r="B589" s="280"/>
      <c r="C589" s="280"/>
      <c r="D589" s="280"/>
      <c r="E589" s="280"/>
      <c r="F589" s="280"/>
      <c r="G589" s="280"/>
      <c r="H589" s="280"/>
      <c r="I589" s="280"/>
      <c r="J589" s="280"/>
      <c r="K589" s="280"/>
      <c r="L589" s="283"/>
      <c r="M589" s="283"/>
      <c r="N589" s="280"/>
      <c r="O589" s="280"/>
      <c r="P589" s="280"/>
      <c r="Q589" s="280"/>
      <c r="R589" s="292"/>
      <c r="S589" s="292"/>
      <c r="T589" s="292"/>
      <c r="U589" s="292"/>
      <c r="V589" s="292"/>
      <c r="W589" s="292"/>
      <c r="X589" s="374"/>
      <c r="Y589" s="374"/>
      <c r="Z589" s="374"/>
      <c r="AA589" s="373"/>
      <c r="AB589" s="283"/>
      <c r="AC589" s="280"/>
      <c r="AD589" s="280"/>
      <c r="AE589" s="280"/>
      <c r="AF589" s="280"/>
      <c r="AG589" s="280"/>
      <c r="AH589" s="280"/>
      <c r="AI589" s="280"/>
      <c r="AJ589" s="280"/>
      <c r="AK589" s="280"/>
      <c r="AL589" s="280"/>
      <c r="AM589" s="280"/>
      <c r="AN589" s="280"/>
      <c r="AO589" s="280"/>
      <c r="AP589" s="280"/>
      <c r="AQ589" s="280"/>
      <c r="AR589" s="280"/>
      <c r="AS589" s="280"/>
      <c r="AT589" s="280"/>
      <c r="AU589" s="280"/>
      <c r="AV589" s="280"/>
      <c r="AW589" s="280"/>
      <c r="AX589" s="280"/>
      <c r="AY589" s="280"/>
      <c r="AZ589" s="280"/>
      <c r="BA589" s="280"/>
      <c r="BB589" s="280"/>
      <c r="BC589" s="280"/>
      <c r="BD589" s="280"/>
      <c r="BE589" s="280"/>
      <c r="BF589" s="280"/>
      <c r="BG589" s="280"/>
      <c r="BH589" s="280"/>
      <c r="BI589" s="280"/>
      <c r="BJ589" s="280"/>
      <c r="BK589" s="280"/>
      <c r="BL589" s="280"/>
      <c r="BM589" s="280"/>
      <c r="BN589" s="280"/>
      <c r="BO589" s="280"/>
      <c r="BP589" s="280"/>
      <c r="BQ589" s="280"/>
      <c r="BR589" s="280"/>
      <c r="BS589" s="280"/>
      <c r="BT589" s="280"/>
      <c r="BU589" s="280"/>
      <c r="BV589" s="280"/>
    </row>
    <row r="590" spans="2:74" s="293" customFormat="1" x14ac:dyDescent="0.25">
      <c r="B590" s="280"/>
      <c r="C590" s="280"/>
      <c r="D590" s="280"/>
      <c r="E590" s="280"/>
      <c r="F590" s="280"/>
      <c r="G590" s="280"/>
      <c r="H590" s="280"/>
      <c r="I590" s="280"/>
      <c r="J590" s="280"/>
      <c r="K590" s="280"/>
      <c r="L590" s="283"/>
      <c r="M590" s="283"/>
      <c r="N590" s="280"/>
      <c r="O590" s="280"/>
      <c r="P590" s="280"/>
      <c r="Q590" s="280"/>
      <c r="R590" s="292"/>
      <c r="S590" s="292"/>
      <c r="T590" s="292"/>
      <c r="U590" s="292"/>
      <c r="V590" s="292"/>
      <c r="W590" s="292"/>
      <c r="X590" s="374"/>
      <c r="Y590" s="374"/>
      <c r="Z590" s="374"/>
      <c r="AA590" s="373"/>
      <c r="AB590" s="283"/>
      <c r="AC590" s="280"/>
      <c r="AD590" s="280"/>
      <c r="AE590" s="280"/>
      <c r="AF590" s="280"/>
      <c r="AG590" s="280"/>
      <c r="AH590" s="280"/>
      <c r="AI590" s="280"/>
      <c r="AJ590" s="280"/>
      <c r="AK590" s="280"/>
      <c r="AL590" s="280"/>
      <c r="AM590" s="280"/>
      <c r="AN590" s="280"/>
      <c r="AO590" s="280"/>
      <c r="AP590" s="280"/>
      <c r="AQ590" s="280"/>
      <c r="AR590" s="280"/>
      <c r="AS590" s="280"/>
      <c r="AT590" s="280"/>
      <c r="AU590" s="280"/>
      <c r="AV590" s="280"/>
      <c r="AW590" s="280"/>
      <c r="AX590" s="280"/>
      <c r="AY590" s="280"/>
      <c r="AZ590" s="280"/>
      <c r="BA590" s="280"/>
      <c r="BB590" s="280"/>
      <c r="BC590" s="280"/>
      <c r="BD590" s="280"/>
      <c r="BE590" s="280"/>
      <c r="BF590" s="280"/>
      <c r="BG590" s="280"/>
      <c r="BH590" s="280"/>
      <c r="BI590" s="280"/>
      <c r="BJ590" s="280"/>
      <c r="BK590" s="280"/>
      <c r="BL590" s="280"/>
      <c r="BM590" s="280"/>
      <c r="BN590" s="280"/>
      <c r="BO590" s="280"/>
      <c r="BP590" s="280"/>
      <c r="BQ590" s="280"/>
      <c r="BR590" s="280"/>
      <c r="BS590" s="280"/>
      <c r="BT590" s="280"/>
      <c r="BU590" s="280"/>
      <c r="BV590" s="280"/>
    </row>
    <row r="591" spans="2:74" s="293" customFormat="1" x14ac:dyDescent="0.25">
      <c r="B591" s="280"/>
      <c r="C591" s="280"/>
      <c r="D591" s="280"/>
      <c r="E591" s="280"/>
      <c r="F591" s="280"/>
      <c r="G591" s="280"/>
      <c r="H591" s="280"/>
      <c r="I591" s="280"/>
      <c r="J591" s="280"/>
      <c r="K591" s="280"/>
      <c r="L591" s="283"/>
      <c r="M591" s="283"/>
      <c r="N591" s="280"/>
      <c r="O591" s="280"/>
      <c r="P591" s="280"/>
      <c r="Q591" s="280"/>
      <c r="R591" s="292"/>
      <c r="S591" s="292"/>
      <c r="T591" s="292"/>
      <c r="U591" s="292"/>
      <c r="V591" s="292"/>
      <c r="W591" s="292"/>
      <c r="X591" s="374"/>
      <c r="Y591" s="374"/>
      <c r="Z591" s="374"/>
      <c r="AA591" s="373"/>
      <c r="AB591" s="283"/>
      <c r="AC591" s="280"/>
      <c r="AD591" s="280"/>
      <c r="AE591" s="280"/>
      <c r="AF591" s="280"/>
      <c r="AG591" s="280"/>
      <c r="AH591" s="280"/>
      <c r="AI591" s="280"/>
      <c r="AJ591" s="280"/>
      <c r="AK591" s="280"/>
      <c r="AL591" s="280"/>
      <c r="AM591" s="280"/>
      <c r="AN591" s="280"/>
      <c r="AO591" s="280"/>
      <c r="AP591" s="280"/>
      <c r="AQ591" s="280"/>
      <c r="AR591" s="280"/>
      <c r="AS591" s="280"/>
      <c r="AT591" s="280"/>
      <c r="AU591" s="280"/>
      <c r="AV591" s="280"/>
      <c r="AW591" s="280"/>
      <c r="AX591" s="280"/>
      <c r="AY591" s="280"/>
      <c r="AZ591" s="280"/>
      <c r="BA591" s="280"/>
      <c r="BB591" s="280"/>
      <c r="BC591" s="280"/>
      <c r="BD591" s="280"/>
      <c r="BE591" s="280"/>
      <c r="BF591" s="280"/>
      <c r="BG591" s="280"/>
      <c r="BH591" s="280"/>
      <c r="BI591" s="280"/>
      <c r="BJ591" s="280"/>
      <c r="BK591" s="280"/>
      <c r="BL591" s="280"/>
      <c r="BM591" s="280"/>
      <c r="BN591" s="280"/>
      <c r="BO591" s="280"/>
      <c r="BP591" s="280"/>
      <c r="BQ591" s="280"/>
      <c r="BR591" s="280"/>
      <c r="BS591" s="280"/>
      <c r="BT591" s="280"/>
      <c r="BU591" s="280"/>
      <c r="BV591" s="280"/>
    </row>
    <row r="592" spans="2:74" s="293" customFormat="1" x14ac:dyDescent="0.25">
      <c r="B592" s="280"/>
      <c r="C592" s="280"/>
      <c r="D592" s="280"/>
      <c r="E592" s="280"/>
      <c r="F592" s="280"/>
      <c r="G592" s="280"/>
      <c r="H592" s="280"/>
      <c r="I592" s="280"/>
      <c r="J592" s="280"/>
      <c r="K592" s="280"/>
      <c r="L592" s="283"/>
      <c r="M592" s="283"/>
      <c r="N592" s="280"/>
      <c r="O592" s="280"/>
      <c r="P592" s="280"/>
      <c r="Q592" s="280"/>
      <c r="R592" s="292"/>
      <c r="S592" s="292"/>
      <c r="T592" s="292"/>
      <c r="U592" s="292"/>
      <c r="V592" s="292"/>
      <c r="W592" s="292"/>
      <c r="X592" s="374"/>
      <c r="Y592" s="374"/>
      <c r="Z592" s="374"/>
      <c r="AA592" s="373"/>
      <c r="AB592" s="283"/>
      <c r="AC592" s="280"/>
      <c r="AD592" s="280"/>
      <c r="AE592" s="280"/>
      <c r="AF592" s="280"/>
      <c r="AG592" s="280"/>
      <c r="AH592" s="280"/>
      <c r="AI592" s="280"/>
      <c r="AJ592" s="280"/>
      <c r="AK592" s="280"/>
      <c r="AL592" s="280"/>
      <c r="AM592" s="280"/>
      <c r="AN592" s="280"/>
      <c r="AO592" s="280"/>
      <c r="AP592" s="280"/>
      <c r="AQ592" s="280"/>
      <c r="AR592" s="280"/>
      <c r="AS592" s="280"/>
      <c r="AT592" s="280"/>
      <c r="AU592" s="280"/>
      <c r="AV592" s="280"/>
      <c r="AW592" s="280"/>
      <c r="AX592" s="280"/>
      <c r="AY592" s="280"/>
      <c r="AZ592" s="280"/>
      <c r="BA592" s="280"/>
      <c r="BB592" s="280"/>
      <c r="BC592" s="280"/>
      <c r="BD592" s="280"/>
      <c r="BE592" s="280"/>
      <c r="BF592" s="280"/>
      <c r="BG592" s="280"/>
      <c r="BH592" s="280"/>
      <c r="BI592" s="280"/>
      <c r="BJ592" s="280"/>
      <c r="BK592" s="280"/>
      <c r="BL592" s="280"/>
      <c r="BM592" s="280"/>
      <c r="BN592" s="280"/>
      <c r="BO592" s="280"/>
      <c r="BP592" s="280"/>
      <c r="BQ592" s="280"/>
      <c r="BR592" s="280"/>
      <c r="BS592" s="280"/>
      <c r="BT592" s="280"/>
      <c r="BU592" s="280"/>
      <c r="BV592" s="280"/>
    </row>
    <row r="593" spans="2:74" s="293" customFormat="1" x14ac:dyDescent="0.25">
      <c r="B593" s="280"/>
      <c r="C593" s="280"/>
      <c r="D593" s="280"/>
      <c r="E593" s="280"/>
      <c r="F593" s="280"/>
      <c r="G593" s="280"/>
      <c r="H593" s="280"/>
      <c r="I593" s="280"/>
      <c r="J593" s="280"/>
      <c r="K593" s="280"/>
      <c r="L593" s="283"/>
      <c r="M593" s="283"/>
      <c r="N593" s="280"/>
      <c r="O593" s="280"/>
      <c r="P593" s="280"/>
      <c r="Q593" s="280"/>
      <c r="R593" s="292"/>
      <c r="S593" s="292"/>
      <c r="T593" s="292"/>
      <c r="U593" s="292"/>
      <c r="V593" s="292"/>
      <c r="W593" s="292"/>
      <c r="X593" s="374"/>
      <c r="Y593" s="374"/>
      <c r="Z593" s="374"/>
      <c r="AA593" s="373"/>
      <c r="AB593" s="283"/>
      <c r="AC593" s="280"/>
      <c r="AD593" s="280"/>
      <c r="AE593" s="280"/>
      <c r="AF593" s="280"/>
      <c r="AG593" s="280"/>
      <c r="AH593" s="280"/>
      <c r="AI593" s="280"/>
      <c r="AJ593" s="280"/>
      <c r="AK593" s="280"/>
      <c r="AL593" s="280"/>
      <c r="AM593" s="280"/>
      <c r="AN593" s="280"/>
      <c r="AO593" s="280"/>
      <c r="AP593" s="280"/>
      <c r="AQ593" s="280"/>
      <c r="AR593" s="280"/>
      <c r="AS593" s="280"/>
      <c r="AT593" s="280"/>
      <c r="AU593" s="280"/>
      <c r="AV593" s="280"/>
      <c r="AW593" s="280"/>
      <c r="AX593" s="280"/>
      <c r="AY593" s="280"/>
      <c r="AZ593" s="280"/>
      <c r="BA593" s="280"/>
      <c r="BB593" s="280"/>
      <c r="BC593" s="280"/>
      <c r="BD593" s="280"/>
      <c r="BE593" s="280"/>
      <c r="BF593" s="280"/>
      <c r="BG593" s="280"/>
      <c r="BH593" s="280"/>
      <c r="BI593" s="280"/>
      <c r="BJ593" s="280"/>
      <c r="BK593" s="280"/>
      <c r="BL593" s="280"/>
      <c r="BM593" s="280"/>
      <c r="BN593" s="280"/>
      <c r="BO593" s="280"/>
      <c r="BP593" s="280"/>
      <c r="BQ593" s="280"/>
      <c r="BR593" s="280"/>
      <c r="BS593" s="280"/>
      <c r="BT593" s="280"/>
      <c r="BU593" s="280"/>
      <c r="BV593" s="280"/>
    </row>
    <row r="594" spans="2:74" s="293" customFormat="1" x14ac:dyDescent="0.25">
      <c r="B594" s="280"/>
      <c r="C594" s="280"/>
      <c r="D594" s="280"/>
      <c r="E594" s="280"/>
      <c r="F594" s="280"/>
      <c r="G594" s="280"/>
      <c r="H594" s="280"/>
      <c r="I594" s="280"/>
      <c r="J594" s="280"/>
      <c r="K594" s="280"/>
      <c r="L594" s="283"/>
      <c r="M594" s="283"/>
      <c r="N594" s="280"/>
      <c r="O594" s="280"/>
      <c r="P594" s="280"/>
      <c r="Q594" s="280"/>
      <c r="R594" s="292"/>
      <c r="S594" s="292"/>
      <c r="T594" s="292"/>
      <c r="U594" s="292"/>
      <c r="V594" s="292"/>
      <c r="W594" s="292"/>
      <c r="X594" s="374"/>
      <c r="Y594" s="374"/>
      <c r="Z594" s="374"/>
      <c r="AA594" s="373"/>
      <c r="AB594" s="283"/>
      <c r="AC594" s="280"/>
      <c r="AD594" s="280"/>
      <c r="AE594" s="280"/>
      <c r="AF594" s="280"/>
      <c r="AG594" s="280"/>
      <c r="AH594" s="280"/>
      <c r="AI594" s="280"/>
      <c r="AJ594" s="280"/>
      <c r="AK594" s="280"/>
      <c r="AL594" s="280"/>
      <c r="AM594" s="280"/>
      <c r="AN594" s="280"/>
      <c r="AO594" s="280"/>
      <c r="AP594" s="280"/>
      <c r="AQ594" s="280"/>
      <c r="AR594" s="280"/>
      <c r="AS594" s="280"/>
      <c r="AT594" s="280"/>
      <c r="AU594" s="280"/>
      <c r="AV594" s="280"/>
      <c r="AW594" s="280"/>
      <c r="AX594" s="280"/>
      <c r="AY594" s="280"/>
      <c r="AZ594" s="280"/>
      <c r="BA594" s="280"/>
      <c r="BB594" s="280"/>
      <c r="BC594" s="280"/>
      <c r="BD594" s="280"/>
      <c r="BE594" s="280"/>
      <c r="BF594" s="280"/>
      <c r="BG594" s="280"/>
      <c r="BH594" s="280"/>
      <c r="BI594" s="280"/>
      <c r="BJ594" s="280"/>
      <c r="BK594" s="280"/>
      <c r="BL594" s="280"/>
      <c r="BM594" s="280"/>
      <c r="BN594" s="280"/>
      <c r="BO594" s="280"/>
      <c r="BP594" s="280"/>
      <c r="BQ594" s="280"/>
      <c r="BR594" s="280"/>
      <c r="BS594" s="280"/>
      <c r="BT594" s="280"/>
      <c r="BU594" s="280"/>
      <c r="BV594" s="280"/>
    </row>
    <row r="595" spans="2:74" s="293" customFormat="1" x14ac:dyDescent="0.25">
      <c r="B595" s="280"/>
      <c r="C595" s="280"/>
      <c r="D595" s="280"/>
      <c r="E595" s="280"/>
      <c r="F595" s="280"/>
      <c r="G595" s="280"/>
      <c r="H595" s="280"/>
      <c r="I595" s="280"/>
      <c r="J595" s="280"/>
      <c r="K595" s="280"/>
      <c r="L595" s="283"/>
      <c r="M595" s="283"/>
      <c r="N595" s="280"/>
      <c r="O595" s="280"/>
      <c r="P595" s="280"/>
      <c r="Q595" s="280"/>
      <c r="R595" s="292"/>
      <c r="S595" s="292"/>
      <c r="T595" s="292"/>
      <c r="U595" s="292"/>
      <c r="V595" s="292"/>
      <c r="W595" s="292"/>
      <c r="X595" s="374"/>
      <c r="Y595" s="374"/>
      <c r="Z595" s="374"/>
      <c r="AA595" s="373"/>
      <c r="AB595" s="283"/>
      <c r="AC595" s="280"/>
      <c r="AD595" s="280"/>
      <c r="AE595" s="280"/>
      <c r="AF595" s="280"/>
      <c r="AG595" s="280"/>
      <c r="AH595" s="280"/>
      <c r="AI595" s="280"/>
      <c r="AJ595" s="280"/>
      <c r="AK595" s="280"/>
      <c r="AL595" s="280"/>
      <c r="AM595" s="280"/>
      <c r="AN595" s="280"/>
      <c r="AO595" s="280"/>
      <c r="AP595" s="280"/>
      <c r="AQ595" s="280"/>
      <c r="AR595" s="280"/>
      <c r="AS595" s="280"/>
      <c r="AT595" s="280"/>
      <c r="AU595" s="280"/>
      <c r="AV595" s="280"/>
      <c r="AW595" s="280"/>
      <c r="AX595" s="280"/>
      <c r="AY595" s="280"/>
      <c r="AZ595" s="280"/>
      <c r="BA595" s="280"/>
      <c r="BB595" s="280"/>
      <c r="BC595" s="280"/>
      <c r="BD595" s="280"/>
      <c r="BE595" s="280"/>
      <c r="BF595" s="280"/>
      <c r="BG595" s="280"/>
      <c r="BH595" s="280"/>
      <c r="BI595" s="280"/>
      <c r="BJ595" s="280"/>
      <c r="BK595" s="280"/>
      <c r="BL595" s="280"/>
      <c r="BM595" s="280"/>
      <c r="BN595" s="280"/>
      <c r="BO595" s="280"/>
      <c r="BP595" s="280"/>
      <c r="BQ595" s="280"/>
      <c r="BR595" s="280"/>
      <c r="BS595" s="280"/>
      <c r="BT595" s="280"/>
      <c r="BU595" s="280"/>
      <c r="BV595" s="280"/>
    </row>
    <row r="596" spans="2:74" s="293" customFormat="1" x14ac:dyDescent="0.25">
      <c r="B596" s="280"/>
      <c r="C596" s="280"/>
      <c r="D596" s="280"/>
      <c r="E596" s="280"/>
      <c r="F596" s="280"/>
      <c r="G596" s="280"/>
      <c r="H596" s="280"/>
      <c r="I596" s="280"/>
      <c r="J596" s="280"/>
      <c r="K596" s="280"/>
      <c r="L596" s="283"/>
      <c r="M596" s="283"/>
      <c r="N596" s="280"/>
      <c r="O596" s="280"/>
      <c r="P596" s="280"/>
      <c r="Q596" s="280"/>
      <c r="R596" s="292"/>
      <c r="S596" s="292"/>
      <c r="T596" s="292"/>
      <c r="U596" s="292"/>
      <c r="V596" s="292"/>
      <c r="W596" s="292"/>
      <c r="X596" s="374"/>
      <c r="Y596" s="374"/>
      <c r="Z596" s="374"/>
      <c r="AA596" s="373"/>
      <c r="AB596" s="283"/>
      <c r="AC596" s="280"/>
      <c r="AD596" s="280"/>
      <c r="AE596" s="280"/>
      <c r="AF596" s="280"/>
      <c r="AG596" s="280"/>
      <c r="AH596" s="280"/>
      <c r="AI596" s="280"/>
      <c r="AJ596" s="280"/>
      <c r="AK596" s="280"/>
      <c r="AL596" s="280"/>
      <c r="AM596" s="280"/>
      <c r="AN596" s="280"/>
      <c r="AO596" s="280"/>
      <c r="AP596" s="280"/>
      <c r="AQ596" s="280"/>
      <c r="AR596" s="280"/>
      <c r="AS596" s="280"/>
      <c r="AT596" s="280"/>
      <c r="AU596" s="280"/>
      <c r="AV596" s="280"/>
      <c r="AW596" s="280"/>
      <c r="AX596" s="280"/>
      <c r="AY596" s="280"/>
      <c r="AZ596" s="280"/>
      <c r="BA596" s="280"/>
      <c r="BB596" s="280"/>
      <c r="BC596" s="280"/>
      <c r="BD596" s="280"/>
      <c r="BE596" s="280"/>
      <c r="BF596" s="280"/>
      <c r="BG596" s="280"/>
      <c r="BH596" s="280"/>
      <c r="BI596" s="280"/>
      <c r="BJ596" s="280"/>
      <c r="BK596" s="280"/>
      <c r="BL596" s="280"/>
      <c r="BM596" s="280"/>
      <c r="BN596" s="280"/>
      <c r="BO596" s="280"/>
      <c r="BP596" s="280"/>
      <c r="BQ596" s="280"/>
      <c r="BR596" s="280"/>
      <c r="BS596" s="280"/>
      <c r="BT596" s="280"/>
      <c r="BU596" s="280"/>
      <c r="BV596" s="280"/>
    </row>
    <row r="597" spans="2:74" s="293" customFormat="1" x14ac:dyDescent="0.25">
      <c r="B597" s="280"/>
      <c r="C597" s="280"/>
      <c r="D597" s="280"/>
      <c r="E597" s="280"/>
      <c r="F597" s="280"/>
      <c r="G597" s="280"/>
      <c r="H597" s="280"/>
      <c r="I597" s="280"/>
      <c r="J597" s="280"/>
      <c r="K597" s="280"/>
      <c r="L597" s="283"/>
      <c r="M597" s="283"/>
      <c r="N597" s="280"/>
      <c r="O597" s="280"/>
      <c r="P597" s="280"/>
      <c r="Q597" s="280"/>
      <c r="R597" s="292"/>
      <c r="S597" s="292"/>
      <c r="T597" s="292"/>
      <c r="U597" s="292"/>
      <c r="V597" s="292"/>
      <c r="W597" s="292"/>
      <c r="X597" s="374"/>
      <c r="Y597" s="374"/>
      <c r="Z597" s="374"/>
      <c r="AA597" s="373"/>
      <c r="AB597" s="283"/>
      <c r="AC597" s="280"/>
      <c r="AD597" s="280"/>
      <c r="AE597" s="280"/>
      <c r="AF597" s="280"/>
      <c r="AG597" s="280"/>
      <c r="AH597" s="280"/>
      <c r="AI597" s="280"/>
      <c r="AJ597" s="280"/>
      <c r="AK597" s="280"/>
      <c r="AL597" s="280"/>
      <c r="AM597" s="280"/>
      <c r="AN597" s="280"/>
      <c r="AO597" s="280"/>
      <c r="AP597" s="280"/>
      <c r="AQ597" s="280"/>
      <c r="AR597" s="280"/>
      <c r="AS597" s="280"/>
      <c r="AT597" s="280"/>
      <c r="AU597" s="280"/>
      <c r="AV597" s="280"/>
      <c r="AW597" s="280"/>
      <c r="AX597" s="280"/>
      <c r="AY597" s="280"/>
      <c r="AZ597" s="280"/>
      <c r="BA597" s="280"/>
      <c r="BB597" s="280"/>
      <c r="BC597" s="280"/>
      <c r="BD597" s="280"/>
      <c r="BE597" s="280"/>
      <c r="BF597" s="280"/>
      <c r="BG597" s="280"/>
      <c r="BH597" s="280"/>
      <c r="BI597" s="280"/>
      <c r="BJ597" s="280"/>
      <c r="BK597" s="280"/>
      <c r="BL597" s="280"/>
      <c r="BM597" s="280"/>
      <c r="BN597" s="280"/>
      <c r="BO597" s="280"/>
      <c r="BP597" s="280"/>
      <c r="BQ597" s="280"/>
      <c r="BR597" s="280"/>
      <c r="BS597" s="280"/>
      <c r="BT597" s="280"/>
      <c r="BU597" s="280"/>
      <c r="BV597" s="280"/>
    </row>
    <row r="598" spans="2:74" s="293" customFormat="1" x14ac:dyDescent="0.25">
      <c r="B598" s="280"/>
      <c r="C598" s="280"/>
      <c r="D598" s="280"/>
      <c r="E598" s="280"/>
      <c r="F598" s="280"/>
      <c r="G598" s="280"/>
      <c r="H598" s="280"/>
      <c r="I598" s="280"/>
      <c r="J598" s="280"/>
      <c r="K598" s="280"/>
      <c r="L598" s="283"/>
      <c r="M598" s="283"/>
      <c r="N598" s="280"/>
      <c r="O598" s="280"/>
      <c r="P598" s="280"/>
      <c r="Q598" s="280"/>
      <c r="R598" s="292"/>
      <c r="S598" s="292"/>
      <c r="T598" s="292"/>
      <c r="U598" s="292"/>
      <c r="V598" s="292"/>
      <c r="W598" s="292"/>
      <c r="X598" s="374"/>
      <c r="Y598" s="374"/>
      <c r="Z598" s="374"/>
      <c r="AA598" s="373"/>
      <c r="AB598" s="283"/>
      <c r="AC598" s="280"/>
      <c r="AD598" s="280"/>
      <c r="AE598" s="280"/>
      <c r="AF598" s="280"/>
      <c r="AG598" s="280"/>
      <c r="AH598" s="280"/>
      <c r="AI598" s="280"/>
      <c r="AJ598" s="280"/>
      <c r="AK598" s="280"/>
      <c r="AL598" s="280"/>
      <c r="AM598" s="280"/>
      <c r="AN598" s="280"/>
      <c r="AO598" s="280"/>
      <c r="AP598" s="280"/>
      <c r="AQ598" s="280"/>
      <c r="AR598" s="280"/>
      <c r="AS598" s="280"/>
      <c r="AT598" s="280"/>
      <c r="AU598" s="280"/>
      <c r="AV598" s="280"/>
      <c r="AW598" s="280"/>
      <c r="AX598" s="280"/>
      <c r="AY598" s="280"/>
      <c r="AZ598" s="280"/>
      <c r="BA598" s="280"/>
      <c r="BB598" s="280"/>
      <c r="BC598" s="280"/>
      <c r="BD598" s="280"/>
      <c r="BE598" s="280"/>
      <c r="BF598" s="280"/>
      <c r="BG598" s="280"/>
      <c r="BH598" s="280"/>
      <c r="BI598" s="280"/>
      <c r="BJ598" s="280"/>
      <c r="BK598" s="280"/>
      <c r="BL598" s="280"/>
      <c r="BM598" s="280"/>
      <c r="BN598" s="280"/>
      <c r="BO598" s="280"/>
      <c r="BP598" s="280"/>
      <c r="BQ598" s="280"/>
      <c r="BR598" s="280"/>
      <c r="BS598" s="280"/>
      <c r="BT598" s="280"/>
      <c r="BU598" s="280"/>
      <c r="BV598" s="280"/>
    </row>
    <row r="599" spans="2:74" s="293" customFormat="1" x14ac:dyDescent="0.25">
      <c r="B599" s="280"/>
      <c r="C599" s="280"/>
      <c r="D599" s="280"/>
      <c r="E599" s="280"/>
      <c r="F599" s="280"/>
      <c r="G599" s="280"/>
      <c r="H599" s="280"/>
      <c r="I599" s="280"/>
      <c r="J599" s="280"/>
      <c r="K599" s="280"/>
      <c r="L599" s="283"/>
      <c r="M599" s="283"/>
      <c r="N599" s="280"/>
      <c r="O599" s="280"/>
      <c r="P599" s="280"/>
      <c r="Q599" s="280"/>
      <c r="R599" s="292"/>
      <c r="S599" s="292"/>
      <c r="T599" s="292"/>
      <c r="U599" s="292"/>
      <c r="V599" s="292"/>
      <c r="W599" s="292"/>
      <c r="X599" s="374"/>
      <c r="Y599" s="374"/>
      <c r="Z599" s="374"/>
      <c r="AA599" s="373"/>
      <c r="AB599" s="283"/>
      <c r="AC599" s="280"/>
      <c r="AD599" s="280"/>
      <c r="AE599" s="280"/>
      <c r="AF599" s="280"/>
      <c r="AG599" s="280"/>
      <c r="AH599" s="280"/>
      <c r="AI599" s="280"/>
      <c r="AJ599" s="280"/>
      <c r="AK599" s="280"/>
      <c r="AL599" s="280"/>
      <c r="AM599" s="280"/>
      <c r="AN599" s="280"/>
      <c r="AO599" s="280"/>
      <c r="AP599" s="280"/>
      <c r="AQ599" s="280"/>
      <c r="AR599" s="280"/>
      <c r="AS599" s="280"/>
      <c r="AT599" s="280"/>
      <c r="AU599" s="280"/>
      <c r="AV599" s="280"/>
      <c r="AW599" s="280"/>
      <c r="AX599" s="280"/>
      <c r="AY599" s="280"/>
      <c r="AZ599" s="280"/>
      <c r="BA599" s="280"/>
      <c r="BB599" s="280"/>
      <c r="BC599" s="280"/>
      <c r="BD599" s="280"/>
      <c r="BE599" s="280"/>
      <c r="BF599" s="280"/>
      <c r="BG599" s="280"/>
      <c r="BH599" s="280"/>
      <c r="BI599" s="280"/>
      <c r="BJ599" s="280"/>
      <c r="BK599" s="280"/>
      <c r="BL599" s="280"/>
      <c r="BM599" s="280"/>
      <c r="BN599" s="280"/>
      <c r="BO599" s="280"/>
      <c r="BP599" s="280"/>
      <c r="BQ599" s="280"/>
      <c r="BR599" s="280"/>
      <c r="BS599" s="280"/>
      <c r="BT599" s="280"/>
      <c r="BU599" s="280"/>
      <c r="BV599" s="280"/>
    </row>
    <row r="600" spans="2:74" s="293" customFormat="1" x14ac:dyDescent="0.25">
      <c r="B600" s="280"/>
      <c r="C600" s="280"/>
      <c r="D600" s="280"/>
      <c r="E600" s="280"/>
      <c r="F600" s="280"/>
      <c r="G600" s="280"/>
      <c r="H600" s="280"/>
      <c r="I600" s="280"/>
      <c r="J600" s="280"/>
      <c r="K600" s="280"/>
      <c r="L600" s="283"/>
      <c r="M600" s="283"/>
      <c r="N600" s="280"/>
      <c r="O600" s="280"/>
      <c r="P600" s="280"/>
      <c r="Q600" s="280"/>
      <c r="R600" s="292"/>
      <c r="S600" s="292"/>
      <c r="T600" s="292"/>
      <c r="U600" s="292"/>
      <c r="V600" s="292"/>
      <c r="W600" s="292"/>
      <c r="X600" s="374"/>
      <c r="Y600" s="374"/>
      <c r="Z600" s="374"/>
      <c r="AA600" s="373"/>
      <c r="AB600" s="283"/>
      <c r="AC600" s="280"/>
      <c r="AD600" s="280"/>
      <c r="AE600" s="280"/>
      <c r="AF600" s="280"/>
      <c r="AG600" s="280"/>
      <c r="AH600" s="280"/>
      <c r="AI600" s="280"/>
      <c r="AJ600" s="280"/>
      <c r="AK600" s="280"/>
      <c r="AL600" s="280"/>
      <c r="AM600" s="280"/>
      <c r="AN600" s="280"/>
      <c r="AO600" s="280"/>
      <c r="AP600" s="280"/>
      <c r="AQ600" s="280"/>
      <c r="AR600" s="280"/>
      <c r="AS600" s="280"/>
      <c r="AT600" s="280"/>
      <c r="AU600" s="280"/>
      <c r="AV600" s="280"/>
      <c r="AW600" s="280"/>
      <c r="AX600" s="280"/>
      <c r="AY600" s="280"/>
      <c r="AZ600" s="280"/>
      <c r="BA600" s="280"/>
      <c r="BB600" s="280"/>
      <c r="BC600" s="280"/>
      <c r="BD600" s="280"/>
      <c r="BE600" s="280"/>
      <c r="BF600" s="280"/>
      <c r="BG600" s="280"/>
      <c r="BH600" s="280"/>
      <c r="BI600" s="280"/>
      <c r="BJ600" s="280"/>
      <c r="BK600" s="280"/>
      <c r="BL600" s="280"/>
      <c r="BM600" s="280"/>
      <c r="BN600" s="280"/>
      <c r="BO600" s="280"/>
      <c r="BP600" s="280"/>
      <c r="BQ600" s="280"/>
      <c r="BR600" s="280"/>
      <c r="BS600" s="280"/>
      <c r="BT600" s="280"/>
      <c r="BU600" s="280"/>
      <c r="BV600" s="280"/>
    </row>
    <row r="601" spans="2:74" s="293" customFormat="1" x14ac:dyDescent="0.25">
      <c r="B601" s="280"/>
      <c r="C601" s="280"/>
      <c r="D601" s="280"/>
      <c r="E601" s="280"/>
      <c r="F601" s="280"/>
      <c r="G601" s="280"/>
      <c r="H601" s="280"/>
      <c r="I601" s="280"/>
      <c r="J601" s="280"/>
      <c r="K601" s="280"/>
      <c r="L601" s="283"/>
      <c r="M601" s="283"/>
      <c r="N601" s="280"/>
      <c r="O601" s="280"/>
      <c r="P601" s="280"/>
      <c r="Q601" s="280"/>
      <c r="R601" s="292"/>
      <c r="S601" s="292"/>
      <c r="T601" s="292"/>
      <c r="U601" s="292"/>
      <c r="V601" s="292"/>
      <c r="W601" s="292"/>
      <c r="X601" s="374"/>
      <c r="Y601" s="374"/>
      <c r="Z601" s="374"/>
      <c r="AA601" s="373"/>
      <c r="AB601" s="283"/>
      <c r="AC601" s="280"/>
      <c r="AD601" s="280"/>
      <c r="AE601" s="280"/>
      <c r="AF601" s="280"/>
      <c r="AG601" s="280"/>
      <c r="AH601" s="280"/>
      <c r="AI601" s="280"/>
      <c r="AJ601" s="280"/>
      <c r="AK601" s="280"/>
      <c r="AL601" s="280"/>
      <c r="AM601" s="280"/>
      <c r="AN601" s="280"/>
      <c r="AO601" s="280"/>
      <c r="AP601" s="280"/>
      <c r="AQ601" s="280"/>
      <c r="AR601" s="280"/>
      <c r="AS601" s="280"/>
      <c r="AT601" s="280"/>
      <c r="AU601" s="280"/>
      <c r="AV601" s="280"/>
      <c r="AW601" s="280"/>
      <c r="AX601" s="280"/>
      <c r="AY601" s="280"/>
      <c r="AZ601" s="280"/>
      <c r="BA601" s="280"/>
      <c r="BB601" s="280"/>
      <c r="BC601" s="280"/>
      <c r="BD601" s="280"/>
      <c r="BE601" s="280"/>
      <c r="BF601" s="280"/>
      <c r="BG601" s="280"/>
      <c r="BH601" s="280"/>
      <c r="BI601" s="280"/>
      <c r="BJ601" s="280"/>
      <c r="BK601" s="280"/>
      <c r="BL601" s="280"/>
      <c r="BM601" s="280"/>
      <c r="BN601" s="280"/>
      <c r="BO601" s="280"/>
      <c r="BP601" s="280"/>
      <c r="BQ601" s="280"/>
      <c r="BR601" s="280"/>
      <c r="BS601" s="280"/>
      <c r="BT601" s="280"/>
      <c r="BU601" s="280"/>
      <c r="BV601" s="280"/>
    </row>
    <row r="602" spans="2:74" s="293" customFormat="1" x14ac:dyDescent="0.25">
      <c r="B602" s="280"/>
      <c r="C602" s="280"/>
      <c r="D602" s="280"/>
      <c r="E602" s="280"/>
      <c r="F602" s="280"/>
      <c r="G602" s="280"/>
      <c r="H602" s="280"/>
      <c r="I602" s="280"/>
      <c r="J602" s="280"/>
      <c r="K602" s="280"/>
      <c r="L602" s="283"/>
      <c r="M602" s="283"/>
      <c r="N602" s="280"/>
      <c r="O602" s="280"/>
      <c r="P602" s="280"/>
      <c r="Q602" s="280"/>
      <c r="R602" s="292"/>
      <c r="S602" s="292"/>
      <c r="T602" s="292"/>
      <c r="U602" s="292"/>
      <c r="V602" s="292"/>
      <c r="W602" s="292"/>
      <c r="X602" s="374"/>
      <c r="Y602" s="374"/>
      <c r="Z602" s="374"/>
      <c r="AA602" s="373"/>
      <c r="AB602" s="283"/>
      <c r="AC602" s="280"/>
      <c r="AD602" s="280"/>
      <c r="AE602" s="280"/>
      <c r="AF602" s="280"/>
      <c r="AG602" s="280"/>
      <c r="AH602" s="280"/>
      <c r="AI602" s="280"/>
      <c r="AJ602" s="280"/>
      <c r="AK602" s="280"/>
      <c r="AL602" s="280"/>
      <c r="AM602" s="280"/>
      <c r="AN602" s="280"/>
      <c r="AO602" s="280"/>
      <c r="AP602" s="280"/>
      <c r="AQ602" s="280"/>
      <c r="AR602" s="280"/>
      <c r="AS602" s="280"/>
      <c r="AT602" s="280"/>
      <c r="AU602" s="280"/>
      <c r="AV602" s="280"/>
      <c r="AW602" s="280"/>
      <c r="AX602" s="280"/>
      <c r="AY602" s="280"/>
      <c r="AZ602" s="280"/>
      <c r="BA602" s="280"/>
      <c r="BB602" s="280"/>
      <c r="BC602" s="280"/>
      <c r="BD602" s="280"/>
      <c r="BE602" s="280"/>
      <c r="BF602" s="280"/>
      <c r="BG602" s="280"/>
      <c r="BH602" s="280"/>
      <c r="BI602" s="280"/>
      <c r="BJ602" s="280"/>
      <c r="BK602" s="280"/>
      <c r="BL602" s="280"/>
      <c r="BM602" s="280"/>
      <c r="BN602" s="280"/>
      <c r="BO602" s="280"/>
      <c r="BP602" s="280"/>
      <c r="BQ602" s="280"/>
      <c r="BR602" s="280"/>
      <c r="BS602" s="280"/>
      <c r="BT602" s="280"/>
      <c r="BU602" s="280"/>
      <c r="BV602" s="280"/>
    </row>
    <row r="603" spans="2:74" s="293" customFormat="1" x14ac:dyDescent="0.25">
      <c r="B603" s="280"/>
      <c r="C603" s="280"/>
      <c r="D603" s="280"/>
      <c r="E603" s="280"/>
      <c r="F603" s="280"/>
      <c r="G603" s="280"/>
      <c r="H603" s="280"/>
      <c r="I603" s="280"/>
      <c r="J603" s="280"/>
      <c r="K603" s="280"/>
      <c r="L603" s="283"/>
      <c r="M603" s="283"/>
      <c r="N603" s="280"/>
      <c r="O603" s="280"/>
      <c r="P603" s="280"/>
      <c r="Q603" s="280"/>
      <c r="R603" s="292"/>
      <c r="S603" s="292"/>
      <c r="T603" s="292"/>
      <c r="U603" s="292"/>
      <c r="V603" s="292"/>
      <c r="W603" s="292"/>
      <c r="X603" s="374"/>
      <c r="Y603" s="374"/>
      <c r="Z603" s="374"/>
      <c r="AA603" s="373"/>
      <c r="AB603" s="283"/>
      <c r="AC603" s="280"/>
      <c r="AD603" s="280"/>
      <c r="AE603" s="280"/>
      <c r="AF603" s="280"/>
      <c r="AG603" s="280"/>
      <c r="AH603" s="280"/>
      <c r="AI603" s="280"/>
      <c r="AJ603" s="280"/>
      <c r="AK603" s="280"/>
      <c r="AL603" s="280"/>
      <c r="AM603" s="280"/>
      <c r="AN603" s="280"/>
      <c r="AO603" s="280"/>
      <c r="AP603" s="280"/>
      <c r="AQ603" s="280"/>
      <c r="AR603" s="280"/>
      <c r="AS603" s="280"/>
      <c r="AT603" s="280"/>
      <c r="AU603" s="280"/>
      <c r="AV603" s="280"/>
      <c r="AW603" s="280"/>
      <c r="AX603" s="280"/>
      <c r="AY603" s="280"/>
      <c r="AZ603" s="280"/>
      <c r="BA603" s="280"/>
      <c r="BB603" s="280"/>
      <c r="BC603" s="280"/>
      <c r="BD603" s="280"/>
      <c r="BE603" s="280"/>
      <c r="BF603" s="280"/>
      <c r="BG603" s="280"/>
      <c r="BH603" s="280"/>
      <c r="BI603" s="280"/>
      <c r="BJ603" s="280"/>
      <c r="BK603" s="280"/>
      <c r="BL603" s="280"/>
      <c r="BM603" s="280"/>
      <c r="BN603" s="280"/>
      <c r="BO603" s="280"/>
      <c r="BP603" s="280"/>
      <c r="BQ603" s="280"/>
      <c r="BR603" s="280"/>
      <c r="BS603" s="280"/>
      <c r="BT603" s="280"/>
      <c r="BU603" s="280"/>
      <c r="BV603" s="280"/>
    </row>
    <row r="604" spans="2:74" s="293" customFormat="1" x14ac:dyDescent="0.25">
      <c r="B604" s="280"/>
      <c r="C604" s="280"/>
      <c r="D604" s="280"/>
      <c r="E604" s="280"/>
      <c r="F604" s="280"/>
      <c r="G604" s="280"/>
      <c r="H604" s="280"/>
      <c r="I604" s="280"/>
      <c r="J604" s="280"/>
      <c r="K604" s="280"/>
      <c r="L604" s="283"/>
      <c r="M604" s="283"/>
      <c r="N604" s="280"/>
      <c r="O604" s="280"/>
      <c r="P604" s="280"/>
      <c r="Q604" s="280"/>
      <c r="R604" s="292"/>
      <c r="S604" s="292"/>
      <c r="T604" s="292"/>
      <c r="U604" s="292"/>
      <c r="V604" s="292"/>
      <c r="W604" s="292"/>
      <c r="X604" s="374"/>
      <c r="Y604" s="374"/>
      <c r="Z604" s="374"/>
      <c r="AA604" s="373"/>
      <c r="AB604" s="283"/>
      <c r="AC604" s="280"/>
      <c r="AD604" s="280"/>
      <c r="AE604" s="280"/>
      <c r="AF604" s="280"/>
      <c r="AG604" s="280"/>
      <c r="AH604" s="280"/>
      <c r="AI604" s="280"/>
      <c r="AJ604" s="280"/>
      <c r="AK604" s="280"/>
      <c r="AL604" s="280"/>
      <c r="AM604" s="280"/>
      <c r="AN604" s="280"/>
      <c r="AO604" s="280"/>
      <c r="AP604" s="280"/>
      <c r="AQ604" s="280"/>
      <c r="AR604" s="280"/>
      <c r="AS604" s="280"/>
      <c r="AT604" s="280"/>
      <c r="AU604" s="280"/>
      <c r="AV604" s="280"/>
      <c r="AW604" s="280"/>
      <c r="AX604" s="280"/>
      <c r="AY604" s="280"/>
      <c r="AZ604" s="280"/>
      <c r="BA604" s="280"/>
      <c r="BB604" s="280"/>
      <c r="BC604" s="280"/>
      <c r="BD604" s="280"/>
      <c r="BE604" s="280"/>
      <c r="BF604" s="280"/>
      <c r="BG604" s="280"/>
      <c r="BH604" s="280"/>
      <c r="BI604" s="280"/>
      <c r="BJ604" s="280"/>
      <c r="BK604" s="280"/>
      <c r="BL604" s="280"/>
      <c r="BM604" s="280"/>
      <c r="BN604" s="280"/>
      <c r="BO604" s="280"/>
      <c r="BP604" s="280"/>
      <c r="BQ604" s="280"/>
      <c r="BR604" s="280"/>
      <c r="BS604" s="280"/>
      <c r="BT604" s="280"/>
      <c r="BU604" s="280"/>
      <c r="BV604" s="280"/>
    </row>
    <row r="605" spans="2:74" s="293" customFormat="1" x14ac:dyDescent="0.25">
      <c r="B605" s="280"/>
      <c r="C605" s="280"/>
      <c r="D605" s="280"/>
      <c r="E605" s="280"/>
      <c r="F605" s="280"/>
      <c r="G605" s="280"/>
      <c r="H605" s="280"/>
      <c r="I605" s="280"/>
      <c r="J605" s="280"/>
      <c r="K605" s="280"/>
      <c r="L605" s="283"/>
      <c r="M605" s="283"/>
      <c r="N605" s="280"/>
      <c r="O605" s="280"/>
      <c r="P605" s="280"/>
      <c r="Q605" s="280"/>
      <c r="R605" s="292"/>
      <c r="S605" s="292"/>
      <c r="T605" s="292"/>
      <c r="U605" s="292"/>
      <c r="V605" s="292"/>
      <c r="W605" s="292"/>
      <c r="X605" s="374"/>
      <c r="Y605" s="374"/>
      <c r="Z605" s="374"/>
      <c r="AA605" s="373"/>
      <c r="AB605" s="283"/>
      <c r="AC605" s="280"/>
      <c r="AD605" s="280"/>
      <c r="AE605" s="280"/>
      <c r="AF605" s="280"/>
      <c r="AG605" s="280"/>
      <c r="AH605" s="280"/>
      <c r="AI605" s="280"/>
      <c r="AJ605" s="280"/>
      <c r="AK605" s="280"/>
      <c r="AL605" s="280"/>
      <c r="AM605" s="280"/>
      <c r="AN605" s="280"/>
      <c r="AO605" s="280"/>
      <c r="AP605" s="280"/>
      <c r="AQ605" s="280"/>
      <c r="AR605" s="280"/>
      <c r="AS605" s="280"/>
      <c r="AT605" s="280"/>
      <c r="AU605" s="280"/>
      <c r="AV605" s="280"/>
      <c r="AW605" s="280"/>
      <c r="AX605" s="280"/>
      <c r="AY605" s="280"/>
      <c r="AZ605" s="280"/>
      <c r="BA605" s="280"/>
      <c r="BB605" s="280"/>
      <c r="BC605" s="280"/>
      <c r="BD605" s="280"/>
      <c r="BE605" s="280"/>
      <c r="BF605" s="280"/>
      <c r="BG605" s="280"/>
      <c r="BH605" s="280"/>
      <c r="BI605" s="280"/>
      <c r="BJ605" s="280"/>
      <c r="BK605" s="280"/>
      <c r="BL605" s="280"/>
      <c r="BM605" s="280"/>
      <c r="BN605" s="280"/>
      <c r="BO605" s="280"/>
      <c r="BP605" s="280"/>
      <c r="BQ605" s="280"/>
      <c r="BR605" s="280"/>
      <c r="BS605" s="280"/>
      <c r="BT605" s="280"/>
      <c r="BU605" s="280"/>
      <c r="BV605" s="280"/>
    </row>
    <row r="606" spans="2:74" s="293" customFormat="1" x14ac:dyDescent="0.25">
      <c r="B606" s="280"/>
      <c r="C606" s="280"/>
      <c r="D606" s="280"/>
      <c r="E606" s="280"/>
      <c r="F606" s="280"/>
      <c r="G606" s="280"/>
      <c r="H606" s="280"/>
      <c r="I606" s="280"/>
      <c r="J606" s="280"/>
      <c r="K606" s="280"/>
      <c r="L606" s="283"/>
      <c r="M606" s="283"/>
      <c r="N606" s="280"/>
      <c r="O606" s="280"/>
      <c r="P606" s="280"/>
      <c r="Q606" s="280"/>
      <c r="R606" s="292"/>
      <c r="S606" s="292"/>
      <c r="T606" s="292"/>
      <c r="U606" s="292"/>
      <c r="V606" s="292"/>
      <c r="W606" s="292"/>
      <c r="X606" s="374"/>
      <c r="Y606" s="374"/>
      <c r="Z606" s="374"/>
      <c r="AA606" s="373"/>
      <c r="AB606" s="283"/>
      <c r="AC606" s="280"/>
      <c r="AD606" s="280"/>
      <c r="AE606" s="280"/>
      <c r="AF606" s="280"/>
      <c r="AG606" s="280"/>
      <c r="AH606" s="280"/>
      <c r="AI606" s="280"/>
      <c r="AJ606" s="280"/>
      <c r="AK606" s="280"/>
      <c r="AL606" s="280"/>
      <c r="AM606" s="280"/>
      <c r="AN606" s="280"/>
      <c r="AO606" s="280"/>
      <c r="AP606" s="280"/>
      <c r="AQ606" s="280"/>
      <c r="AR606" s="280"/>
      <c r="AS606" s="280"/>
      <c r="AT606" s="280"/>
      <c r="AU606" s="280"/>
      <c r="AV606" s="280"/>
      <c r="AW606" s="280"/>
      <c r="AX606" s="280"/>
      <c r="AY606" s="280"/>
      <c r="AZ606" s="280"/>
      <c r="BA606" s="280"/>
      <c r="BB606" s="280"/>
      <c r="BC606" s="280"/>
      <c r="BD606" s="280"/>
      <c r="BE606" s="280"/>
      <c r="BF606" s="280"/>
      <c r="BG606" s="280"/>
      <c r="BH606" s="280"/>
      <c r="BI606" s="280"/>
      <c r="BJ606" s="280"/>
      <c r="BK606" s="280"/>
      <c r="BL606" s="280"/>
      <c r="BM606" s="280"/>
      <c r="BN606" s="280"/>
      <c r="BO606" s="280"/>
      <c r="BP606" s="280"/>
      <c r="BQ606" s="280"/>
      <c r="BR606" s="280"/>
      <c r="BS606" s="280"/>
      <c r="BT606" s="280"/>
      <c r="BU606" s="280"/>
      <c r="BV606" s="280"/>
    </row>
    <row r="607" spans="2:74" s="293" customFormat="1" x14ac:dyDescent="0.25">
      <c r="B607" s="280"/>
      <c r="C607" s="280"/>
      <c r="D607" s="280"/>
      <c r="E607" s="280"/>
      <c r="F607" s="280"/>
      <c r="G607" s="280"/>
      <c r="H607" s="280"/>
      <c r="I607" s="280"/>
      <c r="J607" s="280"/>
      <c r="K607" s="280"/>
      <c r="L607" s="283"/>
      <c r="M607" s="283"/>
      <c r="N607" s="280"/>
      <c r="O607" s="280"/>
      <c r="P607" s="280"/>
      <c r="Q607" s="280"/>
      <c r="R607" s="292"/>
      <c r="S607" s="292"/>
      <c r="T607" s="292"/>
      <c r="U607" s="292"/>
      <c r="V607" s="292"/>
      <c r="W607" s="292"/>
      <c r="X607" s="374"/>
      <c r="Y607" s="374"/>
      <c r="Z607" s="374"/>
      <c r="AA607" s="373"/>
      <c r="AB607" s="283"/>
      <c r="AC607" s="280"/>
      <c r="AD607" s="280"/>
      <c r="AE607" s="280"/>
      <c r="AF607" s="280"/>
      <c r="AG607" s="280"/>
      <c r="AH607" s="280"/>
      <c r="AI607" s="280"/>
      <c r="AJ607" s="280"/>
      <c r="AK607" s="280"/>
      <c r="AL607" s="280"/>
      <c r="AM607" s="280"/>
      <c r="AN607" s="280"/>
      <c r="AO607" s="280"/>
      <c r="AP607" s="280"/>
      <c r="AQ607" s="280"/>
      <c r="AR607" s="280"/>
      <c r="AS607" s="280"/>
      <c r="AT607" s="280"/>
      <c r="AU607" s="280"/>
      <c r="AV607" s="280"/>
      <c r="AW607" s="280"/>
      <c r="AX607" s="280"/>
      <c r="AY607" s="280"/>
      <c r="AZ607" s="280"/>
      <c r="BA607" s="280"/>
      <c r="BB607" s="280"/>
      <c r="BC607" s="280"/>
      <c r="BD607" s="280"/>
      <c r="BE607" s="280"/>
      <c r="BF607" s="280"/>
      <c r="BG607" s="280"/>
      <c r="BH607" s="280"/>
      <c r="BI607" s="280"/>
      <c r="BJ607" s="280"/>
      <c r="BK607" s="280"/>
      <c r="BL607" s="280"/>
      <c r="BM607" s="280"/>
      <c r="BN607" s="280"/>
      <c r="BO607" s="280"/>
      <c r="BP607" s="280"/>
      <c r="BQ607" s="280"/>
      <c r="BR607" s="280"/>
      <c r="BS607" s="280"/>
      <c r="BT607" s="280"/>
      <c r="BU607" s="280"/>
      <c r="BV607" s="280"/>
    </row>
    <row r="608" spans="2:74" s="293" customFormat="1" x14ac:dyDescent="0.25">
      <c r="B608" s="280"/>
      <c r="C608" s="280"/>
      <c r="D608" s="280"/>
      <c r="E608" s="280"/>
      <c r="F608" s="280"/>
      <c r="G608" s="280"/>
      <c r="H608" s="280"/>
      <c r="I608" s="280"/>
      <c r="J608" s="280"/>
      <c r="K608" s="280"/>
      <c r="L608" s="283"/>
      <c r="M608" s="283"/>
      <c r="N608" s="280"/>
      <c r="O608" s="280"/>
      <c r="P608" s="280"/>
      <c r="Q608" s="280"/>
      <c r="R608" s="292"/>
      <c r="S608" s="292"/>
      <c r="T608" s="292"/>
      <c r="U608" s="292"/>
      <c r="V608" s="292"/>
      <c r="W608" s="292"/>
      <c r="X608" s="374"/>
      <c r="Y608" s="374"/>
      <c r="Z608" s="374"/>
      <c r="AA608" s="373"/>
      <c r="AB608" s="283"/>
      <c r="AC608" s="280"/>
      <c r="AD608" s="280"/>
      <c r="AE608" s="280"/>
      <c r="AF608" s="280"/>
      <c r="AG608" s="280"/>
      <c r="AH608" s="280"/>
      <c r="AI608" s="280"/>
      <c r="AJ608" s="280"/>
      <c r="AK608" s="280"/>
      <c r="AL608" s="280"/>
      <c r="AM608" s="280"/>
      <c r="AN608" s="280"/>
      <c r="AO608" s="280"/>
      <c r="AP608" s="280"/>
      <c r="AQ608" s="280"/>
      <c r="AR608" s="280"/>
      <c r="AS608" s="280"/>
      <c r="AT608" s="280"/>
      <c r="AU608" s="280"/>
      <c r="AV608" s="280"/>
      <c r="AW608" s="280"/>
      <c r="AX608" s="280"/>
      <c r="AY608" s="280"/>
      <c r="AZ608" s="280"/>
      <c r="BA608" s="280"/>
      <c r="BB608" s="280"/>
      <c r="BC608" s="280"/>
      <c r="BD608" s="280"/>
      <c r="BE608" s="280"/>
      <c r="BF608" s="280"/>
      <c r="BG608" s="280"/>
      <c r="BH608" s="280"/>
      <c r="BI608" s="280"/>
      <c r="BJ608" s="280"/>
      <c r="BK608" s="280"/>
      <c r="BL608" s="280"/>
      <c r="BM608" s="280"/>
      <c r="BN608" s="280"/>
      <c r="BO608" s="280"/>
      <c r="BP608" s="280"/>
      <c r="BQ608" s="280"/>
      <c r="BR608" s="280"/>
      <c r="BS608" s="280"/>
      <c r="BT608" s="280"/>
      <c r="BU608" s="280"/>
      <c r="BV608" s="280"/>
    </row>
    <row r="609" spans="2:77" s="293" customFormat="1" x14ac:dyDescent="0.25">
      <c r="B609" s="280"/>
      <c r="C609" s="280"/>
      <c r="D609" s="280"/>
      <c r="E609" s="280"/>
      <c r="F609" s="280"/>
      <c r="G609" s="280"/>
      <c r="H609" s="280"/>
      <c r="I609" s="280"/>
      <c r="J609" s="280"/>
      <c r="K609" s="280"/>
      <c r="L609" s="283"/>
      <c r="M609" s="283"/>
      <c r="N609" s="280"/>
      <c r="O609" s="280"/>
      <c r="P609" s="280"/>
      <c r="Q609" s="280"/>
      <c r="R609" s="292"/>
      <c r="S609" s="292"/>
      <c r="T609" s="292"/>
      <c r="U609" s="292"/>
      <c r="V609" s="292"/>
      <c r="W609" s="292"/>
      <c r="X609" s="374"/>
      <c r="Y609" s="374"/>
      <c r="Z609" s="374"/>
      <c r="AA609" s="373"/>
      <c r="AB609" s="283"/>
      <c r="AC609" s="280"/>
      <c r="AD609" s="280"/>
      <c r="AE609" s="280"/>
      <c r="AF609" s="280"/>
      <c r="AG609" s="280"/>
      <c r="AH609" s="280"/>
      <c r="AI609" s="280"/>
      <c r="AJ609" s="280"/>
      <c r="AK609" s="280"/>
      <c r="AL609" s="280"/>
      <c r="AM609" s="280"/>
      <c r="AN609" s="280"/>
      <c r="AO609" s="280"/>
      <c r="AP609" s="280"/>
      <c r="AQ609" s="280"/>
      <c r="AR609" s="280"/>
      <c r="AS609" s="280"/>
      <c r="AT609" s="280"/>
      <c r="AU609" s="280"/>
      <c r="AV609" s="280"/>
      <c r="AW609" s="280"/>
      <c r="AX609" s="280"/>
      <c r="AY609" s="280"/>
      <c r="AZ609" s="280"/>
      <c r="BA609" s="280"/>
      <c r="BB609" s="280"/>
      <c r="BC609" s="280"/>
      <c r="BD609" s="280"/>
      <c r="BE609" s="280"/>
      <c r="BF609" s="280"/>
      <c r="BG609" s="280"/>
      <c r="BH609" s="280"/>
      <c r="BI609" s="280"/>
      <c r="BJ609" s="280"/>
      <c r="BK609" s="280"/>
      <c r="BL609" s="280"/>
      <c r="BM609" s="280"/>
      <c r="BN609" s="280"/>
      <c r="BO609" s="280"/>
      <c r="BP609" s="280"/>
      <c r="BQ609" s="280"/>
      <c r="BR609" s="280"/>
      <c r="BS609" s="280"/>
      <c r="BT609" s="280"/>
      <c r="BU609" s="280"/>
      <c r="BV609" s="280"/>
    </row>
    <row r="610" spans="2:77" s="293" customFormat="1" x14ac:dyDescent="0.25">
      <c r="B610" s="280"/>
      <c r="C610" s="280"/>
      <c r="D610" s="280"/>
      <c r="E610" s="280"/>
      <c r="F610" s="280"/>
      <c r="G610" s="280"/>
      <c r="H610" s="280"/>
      <c r="I610" s="280"/>
      <c r="J610" s="280"/>
      <c r="K610" s="280"/>
      <c r="L610" s="283"/>
      <c r="M610" s="283"/>
      <c r="N610" s="280"/>
      <c r="O610" s="280"/>
      <c r="P610" s="280"/>
      <c r="Q610" s="280"/>
      <c r="R610" s="292"/>
      <c r="S610" s="292"/>
      <c r="T610" s="292"/>
      <c r="U610" s="292"/>
      <c r="V610" s="292"/>
      <c r="W610" s="292"/>
      <c r="X610" s="374"/>
      <c r="Y610" s="374"/>
      <c r="Z610" s="374"/>
      <c r="AA610" s="373"/>
      <c r="AB610" s="283"/>
      <c r="AC610" s="280"/>
      <c r="AD610" s="280"/>
      <c r="AE610" s="280"/>
      <c r="AF610" s="280"/>
      <c r="AG610" s="280"/>
      <c r="AH610" s="280"/>
      <c r="AI610" s="280"/>
      <c r="AJ610" s="280"/>
      <c r="AK610" s="280"/>
      <c r="AL610" s="280"/>
      <c r="AM610" s="280"/>
      <c r="AN610" s="280"/>
      <c r="AO610" s="280"/>
      <c r="AP610" s="280"/>
      <c r="AQ610" s="280"/>
      <c r="AR610" s="280"/>
      <c r="AS610" s="280"/>
      <c r="AT610" s="280"/>
      <c r="AU610" s="280"/>
      <c r="AV610" s="280"/>
      <c r="AW610" s="280"/>
      <c r="AX610" s="280"/>
      <c r="AY610" s="280"/>
      <c r="AZ610" s="280"/>
      <c r="BA610" s="280"/>
      <c r="BB610" s="280"/>
      <c r="BC610" s="280"/>
      <c r="BD610" s="280"/>
      <c r="BE610" s="280"/>
      <c r="BF610" s="280"/>
      <c r="BG610" s="280"/>
      <c r="BH610" s="280"/>
      <c r="BI610" s="280"/>
      <c r="BJ610" s="280"/>
      <c r="BK610" s="280"/>
      <c r="BL610" s="280"/>
      <c r="BM610" s="280"/>
      <c r="BN610" s="280"/>
      <c r="BO610" s="280"/>
      <c r="BP610" s="280"/>
      <c r="BQ610" s="280"/>
      <c r="BR610" s="280"/>
      <c r="BS610" s="280"/>
      <c r="BT610" s="280"/>
      <c r="BU610" s="280"/>
      <c r="BV610" s="280"/>
    </row>
    <row r="611" spans="2:77" s="293" customFormat="1" x14ac:dyDescent="0.25">
      <c r="B611" s="280"/>
      <c r="C611" s="280"/>
      <c r="D611" s="280"/>
      <c r="E611" s="280"/>
      <c r="F611" s="280"/>
      <c r="G611" s="280"/>
      <c r="H611" s="280"/>
      <c r="I611" s="280"/>
      <c r="J611" s="280"/>
      <c r="K611" s="280"/>
      <c r="L611" s="283"/>
      <c r="M611" s="283"/>
      <c r="N611" s="280"/>
      <c r="O611" s="280"/>
      <c r="P611" s="280"/>
      <c r="Q611" s="280"/>
      <c r="R611" s="292"/>
      <c r="S611" s="292"/>
      <c r="T611" s="292"/>
      <c r="U611" s="292"/>
      <c r="V611" s="292"/>
      <c r="W611" s="292"/>
      <c r="X611" s="374"/>
      <c r="Y611" s="374"/>
      <c r="Z611" s="374"/>
      <c r="AA611" s="373"/>
      <c r="AB611" s="283"/>
      <c r="AC611" s="280"/>
      <c r="AD611" s="280"/>
      <c r="AE611" s="280"/>
      <c r="AF611" s="280"/>
      <c r="AG611" s="280"/>
      <c r="AH611" s="280"/>
      <c r="AI611" s="280"/>
      <c r="AJ611" s="280"/>
      <c r="AK611" s="280"/>
      <c r="AL611" s="280"/>
      <c r="AM611" s="280"/>
      <c r="AN611" s="280"/>
      <c r="AO611" s="280"/>
      <c r="AP611" s="280"/>
      <c r="AQ611" s="280"/>
      <c r="AR611" s="280"/>
      <c r="AS611" s="280"/>
      <c r="AT611" s="280"/>
      <c r="AU611" s="280"/>
      <c r="AV611" s="280"/>
      <c r="AW611" s="280"/>
      <c r="AX611" s="280"/>
      <c r="AY611" s="280"/>
      <c r="AZ611" s="280"/>
      <c r="BA611" s="280"/>
      <c r="BB611" s="280"/>
      <c r="BC611" s="280"/>
      <c r="BD611" s="280"/>
      <c r="BE611" s="280"/>
      <c r="BF611" s="280"/>
      <c r="BG611" s="280"/>
      <c r="BH611" s="280"/>
      <c r="BI611" s="280"/>
      <c r="BJ611" s="280"/>
      <c r="BK611" s="280"/>
      <c r="BL611" s="280"/>
      <c r="BM611" s="280"/>
      <c r="BN611" s="280"/>
      <c r="BO611" s="280"/>
      <c r="BP611" s="280"/>
      <c r="BQ611" s="280"/>
      <c r="BR611" s="280"/>
      <c r="BS611" s="280"/>
      <c r="BT611" s="280"/>
      <c r="BU611" s="280"/>
      <c r="BV611" s="280"/>
    </row>
    <row r="612" spans="2:77" x14ac:dyDescent="0.25">
      <c r="L612" s="283"/>
      <c r="M612" s="283"/>
      <c r="AA612" s="373"/>
      <c r="AB612" s="283"/>
    </row>
    <row r="613" spans="2:77" x14ac:dyDescent="0.25">
      <c r="L613" s="283"/>
      <c r="M613" s="283"/>
      <c r="AA613" s="373"/>
      <c r="AB613" s="283"/>
    </row>
    <row r="614" spans="2:77" x14ac:dyDescent="0.25">
      <c r="L614" s="283"/>
      <c r="M614" s="283"/>
      <c r="AA614" s="373"/>
      <c r="AB614" s="283"/>
    </row>
    <row r="615" spans="2:77" x14ac:dyDescent="0.25">
      <c r="L615" s="283"/>
      <c r="M615" s="283"/>
      <c r="AA615" s="373"/>
      <c r="AB615" s="283"/>
    </row>
    <row r="616" spans="2:77" x14ac:dyDescent="0.25">
      <c r="L616" s="283"/>
      <c r="M616" s="283"/>
      <c r="AA616" s="373"/>
      <c r="AB616" s="283"/>
    </row>
    <row r="617" spans="2:77" s="293" customFormat="1" x14ac:dyDescent="0.25">
      <c r="B617" s="280"/>
      <c r="C617" s="280"/>
      <c r="D617" s="280"/>
      <c r="E617" s="280"/>
      <c r="F617" s="280"/>
      <c r="G617" s="280"/>
      <c r="H617" s="280"/>
      <c r="I617" s="280"/>
      <c r="J617" s="280"/>
      <c r="K617" s="280"/>
      <c r="L617" s="283"/>
      <c r="M617" s="283"/>
      <c r="N617" s="280"/>
      <c r="O617" s="280"/>
      <c r="P617" s="280"/>
      <c r="Q617" s="280"/>
      <c r="R617" s="292"/>
      <c r="S617" s="292"/>
      <c r="T617" s="292"/>
      <c r="U617" s="292"/>
      <c r="V617" s="292"/>
      <c r="W617" s="292"/>
      <c r="X617" s="374"/>
      <c r="Y617" s="374"/>
      <c r="Z617" s="374"/>
      <c r="AA617" s="373"/>
      <c r="AB617" s="283"/>
      <c r="AC617" s="280"/>
      <c r="AD617" s="280"/>
      <c r="AE617" s="280"/>
      <c r="AF617" s="280"/>
      <c r="AG617" s="280"/>
      <c r="AH617" s="280"/>
      <c r="AI617" s="280"/>
      <c r="AJ617" s="280"/>
      <c r="AK617" s="280"/>
      <c r="AL617" s="280"/>
      <c r="AM617" s="280"/>
      <c r="AN617" s="280"/>
      <c r="AO617" s="280"/>
      <c r="AP617" s="280"/>
      <c r="AQ617" s="280"/>
      <c r="AR617" s="280"/>
      <c r="AS617" s="280"/>
      <c r="AT617" s="280"/>
      <c r="AU617" s="280"/>
      <c r="AV617" s="280"/>
      <c r="AW617" s="280"/>
      <c r="AX617" s="280"/>
      <c r="AY617" s="280"/>
      <c r="AZ617" s="280"/>
      <c r="BA617" s="280"/>
      <c r="BB617" s="280"/>
      <c r="BC617" s="280"/>
      <c r="BD617" s="280"/>
      <c r="BE617" s="280"/>
      <c r="BF617" s="280"/>
      <c r="BG617" s="280"/>
      <c r="BH617" s="280"/>
      <c r="BI617" s="280"/>
      <c r="BJ617" s="280"/>
      <c r="BK617" s="280"/>
      <c r="BL617" s="280"/>
      <c r="BM617" s="280"/>
      <c r="BN617" s="280"/>
      <c r="BO617" s="280"/>
      <c r="BP617" s="280"/>
      <c r="BQ617" s="280"/>
      <c r="BR617" s="280"/>
      <c r="BS617" s="280"/>
      <c r="BT617" s="280"/>
      <c r="BU617" s="280"/>
      <c r="BV617" s="280"/>
      <c r="BW617" s="280"/>
      <c r="BX617" s="280"/>
      <c r="BY617" s="280"/>
    </row>
    <row r="618" spans="2:77" s="293" customFormat="1" x14ac:dyDescent="0.25">
      <c r="B618" s="280"/>
      <c r="C618" s="280"/>
      <c r="D618" s="280"/>
      <c r="E618" s="280"/>
      <c r="F618" s="280"/>
      <c r="G618" s="280"/>
      <c r="H618" s="280"/>
      <c r="I618" s="280"/>
      <c r="J618" s="280"/>
      <c r="K618" s="280"/>
      <c r="L618" s="283"/>
      <c r="M618" s="283"/>
      <c r="N618" s="280"/>
      <c r="O618" s="280"/>
      <c r="P618" s="280"/>
      <c r="Q618" s="280"/>
      <c r="R618" s="292"/>
      <c r="S618" s="292"/>
      <c r="T618" s="292"/>
      <c r="U618" s="292"/>
      <c r="V618" s="292"/>
      <c r="W618" s="292"/>
      <c r="X618" s="374"/>
      <c r="Y618" s="374"/>
      <c r="Z618" s="374"/>
      <c r="AA618" s="373"/>
      <c r="AB618" s="283"/>
      <c r="AC618" s="280"/>
      <c r="AD618" s="280"/>
      <c r="AE618" s="280"/>
      <c r="AF618" s="280"/>
      <c r="AG618" s="280"/>
      <c r="AH618" s="280"/>
      <c r="AI618" s="280"/>
      <c r="AJ618" s="280"/>
      <c r="AK618" s="280"/>
      <c r="AL618" s="280"/>
      <c r="AM618" s="280"/>
      <c r="AN618" s="280"/>
      <c r="AO618" s="280"/>
      <c r="AP618" s="280"/>
      <c r="AQ618" s="280"/>
      <c r="AR618" s="280"/>
      <c r="AS618" s="280"/>
      <c r="AT618" s="280"/>
      <c r="AU618" s="280"/>
      <c r="AV618" s="280"/>
      <c r="AW618" s="280"/>
      <c r="AX618" s="280"/>
      <c r="AY618" s="280"/>
      <c r="AZ618" s="280"/>
      <c r="BA618" s="280"/>
      <c r="BB618" s="280"/>
      <c r="BC618" s="280"/>
      <c r="BD618" s="280"/>
      <c r="BE618" s="280"/>
      <c r="BF618" s="280"/>
      <c r="BG618" s="280"/>
      <c r="BH618" s="280"/>
      <c r="BI618" s="280"/>
      <c r="BJ618" s="280"/>
      <c r="BK618" s="280"/>
      <c r="BL618" s="280"/>
      <c r="BM618" s="280"/>
      <c r="BN618" s="280"/>
      <c r="BO618" s="280"/>
      <c r="BP618" s="280"/>
      <c r="BQ618" s="280"/>
      <c r="BR618" s="280"/>
      <c r="BS618" s="280"/>
      <c r="BT618" s="280"/>
      <c r="BU618" s="280"/>
      <c r="BV618" s="280"/>
      <c r="BW618" s="280"/>
      <c r="BX618" s="280"/>
      <c r="BY618" s="280"/>
    </row>
    <row r="619" spans="2:77" s="293" customFormat="1" x14ac:dyDescent="0.25">
      <c r="B619" s="280"/>
      <c r="C619" s="280"/>
      <c r="D619" s="280"/>
      <c r="E619" s="280"/>
      <c r="F619" s="280"/>
      <c r="G619" s="280"/>
      <c r="H619" s="280"/>
      <c r="I619" s="280"/>
      <c r="J619" s="280"/>
      <c r="K619" s="280"/>
      <c r="L619" s="283"/>
      <c r="M619" s="283"/>
      <c r="N619" s="280"/>
      <c r="O619" s="280"/>
      <c r="P619" s="280"/>
      <c r="Q619" s="280"/>
      <c r="R619" s="292"/>
      <c r="S619" s="292"/>
      <c r="T619" s="292"/>
      <c r="U619" s="292"/>
      <c r="V619" s="292"/>
      <c r="W619" s="292"/>
      <c r="X619" s="374"/>
      <c r="Y619" s="374"/>
      <c r="Z619" s="374"/>
      <c r="AA619" s="373"/>
      <c r="AB619" s="283"/>
      <c r="AC619" s="280"/>
      <c r="AD619" s="280"/>
      <c r="AE619" s="280"/>
      <c r="AF619" s="280"/>
      <c r="AG619" s="280"/>
      <c r="AH619" s="280"/>
      <c r="AI619" s="280"/>
      <c r="AJ619" s="280"/>
      <c r="AK619" s="280"/>
      <c r="AL619" s="280"/>
      <c r="AM619" s="280"/>
      <c r="AN619" s="280"/>
      <c r="AO619" s="280"/>
      <c r="AP619" s="280"/>
      <c r="AQ619" s="280"/>
      <c r="AR619" s="280"/>
      <c r="AS619" s="280"/>
      <c r="AT619" s="280"/>
      <c r="AU619" s="280"/>
      <c r="AV619" s="280"/>
      <c r="AW619" s="280"/>
      <c r="AX619" s="280"/>
      <c r="AY619" s="280"/>
      <c r="AZ619" s="280"/>
      <c r="BA619" s="280"/>
      <c r="BB619" s="280"/>
      <c r="BC619" s="280"/>
      <c r="BD619" s="280"/>
      <c r="BE619" s="280"/>
      <c r="BF619" s="280"/>
      <c r="BG619" s="280"/>
      <c r="BH619" s="280"/>
      <c r="BI619" s="280"/>
      <c r="BJ619" s="280"/>
      <c r="BK619" s="280"/>
      <c r="BL619" s="280"/>
      <c r="BM619" s="280"/>
      <c r="BN619" s="280"/>
      <c r="BO619" s="280"/>
      <c r="BP619" s="280"/>
      <c r="BQ619" s="280"/>
      <c r="BR619" s="280"/>
      <c r="BS619" s="280"/>
      <c r="BT619" s="280"/>
      <c r="BU619" s="280"/>
      <c r="BV619" s="280"/>
      <c r="BW619" s="280"/>
      <c r="BX619" s="280"/>
      <c r="BY619" s="280"/>
    </row>
    <row r="620" spans="2:77" s="293" customFormat="1" x14ac:dyDescent="0.25">
      <c r="B620" s="280"/>
      <c r="C620" s="280"/>
      <c r="D620" s="280"/>
      <c r="E620" s="280"/>
      <c r="F620" s="280"/>
      <c r="G620" s="280"/>
      <c r="H620" s="280"/>
      <c r="I620" s="280"/>
      <c r="J620" s="280"/>
      <c r="K620" s="280"/>
      <c r="L620" s="283"/>
      <c r="M620" s="283"/>
      <c r="N620" s="280"/>
      <c r="O620" s="280"/>
      <c r="P620" s="280"/>
      <c r="Q620" s="280"/>
      <c r="R620" s="292"/>
      <c r="S620" s="292"/>
      <c r="T620" s="292"/>
      <c r="U620" s="292"/>
      <c r="V620" s="292"/>
      <c r="W620" s="292"/>
      <c r="X620" s="374"/>
      <c r="Y620" s="374"/>
      <c r="Z620" s="374"/>
      <c r="AA620" s="373"/>
      <c r="AB620" s="283"/>
      <c r="AC620" s="280"/>
      <c r="AD620" s="280"/>
      <c r="AE620" s="280"/>
      <c r="AF620" s="280"/>
      <c r="AG620" s="280"/>
      <c r="AH620" s="280"/>
      <c r="AI620" s="280"/>
      <c r="AJ620" s="280"/>
      <c r="AK620" s="280"/>
      <c r="AL620" s="280"/>
      <c r="AM620" s="280"/>
      <c r="AN620" s="280"/>
      <c r="AO620" s="280"/>
      <c r="AP620" s="280"/>
      <c r="AQ620" s="280"/>
      <c r="AR620" s="280"/>
      <c r="AS620" s="280"/>
      <c r="AT620" s="280"/>
      <c r="AU620" s="280"/>
      <c r="AV620" s="280"/>
      <c r="AW620" s="280"/>
      <c r="AX620" s="280"/>
      <c r="AY620" s="280"/>
      <c r="AZ620" s="280"/>
      <c r="BA620" s="280"/>
      <c r="BB620" s="280"/>
      <c r="BC620" s="280"/>
      <c r="BD620" s="280"/>
      <c r="BE620" s="280"/>
      <c r="BF620" s="280"/>
      <c r="BG620" s="280"/>
      <c r="BH620" s="280"/>
      <c r="BI620" s="280"/>
      <c r="BJ620" s="280"/>
      <c r="BK620" s="280"/>
      <c r="BL620" s="280"/>
      <c r="BM620" s="280"/>
      <c r="BN620" s="280"/>
      <c r="BO620" s="280"/>
      <c r="BP620" s="280"/>
      <c r="BQ620" s="280"/>
      <c r="BR620" s="280"/>
      <c r="BS620" s="280"/>
      <c r="BT620" s="280"/>
      <c r="BU620" s="280"/>
      <c r="BV620" s="280"/>
      <c r="BW620" s="280"/>
      <c r="BX620" s="280"/>
      <c r="BY620" s="280"/>
    </row>
    <row r="621" spans="2:77" s="293" customFormat="1" x14ac:dyDescent="0.25">
      <c r="B621" s="280"/>
      <c r="C621" s="280"/>
      <c r="D621" s="280"/>
      <c r="E621" s="280"/>
      <c r="F621" s="280"/>
      <c r="G621" s="280"/>
      <c r="H621" s="280"/>
      <c r="I621" s="280"/>
      <c r="J621" s="280"/>
      <c r="K621" s="280"/>
      <c r="L621" s="283"/>
      <c r="M621" s="283"/>
      <c r="N621" s="280"/>
      <c r="O621" s="280"/>
      <c r="P621" s="280"/>
      <c r="Q621" s="280"/>
      <c r="R621" s="292"/>
      <c r="S621" s="292"/>
      <c r="T621" s="292"/>
      <c r="U621" s="292"/>
      <c r="V621" s="292"/>
      <c r="W621" s="292"/>
      <c r="X621" s="374"/>
      <c r="Y621" s="374"/>
      <c r="Z621" s="374"/>
      <c r="AA621" s="373"/>
      <c r="AB621" s="283"/>
      <c r="AC621" s="280"/>
      <c r="AD621" s="280"/>
      <c r="AE621" s="280"/>
      <c r="AF621" s="280"/>
      <c r="AG621" s="280"/>
      <c r="AH621" s="280"/>
      <c r="AI621" s="280"/>
      <c r="AJ621" s="280"/>
      <c r="AK621" s="280"/>
      <c r="AL621" s="280"/>
      <c r="AM621" s="280"/>
      <c r="AN621" s="280"/>
      <c r="AO621" s="280"/>
      <c r="AP621" s="280"/>
      <c r="AQ621" s="280"/>
      <c r="AR621" s="280"/>
      <c r="AS621" s="280"/>
      <c r="AT621" s="280"/>
      <c r="AU621" s="280"/>
      <c r="AV621" s="280"/>
      <c r="AW621" s="280"/>
      <c r="AX621" s="280"/>
      <c r="AY621" s="280"/>
      <c r="AZ621" s="280"/>
      <c r="BA621" s="280"/>
      <c r="BB621" s="280"/>
      <c r="BC621" s="280"/>
      <c r="BD621" s="280"/>
      <c r="BE621" s="280"/>
      <c r="BF621" s="280"/>
      <c r="BG621" s="280"/>
      <c r="BH621" s="280"/>
      <c r="BI621" s="280"/>
      <c r="BJ621" s="280"/>
      <c r="BK621" s="280"/>
      <c r="BL621" s="280"/>
      <c r="BM621" s="280"/>
      <c r="BN621" s="280"/>
      <c r="BO621" s="280"/>
      <c r="BP621" s="280"/>
      <c r="BQ621" s="280"/>
      <c r="BR621" s="280"/>
      <c r="BS621" s="280"/>
      <c r="BT621" s="280"/>
      <c r="BU621" s="280"/>
      <c r="BV621" s="280"/>
      <c r="BW621" s="280"/>
      <c r="BX621" s="280"/>
      <c r="BY621" s="280"/>
    </row>
    <row r="622" spans="2:77" s="293" customFormat="1" x14ac:dyDescent="0.25">
      <c r="B622" s="280"/>
      <c r="C622" s="280"/>
      <c r="D622" s="280"/>
      <c r="E622" s="280"/>
      <c r="F622" s="280"/>
      <c r="G622" s="280"/>
      <c r="H622" s="280"/>
      <c r="I622" s="280"/>
      <c r="J622" s="280"/>
      <c r="K622" s="280"/>
      <c r="L622" s="283"/>
      <c r="M622" s="283"/>
      <c r="N622" s="280"/>
      <c r="O622" s="280"/>
      <c r="P622" s="280"/>
      <c r="Q622" s="280"/>
      <c r="R622" s="292"/>
      <c r="S622" s="292"/>
      <c r="T622" s="292"/>
      <c r="U622" s="292"/>
      <c r="V622" s="292"/>
      <c r="W622" s="292"/>
      <c r="X622" s="374"/>
      <c r="Y622" s="374"/>
      <c r="Z622" s="374"/>
      <c r="AA622" s="373"/>
      <c r="AB622" s="283"/>
      <c r="AC622" s="280"/>
      <c r="AD622" s="280"/>
      <c r="AE622" s="280"/>
      <c r="AF622" s="280"/>
      <c r="AG622" s="280"/>
      <c r="AH622" s="280"/>
      <c r="AI622" s="280"/>
      <c r="AJ622" s="280"/>
      <c r="AK622" s="280"/>
      <c r="AL622" s="280"/>
      <c r="AM622" s="280"/>
      <c r="AN622" s="280"/>
      <c r="AO622" s="280"/>
      <c r="AP622" s="280"/>
      <c r="AQ622" s="280"/>
      <c r="AR622" s="280"/>
      <c r="AS622" s="280"/>
      <c r="AT622" s="280"/>
      <c r="AU622" s="280"/>
      <c r="AV622" s="280"/>
      <c r="AW622" s="280"/>
      <c r="AX622" s="280"/>
      <c r="AY622" s="280"/>
      <c r="AZ622" s="280"/>
      <c r="BA622" s="280"/>
      <c r="BB622" s="280"/>
      <c r="BC622" s="280"/>
      <c r="BD622" s="280"/>
      <c r="BE622" s="280"/>
      <c r="BF622" s="280"/>
      <c r="BG622" s="280"/>
      <c r="BH622" s="280"/>
      <c r="BI622" s="280"/>
      <c r="BJ622" s="280"/>
      <c r="BK622" s="280"/>
      <c r="BL622" s="280"/>
      <c r="BM622" s="280"/>
      <c r="BN622" s="280"/>
      <c r="BO622" s="280"/>
      <c r="BP622" s="280"/>
      <c r="BQ622" s="280"/>
      <c r="BR622" s="280"/>
      <c r="BS622" s="280"/>
      <c r="BT622" s="280"/>
      <c r="BU622" s="280"/>
      <c r="BV622" s="280"/>
      <c r="BW622" s="280"/>
      <c r="BX622" s="280"/>
      <c r="BY622" s="280"/>
    </row>
    <row r="623" spans="2:77" s="293" customFormat="1" x14ac:dyDescent="0.25">
      <c r="B623" s="280"/>
      <c r="C623" s="280"/>
      <c r="D623" s="280"/>
      <c r="E623" s="280"/>
      <c r="F623" s="280"/>
      <c r="G623" s="280"/>
      <c r="H623" s="280"/>
      <c r="I623" s="280"/>
      <c r="J623" s="280"/>
      <c r="K623" s="280"/>
      <c r="L623" s="283"/>
      <c r="M623" s="283"/>
      <c r="N623" s="280"/>
      <c r="O623" s="280"/>
      <c r="P623" s="280"/>
      <c r="Q623" s="280"/>
      <c r="R623" s="292"/>
      <c r="S623" s="292"/>
      <c r="T623" s="292"/>
      <c r="U623" s="292"/>
      <c r="V623" s="292"/>
      <c r="W623" s="292"/>
      <c r="X623" s="374"/>
      <c r="Y623" s="374"/>
      <c r="Z623" s="374"/>
      <c r="AA623" s="373"/>
      <c r="AB623" s="283"/>
      <c r="AC623" s="280"/>
      <c r="AD623" s="280"/>
      <c r="AE623" s="280"/>
      <c r="AF623" s="280"/>
      <c r="AG623" s="280"/>
      <c r="AH623" s="280"/>
      <c r="AI623" s="280"/>
      <c r="AJ623" s="280"/>
      <c r="AK623" s="280"/>
      <c r="AL623" s="280"/>
      <c r="AM623" s="280"/>
      <c r="AN623" s="280"/>
      <c r="AO623" s="280"/>
      <c r="AP623" s="280"/>
      <c r="AQ623" s="280"/>
      <c r="AR623" s="280"/>
      <c r="AS623" s="280"/>
      <c r="AT623" s="280"/>
      <c r="AU623" s="280"/>
      <c r="AV623" s="280"/>
      <c r="AW623" s="280"/>
      <c r="AX623" s="280"/>
      <c r="AY623" s="280"/>
      <c r="AZ623" s="280"/>
      <c r="BA623" s="280"/>
      <c r="BB623" s="280"/>
      <c r="BC623" s="280"/>
      <c r="BD623" s="280"/>
      <c r="BE623" s="280"/>
      <c r="BF623" s="280"/>
      <c r="BG623" s="280"/>
      <c r="BH623" s="280"/>
      <c r="BI623" s="280"/>
      <c r="BJ623" s="280"/>
      <c r="BK623" s="280"/>
      <c r="BL623" s="280"/>
      <c r="BM623" s="280"/>
      <c r="BN623" s="280"/>
      <c r="BO623" s="280"/>
      <c r="BP623" s="280"/>
      <c r="BQ623" s="280"/>
      <c r="BR623" s="280"/>
      <c r="BS623" s="280"/>
      <c r="BT623" s="280"/>
      <c r="BU623" s="280"/>
      <c r="BV623" s="280"/>
      <c r="BW623" s="280"/>
      <c r="BX623" s="280"/>
      <c r="BY623" s="280"/>
    </row>
    <row r="624" spans="2:77" s="293" customFormat="1" x14ac:dyDescent="0.25">
      <c r="B624" s="280"/>
      <c r="C624" s="280"/>
      <c r="D624" s="280"/>
      <c r="E624" s="280"/>
      <c r="F624" s="280"/>
      <c r="G624" s="280"/>
      <c r="H624" s="280"/>
      <c r="I624" s="280"/>
      <c r="J624" s="280"/>
      <c r="K624" s="280"/>
      <c r="L624" s="283"/>
      <c r="M624" s="283"/>
      <c r="N624" s="280"/>
      <c r="O624" s="280"/>
      <c r="P624" s="280"/>
      <c r="Q624" s="280"/>
      <c r="R624" s="292"/>
      <c r="S624" s="292"/>
      <c r="T624" s="292"/>
      <c r="U624" s="292"/>
      <c r="V624" s="292"/>
      <c r="W624" s="292"/>
      <c r="X624" s="374"/>
      <c r="Y624" s="374"/>
      <c r="Z624" s="374"/>
      <c r="AA624" s="373"/>
      <c r="AB624" s="283"/>
      <c r="AC624" s="280"/>
      <c r="AD624" s="280"/>
      <c r="AE624" s="280"/>
      <c r="AF624" s="280"/>
      <c r="AG624" s="280"/>
      <c r="AH624" s="280"/>
      <c r="AI624" s="280"/>
      <c r="AJ624" s="280"/>
      <c r="AK624" s="280"/>
      <c r="AL624" s="280"/>
      <c r="AM624" s="280"/>
      <c r="AN624" s="280"/>
      <c r="AO624" s="280"/>
      <c r="AP624" s="280"/>
      <c r="AQ624" s="280"/>
      <c r="AR624" s="280"/>
      <c r="AS624" s="280"/>
      <c r="AT624" s="280"/>
      <c r="AU624" s="280"/>
      <c r="AV624" s="280"/>
      <c r="AW624" s="280"/>
      <c r="AX624" s="280"/>
      <c r="AY624" s="280"/>
      <c r="AZ624" s="280"/>
      <c r="BA624" s="280"/>
      <c r="BB624" s="280"/>
      <c r="BC624" s="280"/>
      <c r="BD624" s="280"/>
      <c r="BE624" s="280"/>
      <c r="BF624" s="280"/>
      <c r="BG624" s="280"/>
      <c r="BH624" s="280"/>
      <c r="BI624" s="280"/>
      <c r="BJ624" s="280"/>
      <c r="BK624" s="280"/>
      <c r="BL624" s="280"/>
      <c r="BM624" s="280"/>
      <c r="BN624" s="280"/>
      <c r="BO624" s="280"/>
      <c r="BP624" s="280"/>
      <c r="BQ624" s="280"/>
      <c r="BR624" s="280"/>
      <c r="BS624" s="280"/>
      <c r="BT624" s="280"/>
      <c r="BU624" s="280"/>
      <c r="BV624" s="280"/>
      <c r="BW624" s="280"/>
      <c r="BX624" s="280"/>
      <c r="BY624" s="280"/>
    </row>
    <row r="625" spans="2:77" s="293" customFormat="1" x14ac:dyDescent="0.25">
      <c r="B625" s="280"/>
      <c r="C625" s="280"/>
      <c r="D625" s="280"/>
      <c r="E625" s="280"/>
      <c r="F625" s="280"/>
      <c r="G625" s="280"/>
      <c r="H625" s="280"/>
      <c r="I625" s="280"/>
      <c r="J625" s="280"/>
      <c r="K625" s="280"/>
      <c r="L625" s="283"/>
      <c r="M625" s="283"/>
      <c r="N625" s="280"/>
      <c r="O625" s="280"/>
      <c r="P625" s="280"/>
      <c r="Q625" s="280"/>
      <c r="R625" s="292"/>
      <c r="S625" s="292"/>
      <c r="T625" s="292"/>
      <c r="U625" s="292"/>
      <c r="V625" s="292"/>
      <c r="W625" s="292"/>
      <c r="X625" s="374"/>
      <c r="Y625" s="374"/>
      <c r="Z625" s="374"/>
      <c r="AA625" s="373"/>
      <c r="AB625" s="283"/>
      <c r="AC625" s="280"/>
      <c r="AD625" s="280"/>
      <c r="AE625" s="280"/>
      <c r="AF625" s="280"/>
      <c r="AG625" s="280"/>
      <c r="AH625" s="280"/>
      <c r="AI625" s="280"/>
      <c r="AJ625" s="280"/>
      <c r="AK625" s="280"/>
      <c r="AL625" s="280"/>
      <c r="AM625" s="280"/>
      <c r="AN625" s="280"/>
      <c r="AO625" s="280"/>
      <c r="AP625" s="280"/>
      <c r="AQ625" s="280"/>
      <c r="AR625" s="280"/>
      <c r="AS625" s="280"/>
      <c r="AT625" s="280"/>
      <c r="AU625" s="280"/>
      <c r="AV625" s="280"/>
      <c r="AW625" s="280"/>
      <c r="AX625" s="280"/>
      <c r="AY625" s="280"/>
      <c r="AZ625" s="280"/>
      <c r="BA625" s="280"/>
      <c r="BB625" s="280"/>
      <c r="BC625" s="280"/>
      <c r="BD625" s="280"/>
      <c r="BE625" s="280"/>
      <c r="BF625" s="280"/>
      <c r="BG625" s="280"/>
      <c r="BH625" s="280"/>
      <c r="BI625" s="280"/>
      <c r="BJ625" s="280"/>
      <c r="BK625" s="280"/>
      <c r="BL625" s="280"/>
      <c r="BM625" s="280"/>
      <c r="BN625" s="280"/>
      <c r="BO625" s="280"/>
      <c r="BP625" s="280"/>
      <c r="BQ625" s="280"/>
      <c r="BR625" s="280"/>
      <c r="BS625" s="280"/>
      <c r="BT625" s="280"/>
      <c r="BU625" s="280"/>
      <c r="BV625" s="280"/>
      <c r="BW625" s="280"/>
      <c r="BX625" s="280"/>
      <c r="BY625" s="280"/>
    </row>
    <row r="626" spans="2:77" s="293" customFormat="1" x14ac:dyDescent="0.25">
      <c r="B626" s="280"/>
      <c r="C626" s="280"/>
      <c r="D626" s="280"/>
      <c r="E626" s="280"/>
      <c r="F626" s="280"/>
      <c r="G626" s="280"/>
      <c r="H626" s="280"/>
      <c r="I626" s="280"/>
      <c r="J626" s="280"/>
      <c r="K626" s="280"/>
      <c r="L626" s="283"/>
      <c r="M626" s="283"/>
      <c r="N626" s="280"/>
      <c r="O626" s="280"/>
      <c r="P626" s="280"/>
      <c r="Q626" s="280"/>
      <c r="R626" s="292"/>
      <c r="S626" s="292"/>
      <c r="T626" s="292"/>
      <c r="U626" s="292"/>
      <c r="V626" s="292"/>
      <c r="W626" s="292"/>
      <c r="X626" s="374"/>
      <c r="Y626" s="374"/>
      <c r="Z626" s="374"/>
      <c r="AA626" s="373"/>
      <c r="AB626" s="283"/>
      <c r="AC626" s="280"/>
      <c r="AD626" s="280"/>
      <c r="AE626" s="280"/>
      <c r="AF626" s="280"/>
      <c r="AG626" s="280"/>
      <c r="AH626" s="280"/>
      <c r="AI626" s="280"/>
      <c r="AJ626" s="280"/>
      <c r="AK626" s="280"/>
      <c r="AL626" s="280"/>
      <c r="AM626" s="280"/>
      <c r="AN626" s="280"/>
      <c r="AO626" s="280"/>
      <c r="AP626" s="280"/>
      <c r="AQ626" s="280"/>
      <c r="AR626" s="280"/>
      <c r="AS626" s="280"/>
      <c r="AT626" s="280"/>
      <c r="AU626" s="280"/>
      <c r="AV626" s="280"/>
      <c r="AW626" s="280"/>
      <c r="AX626" s="280"/>
      <c r="AY626" s="280"/>
      <c r="AZ626" s="280"/>
      <c r="BA626" s="280"/>
      <c r="BB626" s="280"/>
      <c r="BC626" s="280"/>
      <c r="BD626" s="280"/>
      <c r="BE626" s="280"/>
      <c r="BF626" s="280"/>
      <c r="BG626" s="280"/>
      <c r="BH626" s="280"/>
      <c r="BI626" s="280"/>
      <c r="BJ626" s="280"/>
      <c r="BK626" s="280"/>
      <c r="BL626" s="280"/>
      <c r="BM626" s="280"/>
      <c r="BN626" s="280"/>
      <c r="BO626" s="280"/>
      <c r="BP626" s="280"/>
      <c r="BQ626" s="280"/>
      <c r="BR626" s="280"/>
      <c r="BS626" s="280"/>
      <c r="BT626" s="280"/>
      <c r="BU626" s="280"/>
      <c r="BV626" s="280"/>
      <c r="BW626" s="280"/>
      <c r="BX626" s="280"/>
      <c r="BY626" s="280"/>
    </row>
    <row r="627" spans="2:77" s="293" customFormat="1" x14ac:dyDescent="0.25">
      <c r="B627" s="280"/>
      <c r="C627" s="280"/>
      <c r="D627" s="280"/>
      <c r="E627" s="280"/>
      <c r="F627" s="280"/>
      <c r="G627" s="280"/>
      <c r="H627" s="280"/>
      <c r="I627" s="280"/>
      <c r="J627" s="280"/>
      <c r="K627" s="280"/>
      <c r="L627" s="283"/>
      <c r="M627" s="283"/>
      <c r="N627" s="280"/>
      <c r="O627" s="280"/>
      <c r="P627" s="280"/>
      <c r="Q627" s="280"/>
      <c r="R627" s="292"/>
      <c r="S627" s="292"/>
      <c r="T627" s="292"/>
      <c r="U627" s="292"/>
      <c r="V627" s="292"/>
      <c r="W627" s="292"/>
      <c r="X627" s="374"/>
      <c r="Y627" s="374"/>
      <c r="Z627" s="374"/>
      <c r="AA627" s="373"/>
      <c r="AB627" s="283"/>
      <c r="AC627" s="280"/>
      <c r="AD627" s="280"/>
      <c r="AE627" s="280"/>
      <c r="AF627" s="280"/>
      <c r="AG627" s="280"/>
      <c r="AH627" s="280"/>
      <c r="AI627" s="280"/>
      <c r="AJ627" s="280"/>
      <c r="AK627" s="280"/>
      <c r="AL627" s="280"/>
      <c r="AM627" s="280"/>
      <c r="AN627" s="280"/>
      <c r="AO627" s="280"/>
      <c r="AP627" s="280"/>
      <c r="AQ627" s="280"/>
      <c r="AR627" s="280"/>
      <c r="AS627" s="280"/>
      <c r="AT627" s="280"/>
      <c r="AU627" s="280"/>
      <c r="AV627" s="280"/>
      <c r="AW627" s="280"/>
      <c r="AX627" s="280"/>
      <c r="AY627" s="280"/>
      <c r="AZ627" s="280"/>
      <c r="BA627" s="280"/>
      <c r="BB627" s="280"/>
      <c r="BC627" s="280"/>
      <c r="BD627" s="280"/>
      <c r="BE627" s="280"/>
      <c r="BF627" s="280"/>
      <c r="BG627" s="280"/>
      <c r="BH627" s="280"/>
      <c r="BI627" s="280"/>
      <c r="BJ627" s="280"/>
      <c r="BK627" s="280"/>
      <c r="BL627" s="280"/>
      <c r="BM627" s="280"/>
      <c r="BN627" s="280"/>
      <c r="BO627" s="280"/>
      <c r="BP627" s="280"/>
      <c r="BQ627" s="280"/>
      <c r="BR627" s="280"/>
      <c r="BS627" s="280"/>
      <c r="BT627" s="280"/>
      <c r="BU627" s="280"/>
      <c r="BV627" s="280"/>
      <c r="BW627" s="280"/>
      <c r="BX627" s="280"/>
      <c r="BY627" s="280"/>
    </row>
    <row r="628" spans="2:77" s="293" customFormat="1" x14ac:dyDescent="0.25">
      <c r="B628" s="280"/>
      <c r="C628" s="280"/>
      <c r="D628" s="280"/>
      <c r="E628" s="280"/>
      <c r="F628" s="280"/>
      <c r="G628" s="280"/>
      <c r="H628" s="280"/>
      <c r="I628" s="280"/>
      <c r="J628" s="280"/>
      <c r="K628" s="280"/>
      <c r="L628" s="283"/>
      <c r="M628" s="283"/>
      <c r="N628" s="280"/>
      <c r="O628" s="280"/>
      <c r="P628" s="280"/>
      <c r="Q628" s="280"/>
      <c r="R628" s="292"/>
      <c r="S628" s="292"/>
      <c r="T628" s="292"/>
      <c r="U628" s="292"/>
      <c r="V628" s="292"/>
      <c r="W628" s="292"/>
      <c r="X628" s="374"/>
      <c r="Y628" s="374"/>
      <c r="Z628" s="374"/>
      <c r="AA628" s="373"/>
      <c r="AB628" s="283"/>
      <c r="AC628" s="280"/>
      <c r="AD628" s="280"/>
      <c r="AE628" s="280"/>
      <c r="AF628" s="280"/>
      <c r="AG628" s="280"/>
      <c r="AH628" s="280"/>
      <c r="AI628" s="280"/>
      <c r="AJ628" s="280"/>
      <c r="AK628" s="280"/>
      <c r="AL628" s="280"/>
      <c r="AM628" s="280"/>
      <c r="AN628" s="280"/>
      <c r="AO628" s="280"/>
      <c r="AP628" s="280"/>
      <c r="AQ628" s="280"/>
      <c r="AR628" s="280"/>
      <c r="AS628" s="280"/>
      <c r="AT628" s="280"/>
      <c r="AU628" s="280"/>
      <c r="AV628" s="280"/>
      <c r="AW628" s="280"/>
      <c r="AX628" s="280"/>
      <c r="AY628" s="280"/>
      <c r="AZ628" s="280"/>
      <c r="BA628" s="280"/>
      <c r="BB628" s="280"/>
      <c r="BC628" s="280"/>
      <c r="BD628" s="280"/>
      <c r="BE628" s="280"/>
      <c r="BF628" s="280"/>
      <c r="BG628" s="280"/>
      <c r="BH628" s="280"/>
      <c r="BI628" s="280"/>
      <c r="BJ628" s="280"/>
      <c r="BK628" s="280"/>
      <c r="BL628" s="280"/>
      <c r="BM628" s="280"/>
      <c r="BN628" s="280"/>
      <c r="BO628" s="280"/>
      <c r="BP628" s="280"/>
      <c r="BQ628" s="280"/>
      <c r="BR628" s="280"/>
      <c r="BS628" s="280"/>
      <c r="BT628" s="280"/>
      <c r="BU628" s="280"/>
      <c r="BV628" s="280"/>
      <c r="BW628" s="280"/>
      <c r="BX628" s="280"/>
      <c r="BY628" s="280"/>
    </row>
    <row r="629" spans="2:77" s="293" customFormat="1" x14ac:dyDescent="0.25">
      <c r="B629" s="280"/>
      <c r="C629" s="280"/>
      <c r="D629" s="280"/>
      <c r="E629" s="280"/>
      <c r="F629" s="280"/>
      <c r="G629" s="280"/>
      <c r="H629" s="280"/>
      <c r="I629" s="280"/>
      <c r="J629" s="280"/>
      <c r="K629" s="280"/>
      <c r="L629" s="283"/>
      <c r="M629" s="283"/>
      <c r="N629" s="280"/>
      <c r="O629" s="280"/>
      <c r="P629" s="280"/>
      <c r="Q629" s="280"/>
      <c r="R629" s="292"/>
      <c r="S629" s="292"/>
      <c r="T629" s="292"/>
      <c r="U629" s="292"/>
      <c r="V629" s="292"/>
      <c r="W629" s="292"/>
      <c r="X629" s="374"/>
      <c r="Y629" s="374"/>
      <c r="Z629" s="374"/>
      <c r="AA629" s="373"/>
      <c r="AB629" s="283"/>
      <c r="AC629" s="280"/>
      <c r="AD629" s="280"/>
      <c r="AE629" s="280"/>
      <c r="AF629" s="280"/>
      <c r="AG629" s="280"/>
      <c r="AH629" s="280"/>
      <c r="AI629" s="280"/>
      <c r="AJ629" s="280"/>
      <c r="AK629" s="280"/>
      <c r="AL629" s="280"/>
      <c r="AM629" s="280"/>
      <c r="AN629" s="280"/>
      <c r="AO629" s="280"/>
      <c r="AP629" s="280"/>
      <c r="AQ629" s="280"/>
      <c r="AR629" s="280"/>
      <c r="AS629" s="280"/>
      <c r="AT629" s="280"/>
      <c r="AU629" s="280"/>
      <c r="AV629" s="280"/>
      <c r="AW629" s="280"/>
      <c r="AX629" s="280"/>
      <c r="AY629" s="280"/>
      <c r="AZ629" s="280"/>
      <c r="BA629" s="280"/>
      <c r="BB629" s="280"/>
      <c r="BC629" s="280"/>
      <c r="BD629" s="280"/>
      <c r="BE629" s="280"/>
      <c r="BF629" s="280"/>
      <c r="BG629" s="280"/>
      <c r="BH629" s="280"/>
      <c r="BI629" s="280"/>
      <c r="BJ629" s="280"/>
      <c r="BK629" s="280"/>
      <c r="BL629" s="280"/>
      <c r="BM629" s="280"/>
      <c r="BN629" s="280"/>
      <c r="BO629" s="280"/>
      <c r="BP629" s="280"/>
      <c r="BQ629" s="280"/>
      <c r="BR629" s="280"/>
      <c r="BS629" s="280"/>
      <c r="BT629" s="280"/>
      <c r="BU629" s="280"/>
      <c r="BV629" s="280"/>
      <c r="BW629" s="280"/>
      <c r="BX629" s="280"/>
      <c r="BY629" s="280"/>
    </row>
    <row r="630" spans="2:77" s="293" customFormat="1" x14ac:dyDescent="0.25">
      <c r="B630" s="280"/>
      <c r="C630" s="280"/>
      <c r="D630" s="280"/>
      <c r="E630" s="280"/>
      <c r="F630" s="280"/>
      <c r="G630" s="280"/>
      <c r="H630" s="280"/>
      <c r="I630" s="280"/>
      <c r="J630" s="280"/>
      <c r="K630" s="280"/>
      <c r="L630" s="283"/>
      <c r="M630" s="283"/>
      <c r="N630" s="280"/>
      <c r="O630" s="280"/>
      <c r="P630" s="280"/>
      <c r="Q630" s="280"/>
      <c r="R630" s="292"/>
      <c r="S630" s="292"/>
      <c r="T630" s="292"/>
      <c r="U630" s="292"/>
      <c r="V630" s="292"/>
      <c r="W630" s="292"/>
      <c r="X630" s="374"/>
      <c r="Y630" s="374"/>
      <c r="Z630" s="374"/>
      <c r="AA630" s="373"/>
      <c r="AB630" s="283"/>
      <c r="AC630" s="280"/>
      <c r="AD630" s="280"/>
      <c r="AE630" s="280"/>
      <c r="AF630" s="280"/>
      <c r="AG630" s="280"/>
      <c r="AH630" s="280"/>
      <c r="AI630" s="280"/>
      <c r="AJ630" s="280"/>
      <c r="AK630" s="280"/>
      <c r="AL630" s="280"/>
      <c r="AM630" s="280"/>
      <c r="AN630" s="280"/>
      <c r="AO630" s="280"/>
      <c r="AP630" s="280"/>
      <c r="AQ630" s="280"/>
      <c r="AR630" s="280"/>
      <c r="AS630" s="280"/>
      <c r="AT630" s="280"/>
      <c r="AU630" s="280"/>
      <c r="AV630" s="280"/>
      <c r="AW630" s="280"/>
      <c r="AX630" s="280"/>
      <c r="AY630" s="280"/>
      <c r="AZ630" s="280"/>
      <c r="BA630" s="280"/>
      <c r="BB630" s="280"/>
      <c r="BC630" s="280"/>
      <c r="BD630" s="280"/>
      <c r="BE630" s="280"/>
      <c r="BF630" s="280"/>
      <c r="BG630" s="280"/>
      <c r="BH630" s="280"/>
      <c r="BI630" s="280"/>
      <c r="BJ630" s="280"/>
      <c r="BK630" s="280"/>
      <c r="BL630" s="280"/>
      <c r="BM630" s="280"/>
      <c r="BN630" s="280"/>
      <c r="BO630" s="280"/>
      <c r="BP630" s="280"/>
      <c r="BQ630" s="280"/>
      <c r="BR630" s="280"/>
      <c r="BS630" s="280"/>
      <c r="BT630" s="280"/>
      <c r="BU630" s="280"/>
      <c r="BV630" s="280"/>
      <c r="BW630" s="280"/>
      <c r="BX630" s="280"/>
      <c r="BY630" s="280"/>
    </row>
    <row r="631" spans="2:77" s="293" customFormat="1" x14ac:dyDescent="0.25">
      <c r="B631" s="280"/>
      <c r="C631" s="280"/>
      <c r="D631" s="280"/>
      <c r="E631" s="280"/>
      <c r="F631" s="280"/>
      <c r="G631" s="280"/>
      <c r="H631" s="280"/>
      <c r="I631" s="280"/>
      <c r="J631" s="280"/>
      <c r="K631" s="280"/>
      <c r="L631" s="283"/>
      <c r="M631" s="283"/>
      <c r="N631" s="280"/>
      <c r="O631" s="280"/>
      <c r="P631" s="280"/>
      <c r="Q631" s="280"/>
      <c r="R631" s="292"/>
      <c r="S631" s="292"/>
      <c r="T631" s="292"/>
      <c r="U631" s="292"/>
      <c r="V631" s="292"/>
      <c r="W631" s="292"/>
      <c r="X631" s="374"/>
      <c r="Y631" s="374"/>
      <c r="Z631" s="374"/>
      <c r="AA631" s="373"/>
      <c r="AB631" s="283"/>
      <c r="AC631" s="280"/>
      <c r="AD631" s="280"/>
      <c r="AE631" s="280"/>
      <c r="AF631" s="280"/>
      <c r="AG631" s="280"/>
      <c r="AH631" s="280"/>
      <c r="AI631" s="280"/>
      <c r="AJ631" s="280"/>
      <c r="AK631" s="280"/>
      <c r="AL631" s="280"/>
      <c r="AM631" s="280"/>
      <c r="AN631" s="280"/>
      <c r="AO631" s="280"/>
      <c r="AP631" s="280"/>
      <c r="AQ631" s="280"/>
      <c r="AR631" s="280"/>
      <c r="AS631" s="280"/>
      <c r="AT631" s="280"/>
      <c r="AU631" s="280"/>
      <c r="AV631" s="280"/>
      <c r="AW631" s="280"/>
      <c r="AX631" s="280"/>
      <c r="AY631" s="280"/>
      <c r="AZ631" s="280"/>
      <c r="BA631" s="280"/>
      <c r="BB631" s="280"/>
      <c r="BC631" s="280"/>
      <c r="BD631" s="280"/>
      <c r="BE631" s="280"/>
      <c r="BF631" s="280"/>
      <c r="BG631" s="280"/>
      <c r="BH631" s="280"/>
      <c r="BI631" s="280"/>
      <c r="BJ631" s="280"/>
      <c r="BK631" s="280"/>
      <c r="BL631" s="280"/>
      <c r="BM631" s="280"/>
      <c r="BN631" s="280"/>
      <c r="BO631" s="280"/>
      <c r="BP631" s="280"/>
      <c r="BQ631" s="280"/>
      <c r="BR631" s="280"/>
      <c r="BS631" s="280"/>
      <c r="BT631" s="280"/>
      <c r="BU631" s="280"/>
      <c r="BV631" s="280"/>
      <c r="BW631" s="280"/>
      <c r="BX631" s="280"/>
      <c r="BY631" s="280"/>
    </row>
    <row r="632" spans="2:77" s="293" customFormat="1" x14ac:dyDescent="0.25">
      <c r="B632" s="280"/>
      <c r="C632" s="280"/>
      <c r="D632" s="280"/>
      <c r="E632" s="280"/>
      <c r="F632" s="280"/>
      <c r="G632" s="280"/>
      <c r="H632" s="280"/>
      <c r="I632" s="280"/>
      <c r="J632" s="280"/>
      <c r="K632" s="280"/>
      <c r="L632" s="283"/>
      <c r="M632" s="283"/>
      <c r="N632" s="280"/>
      <c r="O632" s="280"/>
      <c r="P632" s="280"/>
      <c r="Q632" s="280"/>
      <c r="R632" s="292"/>
      <c r="S632" s="292"/>
      <c r="T632" s="292"/>
      <c r="U632" s="292"/>
      <c r="V632" s="292"/>
      <c r="W632" s="292"/>
      <c r="X632" s="374"/>
      <c r="Y632" s="374"/>
      <c r="Z632" s="374"/>
      <c r="AA632" s="373"/>
      <c r="AB632" s="283"/>
      <c r="AC632" s="280"/>
      <c r="AD632" s="280"/>
      <c r="AE632" s="280"/>
      <c r="AF632" s="280"/>
      <c r="AG632" s="280"/>
      <c r="AH632" s="280"/>
      <c r="AI632" s="280"/>
      <c r="AJ632" s="280"/>
      <c r="AK632" s="280"/>
      <c r="AL632" s="280"/>
      <c r="AM632" s="280"/>
      <c r="AN632" s="280"/>
      <c r="AO632" s="280"/>
      <c r="AP632" s="280"/>
      <c r="AQ632" s="280"/>
      <c r="AR632" s="280"/>
      <c r="AS632" s="280"/>
      <c r="AT632" s="280"/>
      <c r="AU632" s="280"/>
      <c r="AV632" s="280"/>
      <c r="AW632" s="280"/>
      <c r="AX632" s="280"/>
      <c r="AY632" s="280"/>
      <c r="AZ632" s="280"/>
      <c r="BA632" s="280"/>
      <c r="BB632" s="280"/>
      <c r="BC632" s="280"/>
      <c r="BD632" s="280"/>
      <c r="BE632" s="280"/>
      <c r="BF632" s="280"/>
      <c r="BG632" s="280"/>
      <c r="BH632" s="280"/>
      <c r="BI632" s="280"/>
      <c r="BJ632" s="280"/>
      <c r="BK632" s="280"/>
      <c r="BL632" s="280"/>
      <c r="BM632" s="280"/>
      <c r="BN632" s="280"/>
      <c r="BO632" s="280"/>
      <c r="BP632" s="280"/>
      <c r="BQ632" s="280"/>
      <c r="BR632" s="280"/>
      <c r="BS632" s="280"/>
      <c r="BT632" s="280"/>
      <c r="BU632" s="280"/>
      <c r="BV632" s="280"/>
      <c r="BW632" s="280"/>
      <c r="BX632" s="280"/>
      <c r="BY632" s="280"/>
    </row>
    <row r="633" spans="2:77" s="293" customFormat="1" x14ac:dyDescent="0.25">
      <c r="B633" s="280"/>
      <c r="C633" s="280"/>
      <c r="D633" s="280"/>
      <c r="E633" s="280"/>
      <c r="F633" s="280"/>
      <c r="G633" s="280"/>
      <c r="H633" s="280"/>
      <c r="I633" s="280"/>
      <c r="J633" s="280"/>
      <c r="K633" s="280"/>
      <c r="L633" s="283"/>
      <c r="M633" s="283"/>
      <c r="N633" s="280"/>
      <c r="O633" s="280"/>
      <c r="P633" s="280"/>
      <c r="Q633" s="280"/>
      <c r="R633" s="292"/>
      <c r="S633" s="292"/>
      <c r="T633" s="292"/>
      <c r="U633" s="292"/>
      <c r="V633" s="292"/>
      <c r="W633" s="292"/>
      <c r="X633" s="374"/>
      <c r="Y633" s="374"/>
      <c r="Z633" s="374"/>
      <c r="AA633" s="373"/>
      <c r="AB633" s="283"/>
      <c r="AC633" s="280"/>
      <c r="AD633" s="280"/>
      <c r="AE633" s="280"/>
      <c r="AF633" s="280"/>
      <c r="AG633" s="280"/>
      <c r="AH633" s="280"/>
      <c r="AI633" s="280"/>
      <c r="AJ633" s="280"/>
      <c r="AK633" s="280"/>
      <c r="AL633" s="280"/>
      <c r="AM633" s="280"/>
      <c r="AN633" s="280"/>
      <c r="AO633" s="280"/>
      <c r="AP633" s="280"/>
      <c r="AQ633" s="280"/>
      <c r="AR633" s="280"/>
      <c r="AS633" s="280"/>
      <c r="AT633" s="280"/>
      <c r="AU633" s="280"/>
      <c r="AV633" s="280"/>
      <c r="AW633" s="280"/>
      <c r="AX633" s="280"/>
      <c r="AY633" s="280"/>
      <c r="AZ633" s="280"/>
      <c r="BA633" s="280"/>
      <c r="BB633" s="280"/>
      <c r="BC633" s="280"/>
      <c r="BD633" s="280"/>
      <c r="BE633" s="280"/>
      <c r="BF633" s="280"/>
      <c r="BG633" s="280"/>
      <c r="BH633" s="280"/>
      <c r="BI633" s="280"/>
      <c r="BJ633" s="280"/>
      <c r="BK633" s="280"/>
      <c r="BL633" s="280"/>
      <c r="BM633" s="280"/>
      <c r="BN633" s="280"/>
      <c r="BO633" s="280"/>
      <c r="BP633" s="280"/>
      <c r="BQ633" s="280"/>
      <c r="BR633" s="280"/>
      <c r="BS633" s="280"/>
      <c r="BT633" s="280"/>
      <c r="BU633" s="280"/>
      <c r="BV633" s="280"/>
      <c r="BW633" s="280"/>
      <c r="BX633" s="280"/>
      <c r="BY633" s="280"/>
    </row>
    <row r="634" spans="2:77" s="293" customFormat="1" x14ac:dyDescent="0.25">
      <c r="B634" s="280"/>
      <c r="C634" s="280"/>
      <c r="D634" s="280"/>
      <c r="E634" s="280"/>
      <c r="F634" s="280"/>
      <c r="G634" s="280"/>
      <c r="H634" s="280"/>
      <c r="I634" s="280"/>
      <c r="J634" s="280"/>
      <c r="K634" s="280"/>
      <c r="L634" s="283"/>
      <c r="M634" s="283"/>
      <c r="N634" s="280"/>
      <c r="O634" s="280"/>
      <c r="P634" s="280"/>
      <c r="Q634" s="280"/>
      <c r="R634" s="292"/>
      <c r="S634" s="292"/>
      <c r="T634" s="292"/>
      <c r="U634" s="292"/>
      <c r="V634" s="292"/>
      <c r="W634" s="292"/>
      <c r="X634" s="374"/>
      <c r="Y634" s="374"/>
      <c r="Z634" s="374"/>
      <c r="AA634" s="373"/>
      <c r="AB634" s="283"/>
      <c r="AC634" s="280"/>
      <c r="AD634" s="280"/>
      <c r="AE634" s="280"/>
      <c r="AF634" s="280"/>
      <c r="AG634" s="280"/>
      <c r="AH634" s="280"/>
      <c r="AI634" s="280"/>
      <c r="AJ634" s="280"/>
      <c r="AK634" s="280"/>
      <c r="AL634" s="280"/>
      <c r="AM634" s="280"/>
      <c r="AN634" s="280"/>
      <c r="AO634" s="280"/>
      <c r="AP634" s="280"/>
      <c r="AQ634" s="280"/>
      <c r="AR634" s="280"/>
      <c r="AS634" s="280"/>
      <c r="AT634" s="280"/>
      <c r="AU634" s="280"/>
      <c r="AV634" s="280"/>
      <c r="AW634" s="280"/>
      <c r="AX634" s="280"/>
      <c r="AY634" s="280"/>
      <c r="AZ634" s="280"/>
      <c r="BA634" s="280"/>
      <c r="BB634" s="280"/>
      <c r="BC634" s="280"/>
      <c r="BD634" s="280"/>
      <c r="BE634" s="280"/>
      <c r="BF634" s="280"/>
      <c r="BG634" s="280"/>
      <c r="BH634" s="280"/>
      <c r="BI634" s="280"/>
      <c r="BJ634" s="280"/>
      <c r="BK634" s="280"/>
      <c r="BL634" s="280"/>
      <c r="BM634" s="280"/>
      <c r="BN634" s="280"/>
      <c r="BO634" s="280"/>
      <c r="BP634" s="280"/>
      <c r="BQ634" s="280"/>
      <c r="BR634" s="280"/>
      <c r="BS634" s="280"/>
      <c r="BT634" s="280"/>
      <c r="BU634" s="280"/>
      <c r="BV634" s="280"/>
      <c r="BW634" s="280"/>
      <c r="BX634" s="280"/>
      <c r="BY634" s="280"/>
    </row>
    <row r="635" spans="2:77" s="293" customFormat="1" x14ac:dyDescent="0.25">
      <c r="B635" s="280"/>
      <c r="C635" s="280"/>
      <c r="D635" s="280"/>
      <c r="E635" s="280"/>
      <c r="F635" s="280"/>
      <c r="G635" s="280"/>
      <c r="H635" s="280"/>
      <c r="I635" s="280"/>
      <c r="J635" s="280"/>
      <c r="K635" s="280"/>
      <c r="L635" s="283"/>
      <c r="M635" s="283"/>
      <c r="N635" s="280"/>
      <c r="O635" s="280"/>
      <c r="P635" s="280"/>
      <c r="Q635" s="280"/>
      <c r="R635" s="292"/>
      <c r="S635" s="292"/>
      <c r="T635" s="292"/>
      <c r="U635" s="292"/>
      <c r="V635" s="292"/>
      <c r="W635" s="292"/>
      <c r="X635" s="374"/>
      <c r="Y635" s="374"/>
      <c r="Z635" s="374"/>
      <c r="AA635" s="373"/>
      <c r="AB635" s="283"/>
      <c r="AC635" s="280"/>
      <c r="AD635" s="280"/>
      <c r="AE635" s="280"/>
      <c r="AF635" s="280"/>
      <c r="AG635" s="280"/>
      <c r="AH635" s="280"/>
      <c r="AI635" s="280"/>
      <c r="AJ635" s="280"/>
      <c r="AK635" s="280"/>
      <c r="AL635" s="280"/>
      <c r="AM635" s="280"/>
      <c r="AN635" s="280"/>
      <c r="AO635" s="280"/>
      <c r="AP635" s="280"/>
      <c r="AQ635" s="280"/>
      <c r="AR635" s="280"/>
      <c r="AS635" s="280"/>
      <c r="AT635" s="280"/>
      <c r="AU635" s="280"/>
      <c r="AV635" s="280"/>
      <c r="AW635" s="280"/>
      <c r="AX635" s="280"/>
      <c r="AY635" s="280"/>
      <c r="AZ635" s="280"/>
      <c r="BA635" s="280"/>
      <c r="BB635" s="280"/>
      <c r="BC635" s="280"/>
      <c r="BD635" s="280"/>
      <c r="BE635" s="280"/>
      <c r="BF635" s="280"/>
      <c r="BG635" s="280"/>
      <c r="BH635" s="280"/>
      <c r="BI635" s="280"/>
      <c r="BJ635" s="280"/>
      <c r="BK635" s="280"/>
      <c r="BL635" s="280"/>
      <c r="BM635" s="280"/>
      <c r="BN635" s="280"/>
      <c r="BO635" s="280"/>
      <c r="BP635" s="280"/>
      <c r="BQ635" s="280"/>
      <c r="BR635" s="280"/>
      <c r="BS635" s="280"/>
      <c r="BT635" s="280"/>
      <c r="BU635" s="280"/>
      <c r="BV635" s="280"/>
      <c r="BW635" s="280"/>
      <c r="BX635" s="280"/>
      <c r="BY635" s="280"/>
    </row>
    <row r="636" spans="2:77" s="293" customFormat="1" x14ac:dyDescent="0.25">
      <c r="B636" s="280"/>
      <c r="C636" s="280"/>
      <c r="D636" s="280"/>
      <c r="E636" s="280"/>
      <c r="F636" s="280"/>
      <c r="G636" s="280"/>
      <c r="H636" s="280"/>
      <c r="I636" s="280"/>
      <c r="J636" s="280"/>
      <c r="K636" s="280"/>
      <c r="L636" s="283"/>
      <c r="M636" s="283"/>
      <c r="N636" s="280"/>
      <c r="O636" s="280"/>
      <c r="P636" s="280"/>
      <c r="Q636" s="280"/>
      <c r="R636" s="292"/>
      <c r="S636" s="292"/>
      <c r="T636" s="292"/>
      <c r="U636" s="292"/>
      <c r="V636" s="292"/>
      <c r="W636" s="292"/>
      <c r="X636" s="374"/>
      <c r="Y636" s="374"/>
      <c r="Z636" s="374"/>
      <c r="AA636" s="373"/>
      <c r="AB636" s="283"/>
      <c r="AC636" s="280"/>
      <c r="AD636" s="280"/>
      <c r="AE636" s="280"/>
      <c r="AF636" s="280"/>
      <c r="AG636" s="280"/>
      <c r="AH636" s="280"/>
      <c r="AI636" s="280"/>
      <c r="AJ636" s="280"/>
      <c r="AK636" s="280"/>
      <c r="AL636" s="280"/>
      <c r="AM636" s="280"/>
      <c r="AN636" s="280"/>
      <c r="AO636" s="280"/>
      <c r="AP636" s="280"/>
      <c r="AQ636" s="280"/>
      <c r="AR636" s="280"/>
      <c r="AS636" s="280"/>
      <c r="AT636" s="280"/>
      <c r="AU636" s="280"/>
      <c r="AV636" s="280"/>
      <c r="AW636" s="280"/>
      <c r="AX636" s="280"/>
      <c r="AY636" s="280"/>
      <c r="AZ636" s="280"/>
      <c r="BA636" s="280"/>
      <c r="BB636" s="280"/>
      <c r="BC636" s="280"/>
      <c r="BD636" s="280"/>
      <c r="BE636" s="280"/>
      <c r="BF636" s="280"/>
      <c r="BG636" s="280"/>
      <c r="BH636" s="280"/>
      <c r="BI636" s="280"/>
      <c r="BJ636" s="280"/>
      <c r="BK636" s="280"/>
      <c r="BL636" s="280"/>
      <c r="BM636" s="280"/>
      <c r="BN636" s="280"/>
      <c r="BO636" s="280"/>
      <c r="BP636" s="280"/>
      <c r="BQ636" s="280"/>
      <c r="BR636" s="280"/>
      <c r="BS636" s="280"/>
      <c r="BT636" s="280"/>
      <c r="BU636" s="280"/>
      <c r="BV636" s="280"/>
      <c r="BW636" s="280"/>
      <c r="BX636" s="280"/>
      <c r="BY636" s="280"/>
    </row>
    <row r="637" spans="2:77" s="293" customFormat="1" x14ac:dyDescent="0.25">
      <c r="B637" s="280"/>
      <c r="C637" s="280"/>
      <c r="D637" s="280"/>
      <c r="E637" s="280"/>
      <c r="F637" s="280"/>
      <c r="G637" s="280"/>
      <c r="H637" s="280"/>
      <c r="I637" s="280"/>
      <c r="J637" s="280"/>
      <c r="K637" s="280"/>
      <c r="L637" s="283"/>
      <c r="M637" s="283"/>
      <c r="N637" s="280"/>
      <c r="O637" s="280"/>
      <c r="P637" s="280"/>
      <c r="Q637" s="280"/>
      <c r="R637" s="292"/>
      <c r="S637" s="292"/>
      <c r="T637" s="292"/>
      <c r="U637" s="292"/>
      <c r="V637" s="292"/>
      <c r="W637" s="292"/>
      <c r="X637" s="374"/>
      <c r="Y637" s="374"/>
      <c r="Z637" s="374"/>
      <c r="AA637" s="373"/>
      <c r="AB637" s="283"/>
      <c r="AC637" s="280"/>
      <c r="AD637" s="280"/>
      <c r="AE637" s="280"/>
      <c r="AF637" s="280"/>
      <c r="AG637" s="280"/>
      <c r="AH637" s="280"/>
      <c r="AI637" s="280"/>
      <c r="AJ637" s="280"/>
      <c r="AK637" s="280"/>
      <c r="AL637" s="280"/>
      <c r="AM637" s="280"/>
      <c r="AN637" s="280"/>
      <c r="AO637" s="280"/>
      <c r="AP637" s="280"/>
      <c r="AQ637" s="280"/>
      <c r="AR637" s="280"/>
      <c r="AS637" s="280"/>
      <c r="AT637" s="280"/>
      <c r="AU637" s="280"/>
      <c r="AV637" s="280"/>
      <c r="AW637" s="280"/>
      <c r="AX637" s="280"/>
      <c r="AY637" s="280"/>
      <c r="AZ637" s="280"/>
      <c r="BA637" s="280"/>
      <c r="BB637" s="280"/>
      <c r="BC637" s="280"/>
      <c r="BD637" s="280"/>
      <c r="BE637" s="280"/>
      <c r="BF637" s="280"/>
      <c r="BG637" s="280"/>
      <c r="BH637" s="280"/>
      <c r="BI637" s="280"/>
      <c r="BJ637" s="280"/>
      <c r="BK637" s="280"/>
      <c r="BL637" s="280"/>
      <c r="BM637" s="280"/>
      <c r="BN637" s="280"/>
      <c r="BO637" s="280"/>
      <c r="BP637" s="280"/>
      <c r="BQ637" s="280"/>
      <c r="BR637" s="280"/>
      <c r="BS637" s="280"/>
      <c r="BT637" s="280"/>
      <c r="BU637" s="280"/>
      <c r="BV637" s="280"/>
      <c r="BW637" s="280"/>
      <c r="BX637" s="280"/>
      <c r="BY637" s="280"/>
    </row>
    <row r="638" spans="2:77" s="293" customFormat="1" x14ac:dyDescent="0.25">
      <c r="B638" s="280"/>
      <c r="C638" s="280"/>
      <c r="D638" s="280"/>
      <c r="E638" s="280"/>
      <c r="F638" s="280"/>
      <c r="G638" s="280"/>
      <c r="H638" s="280"/>
      <c r="I638" s="280"/>
      <c r="J638" s="280"/>
      <c r="K638" s="280"/>
      <c r="L638" s="283"/>
      <c r="M638" s="283"/>
      <c r="N638" s="280"/>
      <c r="O638" s="280"/>
      <c r="P638" s="280"/>
      <c r="Q638" s="280"/>
      <c r="R638" s="292"/>
      <c r="S638" s="292"/>
      <c r="T638" s="292"/>
      <c r="U638" s="292"/>
      <c r="V638" s="292"/>
      <c r="W638" s="292"/>
      <c r="X638" s="374"/>
      <c r="Y638" s="374"/>
      <c r="Z638" s="374"/>
      <c r="AA638" s="373"/>
      <c r="AB638" s="283"/>
      <c r="AC638" s="280"/>
      <c r="AD638" s="280"/>
      <c r="AE638" s="280"/>
      <c r="AF638" s="280"/>
      <c r="AG638" s="280"/>
      <c r="AH638" s="280"/>
      <c r="AI638" s="280"/>
      <c r="AJ638" s="280"/>
      <c r="AK638" s="280"/>
      <c r="AL638" s="280"/>
      <c r="AM638" s="280"/>
      <c r="AN638" s="280"/>
      <c r="AO638" s="280"/>
      <c r="AP638" s="280"/>
      <c r="AQ638" s="280"/>
      <c r="AR638" s="280"/>
      <c r="AS638" s="280"/>
      <c r="AT638" s="280"/>
      <c r="AU638" s="280"/>
      <c r="AV638" s="280"/>
      <c r="AW638" s="280"/>
      <c r="AX638" s="280"/>
      <c r="AY638" s="280"/>
      <c r="AZ638" s="280"/>
      <c r="BA638" s="280"/>
      <c r="BB638" s="280"/>
      <c r="BC638" s="280"/>
      <c r="BD638" s="280"/>
      <c r="BE638" s="280"/>
      <c r="BF638" s="280"/>
      <c r="BG638" s="280"/>
      <c r="BH638" s="280"/>
      <c r="BI638" s="280"/>
      <c r="BJ638" s="280"/>
      <c r="BK638" s="280"/>
      <c r="BL638" s="280"/>
      <c r="BM638" s="280"/>
      <c r="BN638" s="280"/>
      <c r="BO638" s="280"/>
      <c r="BP638" s="280"/>
      <c r="BQ638" s="280"/>
      <c r="BR638" s="280"/>
      <c r="BS638" s="280"/>
      <c r="BT638" s="280"/>
      <c r="BU638" s="280"/>
      <c r="BV638" s="280"/>
      <c r="BW638" s="280"/>
      <c r="BX638" s="280"/>
      <c r="BY638" s="280"/>
    </row>
    <row r="639" spans="2:77" s="293" customFormat="1" x14ac:dyDescent="0.25">
      <c r="B639" s="280"/>
      <c r="C639" s="280"/>
      <c r="D639" s="280"/>
      <c r="E639" s="280"/>
      <c r="F639" s="280"/>
      <c r="G639" s="280"/>
      <c r="H639" s="280"/>
      <c r="I639" s="280"/>
      <c r="J639" s="280"/>
      <c r="K639" s="280"/>
      <c r="L639" s="283"/>
      <c r="M639" s="283"/>
      <c r="N639" s="280"/>
      <c r="O639" s="280"/>
      <c r="P639" s="280"/>
      <c r="Q639" s="280"/>
      <c r="R639" s="292"/>
      <c r="S639" s="292"/>
      <c r="T639" s="292"/>
      <c r="U639" s="292"/>
      <c r="V639" s="292"/>
      <c r="W639" s="292"/>
      <c r="X639" s="374"/>
      <c r="Y639" s="374"/>
      <c r="Z639" s="374"/>
      <c r="AA639" s="373"/>
      <c r="AB639" s="283"/>
      <c r="AC639" s="280"/>
      <c r="AD639" s="280"/>
      <c r="AE639" s="280"/>
      <c r="AF639" s="280"/>
      <c r="AG639" s="280"/>
      <c r="AH639" s="280"/>
      <c r="AI639" s="280"/>
      <c r="AJ639" s="280"/>
      <c r="AK639" s="280"/>
      <c r="AL639" s="280"/>
      <c r="AM639" s="280"/>
      <c r="AN639" s="280"/>
      <c r="AO639" s="280"/>
      <c r="AP639" s="280"/>
      <c r="AQ639" s="280"/>
      <c r="AR639" s="280"/>
      <c r="AS639" s="280"/>
      <c r="AT639" s="280"/>
      <c r="AU639" s="280"/>
      <c r="AV639" s="280"/>
      <c r="AW639" s="280"/>
      <c r="AX639" s="280"/>
      <c r="AY639" s="280"/>
      <c r="AZ639" s="280"/>
      <c r="BA639" s="280"/>
      <c r="BB639" s="280"/>
      <c r="BC639" s="280"/>
      <c r="BD639" s="280"/>
      <c r="BE639" s="280"/>
      <c r="BF639" s="280"/>
      <c r="BG639" s="280"/>
      <c r="BH639" s="280"/>
      <c r="BI639" s="280"/>
      <c r="BJ639" s="280"/>
      <c r="BK639" s="280"/>
      <c r="BL639" s="280"/>
      <c r="BM639" s="280"/>
      <c r="BN639" s="280"/>
      <c r="BO639" s="280"/>
      <c r="BP639" s="280"/>
      <c r="BQ639" s="280"/>
      <c r="BR639" s="280"/>
      <c r="BS639" s="280"/>
      <c r="BT639" s="280"/>
      <c r="BU639" s="280"/>
      <c r="BV639" s="280"/>
      <c r="BW639" s="280"/>
      <c r="BX639" s="280"/>
      <c r="BY639" s="280"/>
    </row>
    <row r="640" spans="2:77" s="293" customFormat="1" x14ac:dyDescent="0.25">
      <c r="B640" s="280"/>
      <c r="C640" s="280"/>
      <c r="D640" s="280"/>
      <c r="E640" s="280"/>
      <c r="F640" s="280"/>
      <c r="G640" s="280"/>
      <c r="H640" s="280"/>
      <c r="I640" s="280"/>
      <c r="J640" s="280"/>
      <c r="K640" s="280"/>
      <c r="L640" s="283"/>
      <c r="M640" s="283"/>
      <c r="N640" s="280"/>
      <c r="O640" s="280"/>
      <c r="P640" s="280"/>
      <c r="Q640" s="280"/>
      <c r="R640" s="292"/>
      <c r="S640" s="292"/>
      <c r="T640" s="292"/>
      <c r="U640" s="292"/>
      <c r="V640" s="292"/>
      <c r="W640" s="292"/>
      <c r="X640" s="374"/>
      <c r="Y640" s="374"/>
      <c r="Z640" s="374"/>
      <c r="AA640" s="373"/>
      <c r="AB640" s="283"/>
      <c r="AC640" s="280"/>
      <c r="AD640" s="280"/>
      <c r="AE640" s="280"/>
      <c r="AF640" s="280"/>
      <c r="AG640" s="280"/>
      <c r="AH640" s="280"/>
      <c r="AI640" s="280"/>
      <c r="AJ640" s="280"/>
      <c r="AK640" s="280"/>
      <c r="AL640" s="280"/>
      <c r="AM640" s="280"/>
      <c r="AN640" s="280"/>
      <c r="AO640" s="280"/>
      <c r="AP640" s="280"/>
      <c r="AQ640" s="280"/>
      <c r="AR640" s="280"/>
      <c r="AS640" s="280"/>
      <c r="AT640" s="280"/>
      <c r="AU640" s="280"/>
      <c r="AV640" s="280"/>
      <c r="AW640" s="280"/>
      <c r="AX640" s="280"/>
      <c r="AY640" s="280"/>
      <c r="AZ640" s="280"/>
      <c r="BA640" s="280"/>
      <c r="BB640" s="280"/>
      <c r="BC640" s="280"/>
      <c r="BD640" s="280"/>
      <c r="BE640" s="280"/>
      <c r="BF640" s="280"/>
      <c r="BG640" s="280"/>
      <c r="BH640" s="280"/>
      <c r="BI640" s="280"/>
      <c r="BJ640" s="280"/>
      <c r="BK640" s="280"/>
      <c r="BL640" s="280"/>
      <c r="BM640" s="280"/>
      <c r="BN640" s="280"/>
      <c r="BO640" s="280"/>
      <c r="BP640" s="280"/>
      <c r="BQ640" s="280"/>
      <c r="BR640" s="280"/>
      <c r="BS640" s="280"/>
      <c r="BT640" s="280"/>
      <c r="BU640" s="280"/>
      <c r="BV640" s="280"/>
      <c r="BW640" s="280"/>
      <c r="BX640" s="280"/>
      <c r="BY640" s="280"/>
    </row>
    <row r="641" spans="2:77" s="293" customFormat="1" x14ac:dyDescent="0.25">
      <c r="B641" s="280"/>
      <c r="C641" s="280"/>
      <c r="D641" s="280"/>
      <c r="E641" s="280"/>
      <c r="F641" s="280"/>
      <c r="G641" s="280"/>
      <c r="H641" s="280"/>
      <c r="I641" s="280"/>
      <c r="J641" s="280"/>
      <c r="K641" s="280"/>
      <c r="L641" s="283"/>
      <c r="M641" s="283"/>
      <c r="N641" s="280"/>
      <c r="O641" s="280"/>
      <c r="P641" s="280"/>
      <c r="Q641" s="280"/>
      <c r="R641" s="292"/>
      <c r="S641" s="292"/>
      <c r="T641" s="292"/>
      <c r="U641" s="292"/>
      <c r="V641" s="292"/>
      <c r="W641" s="292"/>
      <c r="X641" s="374"/>
      <c r="Y641" s="374"/>
      <c r="Z641" s="374"/>
      <c r="AA641" s="373"/>
      <c r="AB641" s="283"/>
      <c r="AC641" s="280"/>
      <c r="AD641" s="280"/>
      <c r="AE641" s="280"/>
      <c r="AF641" s="280"/>
      <c r="AG641" s="280"/>
      <c r="AH641" s="280"/>
      <c r="AI641" s="280"/>
      <c r="AJ641" s="280"/>
      <c r="AK641" s="280"/>
      <c r="AL641" s="280"/>
      <c r="AM641" s="280"/>
      <c r="AN641" s="280"/>
      <c r="AO641" s="280"/>
      <c r="AP641" s="280"/>
      <c r="AQ641" s="280"/>
      <c r="AR641" s="280"/>
      <c r="AS641" s="280"/>
      <c r="AT641" s="280"/>
      <c r="AU641" s="280"/>
      <c r="AV641" s="280"/>
      <c r="AW641" s="280"/>
      <c r="AX641" s="280"/>
      <c r="AY641" s="280"/>
      <c r="AZ641" s="280"/>
      <c r="BA641" s="280"/>
      <c r="BB641" s="280"/>
      <c r="BC641" s="280"/>
      <c r="BD641" s="280"/>
      <c r="BE641" s="280"/>
      <c r="BF641" s="280"/>
      <c r="BG641" s="280"/>
      <c r="BH641" s="280"/>
      <c r="BI641" s="280"/>
      <c r="BJ641" s="280"/>
      <c r="BK641" s="280"/>
      <c r="BL641" s="280"/>
      <c r="BM641" s="280"/>
      <c r="BN641" s="280"/>
      <c r="BO641" s="280"/>
      <c r="BP641" s="280"/>
      <c r="BQ641" s="280"/>
      <c r="BR641" s="280"/>
      <c r="BS641" s="280"/>
      <c r="BT641" s="280"/>
      <c r="BU641" s="280"/>
      <c r="BV641" s="280"/>
      <c r="BW641" s="280"/>
      <c r="BX641" s="280"/>
      <c r="BY641" s="280"/>
    </row>
    <row r="642" spans="2:77" s="293" customFormat="1" x14ac:dyDescent="0.25">
      <c r="B642" s="280"/>
      <c r="C642" s="280"/>
      <c r="D642" s="280"/>
      <c r="E642" s="280"/>
      <c r="F642" s="280"/>
      <c r="G642" s="280"/>
      <c r="H642" s="280"/>
      <c r="I642" s="280"/>
      <c r="J642" s="280"/>
      <c r="K642" s="280"/>
      <c r="L642" s="283"/>
      <c r="M642" s="283"/>
      <c r="N642" s="280"/>
      <c r="O642" s="280"/>
      <c r="P642" s="280"/>
      <c r="Q642" s="280"/>
      <c r="R642" s="292"/>
      <c r="S642" s="292"/>
      <c r="T642" s="292"/>
      <c r="U642" s="292"/>
      <c r="V642" s="292"/>
      <c r="W642" s="292"/>
      <c r="X642" s="374"/>
      <c r="Y642" s="374"/>
      <c r="Z642" s="374"/>
      <c r="AA642" s="373"/>
      <c r="AB642" s="283"/>
      <c r="AC642" s="280"/>
      <c r="AD642" s="280"/>
      <c r="AE642" s="280"/>
      <c r="AF642" s="280"/>
      <c r="AG642" s="280"/>
      <c r="AH642" s="280"/>
      <c r="AI642" s="280"/>
      <c r="AJ642" s="280"/>
      <c r="AK642" s="280"/>
      <c r="AL642" s="280"/>
      <c r="AM642" s="280"/>
      <c r="AN642" s="280"/>
      <c r="AO642" s="280"/>
      <c r="AP642" s="280"/>
      <c r="AQ642" s="280"/>
      <c r="AR642" s="280"/>
      <c r="AS642" s="280"/>
      <c r="AT642" s="280"/>
      <c r="AU642" s="280"/>
      <c r="AV642" s="280"/>
      <c r="AW642" s="280"/>
      <c r="AX642" s="280"/>
      <c r="AY642" s="280"/>
      <c r="AZ642" s="280"/>
      <c r="BA642" s="280"/>
      <c r="BB642" s="280"/>
      <c r="BC642" s="280"/>
      <c r="BD642" s="280"/>
      <c r="BE642" s="280"/>
      <c r="BF642" s="280"/>
      <c r="BG642" s="280"/>
      <c r="BH642" s="280"/>
      <c r="BI642" s="280"/>
      <c r="BJ642" s="280"/>
      <c r="BK642" s="280"/>
      <c r="BL642" s="280"/>
      <c r="BM642" s="280"/>
      <c r="BN642" s="280"/>
      <c r="BO642" s="280"/>
      <c r="BP642" s="280"/>
      <c r="BQ642" s="280"/>
      <c r="BR642" s="280"/>
      <c r="BS642" s="280"/>
      <c r="BT642" s="280"/>
      <c r="BU642" s="280"/>
      <c r="BV642" s="280"/>
      <c r="BW642" s="280"/>
      <c r="BX642" s="280"/>
      <c r="BY642" s="280"/>
    </row>
    <row r="643" spans="2:77" s="293" customFormat="1" x14ac:dyDescent="0.25">
      <c r="B643" s="280"/>
      <c r="C643" s="280"/>
      <c r="D643" s="280"/>
      <c r="E643" s="280"/>
      <c r="F643" s="280"/>
      <c r="G643" s="280"/>
      <c r="H643" s="280"/>
      <c r="I643" s="280"/>
      <c r="J643" s="280"/>
      <c r="K643" s="280"/>
      <c r="L643" s="283"/>
      <c r="M643" s="283"/>
      <c r="N643" s="280"/>
      <c r="O643" s="280"/>
      <c r="P643" s="280"/>
      <c r="Q643" s="280"/>
      <c r="R643" s="292"/>
      <c r="S643" s="292"/>
      <c r="T643" s="292"/>
      <c r="U643" s="292"/>
      <c r="V643" s="292"/>
      <c r="W643" s="292"/>
      <c r="X643" s="374"/>
      <c r="Y643" s="374"/>
      <c r="Z643" s="374"/>
      <c r="AA643" s="373"/>
      <c r="AB643" s="283"/>
      <c r="AC643" s="280"/>
      <c r="AD643" s="280"/>
      <c r="AE643" s="280"/>
      <c r="AF643" s="280"/>
      <c r="AG643" s="280"/>
      <c r="AH643" s="280"/>
      <c r="AI643" s="280"/>
      <c r="AJ643" s="280"/>
      <c r="AK643" s="280"/>
      <c r="AL643" s="280"/>
      <c r="AM643" s="280"/>
      <c r="AN643" s="280"/>
      <c r="AO643" s="280"/>
      <c r="AP643" s="280"/>
      <c r="AQ643" s="280"/>
      <c r="AR643" s="280"/>
      <c r="AS643" s="280"/>
      <c r="AT643" s="280"/>
      <c r="AU643" s="280"/>
      <c r="AV643" s="280"/>
      <c r="AW643" s="280"/>
      <c r="AX643" s="280"/>
      <c r="AY643" s="280"/>
      <c r="AZ643" s="280"/>
      <c r="BA643" s="280"/>
      <c r="BB643" s="280"/>
      <c r="BC643" s="280"/>
      <c r="BD643" s="280"/>
      <c r="BE643" s="280"/>
      <c r="BF643" s="280"/>
      <c r="BG643" s="280"/>
      <c r="BH643" s="280"/>
      <c r="BI643" s="280"/>
      <c r="BJ643" s="280"/>
      <c r="BK643" s="280"/>
      <c r="BL643" s="280"/>
      <c r="BM643" s="280"/>
      <c r="BN643" s="280"/>
      <c r="BO643" s="280"/>
      <c r="BP643" s="280"/>
      <c r="BQ643" s="280"/>
      <c r="BR643" s="280"/>
      <c r="BS643" s="280"/>
      <c r="BT643" s="280"/>
      <c r="BU643" s="280"/>
      <c r="BV643" s="280"/>
      <c r="BW643" s="280"/>
      <c r="BX643" s="280"/>
      <c r="BY643" s="280"/>
    </row>
    <row r="644" spans="2:77" s="293" customFormat="1" x14ac:dyDescent="0.25">
      <c r="B644" s="280"/>
      <c r="C644" s="280"/>
      <c r="D644" s="280"/>
      <c r="E644" s="280"/>
      <c r="F644" s="280"/>
      <c r="G644" s="280"/>
      <c r="H644" s="280"/>
      <c r="I644" s="280"/>
      <c r="J644" s="280"/>
      <c r="K644" s="280"/>
      <c r="L644" s="283"/>
      <c r="M644" s="283"/>
      <c r="N644" s="280"/>
      <c r="O644" s="280"/>
      <c r="P644" s="280"/>
      <c r="Q644" s="280"/>
      <c r="R644" s="292"/>
      <c r="S644" s="292"/>
      <c r="T644" s="292"/>
      <c r="U644" s="292"/>
      <c r="V644" s="292"/>
      <c r="W644" s="292"/>
      <c r="X644" s="374"/>
      <c r="Y644" s="374"/>
      <c r="Z644" s="374"/>
      <c r="AA644" s="373"/>
      <c r="AB644" s="283"/>
      <c r="AC644" s="280"/>
      <c r="AD644" s="280"/>
      <c r="AE644" s="280"/>
      <c r="AF644" s="280"/>
      <c r="AG644" s="280"/>
      <c r="AH644" s="280"/>
      <c r="AI644" s="280"/>
      <c r="AJ644" s="280"/>
      <c r="AK644" s="280"/>
      <c r="AL644" s="280"/>
      <c r="AM644" s="280"/>
      <c r="AN644" s="280"/>
      <c r="AO644" s="280"/>
      <c r="AP644" s="280"/>
      <c r="AQ644" s="280"/>
      <c r="AR644" s="280"/>
      <c r="AS644" s="280"/>
      <c r="AT644" s="280"/>
      <c r="AU644" s="280"/>
      <c r="AV644" s="280"/>
      <c r="AW644" s="280"/>
      <c r="AX644" s="280"/>
      <c r="AY644" s="280"/>
      <c r="AZ644" s="280"/>
      <c r="BA644" s="280"/>
      <c r="BB644" s="280"/>
      <c r="BC644" s="280"/>
      <c r="BD644" s="280"/>
      <c r="BE644" s="280"/>
      <c r="BF644" s="280"/>
      <c r="BG644" s="280"/>
      <c r="BH644" s="280"/>
      <c r="BI644" s="280"/>
      <c r="BJ644" s="280"/>
      <c r="BK644" s="280"/>
      <c r="BL644" s="280"/>
      <c r="BM644" s="280"/>
      <c r="BN644" s="280"/>
      <c r="BO644" s="280"/>
      <c r="BP644" s="280"/>
      <c r="BQ644" s="280"/>
      <c r="BR644" s="280"/>
      <c r="BS644" s="280"/>
      <c r="BT644" s="280"/>
      <c r="BU644" s="280"/>
      <c r="BV644" s="280"/>
      <c r="BW644" s="280"/>
      <c r="BX644" s="280"/>
      <c r="BY644" s="280"/>
    </row>
    <row r="645" spans="2:77" s="293" customFormat="1" x14ac:dyDescent="0.25">
      <c r="B645" s="280"/>
      <c r="C645" s="280"/>
      <c r="D645" s="280"/>
      <c r="E645" s="280"/>
      <c r="F645" s="280"/>
      <c r="G645" s="280"/>
      <c r="H645" s="280"/>
      <c r="I645" s="280"/>
      <c r="J645" s="280"/>
      <c r="K645" s="280"/>
      <c r="L645" s="283"/>
      <c r="M645" s="283"/>
      <c r="N645" s="280"/>
      <c r="O645" s="280"/>
      <c r="P645" s="280"/>
      <c r="Q645" s="280"/>
      <c r="R645" s="292"/>
      <c r="S645" s="292"/>
      <c r="T645" s="292"/>
      <c r="U645" s="292"/>
      <c r="V645" s="292"/>
      <c r="W645" s="292"/>
      <c r="X645" s="374"/>
      <c r="Y645" s="374"/>
      <c r="Z645" s="374"/>
      <c r="AA645" s="373"/>
      <c r="AB645" s="283"/>
      <c r="AC645" s="280"/>
      <c r="AD645" s="280"/>
      <c r="AE645" s="280"/>
      <c r="AF645" s="280"/>
      <c r="AG645" s="280"/>
      <c r="AH645" s="280"/>
      <c r="AI645" s="280"/>
      <c r="AJ645" s="280"/>
      <c r="AK645" s="280"/>
      <c r="AL645" s="280"/>
      <c r="AM645" s="280"/>
      <c r="AN645" s="280"/>
      <c r="AO645" s="280"/>
      <c r="AP645" s="280"/>
      <c r="AQ645" s="280"/>
      <c r="AR645" s="280"/>
      <c r="AS645" s="280"/>
      <c r="AT645" s="280"/>
      <c r="AU645" s="280"/>
      <c r="AV645" s="280"/>
      <c r="AW645" s="280"/>
      <c r="AX645" s="280"/>
      <c r="AY645" s="280"/>
      <c r="AZ645" s="280"/>
      <c r="BA645" s="280"/>
      <c r="BB645" s="280"/>
      <c r="BC645" s="280"/>
      <c r="BD645" s="280"/>
      <c r="BE645" s="280"/>
      <c r="BF645" s="280"/>
      <c r="BG645" s="280"/>
      <c r="BH645" s="280"/>
      <c r="BI645" s="280"/>
      <c r="BJ645" s="280"/>
      <c r="BK645" s="280"/>
      <c r="BL645" s="280"/>
      <c r="BM645" s="280"/>
      <c r="BN645" s="280"/>
      <c r="BO645" s="280"/>
      <c r="BP645" s="280"/>
      <c r="BQ645" s="280"/>
      <c r="BR645" s="280"/>
      <c r="BS645" s="280"/>
      <c r="BT645" s="280"/>
      <c r="BU645" s="280"/>
      <c r="BV645" s="280"/>
      <c r="BW645" s="280"/>
      <c r="BX645" s="280"/>
      <c r="BY645" s="280"/>
    </row>
    <row r="646" spans="2:77" s="293" customFormat="1" x14ac:dyDescent="0.25">
      <c r="B646" s="280"/>
      <c r="C646" s="280"/>
      <c r="D646" s="280"/>
      <c r="E646" s="280"/>
      <c r="F646" s="280"/>
      <c r="G646" s="280"/>
      <c r="H646" s="280"/>
      <c r="I646" s="280"/>
      <c r="J646" s="280"/>
      <c r="K646" s="280"/>
      <c r="L646" s="283"/>
      <c r="M646" s="283"/>
      <c r="N646" s="280"/>
      <c r="O646" s="280"/>
      <c r="P646" s="280"/>
      <c r="Q646" s="280"/>
      <c r="R646" s="292"/>
      <c r="S646" s="292"/>
      <c r="T646" s="292"/>
      <c r="U646" s="292"/>
      <c r="V646" s="292"/>
      <c r="W646" s="292"/>
      <c r="X646" s="374"/>
      <c r="Y646" s="374"/>
      <c r="Z646" s="374"/>
      <c r="AA646" s="373"/>
      <c r="AB646" s="283"/>
      <c r="AC646" s="280"/>
      <c r="AD646" s="280"/>
      <c r="AE646" s="280"/>
      <c r="AF646" s="280"/>
      <c r="AG646" s="280"/>
      <c r="AH646" s="280"/>
      <c r="AI646" s="280"/>
      <c r="AJ646" s="280"/>
      <c r="AK646" s="280"/>
      <c r="AL646" s="280"/>
      <c r="AM646" s="280"/>
      <c r="AN646" s="280"/>
      <c r="AO646" s="280"/>
      <c r="AP646" s="280"/>
      <c r="AQ646" s="280"/>
      <c r="AR646" s="280"/>
      <c r="AS646" s="280"/>
      <c r="AT646" s="280"/>
      <c r="AU646" s="280"/>
      <c r="AV646" s="280"/>
      <c r="AW646" s="280"/>
      <c r="AX646" s="280"/>
      <c r="AY646" s="280"/>
      <c r="AZ646" s="280"/>
      <c r="BA646" s="280"/>
      <c r="BB646" s="280"/>
      <c r="BC646" s="280"/>
      <c r="BD646" s="280"/>
      <c r="BE646" s="280"/>
      <c r="BF646" s="280"/>
      <c r="BG646" s="280"/>
      <c r="BH646" s="280"/>
      <c r="BI646" s="280"/>
      <c r="BJ646" s="280"/>
      <c r="BK646" s="280"/>
      <c r="BL646" s="280"/>
      <c r="BM646" s="280"/>
      <c r="BN646" s="280"/>
      <c r="BO646" s="280"/>
      <c r="BP646" s="280"/>
      <c r="BQ646" s="280"/>
      <c r="BR646" s="280"/>
      <c r="BS646" s="280"/>
      <c r="BT646" s="280"/>
      <c r="BU646" s="280"/>
      <c r="BV646" s="280"/>
      <c r="BW646" s="280"/>
      <c r="BX646" s="280"/>
      <c r="BY646" s="280"/>
    </row>
    <row r="647" spans="2:77" s="293" customFormat="1" x14ac:dyDescent="0.25">
      <c r="B647" s="280"/>
      <c r="C647" s="280"/>
      <c r="D647" s="280"/>
      <c r="E647" s="280"/>
      <c r="F647" s="280"/>
      <c r="G647" s="280"/>
      <c r="H647" s="280"/>
      <c r="I647" s="280"/>
      <c r="J647" s="280"/>
      <c r="K647" s="280"/>
      <c r="L647" s="283"/>
      <c r="M647" s="283"/>
      <c r="N647" s="280"/>
      <c r="O647" s="280"/>
      <c r="P647" s="280"/>
      <c r="Q647" s="280"/>
      <c r="R647" s="292"/>
      <c r="S647" s="292"/>
      <c r="T647" s="292"/>
      <c r="U647" s="292"/>
      <c r="V647" s="292"/>
      <c r="W647" s="292"/>
      <c r="X647" s="374"/>
      <c r="Y647" s="374"/>
      <c r="Z647" s="374"/>
      <c r="AA647" s="373"/>
      <c r="AB647" s="283"/>
      <c r="AC647" s="280"/>
      <c r="AD647" s="280"/>
      <c r="AE647" s="280"/>
      <c r="AF647" s="280"/>
      <c r="AG647" s="280"/>
      <c r="AH647" s="280"/>
      <c r="AI647" s="280"/>
      <c r="AJ647" s="280"/>
      <c r="AK647" s="280"/>
      <c r="AL647" s="280"/>
      <c r="AM647" s="280"/>
      <c r="AN647" s="280"/>
      <c r="AO647" s="280"/>
      <c r="AP647" s="280"/>
      <c r="AQ647" s="280"/>
      <c r="AR647" s="280"/>
      <c r="AS647" s="280"/>
      <c r="AT647" s="280"/>
      <c r="AU647" s="280"/>
      <c r="AV647" s="280"/>
      <c r="AW647" s="280"/>
      <c r="AX647" s="280"/>
      <c r="AY647" s="280"/>
      <c r="AZ647" s="280"/>
      <c r="BA647" s="280"/>
      <c r="BB647" s="280"/>
      <c r="BC647" s="280"/>
      <c r="BD647" s="280"/>
      <c r="BE647" s="280"/>
      <c r="BF647" s="280"/>
      <c r="BG647" s="280"/>
      <c r="BH647" s="280"/>
      <c r="BI647" s="280"/>
      <c r="BJ647" s="280"/>
      <c r="BK647" s="280"/>
      <c r="BL647" s="280"/>
      <c r="BM647" s="280"/>
      <c r="BN647" s="280"/>
      <c r="BO647" s="280"/>
      <c r="BP647" s="280"/>
      <c r="BQ647" s="280"/>
      <c r="BR647" s="280"/>
      <c r="BS647" s="280"/>
      <c r="BT647" s="280"/>
      <c r="BU647" s="280"/>
      <c r="BV647" s="280"/>
      <c r="BW647" s="280"/>
      <c r="BX647" s="280"/>
      <c r="BY647" s="280"/>
    </row>
    <row r="648" spans="2:77" s="293" customFormat="1" x14ac:dyDescent="0.25">
      <c r="B648" s="280"/>
      <c r="C648" s="280"/>
      <c r="D648" s="280"/>
      <c r="E648" s="280"/>
      <c r="F648" s="280"/>
      <c r="G648" s="280"/>
      <c r="H648" s="280"/>
      <c r="I648" s="280"/>
      <c r="J648" s="280"/>
      <c r="K648" s="280"/>
      <c r="L648" s="283"/>
      <c r="M648" s="283"/>
      <c r="N648" s="280"/>
      <c r="O648" s="280"/>
      <c r="P648" s="280"/>
      <c r="Q648" s="280"/>
      <c r="R648" s="292"/>
      <c r="S648" s="292"/>
      <c r="T648" s="292"/>
      <c r="U648" s="292"/>
      <c r="V648" s="292"/>
      <c r="W648" s="292"/>
      <c r="X648" s="374"/>
      <c r="Y648" s="374"/>
      <c r="Z648" s="374"/>
      <c r="AA648" s="373"/>
      <c r="AB648" s="283"/>
      <c r="AC648" s="280"/>
      <c r="AD648" s="280"/>
      <c r="AE648" s="280"/>
      <c r="AF648" s="280"/>
      <c r="AG648" s="280"/>
      <c r="AH648" s="280"/>
      <c r="AI648" s="280"/>
      <c r="AJ648" s="280"/>
      <c r="AK648" s="280"/>
      <c r="AL648" s="280"/>
      <c r="AM648" s="280"/>
      <c r="AN648" s="280"/>
      <c r="AO648" s="280"/>
      <c r="AP648" s="280"/>
      <c r="AQ648" s="280"/>
      <c r="AR648" s="280"/>
      <c r="AS648" s="280"/>
      <c r="AT648" s="280"/>
      <c r="AU648" s="280"/>
      <c r="AV648" s="280"/>
      <c r="AW648" s="280"/>
      <c r="AX648" s="280"/>
      <c r="AY648" s="280"/>
      <c r="AZ648" s="280"/>
      <c r="BA648" s="280"/>
      <c r="BB648" s="280"/>
      <c r="BC648" s="280"/>
      <c r="BD648" s="280"/>
      <c r="BE648" s="280"/>
      <c r="BF648" s="280"/>
      <c r="BG648" s="280"/>
      <c r="BH648" s="280"/>
      <c r="BI648" s="280"/>
      <c r="BJ648" s="280"/>
      <c r="BK648" s="280"/>
      <c r="BL648" s="280"/>
      <c r="BM648" s="280"/>
      <c r="BN648" s="280"/>
      <c r="BO648" s="280"/>
      <c r="BP648" s="280"/>
      <c r="BQ648" s="280"/>
      <c r="BR648" s="280"/>
      <c r="BS648" s="280"/>
      <c r="BT648" s="280"/>
      <c r="BU648" s="280"/>
      <c r="BV648" s="280"/>
      <c r="BW648" s="280"/>
      <c r="BX648" s="280"/>
      <c r="BY648" s="280"/>
    </row>
    <row r="649" spans="2:77" s="293" customFormat="1" x14ac:dyDescent="0.25">
      <c r="B649" s="280"/>
      <c r="C649" s="280"/>
      <c r="D649" s="280"/>
      <c r="E649" s="280"/>
      <c r="F649" s="280"/>
      <c r="G649" s="280"/>
      <c r="H649" s="280"/>
      <c r="I649" s="280"/>
      <c r="J649" s="280"/>
      <c r="K649" s="280"/>
      <c r="L649" s="283"/>
      <c r="M649" s="283"/>
      <c r="N649" s="280"/>
      <c r="O649" s="280"/>
      <c r="P649" s="280"/>
      <c r="Q649" s="280"/>
      <c r="R649" s="292"/>
      <c r="S649" s="292"/>
      <c r="T649" s="292"/>
      <c r="U649" s="292"/>
      <c r="V649" s="292"/>
      <c r="W649" s="292"/>
      <c r="X649" s="374"/>
      <c r="Y649" s="374"/>
      <c r="Z649" s="374"/>
      <c r="AA649" s="373"/>
      <c r="AB649" s="283"/>
      <c r="AC649" s="280"/>
      <c r="AD649" s="280"/>
      <c r="AE649" s="280"/>
      <c r="AF649" s="280"/>
      <c r="AG649" s="280"/>
      <c r="AH649" s="280"/>
      <c r="AI649" s="280"/>
      <c r="AJ649" s="280"/>
      <c r="AK649" s="280"/>
      <c r="AL649" s="280"/>
      <c r="AM649" s="280"/>
      <c r="AN649" s="280"/>
      <c r="AO649" s="280"/>
      <c r="AP649" s="280"/>
      <c r="AQ649" s="280"/>
      <c r="AR649" s="280"/>
      <c r="AS649" s="280"/>
      <c r="AT649" s="280"/>
      <c r="AU649" s="280"/>
      <c r="AV649" s="280"/>
      <c r="AW649" s="280"/>
      <c r="AX649" s="280"/>
      <c r="AY649" s="280"/>
      <c r="AZ649" s="280"/>
      <c r="BA649" s="280"/>
      <c r="BB649" s="280"/>
      <c r="BC649" s="280"/>
      <c r="BD649" s="280"/>
      <c r="BE649" s="280"/>
      <c r="BF649" s="280"/>
      <c r="BG649" s="280"/>
      <c r="BH649" s="280"/>
      <c r="BI649" s="280"/>
      <c r="BJ649" s="280"/>
      <c r="BK649" s="280"/>
      <c r="BL649" s="280"/>
      <c r="BM649" s="280"/>
      <c r="BN649" s="280"/>
      <c r="BO649" s="280"/>
      <c r="BP649" s="280"/>
      <c r="BQ649" s="280"/>
      <c r="BR649" s="280"/>
      <c r="BS649" s="280"/>
      <c r="BT649" s="280"/>
      <c r="BU649" s="280"/>
      <c r="BV649" s="280"/>
      <c r="BW649" s="280"/>
      <c r="BX649" s="280"/>
      <c r="BY649" s="280"/>
    </row>
    <row r="650" spans="2:77" s="293" customFormat="1" x14ac:dyDescent="0.25">
      <c r="B650" s="280"/>
      <c r="C650" s="280"/>
      <c r="D650" s="280"/>
      <c r="E650" s="280"/>
      <c r="F650" s="280"/>
      <c r="G650" s="280"/>
      <c r="H650" s="280"/>
      <c r="I650" s="280"/>
      <c r="J650" s="280"/>
      <c r="K650" s="280"/>
      <c r="L650" s="283"/>
      <c r="M650" s="283"/>
      <c r="N650" s="280"/>
      <c r="O650" s="280"/>
      <c r="P650" s="280"/>
      <c r="Q650" s="280"/>
      <c r="R650" s="292"/>
      <c r="S650" s="292"/>
      <c r="T650" s="292"/>
      <c r="U650" s="292"/>
      <c r="V650" s="292"/>
      <c r="W650" s="292"/>
      <c r="X650" s="374"/>
      <c r="Y650" s="374"/>
      <c r="Z650" s="374"/>
      <c r="AA650" s="373"/>
      <c r="AB650" s="283"/>
      <c r="AC650" s="280"/>
      <c r="AD650" s="280"/>
      <c r="AE650" s="280"/>
      <c r="AF650" s="280"/>
      <c r="AG650" s="280"/>
      <c r="AH650" s="280"/>
      <c r="AI650" s="280"/>
      <c r="AJ650" s="280"/>
      <c r="AK650" s="280"/>
      <c r="AL650" s="280"/>
      <c r="AM650" s="280"/>
      <c r="AN650" s="280"/>
      <c r="AO650" s="280"/>
      <c r="AP650" s="280"/>
      <c r="AQ650" s="280"/>
      <c r="AR650" s="280"/>
      <c r="AS650" s="280"/>
      <c r="AT650" s="280"/>
      <c r="AU650" s="280"/>
      <c r="AV650" s="280"/>
      <c r="AW650" s="280"/>
      <c r="AX650" s="280"/>
      <c r="AY650" s="280"/>
      <c r="AZ650" s="280"/>
      <c r="BA650" s="280"/>
      <c r="BB650" s="280"/>
      <c r="BC650" s="280"/>
      <c r="BD650" s="280"/>
      <c r="BE650" s="280"/>
      <c r="BF650" s="280"/>
      <c r="BG650" s="280"/>
      <c r="BH650" s="280"/>
      <c r="BI650" s="280"/>
      <c r="BJ650" s="280"/>
      <c r="BK650" s="280"/>
      <c r="BL650" s="280"/>
      <c r="BM650" s="280"/>
      <c r="BN650" s="280"/>
      <c r="BO650" s="280"/>
      <c r="BP650" s="280"/>
      <c r="BQ650" s="280"/>
      <c r="BR650" s="280"/>
      <c r="BS650" s="280"/>
      <c r="BT650" s="280"/>
      <c r="BU650" s="280"/>
      <c r="BV650" s="280"/>
      <c r="BW650" s="280"/>
      <c r="BX650" s="280"/>
      <c r="BY650" s="280"/>
    </row>
    <row r="651" spans="2:77" s="293" customFormat="1" x14ac:dyDescent="0.25">
      <c r="B651" s="280"/>
      <c r="C651" s="280"/>
      <c r="D651" s="280"/>
      <c r="E651" s="280"/>
      <c r="F651" s="280"/>
      <c r="G651" s="280"/>
      <c r="H651" s="280"/>
      <c r="I651" s="280"/>
      <c r="J651" s="280"/>
      <c r="K651" s="280"/>
      <c r="L651" s="283"/>
      <c r="M651" s="283"/>
      <c r="N651" s="280"/>
      <c r="O651" s="280"/>
      <c r="P651" s="280"/>
      <c r="Q651" s="280"/>
      <c r="R651" s="292"/>
      <c r="S651" s="292"/>
      <c r="T651" s="292"/>
      <c r="U651" s="292"/>
      <c r="V651" s="292"/>
      <c r="W651" s="292"/>
      <c r="X651" s="374"/>
      <c r="Y651" s="374"/>
      <c r="Z651" s="374"/>
      <c r="AA651" s="373"/>
      <c r="AB651" s="283"/>
      <c r="AC651" s="280"/>
      <c r="AD651" s="280"/>
      <c r="AE651" s="280"/>
      <c r="AF651" s="280"/>
      <c r="AG651" s="280"/>
      <c r="AH651" s="280"/>
      <c r="AI651" s="280"/>
      <c r="AJ651" s="280"/>
      <c r="AK651" s="280"/>
      <c r="AL651" s="280"/>
      <c r="AM651" s="280"/>
      <c r="AN651" s="280"/>
      <c r="AO651" s="280"/>
      <c r="AP651" s="280"/>
      <c r="AQ651" s="280"/>
      <c r="AR651" s="280"/>
      <c r="AS651" s="280"/>
      <c r="AT651" s="280"/>
      <c r="AU651" s="280"/>
      <c r="AV651" s="280"/>
      <c r="AW651" s="280"/>
      <c r="AX651" s="280"/>
      <c r="AY651" s="280"/>
      <c r="AZ651" s="280"/>
      <c r="BA651" s="280"/>
      <c r="BB651" s="280"/>
      <c r="BC651" s="280"/>
      <c r="BD651" s="280"/>
      <c r="BE651" s="280"/>
      <c r="BF651" s="280"/>
      <c r="BG651" s="280"/>
      <c r="BH651" s="280"/>
      <c r="BI651" s="280"/>
      <c r="BJ651" s="280"/>
      <c r="BK651" s="280"/>
      <c r="BL651" s="280"/>
      <c r="BM651" s="280"/>
      <c r="BN651" s="280"/>
      <c r="BO651" s="280"/>
      <c r="BP651" s="280"/>
      <c r="BQ651" s="280"/>
      <c r="BR651" s="280"/>
      <c r="BS651" s="280"/>
      <c r="BT651" s="280"/>
      <c r="BU651" s="280"/>
      <c r="BV651" s="280"/>
      <c r="BW651" s="280"/>
      <c r="BX651" s="280"/>
      <c r="BY651" s="280"/>
    </row>
    <row r="652" spans="2:77" s="293" customFormat="1" x14ac:dyDescent="0.25">
      <c r="B652" s="280"/>
      <c r="C652" s="280"/>
      <c r="D652" s="280"/>
      <c r="E652" s="280"/>
      <c r="F652" s="280"/>
      <c r="G652" s="280"/>
      <c r="H652" s="280"/>
      <c r="I652" s="280"/>
      <c r="J652" s="280"/>
      <c r="K652" s="280"/>
      <c r="L652" s="283"/>
      <c r="M652" s="283"/>
      <c r="N652" s="280"/>
      <c r="O652" s="280"/>
      <c r="P652" s="280"/>
      <c r="Q652" s="280"/>
      <c r="R652" s="292"/>
      <c r="S652" s="292"/>
      <c r="T652" s="292"/>
      <c r="U652" s="292"/>
      <c r="V652" s="292"/>
      <c r="W652" s="292"/>
      <c r="X652" s="374"/>
      <c r="Y652" s="374"/>
      <c r="Z652" s="374"/>
      <c r="AA652" s="373"/>
      <c r="AB652" s="283"/>
      <c r="AC652" s="280"/>
      <c r="AD652" s="280"/>
      <c r="AE652" s="280"/>
      <c r="AF652" s="280"/>
      <c r="AG652" s="280"/>
      <c r="AH652" s="280"/>
      <c r="AI652" s="280"/>
      <c r="AJ652" s="280"/>
      <c r="AK652" s="280"/>
      <c r="AL652" s="280"/>
      <c r="AM652" s="280"/>
      <c r="AN652" s="280"/>
      <c r="AO652" s="280"/>
      <c r="AP652" s="280"/>
      <c r="AQ652" s="280"/>
      <c r="AR652" s="280"/>
      <c r="AS652" s="280"/>
      <c r="AT652" s="280"/>
      <c r="AU652" s="280"/>
      <c r="AV652" s="280"/>
      <c r="AW652" s="280"/>
      <c r="AX652" s="280"/>
      <c r="AY652" s="280"/>
      <c r="AZ652" s="280"/>
      <c r="BA652" s="280"/>
      <c r="BB652" s="280"/>
      <c r="BC652" s="280"/>
      <c r="BD652" s="280"/>
      <c r="BE652" s="280"/>
      <c r="BF652" s="280"/>
      <c r="BG652" s="280"/>
      <c r="BH652" s="280"/>
      <c r="BI652" s="280"/>
      <c r="BJ652" s="280"/>
      <c r="BK652" s="280"/>
      <c r="BL652" s="280"/>
      <c r="BM652" s="280"/>
      <c r="BN652" s="280"/>
      <c r="BO652" s="280"/>
      <c r="BP652" s="280"/>
      <c r="BQ652" s="280"/>
      <c r="BR652" s="280"/>
      <c r="BS652" s="280"/>
      <c r="BT652" s="280"/>
      <c r="BU652" s="280"/>
      <c r="BV652" s="280"/>
      <c r="BW652" s="280"/>
      <c r="BX652" s="280"/>
      <c r="BY652" s="280"/>
    </row>
    <row r="653" spans="2:77" s="293" customFormat="1" x14ac:dyDescent="0.25">
      <c r="B653" s="280"/>
      <c r="C653" s="280"/>
      <c r="D653" s="280"/>
      <c r="E653" s="280"/>
      <c r="F653" s="280"/>
      <c r="G653" s="280"/>
      <c r="H653" s="280"/>
      <c r="I653" s="280"/>
      <c r="J653" s="280"/>
      <c r="K653" s="280"/>
      <c r="L653" s="283"/>
      <c r="M653" s="283"/>
      <c r="N653" s="280"/>
      <c r="O653" s="280"/>
      <c r="P653" s="280"/>
      <c r="Q653" s="280"/>
      <c r="R653" s="292"/>
      <c r="S653" s="292"/>
      <c r="T653" s="292"/>
      <c r="U653" s="292"/>
      <c r="V653" s="292"/>
      <c r="W653" s="292"/>
      <c r="X653" s="374"/>
      <c r="Y653" s="374"/>
      <c r="Z653" s="374"/>
      <c r="AA653" s="373"/>
      <c r="AB653" s="283"/>
      <c r="AC653" s="280"/>
      <c r="AD653" s="280"/>
      <c r="AE653" s="280"/>
      <c r="AF653" s="280"/>
      <c r="AG653" s="280"/>
      <c r="AH653" s="280"/>
      <c r="AI653" s="280"/>
      <c r="AJ653" s="280"/>
      <c r="AK653" s="280"/>
      <c r="AL653" s="280"/>
      <c r="AM653" s="280"/>
      <c r="AN653" s="280"/>
      <c r="AO653" s="280"/>
      <c r="AP653" s="280"/>
      <c r="AQ653" s="280"/>
      <c r="AR653" s="280"/>
      <c r="AS653" s="280"/>
      <c r="AT653" s="280"/>
      <c r="AU653" s="280"/>
      <c r="AV653" s="280"/>
      <c r="AW653" s="280"/>
      <c r="AX653" s="280"/>
      <c r="AY653" s="280"/>
      <c r="AZ653" s="280"/>
      <c r="BA653" s="280"/>
      <c r="BB653" s="280"/>
      <c r="BC653" s="280"/>
      <c r="BD653" s="280"/>
      <c r="BE653" s="280"/>
      <c r="BF653" s="280"/>
      <c r="BG653" s="280"/>
      <c r="BH653" s="280"/>
      <c r="BI653" s="280"/>
      <c r="BJ653" s="280"/>
      <c r="BK653" s="280"/>
      <c r="BL653" s="280"/>
      <c r="BM653" s="280"/>
      <c r="BN653" s="280"/>
      <c r="BO653" s="280"/>
      <c r="BP653" s="280"/>
      <c r="BQ653" s="280"/>
      <c r="BR653" s="280"/>
      <c r="BS653" s="280"/>
      <c r="BT653" s="280"/>
      <c r="BU653" s="280"/>
      <c r="BV653" s="280"/>
      <c r="BW653" s="280"/>
      <c r="BX653" s="280"/>
      <c r="BY653" s="280"/>
    </row>
    <row r="654" spans="2:77" s="293" customFormat="1" x14ac:dyDescent="0.25">
      <c r="B654" s="280"/>
      <c r="C654" s="280"/>
      <c r="D654" s="280"/>
      <c r="E654" s="280"/>
      <c r="F654" s="280"/>
      <c r="G654" s="280"/>
      <c r="H654" s="280"/>
      <c r="I654" s="280"/>
      <c r="J654" s="280"/>
      <c r="K654" s="280"/>
      <c r="L654" s="283"/>
      <c r="M654" s="283"/>
      <c r="N654" s="280"/>
      <c r="O654" s="280"/>
      <c r="P654" s="280"/>
      <c r="Q654" s="280"/>
      <c r="R654" s="292"/>
      <c r="S654" s="292"/>
      <c r="T654" s="292"/>
      <c r="U654" s="292"/>
      <c r="V654" s="292"/>
      <c r="W654" s="292"/>
      <c r="X654" s="374"/>
      <c r="Y654" s="374"/>
      <c r="Z654" s="374"/>
      <c r="AA654" s="373"/>
      <c r="AB654" s="283"/>
      <c r="AC654" s="280"/>
      <c r="AD654" s="280"/>
      <c r="AE654" s="280"/>
      <c r="AF654" s="280"/>
      <c r="AG654" s="280"/>
      <c r="AH654" s="280"/>
      <c r="AI654" s="280"/>
      <c r="AJ654" s="280"/>
      <c r="AK654" s="280"/>
      <c r="AL654" s="280"/>
      <c r="AM654" s="280"/>
      <c r="AN654" s="280"/>
      <c r="AO654" s="280"/>
      <c r="AP654" s="280"/>
      <c r="AQ654" s="280"/>
      <c r="AR654" s="280"/>
      <c r="AS654" s="280"/>
      <c r="AT654" s="280"/>
      <c r="AU654" s="280"/>
      <c r="AV654" s="280"/>
      <c r="AW654" s="280"/>
      <c r="AX654" s="280"/>
      <c r="AY654" s="280"/>
      <c r="AZ654" s="280"/>
      <c r="BA654" s="280"/>
      <c r="BB654" s="280"/>
      <c r="BC654" s="280"/>
      <c r="BD654" s="280"/>
      <c r="BE654" s="280"/>
      <c r="BF654" s="280"/>
      <c r="BG654" s="280"/>
      <c r="BH654" s="280"/>
      <c r="BI654" s="280"/>
      <c r="BJ654" s="280"/>
      <c r="BK654" s="280"/>
      <c r="BL654" s="280"/>
      <c r="BM654" s="280"/>
      <c r="BN654" s="280"/>
      <c r="BO654" s="280"/>
      <c r="BP654" s="280"/>
      <c r="BQ654" s="280"/>
      <c r="BR654" s="280"/>
      <c r="BS654" s="280"/>
      <c r="BT654" s="280"/>
      <c r="BU654" s="280"/>
      <c r="BV654" s="280"/>
      <c r="BW654" s="280"/>
      <c r="BX654" s="280"/>
      <c r="BY654" s="280"/>
    </row>
    <row r="655" spans="2:77" s="293" customFormat="1" x14ac:dyDescent="0.25">
      <c r="B655" s="280"/>
      <c r="C655" s="280"/>
      <c r="D655" s="280"/>
      <c r="E655" s="280"/>
      <c r="F655" s="280"/>
      <c r="G655" s="280"/>
      <c r="H655" s="280"/>
      <c r="I655" s="280"/>
      <c r="J655" s="280"/>
      <c r="K655" s="280"/>
      <c r="L655" s="283"/>
      <c r="M655" s="283"/>
      <c r="N655" s="280"/>
      <c r="O655" s="280"/>
      <c r="P655" s="280"/>
      <c r="Q655" s="280"/>
      <c r="R655" s="292"/>
      <c r="S655" s="292"/>
      <c r="T655" s="292"/>
      <c r="U655" s="292"/>
      <c r="V655" s="292"/>
      <c r="W655" s="292"/>
      <c r="X655" s="374"/>
      <c r="Y655" s="374"/>
      <c r="Z655" s="374"/>
      <c r="AA655" s="373"/>
      <c r="AB655" s="283"/>
      <c r="AC655" s="280"/>
      <c r="AD655" s="280"/>
      <c r="AE655" s="280"/>
      <c r="AF655" s="280"/>
      <c r="AG655" s="280"/>
      <c r="AH655" s="280"/>
      <c r="AI655" s="280"/>
      <c r="AJ655" s="280"/>
      <c r="AK655" s="280"/>
      <c r="AL655" s="280"/>
      <c r="AM655" s="280"/>
      <c r="AN655" s="280"/>
      <c r="AO655" s="280"/>
      <c r="AP655" s="280"/>
      <c r="AQ655" s="280"/>
      <c r="AR655" s="280"/>
      <c r="AS655" s="280"/>
      <c r="AT655" s="280"/>
      <c r="AU655" s="280"/>
      <c r="AV655" s="280"/>
      <c r="AW655" s="280"/>
      <c r="AX655" s="280"/>
      <c r="AY655" s="280"/>
      <c r="AZ655" s="280"/>
      <c r="BA655" s="280"/>
      <c r="BB655" s="280"/>
      <c r="BC655" s="280"/>
      <c r="BD655" s="280"/>
      <c r="BE655" s="280"/>
      <c r="BF655" s="280"/>
      <c r="BG655" s="280"/>
      <c r="BH655" s="280"/>
      <c r="BI655" s="280"/>
      <c r="BJ655" s="280"/>
      <c r="BK655" s="280"/>
      <c r="BL655" s="280"/>
      <c r="BM655" s="280"/>
      <c r="BN655" s="280"/>
      <c r="BO655" s="280"/>
      <c r="BP655" s="280"/>
      <c r="BQ655" s="280"/>
      <c r="BR655" s="280"/>
      <c r="BS655" s="280"/>
      <c r="BT655" s="280"/>
      <c r="BU655" s="280"/>
      <c r="BV655" s="280"/>
      <c r="BW655" s="280"/>
      <c r="BX655" s="280"/>
      <c r="BY655" s="280"/>
    </row>
    <row r="656" spans="2:77" s="293" customFormat="1" x14ac:dyDescent="0.25">
      <c r="B656" s="280"/>
      <c r="C656" s="280"/>
      <c r="D656" s="280"/>
      <c r="E656" s="280"/>
      <c r="F656" s="280"/>
      <c r="G656" s="280"/>
      <c r="H656" s="280"/>
      <c r="I656" s="280"/>
      <c r="J656" s="280"/>
      <c r="K656" s="280"/>
      <c r="L656" s="283"/>
      <c r="M656" s="283"/>
      <c r="N656" s="280"/>
      <c r="O656" s="280"/>
      <c r="P656" s="280"/>
      <c r="Q656" s="280"/>
      <c r="R656" s="292"/>
      <c r="S656" s="292"/>
      <c r="T656" s="292"/>
      <c r="U656" s="292"/>
      <c r="V656" s="292"/>
      <c r="W656" s="292"/>
      <c r="X656" s="374"/>
      <c r="Y656" s="374"/>
      <c r="Z656" s="374"/>
      <c r="AA656" s="373"/>
      <c r="AB656" s="283"/>
      <c r="AC656" s="280"/>
      <c r="AD656" s="280"/>
      <c r="AE656" s="280"/>
      <c r="AF656" s="280"/>
      <c r="AG656" s="280"/>
      <c r="AH656" s="280"/>
      <c r="AI656" s="280"/>
      <c r="AJ656" s="280"/>
      <c r="AK656" s="280"/>
      <c r="AL656" s="280"/>
      <c r="AM656" s="280"/>
      <c r="AN656" s="280"/>
      <c r="AO656" s="280"/>
      <c r="AP656" s="280"/>
      <c r="AQ656" s="280"/>
      <c r="AR656" s="280"/>
      <c r="AS656" s="280"/>
      <c r="AT656" s="280"/>
      <c r="AU656" s="280"/>
      <c r="AV656" s="280"/>
      <c r="AW656" s="280"/>
      <c r="AX656" s="280"/>
      <c r="AY656" s="280"/>
      <c r="AZ656" s="280"/>
      <c r="BA656" s="280"/>
      <c r="BB656" s="280"/>
      <c r="BC656" s="280"/>
      <c r="BD656" s="280"/>
      <c r="BE656" s="280"/>
      <c r="BF656" s="280"/>
      <c r="BG656" s="280"/>
      <c r="BH656" s="280"/>
      <c r="BI656" s="280"/>
      <c r="BJ656" s="280"/>
      <c r="BK656" s="280"/>
      <c r="BL656" s="280"/>
      <c r="BM656" s="280"/>
      <c r="BN656" s="280"/>
      <c r="BO656" s="280"/>
      <c r="BP656" s="280"/>
      <c r="BQ656" s="280"/>
      <c r="BR656" s="280"/>
      <c r="BS656" s="280"/>
      <c r="BT656" s="280"/>
      <c r="BU656" s="280"/>
      <c r="BV656" s="280"/>
      <c r="BW656" s="280"/>
      <c r="BX656" s="280"/>
      <c r="BY656" s="280"/>
    </row>
    <row r="657" spans="2:77" s="293" customFormat="1" x14ac:dyDescent="0.25">
      <c r="B657" s="280"/>
      <c r="C657" s="280"/>
      <c r="D657" s="280"/>
      <c r="E657" s="280"/>
      <c r="F657" s="280"/>
      <c r="G657" s="280"/>
      <c r="H657" s="280"/>
      <c r="I657" s="280"/>
      <c r="J657" s="280"/>
      <c r="K657" s="280"/>
      <c r="L657" s="283"/>
      <c r="M657" s="283"/>
      <c r="N657" s="280"/>
      <c r="O657" s="280"/>
      <c r="P657" s="280"/>
      <c r="Q657" s="280"/>
      <c r="R657" s="292"/>
      <c r="S657" s="292"/>
      <c r="T657" s="292"/>
      <c r="U657" s="292"/>
      <c r="V657" s="292"/>
      <c r="W657" s="292"/>
      <c r="X657" s="374"/>
      <c r="Y657" s="374"/>
      <c r="Z657" s="374"/>
      <c r="AA657" s="373"/>
      <c r="AB657" s="283"/>
      <c r="AC657" s="280"/>
      <c r="AD657" s="280"/>
      <c r="AE657" s="280"/>
      <c r="AF657" s="280"/>
      <c r="AG657" s="280"/>
      <c r="AH657" s="280"/>
      <c r="AI657" s="280"/>
      <c r="AJ657" s="280"/>
      <c r="AK657" s="280"/>
      <c r="AL657" s="280"/>
      <c r="AM657" s="280"/>
      <c r="AN657" s="280"/>
      <c r="AO657" s="280"/>
      <c r="AP657" s="280"/>
      <c r="AQ657" s="280"/>
      <c r="AR657" s="280"/>
      <c r="AS657" s="280"/>
      <c r="AT657" s="280"/>
      <c r="AU657" s="280"/>
      <c r="AV657" s="280"/>
      <c r="AW657" s="280"/>
      <c r="AX657" s="280"/>
      <c r="AY657" s="280"/>
      <c r="AZ657" s="280"/>
      <c r="BA657" s="280"/>
      <c r="BB657" s="280"/>
      <c r="BC657" s="280"/>
      <c r="BD657" s="280"/>
      <c r="BE657" s="280"/>
      <c r="BF657" s="280"/>
      <c r="BG657" s="280"/>
      <c r="BH657" s="280"/>
      <c r="BI657" s="280"/>
      <c r="BJ657" s="280"/>
      <c r="BK657" s="280"/>
      <c r="BL657" s="280"/>
      <c r="BM657" s="280"/>
      <c r="BN657" s="280"/>
      <c r="BO657" s="280"/>
      <c r="BP657" s="280"/>
      <c r="BQ657" s="280"/>
      <c r="BR657" s="280"/>
      <c r="BS657" s="280"/>
      <c r="BT657" s="280"/>
      <c r="BU657" s="280"/>
      <c r="BV657" s="280"/>
      <c r="BW657" s="280"/>
      <c r="BX657" s="280"/>
      <c r="BY657" s="280"/>
    </row>
    <row r="658" spans="2:77" s="293" customFormat="1" x14ac:dyDescent="0.25">
      <c r="B658" s="280"/>
      <c r="C658" s="280"/>
      <c r="D658" s="280"/>
      <c r="E658" s="280"/>
      <c r="F658" s="280"/>
      <c r="G658" s="280"/>
      <c r="H658" s="280"/>
      <c r="I658" s="280"/>
      <c r="J658" s="280"/>
      <c r="K658" s="280"/>
      <c r="L658" s="283"/>
      <c r="M658" s="283"/>
      <c r="N658" s="280"/>
      <c r="O658" s="280"/>
      <c r="P658" s="280"/>
      <c r="Q658" s="280"/>
      <c r="R658" s="292"/>
      <c r="S658" s="292"/>
      <c r="T658" s="292"/>
      <c r="U658" s="292"/>
      <c r="V658" s="292"/>
      <c r="W658" s="292"/>
      <c r="X658" s="374"/>
      <c r="Y658" s="374"/>
      <c r="Z658" s="374"/>
      <c r="AA658" s="373"/>
      <c r="AB658" s="283"/>
      <c r="AC658" s="280"/>
      <c r="AD658" s="280"/>
      <c r="AE658" s="280"/>
      <c r="AF658" s="280"/>
      <c r="AG658" s="280"/>
      <c r="AH658" s="280"/>
      <c r="AI658" s="280"/>
      <c r="AJ658" s="280"/>
      <c r="AK658" s="280"/>
      <c r="AL658" s="280"/>
      <c r="AM658" s="280"/>
      <c r="AN658" s="280"/>
      <c r="AO658" s="280"/>
      <c r="AP658" s="280"/>
      <c r="AQ658" s="280"/>
      <c r="AR658" s="280"/>
      <c r="AS658" s="280"/>
      <c r="AT658" s="280"/>
      <c r="AU658" s="280"/>
      <c r="AV658" s="280"/>
      <c r="AW658" s="280"/>
      <c r="AX658" s="280"/>
      <c r="AY658" s="280"/>
      <c r="AZ658" s="280"/>
      <c r="BA658" s="280"/>
      <c r="BB658" s="280"/>
      <c r="BC658" s="280"/>
      <c r="BD658" s="280"/>
      <c r="BE658" s="280"/>
      <c r="BF658" s="280"/>
      <c r="BG658" s="280"/>
      <c r="BH658" s="280"/>
      <c r="BI658" s="280"/>
      <c r="BJ658" s="280"/>
      <c r="BK658" s="280"/>
      <c r="BL658" s="280"/>
      <c r="BM658" s="280"/>
      <c r="BN658" s="280"/>
      <c r="BO658" s="280"/>
      <c r="BP658" s="280"/>
      <c r="BQ658" s="280"/>
      <c r="BR658" s="280"/>
      <c r="BS658" s="280"/>
      <c r="BT658" s="280"/>
      <c r="BU658" s="280"/>
      <c r="BV658" s="280"/>
      <c r="BW658" s="280"/>
      <c r="BX658" s="280"/>
      <c r="BY658" s="280"/>
    </row>
    <row r="659" spans="2:77" s="293" customFormat="1" x14ac:dyDescent="0.25">
      <c r="B659" s="280"/>
      <c r="C659" s="280"/>
      <c r="D659" s="280"/>
      <c r="E659" s="280"/>
      <c r="F659" s="280"/>
      <c r="G659" s="280"/>
      <c r="H659" s="280"/>
      <c r="I659" s="280"/>
      <c r="J659" s="280"/>
      <c r="K659" s="280"/>
      <c r="L659" s="283"/>
      <c r="M659" s="283"/>
      <c r="N659" s="280"/>
      <c r="O659" s="280"/>
      <c r="P659" s="280"/>
      <c r="Q659" s="280"/>
      <c r="R659" s="292"/>
      <c r="S659" s="292"/>
      <c r="T659" s="292"/>
      <c r="U659" s="292"/>
      <c r="V659" s="292"/>
      <c r="W659" s="292"/>
      <c r="X659" s="374"/>
      <c r="Y659" s="374"/>
      <c r="Z659" s="374"/>
      <c r="AA659" s="373"/>
      <c r="AB659" s="283"/>
      <c r="AC659" s="280"/>
      <c r="AD659" s="280"/>
      <c r="AE659" s="280"/>
      <c r="AF659" s="280"/>
      <c r="AG659" s="280"/>
      <c r="AH659" s="280"/>
      <c r="AI659" s="280"/>
      <c r="AJ659" s="280"/>
      <c r="AK659" s="280"/>
      <c r="AL659" s="280"/>
      <c r="AM659" s="280"/>
      <c r="AN659" s="280"/>
      <c r="AO659" s="280"/>
      <c r="AP659" s="280"/>
      <c r="AQ659" s="280"/>
      <c r="AR659" s="280"/>
      <c r="AS659" s="280"/>
      <c r="AT659" s="280"/>
      <c r="AU659" s="280"/>
      <c r="AV659" s="280"/>
      <c r="AW659" s="280"/>
      <c r="AX659" s="280"/>
      <c r="AY659" s="280"/>
      <c r="AZ659" s="280"/>
      <c r="BA659" s="280"/>
      <c r="BB659" s="280"/>
      <c r="BC659" s="280"/>
      <c r="BD659" s="280"/>
      <c r="BE659" s="280"/>
      <c r="BF659" s="280"/>
      <c r="BG659" s="280"/>
      <c r="BH659" s="280"/>
      <c r="BI659" s="280"/>
      <c r="BJ659" s="280"/>
      <c r="BK659" s="280"/>
      <c r="BL659" s="280"/>
      <c r="BM659" s="280"/>
      <c r="BN659" s="280"/>
      <c r="BO659" s="280"/>
      <c r="BP659" s="280"/>
      <c r="BQ659" s="280"/>
      <c r="BR659" s="280"/>
      <c r="BS659" s="280"/>
      <c r="BT659" s="280"/>
      <c r="BU659" s="280"/>
      <c r="BV659" s="280"/>
      <c r="BW659" s="280"/>
      <c r="BX659" s="280"/>
      <c r="BY659" s="280"/>
    </row>
    <row r="660" spans="2:77" s="293" customFormat="1" x14ac:dyDescent="0.25">
      <c r="B660" s="280"/>
      <c r="C660" s="280"/>
      <c r="D660" s="280"/>
      <c r="E660" s="280"/>
      <c r="F660" s="280"/>
      <c r="G660" s="280"/>
      <c r="H660" s="280"/>
      <c r="I660" s="280"/>
      <c r="J660" s="280"/>
      <c r="K660" s="280"/>
      <c r="L660" s="283"/>
      <c r="M660" s="283"/>
      <c r="N660" s="280"/>
      <c r="O660" s="280"/>
      <c r="P660" s="280"/>
      <c r="Q660" s="280"/>
      <c r="R660" s="292"/>
      <c r="S660" s="292"/>
      <c r="T660" s="292"/>
      <c r="U660" s="292"/>
      <c r="V660" s="292"/>
      <c r="W660" s="292"/>
      <c r="X660" s="374"/>
      <c r="Y660" s="374"/>
      <c r="Z660" s="374"/>
      <c r="AA660" s="373"/>
      <c r="AB660" s="283"/>
      <c r="AC660" s="280"/>
      <c r="AD660" s="280"/>
      <c r="AE660" s="280"/>
      <c r="AF660" s="280"/>
      <c r="AG660" s="280"/>
      <c r="AH660" s="280"/>
      <c r="AI660" s="280"/>
      <c r="AJ660" s="280"/>
      <c r="AK660" s="280"/>
      <c r="AL660" s="280"/>
      <c r="AM660" s="280"/>
      <c r="AN660" s="280"/>
      <c r="AO660" s="280"/>
      <c r="AP660" s="280"/>
      <c r="AQ660" s="280"/>
      <c r="AR660" s="280"/>
      <c r="AS660" s="280"/>
      <c r="AT660" s="280"/>
      <c r="AU660" s="280"/>
      <c r="AV660" s="280"/>
      <c r="AW660" s="280"/>
      <c r="AX660" s="280"/>
      <c r="AY660" s="280"/>
      <c r="AZ660" s="280"/>
      <c r="BA660" s="280"/>
      <c r="BB660" s="280"/>
      <c r="BC660" s="280"/>
      <c r="BD660" s="280"/>
      <c r="BE660" s="280"/>
      <c r="BF660" s="280"/>
      <c r="BG660" s="280"/>
      <c r="BH660" s="280"/>
      <c r="BI660" s="280"/>
      <c r="BJ660" s="280"/>
      <c r="BK660" s="280"/>
      <c r="BL660" s="280"/>
      <c r="BM660" s="280"/>
      <c r="BN660" s="280"/>
      <c r="BO660" s="280"/>
      <c r="BP660" s="280"/>
      <c r="BQ660" s="280"/>
      <c r="BR660" s="280"/>
      <c r="BS660" s="280"/>
      <c r="BT660" s="280"/>
      <c r="BU660" s="280"/>
      <c r="BV660" s="280"/>
      <c r="BW660" s="280"/>
      <c r="BX660" s="280"/>
      <c r="BY660" s="280"/>
    </row>
    <row r="661" spans="2:77" s="293" customFormat="1" x14ac:dyDescent="0.25">
      <c r="B661" s="280"/>
      <c r="C661" s="280"/>
      <c r="D661" s="280"/>
      <c r="E661" s="280"/>
      <c r="F661" s="280"/>
      <c r="G661" s="280"/>
      <c r="H661" s="280"/>
      <c r="I661" s="280"/>
      <c r="J661" s="280"/>
      <c r="K661" s="280"/>
      <c r="L661" s="283"/>
      <c r="M661" s="283"/>
      <c r="N661" s="280"/>
      <c r="O661" s="280"/>
      <c r="P661" s="280"/>
      <c r="Q661" s="280"/>
      <c r="R661" s="292"/>
      <c r="S661" s="292"/>
      <c r="T661" s="292"/>
      <c r="U661" s="292"/>
      <c r="V661" s="292"/>
      <c r="W661" s="292"/>
      <c r="X661" s="374"/>
      <c r="Y661" s="374"/>
      <c r="Z661" s="374"/>
      <c r="AA661" s="373"/>
      <c r="AB661" s="283"/>
      <c r="AC661" s="280"/>
      <c r="AD661" s="280"/>
      <c r="AE661" s="280"/>
      <c r="AF661" s="280"/>
      <c r="AG661" s="280"/>
      <c r="AH661" s="280"/>
      <c r="AI661" s="280"/>
      <c r="AJ661" s="280"/>
      <c r="AK661" s="280"/>
      <c r="AL661" s="280"/>
      <c r="AM661" s="280"/>
      <c r="AN661" s="280"/>
      <c r="AO661" s="280"/>
      <c r="AP661" s="280"/>
      <c r="AQ661" s="280"/>
      <c r="AR661" s="280"/>
      <c r="AS661" s="280"/>
      <c r="AT661" s="280"/>
      <c r="AU661" s="280"/>
      <c r="AV661" s="280"/>
      <c r="AW661" s="280"/>
      <c r="AX661" s="280"/>
      <c r="AY661" s="280"/>
      <c r="AZ661" s="280"/>
      <c r="BA661" s="280"/>
      <c r="BB661" s="280"/>
      <c r="BC661" s="280"/>
      <c r="BD661" s="280"/>
      <c r="BE661" s="280"/>
      <c r="BF661" s="280"/>
      <c r="BG661" s="280"/>
      <c r="BH661" s="280"/>
      <c r="BI661" s="280"/>
      <c r="BJ661" s="280"/>
      <c r="BK661" s="280"/>
      <c r="BL661" s="280"/>
      <c r="BM661" s="280"/>
      <c r="BN661" s="280"/>
      <c r="BO661" s="280"/>
      <c r="BP661" s="280"/>
      <c r="BQ661" s="280"/>
      <c r="BR661" s="280"/>
      <c r="BS661" s="280"/>
      <c r="BT661" s="280"/>
      <c r="BU661" s="280"/>
      <c r="BV661" s="280"/>
      <c r="BW661" s="280"/>
      <c r="BX661" s="280"/>
      <c r="BY661" s="280"/>
    </row>
    <row r="662" spans="2:77" s="293" customFormat="1" x14ac:dyDescent="0.25">
      <c r="B662" s="280"/>
      <c r="C662" s="280"/>
      <c r="D662" s="280"/>
      <c r="E662" s="280"/>
      <c r="F662" s="280"/>
      <c r="G662" s="280"/>
      <c r="H662" s="280"/>
      <c r="I662" s="280"/>
      <c r="J662" s="280"/>
      <c r="K662" s="280"/>
      <c r="L662" s="283"/>
      <c r="M662" s="283"/>
      <c r="N662" s="280"/>
      <c r="O662" s="280"/>
      <c r="P662" s="280"/>
      <c r="Q662" s="280"/>
      <c r="R662" s="292"/>
      <c r="S662" s="292"/>
      <c r="T662" s="292"/>
      <c r="U662" s="292"/>
      <c r="V662" s="292"/>
      <c r="W662" s="292"/>
      <c r="X662" s="374"/>
      <c r="Y662" s="374"/>
      <c r="Z662" s="374"/>
      <c r="AA662" s="373"/>
      <c r="AB662" s="283"/>
      <c r="AC662" s="280"/>
      <c r="AD662" s="280"/>
      <c r="AE662" s="280"/>
      <c r="AF662" s="280"/>
      <c r="AG662" s="280"/>
      <c r="AH662" s="280"/>
      <c r="AI662" s="280"/>
      <c r="AJ662" s="280"/>
      <c r="AK662" s="280"/>
      <c r="AL662" s="280"/>
      <c r="AM662" s="280"/>
      <c r="AN662" s="280"/>
      <c r="AO662" s="280"/>
      <c r="AP662" s="280"/>
      <c r="AQ662" s="280"/>
      <c r="AR662" s="280"/>
      <c r="AS662" s="280"/>
      <c r="AT662" s="280"/>
      <c r="AU662" s="280"/>
      <c r="AV662" s="280"/>
      <c r="AW662" s="280"/>
      <c r="AX662" s="280"/>
      <c r="AY662" s="280"/>
      <c r="AZ662" s="280"/>
      <c r="BA662" s="280"/>
      <c r="BB662" s="280"/>
      <c r="BC662" s="280"/>
      <c r="BD662" s="280"/>
      <c r="BE662" s="280"/>
      <c r="BF662" s="280"/>
      <c r="BG662" s="280"/>
      <c r="BH662" s="280"/>
      <c r="BI662" s="280"/>
      <c r="BJ662" s="280"/>
      <c r="BK662" s="280"/>
      <c r="BL662" s="280"/>
      <c r="BM662" s="280"/>
      <c r="BN662" s="280"/>
      <c r="BO662" s="280"/>
      <c r="BP662" s="280"/>
      <c r="BQ662" s="280"/>
      <c r="BR662" s="280"/>
      <c r="BS662" s="280"/>
      <c r="BT662" s="280"/>
      <c r="BU662" s="280"/>
      <c r="BV662" s="280"/>
      <c r="BW662" s="280"/>
      <c r="BX662" s="280"/>
      <c r="BY662" s="280"/>
    </row>
    <row r="663" spans="2:77" s="293" customFormat="1" x14ac:dyDescent="0.25">
      <c r="B663" s="280"/>
      <c r="C663" s="280"/>
      <c r="D663" s="280"/>
      <c r="E663" s="280"/>
      <c r="F663" s="280"/>
      <c r="G663" s="280"/>
      <c r="H663" s="280"/>
      <c r="I663" s="280"/>
      <c r="J663" s="280"/>
      <c r="K663" s="280"/>
      <c r="L663" s="283"/>
      <c r="M663" s="283"/>
      <c r="N663" s="280"/>
      <c r="O663" s="280"/>
      <c r="P663" s="280"/>
      <c r="Q663" s="280"/>
      <c r="R663" s="292"/>
      <c r="S663" s="292"/>
      <c r="T663" s="292"/>
      <c r="U663" s="292"/>
      <c r="V663" s="292"/>
      <c r="W663" s="292"/>
      <c r="X663" s="374"/>
      <c r="Y663" s="374"/>
      <c r="Z663" s="374"/>
      <c r="AA663" s="373"/>
      <c r="AB663" s="283"/>
      <c r="AC663" s="280"/>
      <c r="AD663" s="280"/>
      <c r="AE663" s="280"/>
      <c r="AF663" s="280"/>
      <c r="AG663" s="280"/>
      <c r="AH663" s="280"/>
      <c r="AI663" s="280"/>
      <c r="AJ663" s="280"/>
      <c r="AK663" s="280"/>
      <c r="AL663" s="280"/>
      <c r="AM663" s="280"/>
      <c r="AN663" s="280"/>
      <c r="AO663" s="280"/>
      <c r="AP663" s="280"/>
      <c r="AQ663" s="280"/>
      <c r="AR663" s="280"/>
      <c r="AS663" s="280"/>
      <c r="AT663" s="280"/>
      <c r="AU663" s="280"/>
      <c r="AV663" s="280"/>
      <c r="AW663" s="280"/>
      <c r="AX663" s="280"/>
      <c r="AY663" s="280"/>
      <c r="AZ663" s="280"/>
      <c r="BA663" s="280"/>
      <c r="BB663" s="280"/>
      <c r="BC663" s="280"/>
      <c r="BD663" s="280"/>
      <c r="BE663" s="280"/>
      <c r="BF663" s="280"/>
      <c r="BG663" s="280"/>
      <c r="BH663" s="280"/>
      <c r="BI663" s="280"/>
      <c r="BJ663" s="280"/>
      <c r="BK663" s="280"/>
      <c r="BL663" s="280"/>
      <c r="BM663" s="280"/>
      <c r="BN663" s="280"/>
      <c r="BO663" s="280"/>
      <c r="BP663" s="280"/>
      <c r="BQ663" s="280"/>
      <c r="BR663" s="280"/>
      <c r="BS663" s="280"/>
      <c r="BT663" s="280"/>
      <c r="BU663" s="280"/>
      <c r="BV663" s="280"/>
      <c r="BW663" s="280"/>
      <c r="BX663" s="280"/>
      <c r="BY663" s="280"/>
    </row>
    <row r="664" spans="2:77" s="293" customFormat="1" x14ac:dyDescent="0.25">
      <c r="B664" s="280"/>
      <c r="C664" s="280"/>
      <c r="D664" s="280"/>
      <c r="E664" s="280"/>
      <c r="F664" s="280"/>
      <c r="G664" s="280"/>
      <c r="H664" s="280"/>
      <c r="I664" s="280"/>
      <c r="J664" s="280"/>
      <c r="K664" s="280"/>
      <c r="L664" s="283"/>
      <c r="M664" s="283"/>
      <c r="N664" s="280"/>
      <c r="O664" s="280"/>
      <c r="P664" s="280"/>
      <c r="Q664" s="280"/>
      <c r="R664" s="292"/>
      <c r="S664" s="292"/>
      <c r="T664" s="292"/>
      <c r="U664" s="292"/>
      <c r="V664" s="292"/>
      <c r="W664" s="292"/>
      <c r="X664" s="374"/>
      <c r="Y664" s="374"/>
      <c r="Z664" s="374"/>
      <c r="AA664" s="373"/>
      <c r="AB664" s="283"/>
      <c r="AC664" s="280"/>
      <c r="AD664" s="280"/>
      <c r="AE664" s="280"/>
      <c r="AF664" s="280"/>
      <c r="AG664" s="280"/>
      <c r="AH664" s="280"/>
      <c r="AI664" s="280"/>
      <c r="AJ664" s="280"/>
      <c r="AK664" s="280"/>
      <c r="AL664" s="280"/>
      <c r="AM664" s="280"/>
      <c r="AN664" s="280"/>
      <c r="AO664" s="280"/>
      <c r="AP664" s="280"/>
      <c r="AQ664" s="280"/>
      <c r="AR664" s="280"/>
      <c r="AS664" s="280"/>
      <c r="AT664" s="280"/>
      <c r="AU664" s="280"/>
      <c r="AV664" s="280"/>
      <c r="AW664" s="280"/>
      <c r="AX664" s="280"/>
      <c r="AY664" s="280"/>
      <c r="AZ664" s="280"/>
      <c r="BA664" s="280"/>
      <c r="BB664" s="280"/>
      <c r="BC664" s="280"/>
      <c r="BD664" s="280"/>
      <c r="BE664" s="280"/>
      <c r="BF664" s="280"/>
      <c r="BG664" s="280"/>
      <c r="BH664" s="280"/>
      <c r="BI664" s="280"/>
      <c r="BJ664" s="280"/>
      <c r="BK664" s="280"/>
      <c r="BL664" s="280"/>
      <c r="BM664" s="280"/>
      <c r="BN664" s="280"/>
      <c r="BO664" s="280"/>
      <c r="BP664" s="280"/>
      <c r="BQ664" s="280"/>
      <c r="BR664" s="280"/>
      <c r="BS664" s="280"/>
      <c r="BT664" s="280"/>
      <c r="BU664" s="280"/>
      <c r="BV664" s="280"/>
      <c r="BW664" s="280"/>
      <c r="BX664" s="280"/>
      <c r="BY664" s="280"/>
    </row>
    <row r="665" spans="2:77" s="293" customFormat="1" x14ac:dyDescent="0.25">
      <c r="B665" s="280"/>
      <c r="C665" s="280"/>
      <c r="D665" s="280"/>
      <c r="E665" s="280"/>
      <c r="F665" s="280"/>
      <c r="G665" s="280"/>
      <c r="H665" s="280"/>
      <c r="I665" s="280"/>
      <c r="J665" s="280"/>
      <c r="K665" s="280"/>
      <c r="L665" s="283"/>
      <c r="M665" s="283"/>
      <c r="N665" s="280"/>
      <c r="O665" s="280"/>
      <c r="P665" s="280"/>
      <c r="Q665" s="280"/>
      <c r="R665" s="292"/>
      <c r="S665" s="292"/>
      <c r="T665" s="292"/>
      <c r="U665" s="292"/>
      <c r="V665" s="292"/>
      <c r="W665" s="292"/>
      <c r="X665" s="374"/>
      <c r="Y665" s="374"/>
      <c r="Z665" s="374"/>
      <c r="AA665" s="373"/>
      <c r="AB665" s="283"/>
      <c r="AC665" s="280"/>
      <c r="AD665" s="280"/>
      <c r="AE665" s="280"/>
      <c r="AF665" s="280"/>
      <c r="AG665" s="280"/>
      <c r="AH665" s="280"/>
      <c r="AI665" s="280"/>
      <c r="AJ665" s="280"/>
      <c r="AK665" s="280"/>
      <c r="AL665" s="280"/>
      <c r="AM665" s="280"/>
      <c r="AN665" s="280"/>
      <c r="AO665" s="280"/>
      <c r="AP665" s="280"/>
      <c r="AQ665" s="280"/>
      <c r="AR665" s="280"/>
      <c r="AS665" s="280"/>
      <c r="AT665" s="280"/>
      <c r="AU665" s="280"/>
      <c r="AV665" s="280"/>
      <c r="AW665" s="280"/>
      <c r="AX665" s="280"/>
      <c r="AY665" s="280"/>
      <c r="AZ665" s="280"/>
      <c r="BA665" s="280"/>
      <c r="BB665" s="280"/>
      <c r="BC665" s="280"/>
      <c r="BD665" s="280"/>
      <c r="BE665" s="280"/>
      <c r="BF665" s="280"/>
      <c r="BG665" s="280"/>
      <c r="BH665" s="280"/>
      <c r="BI665" s="280"/>
      <c r="BJ665" s="280"/>
      <c r="BK665" s="280"/>
      <c r="BL665" s="280"/>
      <c r="BM665" s="280"/>
      <c r="BN665" s="280"/>
      <c r="BO665" s="280"/>
      <c r="BP665" s="280"/>
      <c r="BQ665" s="280"/>
      <c r="BR665" s="280"/>
      <c r="BS665" s="280"/>
      <c r="BT665" s="280"/>
      <c r="BU665" s="280"/>
      <c r="BV665" s="280"/>
      <c r="BW665" s="280"/>
      <c r="BX665" s="280"/>
      <c r="BY665" s="280"/>
    </row>
    <row r="666" spans="2:77" s="293" customFormat="1" x14ac:dyDescent="0.25">
      <c r="B666" s="280"/>
      <c r="C666" s="280"/>
      <c r="D666" s="280"/>
      <c r="E666" s="280"/>
      <c r="F666" s="280"/>
      <c r="G666" s="280"/>
      <c r="H666" s="280"/>
      <c r="I666" s="280"/>
      <c r="J666" s="280"/>
      <c r="K666" s="280"/>
      <c r="L666" s="283"/>
      <c r="M666" s="283"/>
      <c r="N666" s="280"/>
      <c r="O666" s="280"/>
      <c r="P666" s="280"/>
      <c r="Q666" s="280"/>
      <c r="R666" s="292"/>
      <c r="S666" s="292"/>
      <c r="T666" s="292"/>
      <c r="U666" s="292"/>
      <c r="V666" s="292"/>
      <c r="W666" s="292"/>
      <c r="X666" s="374"/>
      <c r="Y666" s="374"/>
      <c r="Z666" s="374"/>
      <c r="AA666" s="373"/>
      <c r="AB666" s="283"/>
      <c r="AC666" s="280"/>
      <c r="AD666" s="280"/>
      <c r="AE666" s="280"/>
      <c r="AF666" s="280"/>
      <c r="AG666" s="280"/>
      <c r="AH666" s="280"/>
      <c r="AI666" s="280"/>
      <c r="AJ666" s="280"/>
      <c r="AK666" s="280"/>
      <c r="AL666" s="280"/>
      <c r="AM666" s="280"/>
      <c r="AN666" s="280"/>
      <c r="AO666" s="280"/>
      <c r="AP666" s="280"/>
      <c r="AQ666" s="280"/>
      <c r="AR666" s="280"/>
      <c r="AS666" s="280"/>
      <c r="AT666" s="280"/>
      <c r="AU666" s="280"/>
      <c r="AV666" s="280"/>
      <c r="AW666" s="280"/>
      <c r="AX666" s="280"/>
      <c r="AY666" s="280"/>
      <c r="AZ666" s="280"/>
      <c r="BA666" s="280"/>
      <c r="BB666" s="280"/>
      <c r="BC666" s="280"/>
      <c r="BD666" s="280"/>
      <c r="BE666" s="280"/>
      <c r="BF666" s="280"/>
      <c r="BG666" s="280"/>
      <c r="BH666" s="280"/>
      <c r="BI666" s="280"/>
      <c r="BJ666" s="280"/>
      <c r="BK666" s="280"/>
      <c r="BL666" s="280"/>
      <c r="BM666" s="280"/>
      <c r="BN666" s="280"/>
      <c r="BO666" s="280"/>
      <c r="BP666" s="280"/>
      <c r="BQ666" s="280"/>
      <c r="BR666" s="280"/>
      <c r="BS666" s="280"/>
      <c r="BT666" s="280"/>
      <c r="BU666" s="280"/>
      <c r="BV666" s="280"/>
      <c r="BW666" s="280"/>
      <c r="BX666" s="280"/>
      <c r="BY666" s="280"/>
    </row>
    <row r="667" spans="2:77" s="293" customFormat="1" x14ac:dyDescent="0.25">
      <c r="B667" s="280"/>
      <c r="C667" s="280"/>
      <c r="D667" s="280"/>
      <c r="E667" s="280"/>
      <c r="F667" s="280"/>
      <c r="G667" s="280"/>
      <c r="H667" s="280"/>
      <c r="I667" s="280"/>
      <c r="J667" s="280"/>
      <c r="K667" s="280"/>
      <c r="L667" s="283"/>
      <c r="M667" s="283"/>
      <c r="N667" s="280"/>
      <c r="O667" s="280"/>
      <c r="P667" s="280"/>
      <c r="Q667" s="280"/>
      <c r="R667" s="292"/>
      <c r="S667" s="292"/>
      <c r="T667" s="292"/>
      <c r="U667" s="292"/>
      <c r="V667" s="292"/>
      <c r="W667" s="292"/>
      <c r="X667" s="374"/>
      <c r="Y667" s="374"/>
      <c r="Z667" s="374"/>
      <c r="AA667" s="373"/>
      <c r="AB667" s="283"/>
      <c r="AC667" s="280"/>
      <c r="AD667" s="280"/>
      <c r="AE667" s="280"/>
      <c r="AF667" s="280"/>
      <c r="AG667" s="280"/>
      <c r="AH667" s="280"/>
      <c r="AI667" s="280"/>
      <c r="AJ667" s="280"/>
      <c r="AK667" s="280"/>
      <c r="AL667" s="280"/>
      <c r="AM667" s="280"/>
      <c r="AN667" s="280"/>
      <c r="AO667" s="280"/>
      <c r="AP667" s="280"/>
      <c r="AQ667" s="280"/>
      <c r="AR667" s="280"/>
      <c r="AS667" s="280"/>
      <c r="AT667" s="280"/>
      <c r="AU667" s="280"/>
      <c r="AV667" s="280"/>
      <c r="AW667" s="280"/>
      <c r="AX667" s="280"/>
      <c r="AY667" s="280"/>
      <c r="AZ667" s="280"/>
      <c r="BA667" s="280"/>
      <c r="BB667" s="280"/>
      <c r="BC667" s="280"/>
      <c r="BD667" s="280"/>
      <c r="BE667" s="280"/>
      <c r="BF667" s="280"/>
      <c r="BG667" s="280"/>
      <c r="BH667" s="280"/>
      <c r="BI667" s="280"/>
      <c r="BJ667" s="280"/>
      <c r="BK667" s="280"/>
      <c r="BL667" s="280"/>
      <c r="BM667" s="280"/>
      <c r="BN667" s="280"/>
      <c r="BO667" s="280"/>
      <c r="BP667" s="280"/>
      <c r="BQ667" s="280"/>
      <c r="BR667" s="280"/>
      <c r="BS667" s="280"/>
      <c r="BT667" s="280"/>
      <c r="BU667" s="280"/>
      <c r="BV667" s="280"/>
      <c r="BW667" s="280"/>
      <c r="BX667" s="280"/>
      <c r="BY667" s="280"/>
    </row>
    <row r="668" spans="2:77" s="293" customFormat="1" x14ac:dyDescent="0.25">
      <c r="B668" s="280"/>
      <c r="C668" s="280"/>
      <c r="D668" s="280"/>
      <c r="E668" s="280"/>
      <c r="F668" s="280"/>
      <c r="G668" s="280"/>
      <c r="H668" s="280"/>
      <c r="I668" s="280"/>
      <c r="J668" s="280"/>
      <c r="K668" s="280"/>
      <c r="L668" s="283"/>
      <c r="M668" s="283"/>
      <c r="N668" s="280"/>
      <c r="O668" s="280"/>
      <c r="P668" s="280"/>
      <c r="Q668" s="280"/>
      <c r="R668" s="292"/>
      <c r="S668" s="292"/>
      <c r="T668" s="292"/>
      <c r="U668" s="292"/>
      <c r="V668" s="292"/>
      <c r="W668" s="292"/>
      <c r="X668" s="374"/>
      <c r="Y668" s="374"/>
      <c r="Z668" s="374"/>
      <c r="AA668" s="373"/>
      <c r="AB668" s="283"/>
      <c r="AC668" s="280"/>
      <c r="AD668" s="280"/>
      <c r="AE668" s="280"/>
      <c r="AF668" s="280"/>
      <c r="AG668" s="280"/>
      <c r="AH668" s="280"/>
      <c r="AI668" s="280"/>
      <c r="AJ668" s="280"/>
      <c r="AK668" s="280"/>
      <c r="AL668" s="280"/>
      <c r="AM668" s="280"/>
      <c r="AN668" s="280"/>
      <c r="AO668" s="280"/>
      <c r="AP668" s="280"/>
      <c r="AQ668" s="280"/>
      <c r="AR668" s="280"/>
      <c r="AS668" s="280"/>
      <c r="AT668" s="280"/>
      <c r="AU668" s="280"/>
      <c r="AV668" s="280"/>
      <c r="AW668" s="280"/>
      <c r="AX668" s="280"/>
      <c r="AY668" s="280"/>
      <c r="AZ668" s="280"/>
      <c r="BA668" s="280"/>
      <c r="BB668" s="280"/>
      <c r="BC668" s="280"/>
      <c r="BD668" s="280"/>
      <c r="BE668" s="280"/>
      <c r="BF668" s="280"/>
      <c r="BG668" s="280"/>
      <c r="BH668" s="280"/>
      <c r="BI668" s="280"/>
      <c r="BJ668" s="280"/>
      <c r="BK668" s="280"/>
      <c r="BL668" s="280"/>
      <c r="BM668" s="280"/>
      <c r="BN668" s="280"/>
      <c r="BO668" s="280"/>
      <c r="BP668" s="280"/>
      <c r="BQ668" s="280"/>
      <c r="BR668" s="280"/>
      <c r="BS668" s="280"/>
      <c r="BT668" s="280"/>
      <c r="BU668" s="280"/>
      <c r="BV668" s="280"/>
      <c r="BW668" s="280"/>
      <c r="BX668" s="280"/>
      <c r="BY668" s="280"/>
    </row>
    <row r="669" spans="2:77" s="293" customFormat="1" x14ac:dyDescent="0.25">
      <c r="B669" s="280"/>
      <c r="C669" s="280"/>
      <c r="D669" s="280"/>
      <c r="E669" s="280"/>
      <c r="F669" s="280"/>
      <c r="G669" s="280"/>
      <c r="H669" s="280"/>
      <c r="I669" s="280"/>
      <c r="J669" s="280"/>
      <c r="K669" s="280"/>
      <c r="L669" s="283"/>
      <c r="M669" s="283"/>
      <c r="N669" s="280"/>
      <c r="O669" s="280"/>
      <c r="P669" s="280"/>
      <c r="Q669" s="280"/>
      <c r="R669" s="292"/>
      <c r="S669" s="292"/>
      <c r="T669" s="292"/>
      <c r="U669" s="292"/>
      <c r="V669" s="292"/>
      <c r="W669" s="292"/>
      <c r="X669" s="374"/>
      <c r="Y669" s="374"/>
      <c r="Z669" s="374"/>
      <c r="AA669" s="373"/>
      <c r="AB669" s="283"/>
      <c r="AC669" s="280"/>
      <c r="AD669" s="280"/>
      <c r="AE669" s="280"/>
      <c r="AF669" s="280"/>
      <c r="AG669" s="280"/>
      <c r="AH669" s="280"/>
      <c r="AI669" s="280"/>
      <c r="AJ669" s="280"/>
      <c r="AK669" s="280"/>
      <c r="AL669" s="280"/>
      <c r="AM669" s="280"/>
      <c r="AN669" s="280"/>
      <c r="AO669" s="280"/>
      <c r="AP669" s="280"/>
      <c r="AQ669" s="280"/>
      <c r="AR669" s="280"/>
      <c r="AS669" s="280"/>
      <c r="AT669" s="280"/>
      <c r="AU669" s="280"/>
      <c r="AV669" s="280"/>
      <c r="AW669" s="280"/>
      <c r="AX669" s="280"/>
      <c r="AY669" s="280"/>
      <c r="AZ669" s="280"/>
      <c r="BA669" s="280"/>
      <c r="BB669" s="280"/>
      <c r="BC669" s="280"/>
      <c r="BD669" s="280"/>
      <c r="BE669" s="280"/>
      <c r="BF669" s="280"/>
      <c r="BG669" s="280"/>
      <c r="BH669" s="280"/>
      <c r="BI669" s="280"/>
      <c r="BJ669" s="280"/>
      <c r="BK669" s="280"/>
      <c r="BL669" s="280"/>
      <c r="BM669" s="280"/>
      <c r="BN669" s="280"/>
      <c r="BO669" s="280"/>
      <c r="BP669" s="280"/>
      <c r="BQ669" s="280"/>
      <c r="BR669" s="280"/>
      <c r="BS669" s="280"/>
      <c r="BT669" s="280"/>
      <c r="BU669" s="280"/>
      <c r="BV669" s="280"/>
      <c r="BW669" s="280"/>
      <c r="BX669" s="280"/>
      <c r="BY669" s="280"/>
    </row>
    <row r="670" spans="2:77" s="293" customFormat="1" x14ac:dyDescent="0.25">
      <c r="B670" s="280"/>
      <c r="C670" s="280"/>
      <c r="D670" s="280"/>
      <c r="E670" s="280"/>
      <c r="F670" s="280"/>
      <c r="G670" s="280"/>
      <c r="H670" s="280"/>
      <c r="I670" s="280"/>
      <c r="J670" s="280"/>
      <c r="K670" s="280"/>
      <c r="L670" s="283"/>
      <c r="M670" s="283"/>
      <c r="N670" s="280"/>
      <c r="O670" s="280"/>
      <c r="P670" s="280"/>
      <c r="Q670" s="280"/>
      <c r="R670" s="292"/>
      <c r="S670" s="292"/>
      <c r="T670" s="292"/>
      <c r="U670" s="292"/>
      <c r="V670" s="292"/>
      <c r="W670" s="292"/>
      <c r="X670" s="374"/>
      <c r="Y670" s="374"/>
      <c r="Z670" s="374"/>
      <c r="AA670" s="373"/>
      <c r="AB670" s="283"/>
      <c r="AC670" s="280"/>
      <c r="AD670" s="280"/>
      <c r="AE670" s="280"/>
      <c r="AF670" s="280"/>
      <c r="AG670" s="280"/>
      <c r="AH670" s="280"/>
      <c r="AI670" s="280"/>
      <c r="AJ670" s="280"/>
      <c r="AK670" s="280"/>
      <c r="AL670" s="280"/>
      <c r="AM670" s="280"/>
      <c r="AN670" s="280"/>
      <c r="AO670" s="280"/>
      <c r="AP670" s="280"/>
      <c r="AQ670" s="280"/>
      <c r="AR670" s="280"/>
      <c r="AS670" s="280"/>
      <c r="AT670" s="280"/>
      <c r="AU670" s="280"/>
      <c r="AV670" s="280"/>
      <c r="AW670" s="280"/>
      <c r="AX670" s="280"/>
      <c r="AY670" s="280"/>
      <c r="AZ670" s="280"/>
      <c r="BA670" s="280"/>
      <c r="BB670" s="280"/>
      <c r="BC670" s="280"/>
      <c r="BD670" s="280"/>
      <c r="BE670" s="280"/>
      <c r="BF670" s="280"/>
      <c r="BG670" s="280"/>
      <c r="BH670" s="280"/>
      <c r="BI670" s="280"/>
      <c r="BJ670" s="280"/>
      <c r="BK670" s="280"/>
      <c r="BL670" s="280"/>
      <c r="BM670" s="280"/>
      <c r="BN670" s="280"/>
      <c r="BO670" s="280"/>
      <c r="BP670" s="280"/>
      <c r="BQ670" s="280"/>
      <c r="BR670" s="280"/>
      <c r="BS670" s="280"/>
      <c r="BT670" s="280"/>
      <c r="BU670" s="280"/>
      <c r="BV670" s="280"/>
      <c r="BW670" s="280"/>
      <c r="BX670" s="280"/>
      <c r="BY670" s="280"/>
    </row>
    <row r="671" spans="2:77" s="293" customFormat="1" x14ac:dyDescent="0.25">
      <c r="B671" s="280"/>
      <c r="C671" s="280"/>
      <c r="D671" s="280"/>
      <c r="E671" s="280"/>
      <c r="F671" s="280"/>
      <c r="G671" s="280"/>
      <c r="H671" s="280"/>
      <c r="I671" s="280"/>
      <c r="J671" s="280"/>
      <c r="K671" s="280"/>
      <c r="L671" s="283"/>
      <c r="M671" s="283"/>
      <c r="N671" s="280"/>
      <c r="O671" s="280"/>
      <c r="P671" s="280"/>
      <c r="Q671" s="280"/>
      <c r="R671" s="292"/>
      <c r="S671" s="292"/>
      <c r="T671" s="292"/>
      <c r="U671" s="292"/>
      <c r="V671" s="292"/>
      <c r="W671" s="292"/>
      <c r="X671" s="374"/>
      <c r="Y671" s="374"/>
      <c r="Z671" s="374"/>
      <c r="AA671" s="373"/>
      <c r="AB671" s="283"/>
      <c r="AC671" s="280"/>
      <c r="AD671" s="280"/>
      <c r="AE671" s="280"/>
      <c r="AF671" s="280"/>
      <c r="AG671" s="280"/>
      <c r="AH671" s="280"/>
      <c r="AI671" s="280"/>
      <c r="AJ671" s="280"/>
      <c r="AK671" s="280"/>
      <c r="AL671" s="280"/>
      <c r="AM671" s="280"/>
      <c r="AN671" s="280"/>
      <c r="AO671" s="280"/>
      <c r="AP671" s="280"/>
      <c r="AQ671" s="280"/>
      <c r="AR671" s="280"/>
      <c r="AS671" s="280"/>
      <c r="AT671" s="280"/>
      <c r="AU671" s="280"/>
      <c r="AV671" s="280"/>
      <c r="AW671" s="280"/>
      <c r="AX671" s="280"/>
      <c r="AY671" s="280"/>
      <c r="AZ671" s="280"/>
      <c r="BA671" s="280"/>
      <c r="BB671" s="280"/>
      <c r="BC671" s="280"/>
      <c r="BD671" s="280"/>
      <c r="BE671" s="280"/>
      <c r="BF671" s="280"/>
      <c r="BG671" s="280"/>
      <c r="BH671" s="280"/>
      <c r="BI671" s="280"/>
      <c r="BJ671" s="280"/>
      <c r="BK671" s="280"/>
      <c r="BL671" s="280"/>
      <c r="BM671" s="280"/>
      <c r="BN671" s="280"/>
      <c r="BO671" s="280"/>
      <c r="BP671" s="280"/>
      <c r="BQ671" s="280"/>
      <c r="BR671" s="280"/>
      <c r="BS671" s="280"/>
      <c r="BT671" s="280"/>
      <c r="BU671" s="280"/>
      <c r="BV671" s="280"/>
      <c r="BW671" s="280"/>
      <c r="BX671" s="280"/>
      <c r="BY671" s="280"/>
    </row>
    <row r="672" spans="2:77" x14ac:dyDescent="0.25">
      <c r="L672" s="283"/>
      <c r="M672" s="283"/>
      <c r="AA672" s="373"/>
      <c r="AB672" s="283"/>
    </row>
    <row r="673" spans="12:28" x14ac:dyDescent="0.25">
      <c r="L673" s="283"/>
      <c r="M673" s="283"/>
      <c r="AA673" s="373"/>
      <c r="AB673" s="283"/>
    </row>
    <row r="674" spans="12:28" x14ac:dyDescent="0.25">
      <c r="L674" s="283"/>
      <c r="M674" s="283"/>
      <c r="AA674" s="373"/>
      <c r="AB674" s="283"/>
    </row>
    <row r="675" spans="12:28" x14ac:dyDescent="0.25">
      <c r="L675" s="283"/>
      <c r="M675" s="283"/>
      <c r="AA675" s="373"/>
      <c r="AB675" s="283"/>
    </row>
    <row r="676" spans="12:28" x14ac:dyDescent="0.25">
      <c r="L676" s="283"/>
      <c r="M676" s="283"/>
      <c r="AA676" s="373"/>
      <c r="AB676" s="283"/>
    </row>
    <row r="677" spans="12:28" x14ac:dyDescent="0.25">
      <c r="L677" s="283"/>
      <c r="M677" s="283"/>
      <c r="AA677" s="373"/>
      <c r="AB677" s="283"/>
    </row>
    <row r="678" spans="12:28" x14ac:dyDescent="0.25">
      <c r="L678" s="283"/>
      <c r="M678" s="283"/>
      <c r="AA678" s="373"/>
      <c r="AB678" s="283"/>
    </row>
    <row r="679" spans="12:28" x14ac:dyDescent="0.25">
      <c r="L679" s="283"/>
      <c r="M679" s="283"/>
      <c r="AA679" s="373"/>
      <c r="AB679" s="283"/>
    </row>
    <row r="680" spans="12:28" x14ac:dyDescent="0.25">
      <c r="L680" s="283"/>
      <c r="M680" s="283"/>
      <c r="AA680" s="373"/>
      <c r="AB680" s="283"/>
    </row>
    <row r="681" spans="12:28" x14ac:dyDescent="0.25">
      <c r="L681" s="283"/>
      <c r="M681" s="283"/>
      <c r="AA681" s="373"/>
      <c r="AB681" s="283"/>
    </row>
    <row r="682" spans="12:28" x14ac:dyDescent="0.25">
      <c r="L682" s="283"/>
      <c r="M682" s="283"/>
      <c r="AA682" s="373"/>
      <c r="AB682" s="283"/>
    </row>
    <row r="683" spans="12:28" x14ac:dyDescent="0.25">
      <c r="L683" s="283"/>
      <c r="M683" s="283"/>
      <c r="AA683" s="373"/>
      <c r="AB683" s="283"/>
    </row>
    <row r="684" spans="12:28" x14ac:dyDescent="0.25">
      <c r="L684" s="283"/>
      <c r="M684" s="283"/>
      <c r="AA684" s="373"/>
      <c r="AB684" s="283"/>
    </row>
    <row r="685" spans="12:28" x14ac:dyDescent="0.25">
      <c r="L685" s="283"/>
      <c r="M685" s="283"/>
      <c r="AA685" s="373"/>
      <c r="AB685" s="283"/>
    </row>
    <row r="686" spans="12:28" x14ac:dyDescent="0.25">
      <c r="L686" s="283"/>
      <c r="M686" s="283"/>
      <c r="AA686" s="373"/>
      <c r="AB686" s="283"/>
    </row>
    <row r="687" spans="12:28" x14ac:dyDescent="0.25">
      <c r="L687" s="283"/>
      <c r="M687" s="283"/>
      <c r="AA687" s="373"/>
      <c r="AB687" s="283"/>
    </row>
    <row r="688" spans="12:28" x14ac:dyDescent="0.25">
      <c r="L688" s="283"/>
      <c r="M688" s="283"/>
      <c r="AA688" s="373"/>
      <c r="AB688" s="283"/>
    </row>
    <row r="689" spans="12:28" x14ac:dyDescent="0.25">
      <c r="L689" s="283"/>
      <c r="M689" s="283"/>
      <c r="AA689" s="373"/>
      <c r="AB689" s="283"/>
    </row>
    <row r="690" spans="12:28" x14ac:dyDescent="0.25">
      <c r="L690" s="283"/>
      <c r="M690" s="283"/>
      <c r="AA690" s="373"/>
      <c r="AB690" s="283"/>
    </row>
    <row r="691" spans="12:28" x14ac:dyDescent="0.25">
      <c r="L691" s="283"/>
      <c r="M691" s="283"/>
      <c r="AA691" s="373"/>
      <c r="AB691" s="283"/>
    </row>
    <row r="692" spans="12:28" x14ac:dyDescent="0.25">
      <c r="L692" s="283"/>
      <c r="M692" s="283"/>
      <c r="AA692" s="373"/>
      <c r="AB692" s="283"/>
    </row>
    <row r="693" spans="12:28" x14ac:dyDescent="0.25">
      <c r="L693" s="283"/>
      <c r="M693" s="283"/>
      <c r="AA693" s="373"/>
      <c r="AB693" s="283"/>
    </row>
    <row r="694" spans="12:28" x14ac:dyDescent="0.25">
      <c r="L694" s="283"/>
      <c r="M694" s="283"/>
      <c r="AA694" s="373"/>
      <c r="AB694" s="283"/>
    </row>
    <row r="695" spans="12:28" x14ac:dyDescent="0.25">
      <c r="L695" s="283"/>
      <c r="M695" s="283"/>
      <c r="AA695" s="373"/>
      <c r="AB695" s="283"/>
    </row>
    <row r="696" spans="12:28" x14ac:dyDescent="0.25">
      <c r="L696" s="283"/>
      <c r="M696" s="283"/>
      <c r="AA696" s="373"/>
      <c r="AB696" s="283"/>
    </row>
    <row r="697" spans="12:28" x14ac:dyDescent="0.25">
      <c r="L697" s="283"/>
      <c r="M697" s="283"/>
      <c r="AA697" s="373"/>
      <c r="AB697" s="283"/>
    </row>
    <row r="698" spans="12:28" x14ac:dyDescent="0.25">
      <c r="L698" s="283"/>
      <c r="M698" s="283"/>
      <c r="AA698" s="373"/>
      <c r="AB698" s="283"/>
    </row>
    <row r="699" spans="12:28" x14ac:dyDescent="0.25">
      <c r="L699" s="283"/>
      <c r="M699" s="283"/>
      <c r="AA699" s="373"/>
      <c r="AB699" s="283"/>
    </row>
    <row r="700" spans="12:28" x14ac:dyDescent="0.25">
      <c r="L700" s="283"/>
      <c r="M700" s="283"/>
      <c r="AA700" s="373"/>
      <c r="AB700" s="283"/>
    </row>
    <row r="701" spans="12:28" x14ac:dyDescent="0.25">
      <c r="L701" s="283"/>
      <c r="M701" s="283"/>
      <c r="AA701" s="373"/>
      <c r="AB701" s="283"/>
    </row>
    <row r="702" spans="12:28" x14ac:dyDescent="0.25">
      <c r="L702" s="283"/>
      <c r="M702" s="283"/>
      <c r="AA702" s="373"/>
      <c r="AB702" s="283"/>
    </row>
    <row r="703" spans="12:28" x14ac:dyDescent="0.25">
      <c r="L703" s="283"/>
      <c r="M703" s="283"/>
      <c r="AA703" s="373"/>
      <c r="AB703" s="283"/>
    </row>
    <row r="704" spans="12:28" x14ac:dyDescent="0.25">
      <c r="L704" s="283"/>
      <c r="M704" s="283"/>
      <c r="AA704" s="373"/>
      <c r="AB704" s="283"/>
    </row>
    <row r="705" spans="12:28" x14ac:dyDescent="0.25">
      <c r="L705" s="283"/>
      <c r="M705" s="283"/>
      <c r="AA705" s="373"/>
      <c r="AB705" s="283"/>
    </row>
    <row r="706" spans="12:28" x14ac:dyDescent="0.25">
      <c r="L706" s="283"/>
      <c r="M706" s="283"/>
      <c r="AA706" s="373"/>
      <c r="AB706" s="283"/>
    </row>
    <row r="707" spans="12:28" x14ac:dyDescent="0.25">
      <c r="L707" s="283"/>
      <c r="M707" s="283"/>
      <c r="AA707" s="373"/>
      <c r="AB707" s="283"/>
    </row>
    <row r="708" spans="12:28" x14ac:dyDescent="0.25">
      <c r="L708" s="283"/>
      <c r="M708" s="283"/>
      <c r="AA708" s="373"/>
      <c r="AB708" s="283"/>
    </row>
    <row r="709" spans="12:28" x14ac:dyDescent="0.25">
      <c r="L709" s="283"/>
      <c r="M709" s="283"/>
      <c r="AA709" s="373"/>
      <c r="AB709" s="283"/>
    </row>
    <row r="710" spans="12:28" x14ac:dyDescent="0.25">
      <c r="L710" s="283"/>
      <c r="M710" s="283"/>
      <c r="AA710" s="373"/>
      <c r="AB710" s="283"/>
    </row>
    <row r="711" spans="12:28" x14ac:dyDescent="0.25">
      <c r="L711" s="283"/>
      <c r="M711" s="283"/>
      <c r="AA711" s="373"/>
      <c r="AB711" s="283"/>
    </row>
    <row r="712" spans="12:28" x14ac:dyDescent="0.25">
      <c r="L712" s="283"/>
      <c r="M712" s="283"/>
      <c r="AA712" s="373"/>
      <c r="AB712" s="283"/>
    </row>
    <row r="713" spans="12:28" x14ac:dyDescent="0.25">
      <c r="L713" s="283"/>
      <c r="M713" s="283"/>
      <c r="AA713" s="373"/>
      <c r="AB713" s="283"/>
    </row>
    <row r="714" spans="12:28" x14ac:dyDescent="0.25">
      <c r="L714" s="283"/>
      <c r="M714" s="283"/>
      <c r="AA714" s="373"/>
      <c r="AB714" s="283"/>
    </row>
    <row r="715" spans="12:28" x14ac:dyDescent="0.25">
      <c r="L715" s="283"/>
      <c r="M715" s="283"/>
      <c r="AA715" s="373"/>
      <c r="AB715" s="283"/>
    </row>
    <row r="716" spans="12:28" x14ac:dyDescent="0.25">
      <c r="L716" s="283"/>
      <c r="M716" s="283"/>
      <c r="AA716" s="373"/>
      <c r="AB716" s="283"/>
    </row>
    <row r="717" spans="12:28" x14ac:dyDescent="0.25">
      <c r="L717" s="283"/>
      <c r="M717" s="283"/>
      <c r="AA717" s="373"/>
      <c r="AB717" s="283"/>
    </row>
    <row r="718" spans="12:28" x14ac:dyDescent="0.25">
      <c r="L718" s="283"/>
      <c r="M718" s="283"/>
      <c r="AA718" s="373"/>
      <c r="AB718" s="283"/>
    </row>
    <row r="719" spans="12:28" x14ac:dyDescent="0.25">
      <c r="L719" s="283"/>
      <c r="M719" s="283"/>
      <c r="AA719" s="373"/>
      <c r="AB719" s="283"/>
    </row>
    <row r="720" spans="12:28" x14ac:dyDescent="0.25">
      <c r="L720" s="283"/>
      <c r="M720" s="283"/>
      <c r="AA720" s="373"/>
      <c r="AB720" s="283"/>
    </row>
    <row r="721" spans="12:28" x14ac:dyDescent="0.25">
      <c r="L721" s="283"/>
      <c r="M721" s="283"/>
      <c r="AA721" s="373"/>
      <c r="AB721" s="283"/>
    </row>
    <row r="722" spans="12:28" x14ac:dyDescent="0.25">
      <c r="L722" s="283"/>
      <c r="M722" s="283"/>
      <c r="AA722" s="373"/>
      <c r="AB722" s="283"/>
    </row>
    <row r="723" spans="12:28" x14ac:dyDescent="0.25">
      <c r="L723" s="283"/>
      <c r="M723" s="283"/>
      <c r="AA723" s="373"/>
      <c r="AB723" s="283"/>
    </row>
    <row r="724" spans="12:28" x14ac:dyDescent="0.25">
      <c r="L724" s="283"/>
      <c r="M724" s="283"/>
      <c r="AA724" s="373"/>
      <c r="AB724" s="283"/>
    </row>
    <row r="725" spans="12:28" x14ac:dyDescent="0.25">
      <c r="L725" s="283"/>
      <c r="M725" s="283"/>
      <c r="AA725" s="373"/>
      <c r="AB725" s="283"/>
    </row>
    <row r="726" spans="12:28" x14ac:dyDescent="0.25">
      <c r="L726" s="283"/>
      <c r="M726" s="283"/>
      <c r="AA726" s="373"/>
      <c r="AB726" s="283"/>
    </row>
    <row r="727" spans="12:28" x14ac:dyDescent="0.25">
      <c r="L727" s="283"/>
      <c r="M727" s="283"/>
      <c r="AA727" s="373"/>
      <c r="AB727" s="283"/>
    </row>
    <row r="728" spans="12:28" x14ac:dyDescent="0.25">
      <c r="L728" s="283"/>
      <c r="M728" s="283"/>
      <c r="AA728" s="373"/>
      <c r="AB728" s="283"/>
    </row>
    <row r="729" spans="12:28" x14ac:dyDescent="0.25">
      <c r="L729" s="283"/>
      <c r="M729" s="283"/>
      <c r="AA729" s="373"/>
      <c r="AB729" s="283"/>
    </row>
    <row r="730" spans="12:28" x14ac:dyDescent="0.25">
      <c r="L730" s="283"/>
      <c r="M730" s="283"/>
      <c r="AA730" s="373"/>
      <c r="AB730" s="283"/>
    </row>
    <row r="731" spans="12:28" x14ac:dyDescent="0.25">
      <c r="L731" s="283"/>
      <c r="M731" s="283"/>
      <c r="AA731" s="373"/>
      <c r="AB731" s="283"/>
    </row>
    <row r="732" spans="12:28" x14ac:dyDescent="0.25">
      <c r="L732" s="283"/>
      <c r="M732" s="283"/>
      <c r="AA732" s="373"/>
      <c r="AB732" s="283"/>
    </row>
    <row r="733" spans="12:28" x14ac:dyDescent="0.25">
      <c r="L733" s="283"/>
      <c r="M733" s="283"/>
      <c r="AA733" s="373"/>
      <c r="AB733" s="283"/>
    </row>
    <row r="734" spans="12:28" x14ac:dyDescent="0.25">
      <c r="L734" s="283"/>
      <c r="M734" s="283"/>
      <c r="AA734" s="373"/>
      <c r="AB734" s="283"/>
    </row>
    <row r="735" spans="12:28" x14ac:dyDescent="0.25">
      <c r="L735" s="283"/>
      <c r="M735" s="283"/>
      <c r="AA735" s="373"/>
      <c r="AB735" s="283"/>
    </row>
    <row r="736" spans="12:28" x14ac:dyDescent="0.25">
      <c r="L736" s="283"/>
      <c r="M736" s="283"/>
      <c r="AA736" s="373"/>
      <c r="AB736" s="283"/>
    </row>
    <row r="737" spans="12:28" x14ac:dyDescent="0.25">
      <c r="L737" s="283"/>
      <c r="M737" s="283"/>
      <c r="AA737" s="373"/>
      <c r="AB737" s="283"/>
    </row>
    <row r="738" spans="12:28" x14ac:dyDescent="0.25">
      <c r="L738" s="283"/>
      <c r="M738" s="283"/>
      <c r="AA738" s="373"/>
      <c r="AB738" s="283"/>
    </row>
    <row r="739" spans="12:28" x14ac:dyDescent="0.25">
      <c r="L739" s="283"/>
      <c r="M739" s="283"/>
      <c r="AA739" s="373"/>
      <c r="AB739" s="283"/>
    </row>
    <row r="740" spans="12:28" x14ac:dyDescent="0.25">
      <c r="L740" s="283"/>
      <c r="M740" s="283"/>
      <c r="AA740" s="373"/>
      <c r="AB740" s="283"/>
    </row>
    <row r="741" spans="12:28" x14ac:dyDescent="0.25">
      <c r="L741" s="283"/>
      <c r="M741" s="283"/>
      <c r="AA741" s="373"/>
      <c r="AB741" s="283"/>
    </row>
    <row r="742" spans="12:28" x14ac:dyDescent="0.25">
      <c r="L742" s="283"/>
      <c r="M742" s="283"/>
      <c r="AA742" s="373"/>
      <c r="AB742" s="283"/>
    </row>
    <row r="743" spans="12:28" x14ac:dyDescent="0.25">
      <c r="L743" s="283"/>
      <c r="M743" s="283"/>
      <c r="AA743" s="373"/>
      <c r="AB743" s="283"/>
    </row>
    <row r="744" spans="12:28" x14ac:dyDescent="0.25">
      <c r="L744" s="283"/>
      <c r="M744" s="283"/>
      <c r="AA744" s="373"/>
      <c r="AB744" s="283"/>
    </row>
    <row r="745" spans="12:28" x14ac:dyDescent="0.25">
      <c r="L745" s="283"/>
      <c r="M745" s="283"/>
      <c r="AA745" s="373"/>
      <c r="AB745" s="283"/>
    </row>
    <row r="746" spans="12:28" x14ac:dyDescent="0.25">
      <c r="L746" s="283"/>
      <c r="M746" s="283"/>
      <c r="AA746" s="373"/>
      <c r="AB746" s="283"/>
    </row>
    <row r="747" spans="12:28" x14ac:dyDescent="0.25">
      <c r="L747" s="283"/>
      <c r="M747" s="283"/>
      <c r="AA747" s="373"/>
      <c r="AB747" s="283"/>
    </row>
    <row r="748" spans="12:28" x14ac:dyDescent="0.25">
      <c r="L748" s="283"/>
      <c r="M748" s="283"/>
      <c r="AA748" s="373"/>
      <c r="AB748" s="283"/>
    </row>
    <row r="749" spans="12:28" x14ac:dyDescent="0.25">
      <c r="AA749" s="373"/>
      <c r="AB749" s="283"/>
    </row>
    <row r="750" spans="12:28" x14ac:dyDescent="0.25">
      <c r="AA750" s="373"/>
      <c r="AB750" s="283"/>
    </row>
    <row r="751" spans="12:28" x14ac:dyDescent="0.25">
      <c r="AA751" s="373"/>
      <c r="AB751" s="283"/>
    </row>
    <row r="752" spans="12:28" x14ac:dyDescent="0.25">
      <c r="AA752" s="373"/>
      <c r="AB752" s="283"/>
    </row>
    <row r="753" spans="27:28" x14ac:dyDescent="0.25">
      <c r="AA753" s="373"/>
      <c r="AB753" s="283"/>
    </row>
    <row r="754" spans="27:28" x14ac:dyDescent="0.25">
      <c r="AA754" s="373"/>
      <c r="AB754" s="283"/>
    </row>
    <row r="755" spans="27:28" x14ac:dyDescent="0.25">
      <c r="AA755" s="373"/>
      <c r="AB755" s="283"/>
    </row>
    <row r="756" spans="27:28" x14ac:dyDescent="0.25">
      <c r="AA756" s="373"/>
      <c r="AB756" s="283"/>
    </row>
    <row r="757" spans="27:28" x14ac:dyDescent="0.25">
      <c r="AA757" s="373"/>
      <c r="AB757" s="283"/>
    </row>
    <row r="758" spans="27:28" x14ac:dyDescent="0.25">
      <c r="AA758" s="373"/>
      <c r="AB758" s="283"/>
    </row>
    <row r="759" spans="27:28" x14ac:dyDescent="0.25">
      <c r="AA759" s="373"/>
      <c r="AB759" s="283"/>
    </row>
    <row r="760" spans="27:28" x14ac:dyDescent="0.25">
      <c r="AA760" s="373"/>
      <c r="AB760" s="283"/>
    </row>
    <row r="761" spans="27:28" x14ac:dyDescent="0.25">
      <c r="AA761" s="373"/>
      <c r="AB761" s="283"/>
    </row>
    <row r="762" spans="27:28" x14ac:dyDescent="0.25">
      <c r="AA762" s="373"/>
      <c r="AB762" s="283"/>
    </row>
    <row r="763" spans="27:28" x14ac:dyDescent="0.25">
      <c r="AA763" s="373"/>
      <c r="AB763" s="283"/>
    </row>
    <row r="764" spans="27:28" x14ac:dyDescent="0.25">
      <c r="AA764" s="373"/>
      <c r="AB764" s="283"/>
    </row>
    <row r="765" spans="27:28" x14ac:dyDescent="0.25">
      <c r="AA765" s="373"/>
      <c r="AB765" s="283"/>
    </row>
    <row r="766" spans="27:28" x14ac:dyDescent="0.25">
      <c r="AA766" s="373"/>
      <c r="AB766" s="283"/>
    </row>
    <row r="767" spans="27:28" x14ac:dyDescent="0.25">
      <c r="AA767" s="373"/>
      <c r="AB767" s="283"/>
    </row>
    <row r="768" spans="27:28" x14ac:dyDescent="0.25">
      <c r="AA768" s="373"/>
      <c r="AB768" s="283"/>
    </row>
    <row r="769" spans="27:28" x14ac:dyDescent="0.25">
      <c r="AA769" s="373"/>
      <c r="AB769" s="283"/>
    </row>
    <row r="770" spans="27:28" x14ac:dyDescent="0.25">
      <c r="AA770" s="373"/>
      <c r="AB770" s="283"/>
    </row>
    <row r="771" spans="27:28" x14ac:dyDescent="0.25">
      <c r="AA771" s="373"/>
      <c r="AB771" s="283"/>
    </row>
    <row r="772" spans="27:28" x14ac:dyDescent="0.25">
      <c r="AA772" s="373"/>
      <c r="AB772" s="283"/>
    </row>
    <row r="773" spans="27:28" x14ac:dyDescent="0.25">
      <c r="AA773" s="373"/>
      <c r="AB773" s="283"/>
    </row>
    <row r="774" spans="27:28" x14ac:dyDescent="0.25">
      <c r="AA774" s="373"/>
      <c r="AB774" s="283"/>
    </row>
    <row r="775" spans="27:28" x14ac:dyDescent="0.25">
      <c r="AA775" s="373"/>
      <c r="AB775" s="283"/>
    </row>
    <row r="776" spans="27:28" x14ac:dyDescent="0.25">
      <c r="AA776" s="373"/>
      <c r="AB776" s="283"/>
    </row>
    <row r="777" spans="27:28" x14ac:dyDescent="0.25">
      <c r="AA777" s="373"/>
      <c r="AB777" s="283"/>
    </row>
    <row r="778" spans="27:28" x14ac:dyDescent="0.25">
      <c r="AA778" s="373"/>
      <c r="AB778" s="283"/>
    </row>
    <row r="779" spans="27:28" x14ac:dyDescent="0.25">
      <c r="AA779" s="373"/>
      <c r="AB779" s="283"/>
    </row>
    <row r="780" spans="27:28" x14ac:dyDescent="0.25">
      <c r="AA780" s="373"/>
      <c r="AB780" s="283"/>
    </row>
    <row r="781" spans="27:28" x14ac:dyDescent="0.25">
      <c r="AA781" s="373"/>
      <c r="AB781" s="283"/>
    </row>
    <row r="782" spans="27:28" x14ac:dyDescent="0.25">
      <c r="AA782" s="373"/>
      <c r="AB782" s="283"/>
    </row>
    <row r="783" spans="27:28" x14ac:dyDescent="0.25">
      <c r="AA783" s="373"/>
      <c r="AB783" s="283"/>
    </row>
    <row r="784" spans="27:28" x14ac:dyDescent="0.25">
      <c r="AA784" s="373"/>
      <c r="AB784" s="283"/>
    </row>
    <row r="785" spans="27:28" x14ac:dyDescent="0.25">
      <c r="AA785" s="373"/>
      <c r="AB785" s="283"/>
    </row>
    <row r="786" spans="27:28" x14ac:dyDescent="0.25">
      <c r="AA786" s="373"/>
      <c r="AB786" s="283"/>
    </row>
    <row r="787" spans="27:28" x14ac:dyDescent="0.25">
      <c r="AA787" s="373"/>
      <c r="AB787" s="283"/>
    </row>
    <row r="788" spans="27:28" x14ac:dyDescent="0.25">
      <c r="AA788" s="373"/>
      <c r="AB788" s="283"/>
    </row>
    <row r="789" spans="27:28" x14ac:dyDescent="0.25">
      <c r="AA789" s="373"/>
      <c r="AB789" s="283"/>
    </row>
    <row r="790" spans="27:28" x14ac:dyDescent="0.25">
      <c r="AA790" s="373"/>
      <c r="AB790" s="283"/>
    </row>
    <row r="791" spans="27:28" x14ac:dyDescent="0.25">
      <c r="AA791" s="373"/>
      <c r="AB791" s="283"/>
    </row>
    <row r="792" spans="27:28" x14ac:dyDescent="0.25">
      <c r="AA792" s="373"/>
      <c r="AB792" s="283"/>
    </row>
    <row r="793" spans="27:28" x14ac:dyDescent="0.25">
      <c r="AA793" s="373"/>
      <c r="AB793" s="283"/>
    </row>
    <row r="794" spans="27:28" x14ac:dyDescent="0.25">
      <c r="AA794" s="373"/>
      <c r="AB794" s="283"/>
    </row>
    <row r="795" spans="27:28" x14ac:dyDescent="0.25">
      <c r="AA795" s="373"/>
      <c r="AB795" s="283"/>
    </row>
    <row r="796" spans="27:28" x14ac:dyDescent="0.25">
      <c r="AA796" s="373"/>
      <c r="AB796" s="283"/>
    </row>
    <row r="797" spans="27:28" x14ac:dyDescent="0.25">
      <c r="AA797" s="373"/>
      <c r="AB797" s="283"/>
    </row>
    <row r="798" spans="27:28" x14ac:dyDescent="0.25">
      <c r="AA798" s="373"/>
      <c r="AB798" s="283"/>
    </row>
    <row r="799" spans="27:28" x14ac:dyDescent="0.25">
      <c r="AA799" s="373"/>
      <c r="AB799" s="283"/>
    </row>
    <row r="800" spans="27:28" x14ac:dyDescent="0.25">
      <c r="AA800" s="373"/>
      <c r="AB800" s="283"/>
    </row>
    <row r="801" spans="27:28" x14ac:dyDescent="0.25">
      <c r="AA801" s="373"/>
      <c r="AB801" s="283"/>
    </row>
    <row r="802" spans="27:28" x14ac:dyDescent="0.25">
      <c r="AA802" s="373"/>
      <c r="AB802" s="283"/>
    </row>
    <row r="803" spans="27:28" x14ac:dyDescent="0.25">
      <c r="AA803" s="373"/>
      <c r="AB803" s="283"/>
    </row>
    <row r="804" spans="27:28" x14ac:dyDescent="0.25">
      <c r="AA804" s="373"/>
      <c r="AB804" s="283"/>
    </row>
    <row r="805" spans="27:28" x14ac:dyDescent="0.25">
      <c r="AA805" s="373"/>
      <c r="AB805" s="283"/>
    </row>
    <row r="806" spans="27:28" x14ac:dyDescent="0.25">
      <c r="AA806" s="373"/>
      <c r="AB806" s="283"/>
    </row>
    <row r="807" spans="27:28" x14ac:dyDescent="0.25">
      <c r="AA807" s="373"/>
      <c r="AB807" s="283"/>
    </row>
    <row r="808" spans="27:28" x14ac:dyDescent="0.25">
      <c r="AA808" s="373"/>
      <c r="AB808" s="283"/>
    </row>
    <row r="809" spans="27:28" x14ac:dyDescent="0.25">
      <c r="AA809" s="373"/>
      <c r="AB809" s="283"/>
    </row>
    <row r="810" spans="27:28" x14ac:dyDescent="0.25">
      <c r="AA810" s="373"/>
      <c r="AB810" s="283"/>
    </row>
    <row r="811" spans="27:28" x14ac:dyDescent="0.25">
      <c r="AA811" s="373"/>
      <c r="AB811" s="283"/>
    </row>
    <row r="812" spans="27:28" x14ac:dyDescent="0.25">
      <c r="AA812" s="373"/>
      <c r="AB812" s="283"/>
    </row>
    <row r="813" spans="27:28" x14ac:dyDescent="0.25">
      <c r="AA813" s="373"/>
      <c r="AB813" s="283"/>
    </row>
    <row r="814" spans="27:28" x14ac:dyDescent="0.25">
      <c r="AA814" s="373"/>
      <c r="AB814" s="283"/>
    </row>
    <row r="815" spans="27:28" x14ac:dyDescent="0.25">
      <c r="AA815" s="373"/>
      <c r="AB815" s="283"/>
    </row>
    <row r="816" spans="27:28" x14ac:dyDescent="0.25">
      <c r="AA816" s="373"/>
      <c r="AB816" s="283"/>
    </row>
    <row r="817" spans="27:28" x14ac:dyDescent="0.25">
      <c r="AA817" s="373"/>
      <c r="AB817" s="283"/>
    </row>
    <row r="818" spans="27:28" x14ac:dyDescent="0.25">
      <c r="AA818" s="373"/>
      <c r="AB818" s="283"/>
    </row>
    <row r="819" spans="27:28" x14ac:dyDescent="0.25">
      <c r="AA819" s="373"/>
      <c r="AB819" s="283"/>
    </row>
    <row r="820" spans="27:28" x14ac:dyDescent="0.25">
      <c r="AA820" s="373"/>
      <c r="AB820" s="283"/>
    </row>
    <row r="821" spans="27:28" x14ac:dyDescent="0.25">
      <c r="AA821" s="373"/>
      <c r="AB821" s="283"/>
    </row>
    <row r="822" spans="27:28" x14ac:dyDescent="0.25">
      <c r="AA822" s="373"/>
      <c r="AB822" s="283"/>
    </row>
    <row r="823" spans="27:28" x14ac:dyDescent="0.25">
      <c r="AA823" s="373"/>
      <c r="AB823" s="283"/>
    </row>
    <row r="824" spans="27:28" x14ac:dyDescent="0.25">
      <c r="AA824" s="373"/>
      <c r="AB824" s="283"/>
    </row>
    <row r="825" spans="27:28" x14ac:dyDescent="0.25">
      <c r="AA825" s="373"/>
      <c r="AB825" s="283"/>
    </row>
    <row r="826" spans="27:28" x14ac:dyDescent="0.25">
      <c r="AA826" s="373"/>
      <c r="AB826" s="283"/>
    </row>
    <row r="827" spans="27:28" x14ac:dyDescent="0.25">
      <c r="AA827" s="373"/>
      <c r="AB827" s="283"/>
    </row>
    <row r="828" spans="27:28" x14ac:dyDescent="0.25">
      <c r="AA828" s="373"/>
      <c r="AB828" s="283"/>
    </row>
    <row r="829" spans="27:28" x14ac:dyDescent="0.25">
      <c r="AA829" s="373"/>
      <c r="AB829" s="283"/>
    </row>
    <row r="830" spans="27:28" x14ac:dyDescent="0.25">
      <c r="AA830" s="373"/>
      <c r="AB830" s="283"/>
    </row>
    <row r="831" spans="27:28" x14ac:dyDescent="0.25">
      <c r="AA831" s="373"/>
      <c r="AB831" s="283"/>
    </row>
    <row r="832" spans="27:28" x14ac:dyDescent="0.25">
      <c r="AA832" s="373"/>
      <c r="AB832" s="283"/>
    </row>
    <row r="833" spans="27:28" x14ac:dyDescent="0.25">
      <c r="AA833" s="373"/>
      <c r="AB833" s="283"/>
    </row>
    <row r="834" spans="27:28" x14ac:dyDescent="0.25">
      <c r="AA834" s="373"/>
      <c r="AB834" s="283"/>
    </row>
    <row r="835" spans="27:28" x14ac:dyDescent="0.25">
      <c r="AA835" s="373"/>
      <c r="AB835" s="283"/>
    </row>
    <row r="836" spans="27:28" x14ac:dyDescent="0.25">
      <c r="AA836" s="373"/>
      <c r="AB836" s="283"/>
    </row>
    <row r="837" spans="27:28" x14ac:dyDescent="0.25">
      <c r="AA837" s="373"/>
      <c r="AB837" s="283"/>
    </row>
    <row r="838" spans="27:28" x14ac:dyDescent="0.25">
      <c r="AA838" s="373"/>
      <c r="AB838" s="283"/>
    </row>
    <row r="839" spans="27:28" x14ac:dyDescent="0.25">
      <c r="AA839" s="373"/>
      <c r="AB839" s="283"/>
    </row>
    <row r="840" spans="27:28" x14ac:dyDescent="0.25">
      <c r="AA840" s="373"/>
      <c r="AB840" s="283"/>
    </row>
    <row r="841" spans="27:28" x14ac:dyDescent="0.25">
      <c r="AA841" s="373"/>
      <c r="AB841" s="283"/>
    </row>
    <row r="842" spans="27:28" x14ac:dyDescent="0.25">
      <c r="AA842" s="373"/>
      <c r="AB842" s="283"/>
    </row>
    <row r="843" spans="27:28" x14ac:dyDescent="0.25">
      <c r="AA843" s="373"/>
      <c r="AB843" s="283"/>
    </row>
    <row r="844" spans="27:28" x14ac:dyDescent="0.25">
      <c r="AA844" s="373"/>
      <c r="AB844" s="283"/>
    </row>
    <row r="845" spans="27:28" x14ac:dyDescent="0.25">
      <c r="AA845" s="373"/>
      <c r="AB845" s="283"/>
    </row>
    <row r="846" spans="27:28" x14ac:dyDescent="0.25">
      <c r="AA846" s="373"/>
      <c r="AB846" s="283"/>
    </row>
    <row r="847" spans="27:28" x14ac:dyDescent="0.25">
      <c r="AA847" s="373"/>
      <c r="AB847" s="283"/>
    </row>
    <row r="848" spans="27:28" x14ac:dyDescent="0.25">
      <c r="AA848" s="373"/>
      <c r="AB848" s="283"/>
    </row>
    <row r="849" spans="27:28" x14ac:dyDescent="0.25">
      <c r="AA849" s="373"/>
      <c r="AB849" s="283"/>
    </row>
    <row r="850" spans="27:28" x14ac:dyDescent="0.25">
      <c r="AA850" s="373"/>
      <c r="AB850" s="283"/>
    </row>
    <row r="851" spans="27:28" x14ac:dyDescent="0.25">
      <c r="AA851" s="373"/>
      <c r="AB851" s="283"/>
    </row>
    <row r="852" spans="27:28" x14ac:dyDescent="0.25">
      <c r="AA852" s="373"/>
      <c r="AB852" s="283"/>
    </row>
    <row r="853" spans="27:28" x14ac:dyDescent="0.25">
      <c r="AA853" s="373"/>
      <c r="AB853" s="283"/>
    </row>
    <row r="854" spans="27:28" x14ac:dyDescent="0.25">
      <c r="AA854" s="373"/>
      <c r="AB854" s="283"/>
    </row>
    <row r="855" spans="27:28" x14ac:dyDescent="0.25">
      <c r="AA855" s="373"/>
      <c r="AB855" s="283"/>
    </row>
    <row r="856" spans="27:28" x14ac:dyDescent="0.25">
      <c r="AA856" s="373"/>
      <c r="AB856" s="283"/>
    </row>
    <row r="857" spans="27:28" x14ac:dyDescent="0.25">
      <c r="AA857" s="373"/>
      <c r="AB857" s="283"/>
    </row>
    <row r="858" spans="27:28" x14ac:dyDescent="0.25">
      <c r="AA858" s="373"/>
      <c r="AB858" s="283"/>
    </row>
    <row r="859" spans="27:28" x14ac:dyDescent="0.25">
      <c r="AA859" s="373"/>
      <c r="AB859" s="283"/>
    </row>
    <row r="860" spans="27:28" x14ac:dyDescent="0.25">
      <c r="AA860" s="373"/>
      <c r="AB860" s="283"/>
    </row>
    <row r="861" spans="27:28" x14ac:dyDescent="0.25">
      <c r="AA861" s="373"/>
      <c r="AB861" s="283"/>
    </row>
    <row r="862" spans="27:28" x14ac:dyDescent="0.25">
      <c r="AA862" s="373"/>
      <c r="AB862" s="283"/>
    </row>
    <row r="863" spans="27:28" x14ac:dyDescent="0.25">
      <c r="AA863" s="373"/>
      <c r="AB863" s="283"/>
    </row>
    <row r="864" spans="27:28" x14ac:dyDescent="0.25">
      <c r="AA864" s="373"/>
      <c r="AB864" s="283"/>
    </row>
    <row r="865" spans="27:28" x14ac:dyDescent="0.25">
      <c r="AA865" s="373"/>
      <c r="AB865" s="283"/>
    </row>
    <row r="866" spans="27:28" x14ac:dyDescent="0.25">
      <c r="AA866" s="373"/>
      <c r="AB866" s="283"/>
    </row>
    <row r="867" spans="27:28" x14ac:dyDescent="0.25">
      <c r="AA867" s="373"/>
      <c r="AB867" s="283"/>
    </row>
    <row r="868" spans="27:28" x14ac:dyDescent="0.25">
      <c r="AA868" s="373"/>
      <c r="AB868" s="283"/>
    </row>
    <row r="869" spans="27:28" x14ac:dyDescent="0.25">
      <c r="AA869" s="373"/>
      <c r="AB869" s="283"/>
    </row>
    <row r="870" spans="27:28" x14ac:dyDescent="0.25">
      <c r="AA870" s="373"/>
      <c r="AB870" s="283"/>
    </row>
    <row r="871" spans="27:28" x14ac:dyDescent="0.25">
      <c r="AA871" s="373"/>
      <c r="AB871" s="283"/>
    </row>
    <row r="872" spans="27:28" x14ac:dyDescent="0.25">
      <c r="AA872" s="373"/>
      <c r="AB872" s="283"/>
    </row>
    <row r="873" spans="27:28" x14ac:dyDescent="0.25">
      <c r="AA873" s="373"/>
      <c r="AB873" s="283"/>
    </row>
    <row r="874" spans="27:28" x14ac:dyDescent="0.25">
      <c r="AA874" s="373"/>
      <c r="AB874" s="283"/>
    </row>
    <row r="875" spans="27:28" x14ac:dyDescent="0.25">
      <c r="AA875" s="373"/>
      <c r="AB875" s="283"/>
    </row>
    <row r="876" spans="27:28" x14ac:dyDescent="0.25">
      <c r="AA876" s="373"/>
      <c r="AB876" s="283"/>
    </row>
    <row r="877" spans="27:28" x14ac:dyDescent="0.25">
      <c r="AA877" s="373"/>
      <c r="AB877" s="283"/>
    </row>
    <row r="878" spans="27:28" x14ac:dyDescent="0.25">
      <c r="AA878" s="373"/>
      <c r="AB878" s="283"/>
    </row>
    <row r="879" spans="27:28" x14ac:dyDescent="0.25">
      <c r="AA879" s="373"/>
      <c r="AB879" s="283"/>
    </row>
    <row r="880" spans="27:28" x14ac:dyDescent="0.25">
      <c r="AA880" s="373"/>
      <c r="AB880" s="283"/>
    </row>
    <row r="881" spans="27:28" x14ac:dyDescent="0.25">
      <c r="AA881" s="373"/>
      <c r="AB881" s="283"/>
    </row>
    <row r="882" spans="27:28" x14ac:dyDescent="0.25">
      <c r="AA882" s="373"/>
      <c r="AB882" s="283"/>
    </row>
    <row r="883" spans="27:28" x14ac:dyDescent="0.25">
      <c r="AA883" s="373"/>
      <c r="AB883" s="283"/>
    </row>
    <row r="884" spans="27:28" x14ac:dyDescent="0.25">
      <c r="AA884" s="373"/>
      <c r="AB884" s="283"/>
    </row>
    <row r="885" spans="27:28" x14ac:dyDescent="0.25">
      <c r="AA885" s="373"/>
      <c r="AB885" s="283"/>
    </row>
    <row r="886" spans="27:28" x14ac:dyDescent="0.25">
      <c r="AA886" s="373"/>
      <c r="AB886" s="283"/>
    </row>
    <row r="887" spans="27:28" x14ac:dyDescent="0.25">
      <c r="AA887" s="373"/>
      <c r="AB887" s="283"/>
    </row>
    <row r="888" spans="27:28" x14ac:dyDescent="0.25">
      <c r="AA888" s="373"/>
      <c r="AB888" s="283"/>
    </row>
    <row r="889" spans="27:28" x14ac:dyDescent="0.25">
      <c r="AA889" s="373"/>
      <c r="AB889" s="283"/>
    </row>
    <row r="890" spans="27:28" x14ac:dyDescent="0.25">
      <c r="AA890" s="373"/>
      <c r="AB890" s="283"/>
    </row>
    <row r="891" spans="27:28" x14ac:dyDescent="0.25">
      <c r="AA891" s="373"/>
      <c r="AB891" s="283"/>
    </row>
    <row r="892" spans="27:28" x14ac:dyDescent="0.25">
      <c r="AA892" s="373"/>
      <c r="AB892" s="283"/>
    </row>
    <row r="893" spans="27:28" x14ac:dyDescent="0.25">
      <c r="AA893" s="373"/>
      <c r="AB893" s="283"/>
    </row>
    <row r="894" spans="27:28" x14ac:dyDescent="0.25">
      <c r="AA894" s="373"/>
      <c r="AB894" s="283"/>
    </row>
    <row r="895" spans="27:28" x14ac:dyDescent="0.25">
      <c r="AA895" s="373"/>
      <c r="AB895" s="283"/>
    </row>
    <row r="896" spans="27:28" x14ac:dyDescent="0.25">
      <c r="AA896" s="373"/>
      <c r="AB896" s="283"/>
    </row>
    <row r="897" spans="27:28" x14ac:dyDescent="0.25">
      <c r="AA897" s="373"/>
      <c r="AB897" s="283"/>
    </row>
    <row r="898" spans="27:28" x14ac:dyDescent="0.25">
      <c r="AA898" s="373"/>
      <c r="AB898" s="283"/>
    </row>
    <row r="899" spans="27:28" x14ac:dyDescent="0.25"/>
    <row r="900" spans="27:28" x14ac:dyDescent="0.25"/>
    <row r="901" spans="27:28" x14ac:dyDescent="0.25"/>
    <row r="902" spans="27:28" x14ac:dyDescent="0.25"/>
    <row r="903" spans="27:28" x14ac:dyDescent="0.25"/>
    <row r="904" spans="27:28" x14ac:dyDescent="0.25"/>
    <row r="905" spans="27:28" x14ac:dyDescent="0.25"/>
    <row r="906" spans="27:28" x14ac:dyDescent="0.25"/>
    <row r="907" spans="27:28" x14ac:dyDescent="0.25"/>
    <row r="908" spans="27:28" x14ac:dyDescent="0.25"/>
    <row r="909" spans="27:28" x14ac:dyDescent="0.25"/>
    <row r="910" spans="27:28" x14ac:dyDescent="0.25"/>
    <row r="911" spans="27:28" x14ac:dyDescent="0.25"/>
    <row r="912" spans="27:28"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sheetData>
  <sheetProtection algorithmName="SHA-512" hashValue="0lh/mM54KRekbWUMGNL8m8ljBEwazMPA3rDr96kQ5sqVo11quBBksv5W8A6lhpzkQcJRxYs3Nt+BiM3oXfoTnw==" saltValue="bN3R89Dt1RrcjyMHRZic6w==" spinCount="100000" sheet="1" objects="1" scenarios="1"/>
  <conditionalFormatting sqref="B20:AT49">
    <cfRule type="expression" dxfId="3" priority="4">
      <formula>"EN($E18&gt;0)"</formula>
    </cfRule>
  </conditionalFormatting>
  <conditionalFormatting sqref="D11">
    <cfRule type="expression" dxfId="2" priority="1">
      <formula>"EN($E18&gt;0)"</formula>
    </cfRule>
    <cfRule type="expression" dxfId="1" priority="2">
      <formula>AND($E11&gt;0)</formula>
    </cfRule>
  </conditionalFormatting>
  <conditionalFormatting sqref="F20:J49">
    <cfRule type="expression" dxfId="0" priority="5">
      <formula>AND($E20&gt;0)</formula>
    </cfRule>
  </conditionalFormatting>
  <dataValidations count="6">
    <dataValidation type="whole" operator="greaterThanOrEqual" allowBlank="1" showInputMessage="1" showErrorMessage="1" error="Let op: minimale exploitatieduur is 15 jaar." sqref="D6" xr:uid="{B60187AD-96E6-4024-A15B-4A049CD03CAE}">
      <formula1>15</formula1>
    </dataValidation>
    <dataValidation type="decimal" operator="lessThanOrEqual" allowBlank="1" showInputMessage="1" showErrorMessage="1" error="Maximale waarde is 3% van de investering." sqref="D92:D94" xr:uid="{6149DF8D-14D1-4E46-9D86-8FACD33DF402}">
      <formula1>0.03</formula1>
    </dataValidation>
    <dataValidation type="decimal" operator="lessThanOrEqual" allowBlank="1" showInputMessage="1" showErrorMessage="1" error="Maximale waarde is 1% van de investering" sqref="D91" xr:uid="{04468DDC-489D-4E50-9A37-315445CE9199}">
      <formula1>0.01</formula1>
    </dataValidation>
    <dataValidation type="decimal" operator="greaterThanOrEqual" allowBlank="1" showInputMessage="1" showErrorMessage="1" error="Voer een waarde in groter dan of gelijk aan 0" sqref="D64:D65" xr:uid="{DD6A8E2D-8A7F-47ED-9A30-6F902727C638}">
      <formula1>0</formula1>
    </dataValidation>
    <dataValidation allowBlank="1" showInputMessage="1" showErrorMessage="1" prompt="NB. Geef in de kolommen S t/m BZ de fasering op in percentages. Zie ook aanvullende toelichting." sqref="P7:Q7" xr:uid="{0C42E1A1-9008-4788-80B0-055674082C58}"/>
    <dataValidation type="whole" operator="greaterThan" allowBlank="1" showInputMessage="1" showErrorMessage="1" errorTitle="Ongeldige invoer" error="Voer alstublieft een jaartal in dat groter is dan 2000." sqref="D5:F5" xr:uid="{50CB94C8-0519-4664-8E2B-86921E14127B}">
      <formula1>2000</formula1>
    </dataValidation>
  </dataValidations>
  <pageMargins left="0.74803149606299213" right="0.74803149606299213" top="0.74803149606299213" bottom="0.74803149606299213" header="0.31496062992125984" footer="0.31496062992125984"/>
  <pageSetup paperSize="9" scale="46" orientation="landscape" r:id="rId1"/>
  <ignoredErrors>
    <ignoredError sqref="L67:AT68 L71:AT73 L69:O69 P69:AT69 M66:AP66 AR66:AT66 L167:AT168 P86:AT86 M70:AT70 P104:AT104 N103:AT103 L103 L104:N104 M100:AT100 L101:AT102 L100 M103 O104" unlockedFormula="1"/>
    <ignoredError sqref="G87"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C35AB-DE42-4916-9AE4-0A68789F8EB9}">
  <sheetPr>
    <tabColor rgb="FF7030A0"/>
  </sheetPr>
  <dimension ref="B1:F8"/>
  <sheetViews>
    <sheetView workbookViewId="0">
      <selection activeCell="F28" sqref="F28"/>
    </sheetView>
  </sheetViews>
  <sheetFormatPr defaultRowHeight="12.5" x14ac:dyDescent="0.25"/>
  <cols>
    <col min="3" max="3" width="11.1796875" customWidth="1"/>
    <col min="4" max="4" width="81.7265625" customWidth="1"/>
    <col min="5" max="5" width="41" customWidth="1"/>
    <col min="6" max="6" width="40.1796875" customWidth="1"/>
  </cols>
  <sheetData>
    <row r="1" spans="2:6" x14ac:dyDescent="0.25">
      <c r="E1" s="106"/>
    </row>
    <row r="2" spans="2:6" ht="13" x14ac:dyDescent="0.3">
      <c r="B2" s="1" t="s">
        <v>644</v>
      </c>
      <c r="C2" s="1" t="s">
        <v>640</v>
      </c>
      <c r="D2" s="1" t="s">
        <v>641</v>
      </c>
      <c r="E2" s="1" t="s">
        <v>646</v>
      </c>
      <c r="F2" s="1" t="s">
        <v>647</v>
      </c>
    </row>
    <row r="3" spans="2:6" x14ac:dyDescent="0.25">
      <c r="B3" t="s">
        <v>642</v>
      </c>
      <c r="C3" s="927">
        <v>45809</v>
      </c>
      <c r="D3" s="106" t="s">
        <v>661</v>
      </c>
      <c r="E3" s="106" t="s">
        <v>23</v>
      </c>
      <c r="F3" s="106" t="s">
        <v>23</v>
      </c>
    </row>
    <row r="4" spans="2:6" x14ac:dyDescent="0.25">
      <c r="B4" t="s">
        <v>643</v>
      </c>
      <c r="C4" s="927">
        <v>45845</v>
      </c>
      <c r="D4" s="106" t="s">
        <v>660</v>
      </c>
      <c r="E4" s="106" t="s">
        <v>659</v>
      </c>
      <c r="F4" s="106" t="s">
        <v>656</v>
      </c>
    </row>
    <row r="5" spans="2:6" x14ac:dyDescent="0.25">
      <c r="D5" s="106" t="s">
        <v>658</v>
      </c>
      <c r="E5" s="106" t="s">
        <v>655</v>
      </c>
      <c r="F5" s="106" t="s">
        <v>657</v>
      </c>
    </row>
    <row r="6" spans="2:6" x14ac:dyDescent="0.25">
      <c r="D6" s="106" t="s">
        <v>653</v>
      </c>
      <c r="E6" s="106" t="s">
        <v>654</v>
      </c>
      <c r="F6" s="106" t="s">
        <v>648</v>
      </c>
    </row>
    <row r="7" spans="2:6" x14ac:dyDescent="0.25">
      <c r="D7" s="106" t="s">
        <v>651</v>
      </c>
      <c r="E7" s="106" t="s">
        <v>652</v>
      </c>
      <c r="F7" s="106" t="s">
        <v>648</v>
      </c>
    </row>
    <row r="8" spans="2:6" x14ac:dyDescent="0.25">
      <c r="D8" s="106" t="s">
        <v>649</v>
      </c>
      <c r="E8" s="106" t="s">
        <v>650</v>
      </c>
      <c r="F8" s="106" t="s">
        <v>648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022B-1318-4A62-8883-63C3753986C8}">
  <sheetPr>
    <tabColor rgb="FF7030A0"/>
  </sheetPr>
  <dimension ref="A1:F59"/>
  <sheetViews>
    <sheetView workbookViewId="0">
      <selection activeCell="F28" sqref="F28"/>
    </sheetView>
  </sheetViews>
  <sheetFormatPr defaultColWidth="8.81640625" defaultRowHeight="12.5" x14ac:dyDescent="0.25"/>
  <cols>
    <col min="1" max="1" width="45.7265625" bestFit="1" customWidth="1"/>
    <col min="2" max="2" width="22" customWidth="1"/>
    <col min="3" max="4" width="15.7265625" customWidth="1"/>
    <col min="5" max="5" width="156.81640625" customWidth="1"/>
  </cols>
  <sheetData>
    <row r="1" spans="1:5" ht="13" x14ac:dyDescent="0.3">
      <c r="A1" s="1" t="s">
        <v>485</v>
      </c>
    </row>
    <row r="3" spans="1:5" ht="13" x14ac:dyDescent="0.3">
      <c r="A3" s="1" t="s">
        <v>486</v>
      </c>
    </row>
    <row r="5" spans="1:5" ht="13" x14ac:dyDescent="0.3">
      <c r="A5" s="1" t="s">
        <v>487</v>
      </c>
      <c r="B5" s="1"/>
      <c r="C5" s="1" t="s">
        <v>488</v>
      </c>
      <c r="D5" s="1" t="s">
        <v>489</v>
      </c>
      <c r="E5" s="1" t="s">
        <v>490</v>
      </c>
    </row>
    <row r="6" spans="1:5" x14ac:dyDescent="0.25">
      <c r="A6" t="s">
        <v>491</v>
      </c>
      <c r="C6" s="109">
        <v>0.3</v>
      </c>
      <c r="E6" t="s">
        <v>492</v>
      </c>
    </row>
    <row r="7" spans="1:5" x14ac:dyDescent="0.25">
      <c r="A7" t="s">
        <v>491</v>
      </c>
      <c r="C7" s="109">
        <v>0.4</v>
      </c>
      <c r="E7" t="s">
        <v>493</v>
      </c>
    </row>
    <row r="8" spans="1:5" x14ac:dyDescent="0.25">
      <c r="A8" t="s">
        <v>491</v>
      </c>
      <c r="C8" s="109">
        <v>0.5</v>
      </c>
      <c r="E8" t="s">
        <v>494</v>
      </c>
    </row>
    <row r="9" spans="1:5" x14ac:dyDescent="0.25">
      <c r="A9" t="s">
        <v>491</v>
      </c>
      <c r="C9" s="848">
        <v>7000</v>
      </c>
      <c r="D9" t="s">
        <v>495</v>
      </c>
      <c r="E9" t="s">
        <v>496</v>
      </c>
    </row>
    <row r="10" spans="1:5" x14ac:dyDescent="0.25">
      <c r="A10" t="s">
        <v>491</v>
      </c>
      <c r="C10" s="848">
        <v>4000</v>
      </c>
      <c r="D10" t="s">
        <v>495</v>
      </c>
      <c r="E10" t="s">
        <v>497</v>
      </c>
    </row>
    <row r="11" spans="1:5" x14ac:dyDescent="0.25">
      <c r="A11" t="s">
        <v>491</v>
      </c>
      <c r="C11" s="848">
        <v>30000000</v>
      </c>
      <c r="E11" t="s">
        <v>498</v>
      </c>
    </row>
    <row r="12" spans="1:5" x14ac:dyDescent="0.25">
      <c r="C12" s="111"/>
    </row>
    <row r="13" spans="1:5" ht="13" x14ac:dyDescent="0.3">
      <c r="A13" s="1" t="s">
        <v>499</v>
      </c>
    </row>
    <row r="15" spans="1:5" ht="13" x14ac:dyDescent="0.3">
      <c r="A15" s="1" t="s">
        <v>487</v>
      </c>
      <c r="B15" s="1"/>
      <c r="C15" s="1" t="s">
        <v>488</v>
      </c>
      <c r="D15" s="1" t="s">
        <v>489</v>
      </c>
      <c r="E15" s="1" t="s">
        <v>490</v>
      </c>
    </row>
    <row r="16" spans="1:5" x14ac:dyDescent="0.25">
      <c r="A16" s="106" t="s">
        <v>500</v>
      </c>
      <c r="C16" s="111">
        <v>65</v>
      </c>
      <c r="D16" s="106" t="s">
        <v>501</v>
      </c>
      <c r="E16" s="106"/>
    </row>
    <row r="17" spans="1:6" x14ac:dyDescent="0.25">
      <c r="D17" s="106"/>
    </row>
    <row r="18" spans="1:6" ht="13" x14ac:dyDescent="0.3">
      <c r="A18" s="1" t="s">
        <v>502</v>
      </c>
    </row>
    <row r="19" spans="1:6" ht="13" x14ac:dyDescent="0.3">
      <c r="A19" s="1"/>
    </row>
    <row r="21" spans="1:6" ht="13" x14ac:dyDescent="0.3">
      <c r="A21" s="1" t="s">
        <v>487</v>
      </c>
      <c r="B21" s="1" t="s">
        <v>503</v>
      </c>
      <c r="C21" s="1" t="s">
        <v>488</v>
      </c>
      <c r="D21" s="1" t="s">
        <v>489</v>
      </c>
      <c r="E21" s="1" t="s">
        <v>490</v>
      </c>
      <c r="F21" s="1"/>
    </row>
    <row r="22" spans="1:6" ht="13" x14ac:dyDescent="0.3">
      <c r="A22" s="1" t="s">
        <v>504</v>
      </c>
      <c r="C22" s="108">
        <v>6.8000000000000005E-2</v>
      </c>
      <c r="D22" s="108"/>
      <c r="E22" s="106" t="s">
        <v>505</v>
      </c>
    </row>
    <row r="23" spans="1:6" x14ac:dyDescent="0.25">
      <c r="A23" t="s">
        <v>506</v>
      </c>
      <c r="B23" t="s">
        <v>243</v>
      </c>
      <c r="C23" s="106">
        <v>30</v>
      </c>
      <c r="D23" s="106" t="s">
        <v>206</v>
      </c>
      <c r="E23" s="106" t="s">
        <v>507</v>
      </c>
    </row>
    <row r="24" spans="1:6" x14ac:dyDescent="0.25">
      <c r="A24" t="s">
        <v>508</v>
      </c>
      <c r="B24" t="s">
        <v>243</v>
      </c>
      <c r="C24" s="109">
        <v>0.02</v>
      </c>
      <c r="D24" s="109"/>
      <c r="E24" t="s">
        <v>509</v>
      </c>
    </row>
    <row r="25" spans="1:6" x14ac:dyDescent="0.25">
      <c r="A25" t="s">
        <v>243</v>
      </c>
      <c r="B25" t="s">
        <v>243</v>
      </c>
      <c r="C25" t="s">
        <v>243</v>
      </c>
      <c r="E25" t="s">
        <v>243</v>
      </c>
    </row>
    <row r="26" spans="1:6" x14ac:dyDescent="0.25">
      <c r="A26" t="s">
        <v>510</v>
      </c>
      <c r="B26" t="s">
        <v>511</v>
      </c>
      <c r="C26" s="851">
        <v>43.79</v>
      </c>
      <c r="D26" t="s">
        <v>512</v>
      </c>
      <c r="E26" t="s">
        <v>513</v>
      </c>
    </row>
    <row r="27" spans="1:6" x14ac:dyDescent="0.25">
      <c r="A27" t="s">
        <v>510</v>
      </c>
      <c r="B27" t="s">
        <v>514</v>
      </c>
      <c r="C27" s="110">
        <v>32.799999999999997</v>
      </c>
      <c r="D27" s="110" t="s">
        <v>130</v>
      </c>
      <c r="E27" t="s">
        <v>513</v>
      </c>
    </row>
    <row r="28" spans="1:6" x14ac:dyDescent="0.25">
      <c r="A28" t="s">
        <v>510</v>
      </c>
      <c r="B28" t="s">
        <v>515</v>
      </c>
      <c r="C28" s="110">
        <v>150.49</v>
      </c>
      <c r="D28" s="110"/>
      <c r="E28" t="s">
        <v>513</v>
      </c>
    </row>
    <row r="29" spans="1:6" x14ac:dyDescent="0.25">
      <c r="A29" t="s">
        <v>510</v>
      </c>
      <c r="B29" t="s">
        <v>516</v>
      </c>
      <c r="C29" s="110">
        <v>144.11000000000001</v>
      </c>
      <c r="D29" s="110"/>
      <c r="E29" t="s">
        <v>513</v>
      </c>
    </row>
    <row r="30" spans="1:6" x14ac:dyDescent="0.25">
      <c r="A30" t="s">
        <v>510</v>
      </c>
      <c r="B30" t="s">
        <v>517</v>
      </c>
      <c r="C30" s="110">
        <v>120.77</v>
      </c>
      <c r="D30" s="110"/>
      <c r="E30" t="s">
        <v>513</v>
      </c>
    </row>
    <row r="31" spans="1:6" x14ac:dyDescent="0.25">
      <c r="A31" t="s">
        <v>518</v>
      </c>
      <c r="B31" t="s">
        <v>519</v>
      </c>
      <c r="C31">
        <v>30</v>
      </c>
      <c r="D31" s="106" t="s">
        <v>206</v>
      </c>
      <c r="E31" t="s">
        <v>440</v>
      </c>
    </row>
    <row r="32" spans="1:6" x14ac:dyDescent="0.25">
      <c r="A32" t="s">
        <v>520</v>
      </c>
      <c r="B32" t="s">
        <v>521</v>
      </c>
      <c r="C32">
        <v>15</v>
      </c>
      <c r="D32" s="106" t="s">
        <v>206</v>
      </c>
      <c r="E32" t="s">
        <v>522</v>
      </c>
    </row>
    <row r="33" spans="1:5" x14ac:dyDescent="0.25">
      <c r="A33" t="s">
        <v>523</v>
      </c>
      <c r="B33" t="s">
        <v>524</v>
      </c>
      <c r="C33" s="850">
        <v>0.01</v>
      </c>
      <c r="D33" s="109"/>
      <c r="E33" t="s">
        <v>525</v>
      </c>
    </row>
    <row r="34" spans="1:5" x14ac:dyDescent="0.25">
      <c r="A34" t="s">
        <v>523</v>
      </c>
      <c r="B34" t="s">
        <v>526</v>
      </c>
      <c r="C34" s="850">
        <v>0.03</v>
      </c>
      <c r="D34" s="109"/>
      <c r="E34" t="s">
        <v>525</v>
      </c>
    </row>
    <row r="35" spans="1:5" x14ac:dyDescent="0.25">
      <c r="A35" t="s">
        <v>523</v>
      </c>
      <c r="B35" t="s">
        <v>527</v>
      </c>
      <c r="C35" s="850">
        <v>2.5000000000000001E-2</v>
      </c>
      <c r="D35" s="108"/>
      <c r="E35" t="s">
        <v>525</v>
      </c>
    </row>
    <row r="36" spans="1:5" x14ac:dyDescent="0.25">
      <c r="A36" t="s">
        <v>528</v>
      </c>
      <c r="B36" s="106" t="s">
        <v>529</v>
      </c>
      <c r="C36" s="111">
        <v>75</v>
      </c>
      <c r="D36" s="112" t="s">
        <v>530</v>
      </c>
      <c r="E36" t="s">
        <v>531</v>
      </c>
    </row>
    <row r="39" spans="1:5" ht="13" x14ac:dyDescent="0.3">
      <c r="A39" s="1" t="s">
        <v>487</v>
      </c>
      <c r="B39" s="1" t="s">
        <v>503</v>
      </c>
      <c r="C39" s="1" t="s">
        <v>532</v>
      </c>
      <c r="D39" s="1" t="s">
        <v>489</v>
      </c>
      <c r="E39" s="1" t="s">
        <v>533</v>
      </c>
    </row>
    <row r="40" spans="1:5" x14ac:dyDescent="0.25">
      <c r="A40" t="s">
        <v>534</v>
      </c>
      <c r="B40" t="s">
        <v>243</v>
      </c>
      <c r="C40" s="108">
        <v>3.5000000000000001E-3</v>
      </c>
      <c r="D40" s="106" t="s">
        <v>530</v>
      </c>
      <c r="E40" t="s">
        <v>535</v>
      </c>
    </row>
    <row r="41" spans="1:5" x14ac:dyDescent="0.25">
      <c r="A41" t="s">
        <v>510</v>
      </c>
      <c r="B41" t="s">
        <v>536</v>
      </c>
      <c r="C41" s="272">
        <v>577.48</v>
      </c>
      <c r="E41" s="106" t="s">
        <v>537</v>
      </c>
    </row>
    <row r="42" spans="1:5" x14ac:dyDescent="0.25">
      <c r="A42" t="s">
        <v>510</v>
      </c>
      <c r="B42" t="s">
        <v>538</v>
      </c>
      <c r="C42" s="272">
        <v>288.74</v>
      </c>
      <c r="E42" t="s">
        <v>243</v>
      </c>
    </row>
    <row r="43" spans="1:5" x14ac:dyDescent="0.25">
      <c r="A43" t="s">
        <v>510</v>
      </c>
      <c r="B43" t="s">
        <v>539</v>
      </c>
      <c r="C43" s="110">
        <v>321.69</v>
      </c>
      <c r="E43" t="s">
        <v>243</v>
      </c>
    </row>
    <row r="44" spans="1:5" x14ac:dyDescent="0.25">
      <c r="A44" s="106" t="s">
        <v>540</v>
      </c>
      <c r="C44" s="111">
        <v>240</v>
      </c>
      <c r="E44" s="106" t="s">
        <v>541</v>
      </c>
    </row>
    <row r="46" spans="1:5" ht="13" x14ac:dyDescent="0.3">
      <c r="A46" s="1" t="s">
        <v>542</v>
      </c>
    </row>
    <row r="48" spans="1:5" ht="13" x14ac:dyDescent="0.3">
      <c r="A48" s="1" t="s">
        <v>487</v>
      </c>
      <c r="C48" s="1" t="s">
        <v>532</v>
      </c>
      <c r="D48" s="1" t="s">
        <v>489</v>
      </c>
      <c r="E48" s="1" t="s">
        <v>533</v>
      </c>
    </row>
    <row r="49" spans="1:5" x14ac:dyDescent="0.25">
      <c r="A49" t="s">
        <v>543</v>
      </c>
      <c r="C49" s="111">
        <v>1450000</v>
      </c>
      <c r="D49" s="106" t="s">
        <v>544</v>
      </c>
      <c r="E49" t="s">
        <v>545</v>
      </c>
    </row>
    <row r="50" spans="1:5" x14ac:dyDescent="0.25">
      <c r="A50" t="s">
        <v>126</v>
      </c>
      <c r="C50" s="111">
        <v>1100000</v>
      </c>
      <c r="D50" s="106" t="s">
        <v>544</v>
      </c>
      <c r="E50" t="s">
        <v>546</v>
      </c>
    </row>
    <row r="51" spans="1:5" x14ac:dyDescent="0.25">
      <c r="A51" t="s">
        <v>127</v>
      </c>
      <c r="C51" s="111">
        <v>120000</v>
      </c>
      <c r="E51" t="s">
        <v>547</v>
      </c>
    </row>
    <row r="52" spans="1:5" x14ac:dyDescent="0.25">
      <c r="A52" t="s">
        <v>548</v>
      </c>
      <c r="C52" s="111">
        <v>4700</v>
      </c>
      <c r="E52" t="s">
        <v>549</v>
      </c>
    </row>
    <row r="53" spans="1:5" x14ac:dyDescent="0.25">
      <c r="A53" t="s">
        <v>550</v>
      </c>
      <c r="C53" s="111">
        <v>2800</v>
      </c>
      <c r="E53" t="s">
        <v>551</v>
      </c>
    </row>
    <row r="54" spans="1:5" x14ac:dyDescent="0.25">
      <c r="A54" t="s">
        <v>133</v>
      </c>
      <c r="C54" s="111">
        <v>1400</v>
      </c>
      <c r="E54" t="s">
        <v>552</v>
      </c>
    </row>
    <row r="57" spans="1:5" x14ac:dyDescent="0.25">
      <c r="C57" s="111"/>
    </row>
    <row r="59" spans="1:5" x14ac:dyDescent="0.25">
      <c r="C59" s="113"/>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F44CA9E168D549A5CE82ECB51B0643" ma:contentTypeVersion="14" ma:contentTypeDescription="Een nieuw document maken." ma:contentTypeScope="" ma:versionID="2a0780d078d37c705b4ec9a0d8fda74e">
  <xsd:schema xmlns:xsd="http://www.w3.org/2001/XMLSchema" xmlns:xs="http://www.w3.org/2001/XMLSchema" xmlns:p="http://schemas.microsoft.com/office/2006/metadata/properties" xmlns:ns2="5e8af631-3e57-4dba-b4a7-9e4edb8f0cce" xmlns:ns3="3354526b-21f7-40be-9a18-f7fbe3bcb4c1" targetNamespace="http://schemas.microsoft.com/office/2006/metadata/properties" ma:root="true" ma:fieldsID="aa8a5facf5ef5acf8ceee704253f8a71" ns2:_="" ns3:_="">
    <xsd:import namespace="5e8af631-3e57-4dba-b4a7-9e4edb8f0cce"/>
    <xsd:import namespace="3354526b-21f7-40be-9a18-f7fbe3bcb4c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8af631-3e57-4dba-b4a7-9e4edb8f0c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datum" ma:index="21"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354526b-21f7-40be-9a18-f7fbe3bcb4c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e5002e6c-4a48-4350-be1b-c3150d7f2b3f}" ma:internalName="TaxCatchAll" ma:showField="CatchAllData" ma:web="3354526b-21f7-40be-9a18-f7fbe3bcb4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354526b-21f7-40be-9a18-f7fbe3bcb4c1" xsi:nil="true"/>
    <lcf76f155ced4ddcb4097134ff3c332f xmlns="5e8af631-3e57-4dba-b4a7-9e4edb8f0cce">
      <Terms xmlns="http://schemas.microsoft.com/office/infopath/2007/PartnerControls"/>
    </lcf76f155ced4ddcb4097134ff3c332f>
    <datum xmlns="5e8af631-3e57-4dba-b4a7-9e4edb8f0cc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31E0D1-7953-49A7-A051-B37AEB08FD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8af631-3e57-4dba-b4a7-9e4edb8f0cce"/>
    <ds:schemaRef ds:uri="3354526b-21f7-40be-9a18-f7fbe3bcb4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C9E88F-C6D7-439E-9AA1-28554825C85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354526b-21f7-40be-9a18-f7fbe3bcb4c1"/>
    <ds:schemaRef ds:uri="5e8af631-3e57-4dba-b4a7-9e4edb8f0cce"/>
    <ds:schemaRef ds:uri="http://www.w3.org/XML/1998/namespace"/>
    <ds:schemaRef ds:uri="http://purl.org/dc/dcmitype/"/>
  </ds:schemaRefs>
</ds:datastoreItem>
</file>

<file path=customXml/itemProps3.xml><?xml version="1.0" encoding="utf-8"?>
<ds:datastoreItem xmlns:ds="http://schemas.openxmlformats.org/officeDocument/2006/customXml" ds:itemID="{2036D725-6947-4207-9265-534A725DC2B6}">
  <ds:schemaRefs>
    <ds:schemaRef ds:uri="http://schemas.microsoft.com/sharepoint/v3/contenttype/forms"/>
  </ds:schemaRefs>
</ds:datastoreItem>
</file>

<file path=docMetadata/LabelInfo.xml><?xml version="1.0" encoding="utf-8"?>
<clbl:labelList xmlns:clbl="http://schemas.microsoft.com/office/2020/mipLabelMetadata">
  <clbl:label id="{4bde8109-f994-4a60-a1d3-5c95e2ff3620}" enabled="1" method="Privileged" siteId="{1321633e-f6b9-44e2-a44f-59b9d264ecb7}"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39</vt:i4>
      </vt:variant>
    </vt:vector>
  </HeadingPairs>
  <TitlesOfParts>
    <vt:vector size="50" baseType="lpstr">
      <vt:lpstr>Voor u begint</vt:lpstr>
      <vt:lpstr>Toelichting Mijlpalenbegroting </vt:lpstr>
      <vt:lpstr>Project</vt:lpstr>
      <vt:lpstr>Mijlpalenbegroting</vt:lpstr>
      <vt:lpstr>Mijlpalenplanning</vt:lpstr>
      <vt:lpstr>Financiering</vt:lpstr>
      <vt:lpstr>Exploitatieberekening</vt:lpstr>
      <vt:lpstr>Versiebeheer</vt:lpstr>
      <vt:lpstr>Waarden regeling</vt:lpstr>
      <vt:lpstr>Monitoring</vt:lpstr>
      <vt:lpstr>Lijsten</vt:lpstr>
      <vt:lpstr>'Toelichting Mijlpalenbegroting '!_ftnref1</vt:lpstr>
      <vt:lpstr>Exploitatieberekening!Afdrukbereik</vt:lpstr>
      <vt:lpstr>Financiering!Afdrukbereik</vt:lpstr>
      <vt:lpstr>Mijlpalenbegroting!Afdrukbereik</vt:lpstr>
      <vt:lpstr>Mijlpalenplanning!Afdrukbereik</vt:lpstr>
      <vt:lpstr>Project!Afdrukbereik</vt:lpstr>
      <vt:lpstr>Mijlpalenbegroting!Afdruktitels</vt:lpstr>
      <vt:lpstr>Afschr_hoog</vt:lpstr>
      <vt:lpstr>Afschr_laag</vt:lpstr>
      <vt:lpstr>BTW</vt:lpstr>
      <vt:lpstr>Df_As</vt:lpstr>
      <vt:lpstr>Df_Gea</vt:lpstr>
      <vt:lpstr>Df_Gra</vt:lpstr>
      <vt:lpstr>Df_Os</vt:lpstr>
      <vt:lpstr>Df_Pw</vt:lpstr>
      <vt:lpstr>Df_Sw</vt:lpstr>
      <vt:lpstr>Einddatum</vt:lpstr>
      <vt:lpstr>Fase</vt:lpstr>
      <vt:lpstr>inflatie</vt:lpstr>
      <vt:lpstr>K_adm</vt:lpstr>
      <vt:lpstr>Exploitatieberekening!Kolom_Startjaar</vt:lpstr>
      <vt:lpstr>Kond_aansl</vt:lpstr>
      <vt:lpstr>Kond_wn</vt:lpstr>
      <vt:lpstr>Kond_wos</vt:lpstr>
      <vt:lpstr>Looptijd</vt:lpstr>
      <vt:lpstr>max_investperc</vt:lpstr>
      <vt:lpstr>Max_subs</vt:lpstr>
      <vt:lpstr>Max_subs_groot</vt:lpstr>
      <vt:lpstr>Max_subs_klein</vt:lpstr>
      <vt:lpstr>Max_subs_mid</vt:lpstr>
      <vt:lpstr>Max_subs_prim</vt:lpstr>
      <vt:lpstr>Max_subs_sec</vt:lpstr>
      <vt:lpstr>meettarief</vt:lpstr>
      <vt:lpstr>Organisatietype</vt:lpstr>
      <vt:lpstr>Rend_voor_bel</vt:lpstr>
      <vt:lpstr>SrtWoning</vt:lpstr>
      <vt:lpstr>Startdatum</vt:lpstr>
      <vt:lpstr>type_afnemer</vt:lpstr>
      <vt:lpstr>Uurtarief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Model-Exploitatieberekening-2025</dc:title>
  <dc:subject/>
  <dc:creator>Rijksdienst voor Ondernemend Nederland</dc:creator>
  <cp:keywords/>
  <dc:description/>
  <cp:lastModifiedBy>Saers, ir. S.G. (Sander)</cp:lastModifiedBy>
  <cp:revision/>
  <cp:lastPrinted>2025-06-11T10:28:59Z</cp:lastPrinted>
  <dcterms:created xsi:type="dcterms:W3CDTF">2010-05-21T06:27:07Z</dcterms:created>
  <dcterms:modified xsi:type="dcterms:W3CDTF">2026-07-14T13:22:50Z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0x01010024F44CA9E168D549A5CE82ECB51B0643</vt:lpwstr>
  </property>
  <property fmtid="{D5CDD505-2E9C-101B-9397-08002B2CF9AE}" pid="3" name="MediaServiceImageTags">
    <vt:lpwstr/>
  </property>
</Properties>
</file>