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T:\rvo\IV_Processpecialisten_RB\Opdrachten 2026\Opmaak PDF\SDE\juli\"/>
    </mc:Choice>
  </mc:AlternateContent>
  <xr:revisionPtr revIDLastSave="0" documentId="13_ncr:1_{E5FE78DA-B587-461F-8B3A-DDE99107337F}" xr6:coauthVersionLast="47" xr6:coauthVersionMax="47" xr10:uidLastSave="{00000000-0000-0000-0000-000000000000}"/>
  <workbookProtection workbookPassword="E3C3" lockStructure="1"/>
  <bookViews>
    <workbookView xWindow="-120" yWindow="-120" windowWidth="29040" windowHeight="15840" firstSheet="2" activeTab="2" xr2:uid="{00000000-000D-0000-FFFF-FFFF00000000}"/>
  </bookViews>
  <sheets>
    <sheet name="Hulpblad" sheetId="7" state="hidden" r:id="rId1"/>
    <sheet name="Hulpblad grafieken" sheetId="6" state="hidden" r:id="rId2"/>
    <sheet name="Bankingberekening Zon-PV " sheetId="8" r:id="rId3"/>
  </sheets>
  <definedNames>
    <definedName name="_xlnm.Print_Area" localSheetId="2">'Bankingberekening Zon-PV '!$A$1:$AM$79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2" i="8" l="1"/>
  <c r="A8" i="8"/>
  <c r="C8" i="8"/>
  <c r="AL20" i="8"/>
  <c r="E22" i="8"/>
  <c r="G22" i="8"/>
  <c r="I22" i="8"/>
  <c r="K22" i="8"/>
  <c r="M22" i="8"/>
  <c r="O22" i="8"/>
  <c r="Q22" i="8"/>
  <c r="S22" i="8"/>
  <c r="U22" i="8"/>
  <c r="W22" i="8"/>
  <c r="AA22" i="8"/>
  <c r="AC22" i="8"/>
  <c r="AE22" i="8"/>
  <c r="AG22" i="8"/>
  <c r="AI22" i="8"/>
  <c r="C22" i="8"/>
  <c r="AL19" i="8" l="1"/>
  <c r="AL22" i="8" s="1"/>
  <c r="AL21" i="8"/>
  <c r="E14" i="8" l="1"/>
  <c r="AI14" i="8"/>
  <c r="D16" i="8"/>
  <c r="C15" i="8"/>
  <c r="AH16" i="8"/>
  <c r="AG15" i="8"/>
  <c r="AG14" i="8"/>
  <c r="AL15" i="8"/>
  <c r="AI15" i="8"/>
  <c r="AI16" i="8"/>
  <c r="AJ14" i="8"/>
  <c r="B9" i="6" l="1"/>
  <c r="B8" i="6"/>
  <c r="F6" i="8" l="1"/>
  <c r="AH30" i="8" l="1"/>
  <c r="AF30" i="8"/>
  <c r="AE18" i="8" l="1"/>
  <c r="AC18" i="8"/>
  <c r="AA18" i="8"/>
  <c r="Y18" i="8"/>
  <c r="W18" i="8"/>
  <c r="U18" i="8"/>
  <c r="S18" i="8"/>
  <c r="Q18" i="8"/>
  <c r="O18" i="8"/>
  <c r="M18" i="8"/>
  <c r="K18" i="8"/>
  <c r="I18" i="8"/>
  <c r="G18" i="8"/>
  <c r="E18" i="8"/>
  <c r="C11" i="8"/>
  <c r="C10" i="8"/>
  <c r="R9" i="6"/>
  <c r="AG18" i="8" l="1"/>
  <c r="C18" i="8"/>
  <c r="C26" i="8" s="1"/>
  <c r="D33" i="8" l="1"/>
  <c r="E24" i="8" s="1"/>
  <c r="B31" i="6"/>
  <c r="C27" i="8"/>
  <c r="B32" i="6" s="1"/>
  <c r="C9" i="6"/>
  <c r="C28" i="8" l="1"/>
  <c r="B6" i="6" s="1"/>
  <c r="B7" i="6" s="1"/>
  <c r="D31" i="8" l="1"/>
  <c r="D32" i="8"/>
  <c r="E23" i="8" s="1"/>
  <c r="E27" i="8" l="1"/>
  <c r="E26" i="8"/>
  <c r="C32" i="6"/>
  <c r="F33" i="8"/>
  <c r="G24" i="8" s="1"/>
  <c r="D9" i="6" s="1"/>
  <c r="C8" i="6"/>
  <c r="E28" i="8" l="1"/>
  <c r="F32" i="8" s="1"/>
  <c r="G23" i="8" s="1"/>
  <c r="C31" i="6"/>
  <c r="G26" i="8" l="1"/>
  <c r="G27" i="8"/>
  <c r="C6" i="6"/>
  <c r="F31" i="8"/>
  <c r="D31" i="6"/>
  <c r="D32" i="6"/>
  <c r="H33" i="8"/>
  <c r="I24" i="8" s="1"/>
  <c r="I27" i="8" l="1"/>
  <c r="I26" i="8"/>
  <c r="E9" i="6"/>
  <c r="G28" i="8"/>
  <c r="H32" i="8" s="1"/>
  <c r="H31" i="8" l="1"/>
  <c r="D6" i="6"/>
  <c r="D8" i="6" l="1"/>
  <c r="D7" i="6" s="1"/>
  <c r="C7" i="6"/>
  <c r="I23" i="8" l="1"/>
  <c r="E32" i="6" l="1"/>
  <c r="E31" i="6"/>
  <c r="J33" i="8"/>
  <c r="K24" i="8" s="1"/>
  <c r="E8" i="6"/>
  <c r="K27" i="8" l="1"/>
  <c r="K26" i="8"/>
  <c r="F9" i="6"/>
  <c r="I28" i="8"/>
  <c r="J32" i="8" l="1"/>
  <c r="E6" i="6"/>
  <c r="E7" i="6" s="1"/>
  <c r="K23" i="8"/>
  <c r="J31" i="8"/>
  <c r="F32" i="6" l="1"/>
  <c r="F31" i="6"/>
  <c r="L33" i="8"/>
  <c r="M24" i="8" s="1"/>
  <c r="F8" i="6"/>
  <c r="M27" i="8" l="1"/>
  <c r="M26" i="8"/>
  <c r="G9" i="6"/>
  <c r="K28" i="8"/>
  <c r="L32" i="8" l="1"/>
  <c r="M23" i="8" s="1"/>
  <c r="F6" i="6"/>
  <c r="F7" i="6" s="1"/>
  <c r="L31" i="8"/>
  <c r="G8" i="6" l="1"/>
  <c r="G32" i="6"/>
  <c r="N33" i="8"/>
  <c r="O24" i="8" s="1"/>
  <c r="H9" i="6" s="1"/>
  <c r="G31" i="6" l="1"/>
  <c r="M28" i="8"/>
  <c r="N31" i="8" l="1"/>
  <c r="G6" i="6"/>
  <c r="G7" i="6" s="1"/>
  <c r="N32" i="8"/>
  <c r="O23" i="8" s="1"/>
  <c r="O26" i="8" l="1"/>
  <c r="O27" i="8"/>
  <c r="H32" i="6"/>
  <c r="H8" i="6"/>
  <c r="P33" i="8"/>
  <c r="H31" i="6" l="1"/>
  <c r="O28" i="8"/>
  <c r="Q24" i="8"/>
  <c r="I9" i="6" l="1"/>
  <c r="P32" i="8"/>
  <c r="Q23" i="8" s="1"/>
  <c r="P31" i="8"/>
  <c r="H6" i="6"/>
  <c r="H7" i="6" s="1"/>
  <c r="Q26" i="8" l="1"/>
  <c r="Q27" i="8"/>
  <c r="I8" i="6"/>
  <c r="R33" i="8"/>
  <c r="S24" i="8" s="1"/>
  <c r="J9" i="6" s="1"/>
  <c r="I32" i="6"/>
  <c r="I31" i="6"/>
  <c r="Q28" i="8" l="1"/>
  <c r="R31" i="8" l="1"/>
  <c r="R32" i="8"/>
  <c r="S23" i="8" s="1"/>
  <c r="I6" i="6"/>
  <c r="I7" i="6" s="1"/>
  <c r="S26" i="8" l="1"/>
  <c r="S27" i="8"/>
  <c r="J8" i="6"/>
  <c r="T33" i="8"/>
  <c r="U24" i="8" s="1"/>
  <c r="J32" i="6"/>
  <c r="J31" i="6"/>
  <c r="K9" i="6" l="1"/>
  <c r="S28" i="8"/>
  <c r="T32" i="8" l="1"/>
  <c r="U23" i="8" s="1"/>
  <c r="J6" i="6"/>
  <c r="J7" i="6" s="1"/>
  <c r="T31" i="8"/>
  <c r="V33" i="8"/>
  <c r="W24" i="8" s="1"/>
  <c r="K8" i="6"/>
  <c r="W26" i="8" l="1"/>
  <c r="W27" i="8"/>
  <c r="U26" i="8"/>
  <c r="U27" i="8"/>
  <c r="K32" i="6"/>
  <c r="K31" i="6"/>
  <c r="U28" i="8"/>
  <c r="L9" i="6"/>
  <c r="K6" i="6" l="1"/>
  <c r="K7" i="6" s="1"/>
  <c r="V32" i="8"/>
  <c r="W23" i="8" s="1"/>
  <c r="V31" i="8"/>
  <c r="L8" i="6" l="1"/>
  <c r="X33" i="8"/>
  <c r="Y24" i="8" s="1"/>
  <c r="L32" i="6"/>
  <c r="M9" i="6" l="1"/>
  <c r="L31" i="6"/>
  <c r="W28" i="8"/>
  <c r="L6" i="6" l="1"/>
  <c r="L7" i="6" s="1"/>
  <c r="X32" i="8"/>
  <c r="Y23" i="8" s="1"/>
  <c r="X31" i="8"/>
  <c r="Y26" i="8" l="1"/>
  <c r="Y27" i="8"/>
  <c r="M8" i="6"/>
  <c r="Z33" i="8"/>
  <c r="AA24" i="8" s="1"/>
  <c r="M32" i="6"/>
  <c r="N9" i="6" l="1"/>
  <c r="M31" i="6"/>
  <c r="Y28" i="8"/>
  <c r="M6" i="6" l="1"/>
  <c r="M7" i="6" s="1"/>
  <c r="Z32" i="8"/>
  <c r="AA23" i="8" s="1"/>
  <c r="Z31" i="8"/>
  <c r="AA26" i="8" l="1"/>
  <c r="AA27" i="8"/>
  <c r="N32" i="6"/>
  <c r="N8" i="6"/>
  <c r="AB33" i="8"/>
  <c r="AC24" i="8" s="1"/>
  <c r="AC26" i="8" l="1"/>
  <c r="AC27" i="8"/>
  <c r="O9" i="6"/>
  <c r="N31" i="6"/>
  <c r="AA28" i="8"/>
  <c r="N6" i="6" l="1"/>
  <c r="N7" i="6" s="1"/>
  <c r="AB32" i="8"/>
  <c r="AC23" i="8" s="1"/>
  <c r="AB31" i="8"/>
  <c r="O8" i="6" l="1"/>
  <c r="AD33" i="8"/>
  <c r="AE24" i="8" s="1"/>
  <c r="O32" i="6"/>
  <c r="AE26" i="8" l="1"/>
  <c r="AE27" i="8"/>
  <c r="P9" i="6"/>
  <c r="O31" i="6"/>
  <c r="AC28" i="8"/>
  <c r="AD32" i="8" l="1"/>
  <c r="AE23" i="8" s="1"/>
  <c r="O6" i="6"/>
  <c r="O7" i="6" s="1"/>
  <c r="AD31" i="8"/>
  <c r="P8" i="6" l="1"/>
  <c r="AF33" i="8"/>
  <c r="AG24" i="8" s="1"/>
  <c r="Q9" i="6" s="1"/>
  <c r="P32" i="6" l="1"/>
  <c r="P31" i="6"/>
  <c r="AE28" i="8"/>
  <c r="P6" i="6" l="1"/>
  <c r="P7" i="6" s="1"/>
  <c r="AF32" i="8"/>
  <c r="AG23" i="8" s="1"/>
  <c r="AF31" i="8"/>
  <c r="AG26" i="8" l="1"/>
  <c r="AG27" i="8"/>
  <c r="AH33" i="8"/>
  <c r="Q8" i="6"/>
  <c r="Q31" i="6" l="1"/>
  <c r="AG28" i="8"/>
  <c r="Q32" i="6"/>
  <c r="AH32" i="8" l="1"/>
  <c r="AI23" i="8" s="1"/>
  <c r="Q6" i="6"/>
  <c r="Q7" i="6" s="1"/>
  <c r="AH31" i="8"/>
  <c r="AI26" i="8" l="1"/>
  <c r="AI27" i="8"/>
  <c r="R8" i="6"/>
  <c r="AI28" i="8" l="1"/>
  <c r="AL28" i="8" s="1"/>
  <c r="R31" i="6"/>
  <c r="AL26" i="8"/>
  <c r="R32" i="6"/>
  <c r="AL27" i="8"/>
  <c r="R6" i="6" l="1"/>
  <c r="R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RVO</author>
  </authors>
  <commentList>
    <comment ref="A20" authorId="0" shapeId="0" xr:uid="{ACD9BEF1-9628-4BFD-A284-77449D0864C8}">
      <text>
        <r>
          <rPr>
            <b/>
            <sz val="9"/>
            <color indexed="81"/>
            <rFont val="Tahoma"/>
            <family val="2"/>
          </rPr>
          <t>Toelichting:</t>
        </r>
        <r>
          <rPr>
            <sz val="9"/>
            <color indexed="81"/>
            <rFont val="Tahoma"/>
            <family val="2"/>
          </rPr>
          <t xml:space="preserve">
Voor de openstellingsronden SDE+ 2016 t/m SDE++ 2022 is de netlevering van elektriciteit gedurende periodes met negatieve elektriciteitsprijzen op de EPEX-beurs van 6-uur of langer niet subsidiabel.
Voor de openstellingsronde SDE++ 2023 is de netlevering van elektriciteit gedurende elke  periode met negatieve elektriciteitsprijzen op de EPEX-beurs niet subsidiabel.
</t>
        </r>
      </text>
    </comment>
  </commentList>
</comments>
</file>

<file path=xl/sharedStrings.xml><?xml version="1.0" encoding="utf-8"?>
<sst xmlns="http://schemas.openxmlformats.org/spreadsheetml/2006/main" count="90" uniqueCount="73">
  <si>
    <t>jaar 2</t>
  </si>
  <si>
    <t>jaar 3</t>
  </si>
  <si>
    <t>jaar 4</t>
  </si>
  <si>
    <t>jaar 5</t>
  </si>
  <si>
    <t>jaar 6</t>
  </si>
  <si>
    <t>jaar 7</t>
  </si>
  <si>
    <t>jaar 8</t>
  </si>
  <si>
    <t>jaar 9</t>
  </si>
  <si>
    <t>jaar 10</t>
  </si>
  <si>
    <t>jaar 11</t>
  </si>
  <si>
    <t>Gesubsidieerde productie (MWh)</t>
  </si>
  <si>
    <t>Hulpblad voor grafieken</t>
  </si>
  <si>
    <t>Jaar</t>
  </si>
  <si>
    <t>Gesubsidieerde productie cumulatief (MWh)</t>
  </si>
  <si>
    <t>totaal over subsidielooptijd</t>
  </si>
  <si>
    <t xml:space="preserve"> jaar 2</t>
  </si>
  <si>
    <t>Kalenderjaar</t>
  </si>
  <si>
    <t>jaar 12</t>
  </si>
  <si>
    <t>jaar 13</t>
  </si>
  <si>
    <t>Maand</t>
  </si>
  <si>
    <t>Startdatum subsidie in jaar 1</t>
  </si>
  <si>
    <t>1 januari</t>
  </si>
  <si>
    <t>1 februari</t>
  </si>
  <si>
    <t>1 maart</t>
  </si>
  <si>
    <t>1 april</t>
  </si>
  <si>
    <t>1 mei</t>
  </si>
  <si>
    <t>1 juni</t>
  </si>
  <si>
    <t>1 juli</t>
  </si>
  <si>
    <t>1 augustus</t>
  </si>
  <si>
    <t>1 september</t>
  </si>
  <si>
    <t>1 oktober</t>
  </si>
  <si>
    <t>1 november</t>
  </si>
  <si>
    <t>1 december</t>
  </si>
  <si>
    <t>Jaarmaximum volgens beschikking subsidieverlening (MWh)</t>
  </si>
  <si>
    <t>jaar 14</t>
  </si>
  <si>
    <t>jaar 15</t>
  </si>
  <si>
    <t>Banking 15 subsidiejaren</t>
  </si>
  <si>
    <t>Basisgegevens</t>
  </si>
  <si>
    <t>Gerealiseerde jaarproductie en gesubsidieerde productie</t>
  </si>
  <si>
    <r>
      <t>Bankingsaldo</t>
    </r>
    <r>
      <rPr>
        <sz val="12"/>
        <color theme="1"/>
        <rFont val="Arial"/>
        <family val="2"/>
      </rPr>
      <t xml:space="preserve"> (</t>
    </r>
    <r>
      <rPr>
        <sz val="10"/>
        <color theme="1"/>
        <rFont val="Arial"/>
        <family val="2"/>
      </rPr>
      <t>stand begin van vermeld kalenderjaar)</t>
    </r>
  </si>
  <si>
    <t xml:space="preserve">jaar 1 </t>
  </si>
  <si>
    <t>Benutting gebankte onderproductie (MWh)</t>
  </si>
  <si>
    <t>Benutting gebankte overproductie (MWh)</t>
  </si>
  <si>
    <t>Maximum mee te nemen overproductie naar een volgend jaar (MWh)</t>
  </si>
  <si>
    <t>De overproductie die meegenomen kan worden naar een volgend jaar bedraagt maximaal 25% van de maximale subsidiabele productie van een volledig jaar.</t>
  </si>
  <si>
    <t>De onderproductie kan onbeperkt worden meegenomen naar een volgend jaar. Het is ook mogelijk om de gemiste productie in een extra jaar aan het einde van de subsidielooptijd in te halen.</t>
  </si>
  <si>
    <t>Maximum subsidiabele productie in jaar 1 (MWh)</t>
  </si>
  <si>
    <t>Gesubsidieerde productie zonder benutting banking (MWh)</t>
  </si>
  <si>
    <t>Gerealiseerde productie netlevering (MWh)</t>
  </si>
  <si>
    <t>Gerealiseerde productie niet-netlevering (MWh)</t>
  </si>
  <si>
    <t>Totaal gesubsidieerde productie (MWh)</t>
  </si>
  <si>
    <r>
      <t xml:space="preserve">Gesubsidieerde productie </t>
    </r>
    <r>
      <rPr>
        <b/>
        <sz val="10"/>
        <color theme="1"/>
        <rFont val="Arial"/>
        <family val="2"/>
      </rPr>
      <t>netlevering</t>
    </r>
    <r>
      <rPr>
        <sz val="10"/>
        <color theme="1"/>
        <rFont val="Arial"/>
        <family val="2"/>
      </rPr>
      <t xml:space="preserve"> (MWh) </t>
    </r>
    <r>
      <rPr>
        <b/>
        <vertAlign val="superscript"/>
        <sz val="10"/>
        <color theme="1"/>
        <rFont val="Arial"/>
        <family val="2"/>
      </rPr>
      <t>5</t>
    </r>
  </si>
  <si>
    <r>
      <t>Gesubsidieerde productie</t>
    </r>
    <r>
      <rPr>
        <b/>
        <sz val="10"/>
        <color theme="1"/>
        <rFont val="Arial"/>
        <family val="2"/>
      </rPr>
      <t xml:space="preserve"> niet-netlevering</t>
    </r>
    <r>
      <rPr>
        <sz val="10"/>
        <color theme="1"/>
        <rFont val="Arial"/>
        <family val="2"/>
      </rPr>
      <t xml:space="preserve"> (MWh) </t>
    </r>
    <r>
      <rPr>
        <b/>
        <vertAlign val="superscript"/>
        <sz val="10"/>
        <color theme="1"/>
        <rFont val="Arial"/>
        <family val="2"/>
      </rPr>
      <t>5</t>
    </r>
  </si>
  <si>
    <r>
      <t xml:space="preserve">5 </t>
    </r>
    <r>
      <rPr>
        <sz val="10"/>
        <color theme="1"/>
        <rFont val="Arial"/>
        <family val="2"/>
      </rPr>
      <t xml:space="preserve">Gesubsidieerde productie netlevering en niet-netlevering is in het geval de productie groter is dan de som van de subsidiabele jaarproductie en benutting van gebankte onderproductie, naar rato van de verhouding netlevering en niet-netlevering van het betreffende jaar. </t>
    </r>
  </si>
  <si>
    <t xml:space="preserve">Gesubsidieerde productie netlevering en niet-netlevering is in het geval de productie lager is dan de subsidiabele jaarproductie, de jaarproductie van netlevering en niet-netlevering in het betreffende jaar vermeerderd met de benutting van gebankte overproductie naar rato van de verhouding netlevering en niet-netlevering van het voorgaande jaar. </t>
  </si>
  <si>
    <r>
      <t>Gebankte onderproductie (MWh)</t>
    </r>
    <r>
      <rPr>
        <vertAlign val="superscript"/>
        <sz val="10"/>
        <color theme="1"/>
        <rFont val="Arial"/>
        <family val="2"/>
      </rPr>
      <t>1</t>
    </r>
  </si>
  <si>
    <r>
      <t>Gebankte overproductie (MWh)</t>
    </r>
    <r>
      <rPr>
        <vertAlign val="superscript"/>
        <sz val="10"/>
        <color theme="1"/>
        <rFont val="Arial"/>
        <family val="2"/>
      </rPr>
      <t>2</t>
    </r>
  </si>
  <si>
    <t>Opgesteld vermogen zon-PV installatie (MWp)</t>
  </si>
  <si>
    <t>kWp</t>
  </si>
  <si>
    <t xml:space="preserve">Gesubsidieerde productie netlevering (MWh) </t>
  </si>
  <si>
    <t xml:space="preserve">Gesubsidieerde productie niet-netlevering (MWh) </t>
  </si>
  <si>
    <t>Disclaimer</t>
  </si>
  <si>
    <t>Aan dit rekenmodel banking SDE+ kunnen geen rechten worden ontleend.</t>
  </si>
  <si>
    <r>
      <rPr>
        <b/>
        <vertAlign val="superscript"/>
        <sz val="10"/>
        <color theme="1"/>
        <rFont val="Arial"/>
        <family val="2"/>
      </rPr>
      <t>4</t>
    </r>
    <r>
      <rPr>
        <sz val="10"/>
        <color theme="1"/>
        <rFont val="Arial"/>
        <family val="2"/>
      </rPr>
      <t xml:space="preserve"> Indien de productie-installatie niet start op 1 januari, bedraagt de subsidiabele productie van jaar 16 (exclusief gebankte onderproductie) het volledige jaarmaximum minus de subsidiabele productie van jaar 1. </t>
    </r>
  </si>
  <si>
    <r>
      <rPr>
        <b/>
        <vertAlign val="superscript"/>
        <sz val="10"/>
        <color theme="1"/>
        <rFont val="Arial"/>
        <family val="2"/>
      </rPr>
      <t>3</t>
    </r>
    <r>
      <rPr>
        <sz val="10"/>
        <color theme="1"/>
        <rFont val="Arial"/>
        <family val="2"/>
      </rPr>
      <t xml:space="preserve"> Indien de productie-installaties niet start op 1 januari, geldt voor het eerste gebroken jaar de maximale subsidiabele productie naar rato van het aantal maanden.</t>
    </r>
  </si>
  <si>
    <t>U kunt de waarden in de grafieken aflezen als u met de muis op de kolommen gaat staan.</t>
  </si>
  <si>
    <t>Rekenmodel Banking zon-PV voor openstellingsrondes SDE+ 2018 t/m SDE++ 2023</t>
  </si>
  <si>
    <r>
      <rPr>
        <b/>
        <vertAlign val="superscript"/>
        <sz val="10"/>
        <color theme="1"/>
        <rFont val="Arial"/>
        <family val="2"/>
      </rPr>
      <t>1</t>
    </r>
    <r>
      <rPr>
        <sz val="10"/>
        <color theme="1"/>
        <rFont val="Arial"/>
        <family val="2"/>
      </rPr>
      <t xml:space="preserve"> Als in een jaar de gerealiseerde subsidiabele productie (rekeninghoudend met uitgesloten periodes met negatieve prijzen) lager is dan de subsidiabele jaarproductie, wordt eerst de gebankte overproductie benut tot de maximale subsidiabele jaarproductie is bereikt. Daarna wordt het eventueel resterende tekort als onderproductie gebankt. </t>
    </r>
  </si>
  <si>
    <r>
      <rPr>
        <b/>
        <vertAlign val="superscript"/>
        <sz val="10"/>
        <color theme="1"/>
        <rFont val="Arial"/>
        <family val="2"/>
      </rPr>
      <t>2</t>
    </r>
    <r>
      <rPr>
        <sz val="10"/>
        <color theme="1"/>
        <rFont val="Arial"/>
        <family val="2"/>
      </rPr>
      <t xml:space="preserve"> Als in een jaar de gerealiseerde productie hoger is dan de subsidiabele jaarproductie wordt eerst de gebankte onderproductie verrekend. Daarna wordt het eventueel resterende overschot aan productie gebankt (productie netlevering tijdens uitgesloten periodes met negatieve prijzen kan niet als productieoverschot worden gebankt). </t>
    </r>
  </si>
  <si>
    <t>Maximum aantal vollasturen per jaar voor uw categorie zon-PV installatie</t>
  </si>
  <si>
    <t>Waarvan niet subsidiabele productie netlevering tijdens negatieve prijsperiodes (MWh)</t>
  </si>
  <si>
    <t>Totaal gerealiseerde subsidiabele productie (MWh)</t>
  </si>
  <si>
    <t>Dit rekenmodel geeft inzicht in de gevolgen voor uw SDE+(+) subsidie bij fluctuaties in de jaarproductie van uw productie-installatie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</si>
</sst>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font>
      <sz val="11"/>
      <color theme="1"/>
      <name val="Calibri"/>
      <family val="2"/>
      <scheme val="minor"/>
    </font>
    <font>
      <b/>
      <sz val="11"/>
      <color theme="1"/>
      <name val="Calibri"/>
      <family val="2"/>
      <scheme val="minor"/>
    </font>
    <font>
      <b/>
      <sz val="10"/>
      <color theme="1"/>
      <name val="Arial"/>
      <family val="2"/>
    </font>
    <font>
      <b/>
      <sz val="11"/>
      <color theme="1"/>
      <name val="Arial"/>
      <family val="2"/>
    </font>
    <font>
      <sz val="10"/>
      <color theme="1"/>
      <name val="Arial"/>
      <family val="2"/>
    </font>
    <font>
      <sz val="11"/>
      <color theme="1"/>
      <name val="Arial"/>
      <family val="2"/>
    </font>
    <font>
      <sz val="10"/>
      <color theme="1"/>
      <name val="Calibri"/>
      <family val="2"/>
      <scheme val="minor"/>
    </font>
    <font>
      <b/>
      <sz val="20"/>
      <color theme="1"/>
      <name val="Calibri"/>
      <family val="2"/>
      <scheme val="minor"/>
    </font>
    <font>
      <b/>
      <sz val="11"/>
      <color rgb="FFFF0000"/>
      <name val="Arial"/>
      <family val="2"/>
    </font>
    <font>
      <b/>
      <sz val="11"/>
      <color rgb="FFFF0000"/>
      <name val="Calibri"/>
      <family val="2"/>
      <scheme val="minor"/>
    </font>
    <font>
      <b/>
      <sz val="10"/>
      <color rgb="FFFF0000"/>
      <name val="Arial"/>
      <family val="2"/>
    </font>
    <font>
      <sz val="10"/>
      <name val="Arial"/>
      <family val="2"/>
    </font>
    <font>
      <b/>
      <sz val="12"/>
      <color theme="1"/>
      <name val="Arial"/>
      <family val="2"/>
    </font>
    <font>
      <sz val="12"/>
      <color theme="1"/>
      <name val="Arial"/>
      <family val="2"/>
    </font>
    <font>
      <b/>
      <sz val="24"/>
      <color rgb="FF002060"/>
      <name val="Arial"/>
      <family val="2"/>
    </font>
    <font>
      <b/>
      <sz val="22"/>
      <color rgb="FF002060"/>
      <name val="Calibri"/>
      <family val="2"/>
      <scheme val="minor"/>
    </font>
    <font>
      <b/>
      <sz val="20"/>
      <color rgb="FF002060"/>
      <name val="Arial"/>
      <family val="2"/>
    </font>
    <font>
      <sz val="11"/>
      <color rgb="FF002060"/>
      <name val="Arial"/>
      <family val="2"/>
    </font>
    <font>
      <b/>
      <vertAlign val="superscript"/>
      <sz val="10"/>
      <color theme="1"/>
      <name val="Arial"/>
      <family val="2"/>
    </font>
    <font>
      <vertAlign val="superscript"/>
      <sz val="10"/>
      <color theme="1"/>
      <name val="Arial"/>
      <family val="2"/>
    </font>
    <font>
      <b/>
      <sz val="16"/>
      <color rgb="FF002060"/>
      <name val="Arial"/>
      <family val="2"/>
    </font>
    <font>
      <b/>
      <sz val="11"/>
      <name val="Arial"/>
      <family val="2"/>
    </font>
    <font>
      <sz val="10"/>
      <name val="Arial "/>
    </font>
    <font>
      <sz val="9"/>
      <color indexed="81"/>
      <name val="Tahoma"/>
      <family val="2"/>
    </font>
    <font>
      <b/>
      <sz val="9"/>
      <color indexed="81"/>
      <name val="Tahoma"/>
      <family val="2"/>
    </font>
    <font>
      <sz val="11"/>
      <name val="Calibri"/>
      <family val="2"/>
      <scheme val="minor"/>
    </font>
    <font>
      <b/>
      <sz val="10"/>
      <color rgb="FFC00000"/>
      <name val="Arial"/>
      <family val="2"/>
    </font>
    <font>
      <b/>
      <sz val="10"/>
      <color rgb="FF7030A0"/>
      <name val="Arial"/>
      <family val="2"/>
    </font>
    <font>
      <b/>
      <sz val="11"/>
      <color rgb="FF7030A0"/>
      <name val="Calibri"/>
      <family val="2"/>
      <scheme val="minor"/>
    </font>
    <font>
      <b/>
      <sz val="10"/>
      <color rgb="FF7030A0"/>
      <name val="Calibri"/>
      <family val="2"/>
      <scheme val="minor"/>
    </font>
  </fonts>
  <fills count="3">
    <fill>
      <patternFill patternType="none"/>
    </fill>
    <fill>
      <patternFill patternType="gray125"/>
    </fill>
    <fill>
      <patternFill patternType="solid">
        <fgColor rgb="FFB7DEE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00">
    <xf numFmtId="0" fontId="0" fillId="0" borderId="0" xfId="0"/>
    <xf numFmtId="3" fontId="3" fillId="2" borderId="0" xfId="0" applyNumberFormat="1" applyFont="1" applyFill="1" applyAlignment="1">
      <alignment horizontal="center"/>
    </xf>
    <xf numFmtId="3" fontId="5" fillId="2" borderId="0" xfId="0" applyNumberFormat="1" applyFont="1" applyFill="1" applyAlignment="1">
      <alignment horizontal="left"/>
    </xf>
    <xf numFmtId="3" fontId="4" fillId="2" borderId="0" xfId="0" applyNumberFormat="1" applyFont="1" applyFill="1" applyAlignment="1">
      <alignment horizontal="left"/>
    </xf>
    <xf numFmtId="3" fontId="2" fillId="2" borderId="0" xfId="0" applyNumberFormat="1" applyFont="1" applyFill="1" applyAlignment="1">
      <alignment horizontal="left"/>
    </xf>
    <xf numFmtId="3" fontId="6" fillId="2" borderId="0" xfId="0" applyNumberFormat="1" applyFont="1" applyFill="1" applyAlignment="1">
      <alignment horizontal="center"/>
    </xf>
    <xf numFmtId="3" fontId="6" fillId="2" borderId="0" xfId="0" applyNumberFormat="1" applyFont="1" applyFill="1" applyAlignment="1">
      <alignment horizontal="right"/>
    </xf>
    <xf numFmtId="3" fontId="1" fillId="2" borderId="0" xfId="0" applyNumberFormat="1" applyFont="1" applyFill="1" applyAlignment="1">
      <alignment horizontal="center"/>
    </xf>
    <xf numFmtId="3" fontId="0" fillId="2" borderId="0" xfId="0" applyNumberFormat="1" applyFill="1" applyAlignment="1">
      <alignment horizontal="left"/>
    </xf>
    <xf numFmtId="0" fontId="7" fillId="0" borderId="0" xfId="0" applyFont="1"/>
    <xf numFmtId="0" fontId="2" fillId="0" borderId="0" xfId="0" applyFont="1"/>
    <xf numFmtId="3" fontId="4" fillId="0" borderId="0" xfId="0" applyNumberFormat="1" applyFont="1" applyAlignment="1">
      <alignment horizontal="left"/>
    </xf>
    <xf numFmtId="3" fontId="0" fillId="0" borderId="0" xfId="0" applyNumberFormat="1"/>
    <xf numFmtId="3" fontId="3" fillId="2" borderId="0" xfId="0" applyNumberFormat="1" applyFont="1" applyFill="1" applyAlignment="1">
      <alignment horizontal="left"/>
    </xf>
    <xf numFmtId="0" fontId="1" fillId="0" borderId="0" xfId="0" applyFont="1"/>
    <xf numFmtId="49" fontId="0" fillId="0" borderId="0" xfId="0" applyNumberFormat="1"/>
    <xf numFmtId="3" fontId="2" fillId="2" borderId="0" xfId="0" applyNumberFormat="1" applyFont="1" applyFill="1" applyAlignment="1">
      <alignment horizontal="left" wrapText="1"/>
    </xf>
    <xf numFmtId="3" fontId="0" fillId="2" borderId="0" xfId="0" applyNumberFormat="1" applyFill="1" applyAlignment="1">
      <alignment horizontal="center"/>
    </xf>
    <xf numFmtId="3" fontId="1" fillId="2" borderId="0" xfId="0" applyNumberFormat="1" applyFont="1" applyFill="1" applyAlignment="1">
      <alignment horizontal="left"/>
    </xf>
    <xf numFmtId="3" fontId="8" fillId="2" borderId="0" xfId="0" applyNumberFormat="1" applyFont="1" applyFill="1" applyAlignment="1">
      <alignment horizontal="left"/>
    </xf>
    <xf numFmtId="3" fontId="9" fillId="2" borderId="0" xfId="0" applyNumberFormat="1" applyFont="1" applyFill="1" applyAlignment="1">
      <alignment horizontal="left"/>
    </xf>
    <xf numFmtId="3" fontId="10" fillId="2" borderId="0" xfId="0" applyNumberFormat="1" applyFont="1" applyFill="1" applyAlignment="1">
      <alignment horizontal="center"/>
    </xf>
    <xf numFmtId="3" fontId="10" fillId="2" borderId="0" xfId="0" applyNumberFormat="1" applyFont="1" applyFill="1" applyAlignment="1">
      <alignment horizontal="right"/>
    </xf>
    <xf numFmtId="3" fontId="1" fillId="2" borderId="0" xfId="0" applyNumberFormat="1" applyFont="1" applyFill="1" applyAlignment="1">
      <alignment horizontal="right"/>
    </xf>
    <xf numFmtId="3" fontId="4" fillId="2" borderId="0" xfId="0" applyNumberFormat="1" applyFont="1" applyFill="1" applyAlignment="1">
      <alignment horizontal="center"/>
    </xf>
    <xf numFmtId="3" fontId="11" fillId="2" borderId="0" xfId="0" applyNumberFormat="1" applyFont="1" applyFill="1" applyAlignment="1">
      <alignment horizontal="left"/>
    </xf>
    <xf numFmtId="3" fontId="12" fillId="2" borderId="0" xfId="0" applyNumberFormat="1" applyFont="1" applyFill="1" applyAlignment="1">
      <alignment horizontal="left"/>
    </xf>
    <xf numFmtId="3" fontId="2" fillId="2" borderId="0" xfId="0" applyNumberFormat="1" applyFont="1" applyFill="1" applyAlignment="1">
      <alignment horizontal="center"/>
    </xf>
    <xf numFmtId="49" fontId="16" fillId="2" borderId="0" xfId="0" applyNumberFormat="1" applyFont="1" applyFill="1" applyAlignment="1">
      <alignment horizontal="left"/>
    </xf>
    <xf numFmtId="3" fontId="17" fillId="2" borderId="0" xfId="0" applyNumberFormat="1" applyFont="1" applyFill="1" applyAlignment="1">
      <alignment horizontal="center"/>
    </xf>
    <xf numFmtId="3" fontId="14" fillId="2" borderId="0" xfId="0" applyNumberFormat="1" applyFont="1" applyFill="1" applyAlignment="1">
      <alignment horizontal="left"/>
    </xf>
    <xf numFmtId="3" fontId="15" fillId="2" borderId="0" xfId="0" applyNumberFormat="1" applyFont="1" applyFill="1" applyAlignment="1">
      <alignment horizontal="center"/>
    </xf>
    <xf numFmtId="3" fontId="5" fillId="2" borderId="0" xfId="0" applyNumberFormat="1" applyFont="1" applyFill="1" applyAlignment="1">
      <alignment horizontal="center"/>
    </xf>
    <xf numFmtId="0" fontId="3" fillId="2" borderId="0" xfId="0" applyFont="1" applyFill="1" applyAlignment="1">
      <alignment horizontal="right"/>
    </xf>
    <xf numFmtId="0" fontId="1" fillId="2" borderId="0" xfId="0" applyFont="1" applyFill="1" applyAlignment="1">
      <alignment horizontal="right"/>
    </xf>
    <xf numFmtId="0" fontId="0" fillId="2" borderId="0" xfId="0" applyFill="1"/>
    <xf numFmtId="0" fontId="17" fillId="2" borderId="0" xfId="0" applyFont="1" applyFill="1"/>
    <xf numFmtId="3" fontId="18" fillId="2" borderId="0" xfId="0" applyNumberFormat="1" applyFont="1" applyFill="1" applyAlignment="1">
      <alignment horizontal="left"/>
    </xf>
    <xf numFmtId="0" fontId="18" fillId="2" borderId="0" xfId="0" applyFont="1" applyFill="1" applyAlignment="1">
      <alignment horizontal="left" wrapText="1"/>
    </xf>
    <xf numFmtId="3" fontId="4" fillId="2" borderId="0" xfId="0" applyNumberFormat="1" applyFont="1" applyFill="1" applyAlignment="1">
      <alignment horizontal="right"/>
    </xf>
    <xf numFmtId="3" fontId="2" fillId="2" borderId="0" xfId="0" applyNumberFormat="1" applyFont="1" applyFill="1" applyAlignment="1">
      <alignment horizontal="right"/>
    </xf>
    <xf numFmtId="0" fontId="0" fillId="2" borderId="0" xfId="0" applyFill="1" applyAlignment="1">
      <alignment horizontal="right"/>
    </xf>
    <xf numFmtId="0" fontId="4" fillId="2" borderId="0" xfId="0" applyFont="1" applyFill="1" applyAlignment="1">
      <alignment horizontal="center"/>
    </xf>
    <xf numFmtId="3" fontId="2" fillId="2" borderId="0" xfId="0" applyNumberFormat="1" applyFont="1" applyFill="1" applyAlignment="1">
      <alignment horizontal="right" wrapText="1"/>
    </xf>
    <xf numFmtId="0" fontId="20" fillId="2" borderId="0" xfId="0" applyFont="1" applyFill="1" applyAlignment="1">
      <alignment vertical="center"/>
    </xf>
    <xf numFmtId="0" fontId="21" fillId="2" borderId="0" xfId="0" applyFont="1" applyFill="1"/>
    <xf numFmtId="0" fontId="22" fillId="2" borderId="0" xfId="0" applyFont="1" applyFill="1"/>
    <xf numFmtId="3" fontId="11" fillId="2" borderId="0" xfId="0" applyNumberFormat="1" applyFont="1" applyFill="1" applyAlignment="1">
      <alignment horizontal="right"/>
    </xf>
    <xf numFmtId="1" fontId="5" fillId="2" borderId="0" xfId="0" applyNumberFormat="1" applyFont="1" applyFill="1" applyAlignment="1">
      <alignment horizontal="center"/>
    </xf>
    <xf numFmtId="1" fontId="0" fillId="2" borderId="0" xfId="0" applyNumberFormat="1" applyFill="1" applyAlignment="1">
      <alignment horizontal="center"/>
    </xf>
    <xf numFmtId="3" fontId="26" fillId="2" borderId="0" xfId="0" applyNumberFormat="1" applyFont="1" applyFill="1" applyAlignment="1">
      <alignment horizontal="right"/>
    </xf>
    <xf numFmtId="3" fontId="27" fillId="2" borderId="0" xfId="0" applyNumberFormat="1" applyFont="1" applyFill="1" applyAlignment="1">
      <alignment horizontal="right"/>
    </xf>
    <xf numFmtId="3" fontId="27" fillId="2" borderId="0" xfId="0" applyNumberFormat="1" applyFont="1" applyFill="1" applyAlignment="1">
      <alignment horizontal="left"/>
    </xf>
    <xf numFmtId="3" fontId="29" fillId="2" borderId="0" xfId="0" applyNumberFormat="1" applyFont="1" applyFill="1" applyAlignment="1">
      <alignment horizontal="right"/>
    </xf>
    <xf numFmtId="3" fontId="29" fillId="2" borderId="0" xfId="0" applyNumberFormat="1" applyFont="1" applyFill="1" applyAlignment="1">
      <alignment horizontal="center"/>
    </xf>
    <xf numFmtId="3" fontId="28" fillId="2" borderId="0" xfId="0" applyNumberFormat="1" applyFont="1" applyFill="1" applyAlignment="1">
      <alignment horizontal="center"/>
    </xf>
    <xf numFmtId="3" fontId="28" fillId="2" borderId="0" xfId="0" applyNumberFormat="1" applyFont="1" applyFill="1" applyAlignment="1">
      <alignment horizontal="right"/>
    </xf>
    <xf numFmtId="3" fontId="4" fillId="2" borderId="0" xfId="0" applyNumberFormat="1" applyFont="1" applyFill="1" applyAlignment="1">
      <alignment horizontal="right"/>
    </xf>
    <xf numFmtId="0" fontId="0" fillId="2" borderId="0" xfId="0" applyFill="1" applyAlignment="1">
      <alignment horizontal="right"/>
    </xf>
    <xf numFmtId="3" fontId="2" fillId="2" borderId="0" xfId="0" applyNumberFormat="1" applyFont="1" applyFill="1" applyAlignment="1">
      <alignment horizontal="right"/>
    </xf>
    <xf numFmtId="0" fontId="0" fillId="0" borderId="0" xfId="0" applyAlignment="1">
      <alignment horizontal="right"/>
    </xf>
    <xf numFmtId="3" fontId="4" fillId="2" borderId="2" xfId="0" applyNumberFormat="1" applyFont="1" applyFill="1" applyBorder="1" applyAlignment="1">
      <alignment horizontal="right"/>
    </xf>
    <xf numFmtId="0" fontId="0" fillId="0" borderId="2" xfId="0" applyBorder="1" applyAlignment="1">
      <alignment horizontal="right"/>
    </xf>
    <xf numFmtId="3" fontId="4" fillId="0" borderId="3" xfId="0" applyNumberFormat="1" applyFont="1" applyBorder="1" applyAlignment="1" applyProtection="1">
      <alignment horizontal="right"/>
      <protection locked="0"/>
    </xf>
    <xf numFmtId="0" fontId="0" fillId="0" borderId="3" xfId="0" applyBorder="1" applyAlignment="1" applyProtection="1">
      <alignment horizontal="right"/>
      <protection locked="0"/>
    </xf>
    <xf numFmtId="0" fontId="0" fillId="0" borderId="7" xfId="0" applyBorder="1" applyAlignment="1" applyProtection="1">
      <alignment horizontal="right"/>
      <protection locked="0"/>
    </xf>
    <xf numFmtId="3" fontId="4" fillId="0" borderId="6" xfId="0" applyNumberFormat="1" applyFont="1" applyBorder="1" applyAlignment="1" applyProtection="1">
      <alignment horizontal="right"/>
      <protection locked="0"/>
    </xf>
    <xf numFmtId="0" fontId="1" fillId="0" borderId="0" xfId="0" applyFont="1" applyAlignment="1">
      <alignment horizontal="right"/>
    </xf>
    <xf numFmtId="3" fontId="11" fillId="2" borderId="0" xfId="0" applyNumberFormat="1" applyFont="1" applyFill="1" applyAlignment="1">
      <alignment horizontal="right"/>
    </xf>
    <xf numFmtId="0" fontId="25" fillId="2" borderId="0" xfId="0" applyFont="1" applyFill="1" applyAlignment="1">
      <alignment horizontal="right"/>
    </xf>
    <xf numFmtId="3" fontId="10" fillId="2" borderId="0" xfId="0" applyNumberFormat="1" applyFont="1" applyFill="1" applyAlignment="1">
      <alignment horizontal="left"/>
    </xf>
    <xf numFmtId="3" fontId="4" fillId="0" borderId="2" xfId="0" applyNumberFormat="1" applyFont="1" applyBorder="1" applyAlignment="1" applyProtection="1">
      <alignment horizontal="right"/>
      <protection locked="0"/>
    </xf>
    <xf numFmtId="0" fontId="0" fillId="0" borderId="2" xfId="0" applyBorder="1" applyAlignment="1" applyProtection="1">
      <alignment horizontal="right"/>
      <protection locked="0"/>
    </xf>
    <xf numFmtId="0" fontId="0" fillId="0" borderId="5" xfId="0" applyBorder="1" applyAlignment="1" applyProtection="1">
      <alignment horizontal="right"/>
      <protection locked="0"/>
    </xf>
    <xf numFmtId="3" fontId="0" fillId="0" borderId="2" xfId="0" applyNumberFormat="1" applyBorder="1" applyAlignment="1" applyProtection="1">
      <alignment horizontal="right"/>
      <protection locked="0"/>
    </xf>
    <xf numFmtId="0" fontId="2" fillId="0" borderId="0" xfId="0" applyFont="1" applyAlignment="1">
      <alignment horizontal="right"/>
    </xf>
    <xf numFmtId="3" fontId="4" fillId="2" borderId="0" xfId="0" applyNumberFormat="1" applyFont="1" applyFill="1" applyAlignment="1">
      <alignment horizontal="left"/>
    </xf>
    <xf numFmtId="0" fontId="0" fillId="0" borderId="0" xfId="0" applyAlignment="1">
      <alignment horizontal="left"/>
    </xf>
    <xf numFmtId="0" fontId="2" fillId="0" borderId="0" xfId="0" applyFont="1"/>
    <xf numFmtId="0" fontId="2" fillId="2" borderId="0" xfId="0" applyFont="1" applyFill="1" applyAlignment="1">
      <alignment horizontal="left" wrapText="1"/>
    </xf>
    <xf numFmtId="0" fontId="0" fillId="0" borderId="0" xfId="0"/>
    <xf numFmtId="3" fontId="0" fillId="2" borderId="0" xfId="0" applyNumberFormat="1" applyFill="1" applyAlignment="1">
      <alignment horizontal="left" wrapText="1"/>
    </xf>
    <xf numFmtId="0" fontId="0" fillId="0" borderId="0" xfId="0" applyAlignment="1">
      <alignment horizontal="left" wrapText="1"/>
    </xf>
    <xf numFmtId="164" fontId="5" fillId="0" borderId="8" xfId="0" applyNumberFormat="1" applyFont="1" applyBorder="1" applyAlignment="1" applyProtection="1">
      <alignment horizontal="center"/>
      <protection locked="0"/>
    </xf>
    <xf numFmtId="164" fontId="0" fillId="0" borderId="9" xfId="0" applyNumberFormat="1" applyBorder="1" applyAlignment="1" applyProtection="1">
      <alignment horizontal="center"/>
      <protection locked="0"/>
    </xf>
    <xf numFmtId="1" fontId="5" fillId="2" borderId="8" xfId="0" applyNumberFormat="1" applyFont="1" applyFill="1" applyBorder="1" applyAlignment="1">
      <alignment horizontal="center"/>
    </xf>
    <xf numFmtId="1" fontId="0" fillId="0" borderId="9" xfId="0" applyNumberFormat="1" applyBorder="1" applyAlignment="1">
      <alignment horizontal="center"/>
    </xf>
    <xf numFmtId="3" fontId="4" fillId="2" borderId="0" xfId="0" applyNumberFormat="1" applyFont="1" applyFill="1" applyAlignment="1">
      <alignment horizontal="center"/>
    </xf>
    <xf numFmtId="3" fontId="4" fillId="0" borderId="1" xfId="0" applyNumberFormat="1" applyFont="1" applyBorder="1" applyAlignment="1" applyProtection="1">
      <alignment horizontal="center"/>
      <protection locked="0"/>
    </xf>
    <xf numFmtId="0" fontId="4" fillId="0" borderId="1" xfId="0" applyFont="1" applyBorder="1" applyAlignment="1" applyProtection="1">
      <alignment horizontal="center"/>
      <protection locked="0"/>
    </xf>
    <xf numFmtId="3" fontId="4" fillId="2" borderId="2" xfId="0" applyNumberFormat="1" applyFont="1" applyFill="1" applyBorder="1" applyAlignment="1">
      <alignment horizontal="center"/>
    </xf>
    <xf numFmtId="0" fontId="4" fillId="2" borderId="0" xfId="0" applyFont="1" applyFill="1" applyAlignment="1">
      <alignment horizontal="center"/>
    </xf>
    <xf numFmtId="3" fontId="2" fillId="2" borderId="0" xfId="0" applyNumberFormat="1" applyFont="1" applyFill="1" applyAlignment="1">
      <alignment horizontal="right" wrapText="1"/>
    </xf>
    <xf numFmtId="0" fontId="0" fillId="0" borderId="0" xfId="0" applyAlignment="1">
      <alignment horizontal="right" wrapText="1"/>
    </xf>
    <xf numFmtId="3" fontId="4" fillId="0" borderId="4" xfId="0" applyNumberFormat="1" applyFont="1" applyBorder="1" applyAlignment="1" applyProtection="1">
      <alignment horizontal="right"/>
      <protection locked="0"/>
    </xf>
    <xf numFmtId="3" fontId="4" fillId="0" borderId="0" xfId="0" applyNumberFormat="1" applyFont="1" applyAlignment="1" applyProtection="1">
      <alignment horizontal="right"/>
      <protection locked="0"/>
    </xf>
    <xf numFmtId="3" fontId="4" fillId="0" borderId="11" xfId="0" applyNumberFormat="1" applyFont="1" applyBorder="1" applyAlignment="1" applyProtection="1">
      <alignment horizontal="right"/>
      <protection locked="0"/>
    </xf>
    <xf numFmtId="1" fontId="5" fillId="0" borderId="1" xfId="0" applyNumberFormat="1" applyFont="1" applyBorder="1" applyAlignment="1" applyProtection="1">
      <alignment horizontal="center"/>
      <protection locked="0"/>
    </xf>
    <xf numFmtId="3" fontId="4" fillId="0" borderId="10" xfId="0" applyNumberFormat="1" applyFont="1" applyBorder="1" applyAlignment="1" applyProtection="1">
      <alignment horizontal="right"/>
      <protection locked="0"/>
    </xf>
    <xf numFmtId="0" fontId="1" fillId="2" borderId="0" xfId="0" applyFont="1" applyFill="1" applyAlignment="1">
      <alignment horizontal="right" wrapText="1"/>
    </xf>
  </cellXfs>
  <cellStyles count="1">
    <cellStyle name="Standaard" xfId="0" builtinId="0"/>
  </cellStyles>
  <dxfs count="0"/>
  <tableStyles count="0" defaultTableStyle="TableStyleMedium2" defaultPivotStyle="PivotStyleLight16"/>
  <colors>
    <mruColors>
      <color rgb="FFB7DEE8"/>
      <color rgb="FF4031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Gesubsidieerde productie en benutting banking </a:t>
            </a:r>
          </a:p>
        </c:rich>
      </c:tx>
      <c:overlay val="0"/>
    </c:title>
    <c:autoTitleDeleted val="0"/>
    <c:plotArea>
      <c:layout/>
      <c:barChart>
        <c:barDir val="col"/>
        <c:grouping val="stacked"/>
        <c:varyColors val="0"/>
        <c:ser>
          <c:idx val="1"/>
          <c:order val="0"/>
          <c:tx>
            <c:strRef>
              <c:f>'Hulpblad grafieken'!$A$7</c:f>
              <c:strCache>
                <c:ptCount val="1"/>
                <c:pt idx="0">
                  <c:v>Gesubsidieerde productie zonder benutting banking (MWh)</c:v>
                </c:pt>
              </c:strCache>
            </c:strRef>
          </c:tx>
          <c:invertIfNegative val="0"/>
          <c:val>
            <c:numRef>
              <c:f>'Hulpblad grafieken'!$B$7:$R$7</c:f>
              <c:numCache>
                <c:formatCode>General</c:formatCode>
                <c:ptCount val="17"/>
                <c:pt idx="0" formatCode="#,##0">
                  <c:v>450</c:v>
                </c:pt>
                <c:pt idx="1">
                  <c:v>900</c:v>
                </c:pt>
                <c:pt idx="2">
                  <c:v>900</c:v>
                </c:pt>
                <c:pt idx="3">
                  <c:v>840</c:v>
                </c:pt>
                <c:pt idx="4">
                  <c:v>840</c:v>
                </c:pt>
                <c:pt idx="5">
                  <c:v>740</c:v>
                </c:pt>
                <c:pt idx="6">
                  <c:v>900</c:v>
                </c:pt>
                <c:pt idx="7">
                  <c:v>900</c:v>
                </c:pt>
                <c:pt idx="8">
                  <c:v>900</c:v>
                </c:pt>
                <c:pt idx="9">
                  <c:v>900</c:v>
                </c:pt>
                <c:pt idx="10">
                  <c:v>840</c:v>
                </c:pt>
                <c:pt idx="11">
                  <c:v>900</c:v>
                </c:pt>
                <c:pt idx="12">
                  <c:v>900</c:v>
                </c:pt>
                <c:pt idx="13">
                  <c:v>890</c:v>
                </c:pt>
                <c:pt idx="14">
                  <c:v>740</c:v>
                </c:pt>
                <c:pt idx="15">
                  <c:v>225</c:v>
                </c:pt>
                <c:pt idx="16">
                  <c:v>0</c:v>
                </c:pt>
              </c:numCache>
            </c:numRef>
          </c:val>
          <c:extLst>
            <c:ext xmlns:c16="http://schemas.microsoft.com/office/drawing/2014/chart" uri="{C3380CC4-5D6E-409C-BE32-E72D297353CC}">
              <c16:uniqueId val="{00000000-B97E-4E67-A34B-781057320AB7}"/>
            </c:ext>
          </c:extLst>
        </c:ser>
        <c:ser>
          <c:idx val="2"/>
          <c:order val="1"/>
          <c:tx>
            <c:strRef>
              <c:f>'Hulpblad grafieken'!$A$8</c:f>
              <c:strCache>
                <c:ptCount val="1"/>
                <c:pt idx="0">
                  <c:v>Benutting gebankte onderproductie (MWh)</c:v>
                </c:pt>
              </c:strCache>
            </c:strRef>
          </c:tx>
          <c:invertIfNegative val="0"/>
          <c:val>
            <c:numRef>
              <c:f>'Hulpblad grafieken'!$B$8:$R$8</c:f>
              <c:numCache>
                <c:formatCode>#,##0</c:formatCode>
                <c:ptCount val="17"/>
                <c:pt idx="0">
                  <c:v>0</c:v>
                </c:pt>
                <c:pt idx="1">
                  <c:v>225</c:v>
                </c:pt>
                <c:pt idx="2">
                  <c:v>0</c:v>
                </c:pt>
                <c:pt idx="3">
                  <c:v>0</c:v>
                </c:pt>
                <c:pt idx="4">
                  <c:v>0</c:v>
                </c:pt>
                <c:pt idx="5">
                  <c:v>0</c:v>
                </c:pt>
                <c:pt idx="6">
                  <c:v>55</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B97E-4E67-A34B-781057320AB7}"/>
            </c:ext>
          </c:extLst>
        </c:ser>
        <c:ser>
          <c:idx val="0"/>
          <c:order val="2"/>
          <c:tx>
            <c:strRef>
              <c:f>'Hulpblad grafieken'!$A$9</c:f>
              <c:strCache>
                <c:ptCount val="1"/>
                <c:pt idx="0">
                  <c:v>Benutting gebankte overproductie (MWh)</c:v>
                </c:pt>
              </c:strCache>
            </c:strRef>
          </c:tx>
          <c:invertIfNegative val="0"/>
          <c:val>
            <c:numRef>
              <c:f>'Hulpblad grafieken'!$B$9:$R$9</c:f>
              <c:numCache>
                <c:formatCode>#,##0</c:formatCode>
                <c:ptCount val="17"/>
                <c:pt idx="0">
                  <c:v>0</c:v>
                </c:pt>
                <c:pt idx="1">
                  <c:v>0</c:v>
                </c:pt>
                <c:pt idx="2">
                  <c:v>0</c:v>
                </c:pt>
                <c:pt idx="3">
                  <c:v>60</c:v>
                </c:pt>
                <c:pt idx="4">
                  <c:v>60</c:v>
                </c:pt>
                <c:pt idx="5">
                  <c:v>105</c:v>
                </c:pt>
                <c:pt idx="6">
                  <c:v>0</c:v>
                </c:pt>
                <c:pt idx="7">
                  <c:v>0</c:v>
                </c:pt>
                <c:pt idx="8">
                  <c:v>0</c:v>
                </c:pt>
                <c:pt idx="9">
                  <c:v>0</c:v>
                </c:pt>
                <c:pt idx="10">
                  <c:v>60</c:v>
                </c:pt>
                <c:pt idx="11">
                  <c:v>0</c:v>
                </c:pt>
                <c:pt idx="12">
                  <c:v>0</c:v>
                </c:pt>
                <c:pt idx="13">
                  <c:v>10</c:v>
                </c:pt>
                <c:pt idx="14">
                  <c:v>160</c:v>
                </c:pt>
                <c:pt idx="15">
                  <c:v>0</c:v>
                </c:pt>
                <c:pt idx="16">
                  <c:v>0</c:v>
                </c:pt>
              </c:numCache>
            </c:numRef>
          </c:val>
          <c:extLst>
            <c:ext xmlns:c16="http://schemas.microsoft.com/office/drawing/2014/chart" uri="{C3380CC4-5D6E-409C-BE32-E72D297353CC}">
              <c16:uniqueId val="{00000002-B97E-4E67-A34B-781057320AB7}"/>
            </c:ext>
          </c:extLst>
        </c:ser>
        <c:dLbls>
          <c:showLegendKey val="0"/>
          <c:showVal val="0"/>
          <c:showCatName val="0"/>
          <c:showSerName val="0"/>
          <c:showPercent val="0"/>
          <c:showBubbleSize val="0"/>
        </c:dLbls>
        <c:gapWidth val="75"/>
        <c:overlap val="100"/>
        <c:axId val="65758336"/>
        <c:axId val="65759872"/>
      </c:barChart>
      <c:catAx>
        <c:axId val="65758336"/>
        <c:scaling>
          <c:orientation val="minMax"/>
        </c:scaling>
        <c:delete val="0"/>
        <c:axPos val="b"/>
        <c:majorTickMark val="none"/>
        <c:minorTickMark val="none"/>
        <c:tickLblPos val="nextTo"/>
        <c:crossAx val="65759872"/>
        <c:crosses val="autoZero"/>
        <c:auto val="1"/>
        <c:lblAlgn val="ctr"/>
        <c:lblOffset val="100"/>
        <c:noMultiLvlLbl val="0"/>
      </c:catAx>
      <c:valAx>
        <c:axId val="65759872"/>
        <c:scaling>
          <c:orientation val="minMax"/>
        </c:scaling>
        <c:delete val="0"/>
        <c:axPos val="l"/>
        <c:majorGridlines/>
        <c:numFmt formatCode="#,##0" sourceLinked="1"/>
        <c:majorTickMark val="none"/>
        <c:minorTickMark val="none"/>
        <c:tickLblPos val="nextTo"/>
        <c:spPr>
          <a:ln w="9525">
            <a:noFill/>
          </a:ln>
        </c:spPr>
        <c:crossAx val="6575833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Gesubsidieerde productie netlevering en niet-netlevering </a:t>
            </a:r>
          </a:p>
        </c:rich>
      </c:tx>
      <c:overlay val="0"/>
    </c:title>
    <c:autoTitleDeleted val="0"/>
    <c:plotArea>
      <c:layout/>
      <c:barChart>
        <c:barDir val="col"/>
        <c:grouping val="stacked"/>
        <c:varyColors val="0"/>
        <c:ser>
          <c:idx val="1"/>
          <c:order val="0"/>
          <c:tx>
            <c:strRef>
              <c:f>'Hulpblad grafieken'!$A$31</c:f>
              <c:strCache>
                <c:ptCount val="1"/>
                <c:pt idx="0">
                  <c:v>Gesubsidieerde productie netlevering (MWh) </c:v>
                </c:pt>
              </c:strCache>
            </c:strRef>
          </c:tx>
          <c:spPr>
            <a:solidFill>
              <a:schemeClr val="accent5">
                <a:lumMod val="60000"/>
                <a:lumOff val="40000"/>
              </a:schemeClr>
            </a:solidFill>
          </c:spPr>
          <c:invertIfNegative val="0"/>
          <c:val>
            <c:numRef>
              <c:f>'Hulpblad grafieken'!$B$31:$R$31</c:f>
              <c:numCache>
                <c:formatCode>#,##0</c:formatCode>
                <c:ptCount val="17"/>
                <c:pt idx="0">
                  <c:v>250</c:v>
                </c:pt>
                <c:pt idx="1">
                  <c:v>605.76923076923072</c:v>
                </c:pt>
                <c:pt idx="2">
                  <c:v>375</c:v>
                </c:pt>
                <c:pt idx="3">
                  <c:v>465</c:v>
                </c:pt>
                <c:pt idx="4">
                  <c:v>573.33333333333337</c:v>
                </c:pt>
                <c:pt idx="5">
                  <c:v>610</c:v>
                </c:pt>
                <c:pt idx="6">
                  <c:v>477.5</c:v>
                </c:pt>
                <c:pt idx="7">
                  <c:v>540</c:v>
                </c:pt>
                <c:pt idx="8">
                  <c:v>450</c:v>
                </c:pt>
                <c:pt idx="9">
                  <c:v>654.5454545454545</c:v>
                </c:pt>
                <c:pt idx="10">
                  <c:v>483.63636363636363</c:v>
                </c:pt>
                <c:pt idx="11">
                  <c:v>525</c:v>
                </c:pt>
                <c:pt idx="12">
                  <c:v>553.84615384615381</c:v>
                </c:pt>
                <c:pt idx="13">
                  <c:v>546.15384615384619</c:v>
                </c:pt>
                <c:pt idx="14">
                  <c:v>441.0526315789474</c:v>
                </c:pt>
                <c:pt idx="15">
                  <c:v>168.75</c:v>
                </c:pt>
                <c:pt idx="16">
                  <c:v>0</c:v>
                </c:pt>
              </c:numCache>
            </c:numRef>
          </c:val>
          <c:extLst>
            <c:ext xmlns:c16="http://schemas.microsoft.com/office/drawing/2014/chart" uri="{C3380CC4-5D6E-409C-BE32-E72D297353CC}">
              <c16:uniqueId val="{00000000-A7DE-45FE-8023-677F1950EE44}"/>
            </c:ext>
          </c:extLst>
        </c:ser>
        <c:ser>
          <c:idx val="2"/>
          <c:order val="1"/>
          <c:tx>
            <c:strRef>
              <c:f>'Hulpblad grafieken'!$A$32</c:f>
              <c:strCache>
                <c:ptCount val="1"/>
                <c:pt idx="0">
                  <c:v>Gesubsidieerde productie niet-netlevering (MWh) </c:v>
                </c:pt>
              </c:strCache>
            </c:strRef>
          </c:tx>
          <c:spPr>
            <a:solidFill>
              <a:schemeClr val="accent6"/>
            </a:solidFill>
          </c:spPr>
          <c:invertIfNegative val="0"/>
          <c:val>
            <c:numRef>
              <c:f>'Hulpblad grafieken'!$B$32:$R$32</c:f>
              <c:numCache>
                <c:formatCode>#,##0</c:formatCode>
                <c:ptCount val="17"/>
                <c:pt idx="0">
                  <c:v>200</c:v>
                </c:pt>
                <c:pt idx="1">
                  <c:v>519.23076923076928</c:v>
                </c:pt>
                <c:pt idx="2">
                  <c:v>525</c:v>
                </c:pt>
                <c:pt idx="3">
                  <c:v>435</c:v>
                </c:pt>
                <c:pt idx="4">
                  <c:v>326.66666666666669</c:v>
                </c:pt>
                <c:pt idx="5">
                  <c:v>235</c:v>
                </c:pt>
                <c:pt idx="6">
                  <c:v>477.5</c:v>
                </c:pt>
                <c:pt idx="7">
                  <c:v>360</c:v>
                </c:pt>
                <c:pt idx="8">
                  <c:v>450</c:v>
                </c:pt>
                <c:pt idx="9">
                  <c:v>245.45454545454547</c:v>
                </c:pt>
                <c:pt idx="10">
                  <c:v>416.36363636363637</c:v>
                </c:pt>
                <c:pt idx="11">
                  <c:v>375</c:v>
                </c:pt>
                <c:pt idx="12">
                  <c:v>346.15384615384613</c:v>
                </c:pt>
                <c:pt idx="13">
                  <c:v>353.84615384615387</c:v>
                </c:pt>
                <c:pt idx="14">
                  <c:v>458.9473684210526</c:v>
                </c:pt>
                <c:pt idx="15">
                  <c:v>56.25</c:v>
                </c:pt>
                <c:pt idx="16">
                  <c:v>0</c:v>
                </c:pt>
              </c:numCache>
            </c:numRef>
          </c:val>
          <c:extLst>
            <c:ext xmlns:c16="http://schemas.microsoft.com/office/drawing/2014/chart" uri="{C3380CC4-5D6E-409C-BE32-E72D297353CC}">
              <c16:uniqueId val="{00000001-A7DE-45FE-8023-677F1950EE44}"/>
            </c:ext>
          </c:extLst>
        </c:ser>
        <c:dLbls>
          <c:showLegendKey val="0"/>
          <c:showVal val="0"/>
          <c:showCatName val="0"/>
          <c:showSerName val="0"/>
          <c:showPercent val="0"/>
          <c:showBubbleSize val="0"/>
        </c:dLbls>
        <c:gapWidth val="75"/>
        <c:overlap val="100"/>
        <c:axId val="28227456"/>
        <c:axId val="28228992"/>
      </c:barChart>
      <c:catAx>
        <c:axId val="28227456"/>
        <c:scaling>
          <c:orientation val="minMax"/>
        </c:scaling>
        <c:delete val="0"/>
        <c:axPos val="b"/>
        <c:majorTickMark val="none"/>
        <c:minorTickMark val="none"/>
        <c:tickLblPos val="nextTo"/>
        <c:crossAx val="28228992"/>
        <c:crosses val="autoZero"/>
        <c:auto val="1"/>
        <c:lblAlgn val="ctr"/>
        <c:lblOffset val="100"/>
        <c:noMultiLvlLbl val="0"/>
      </c:catAx>
      <c:valAx>
        <c:axId val="28228992"/>
        <c:scaling>
          <c:orientation val="minMax"/>
        </c:scaling>
        <c:delete val="0"/>
        <c:axPos val="l"/>
        <c:majorGridlines/>
        <c:numFmt formatCode="#,##0" sourceLinked="1"/>
        <c:majorTickMark val="none"/>
        <c:minorTickMark val="none"/>
        <c:tickLblPos val="nextTo"/>
        <c:spPr>
          <a:ln w="9525">
            <a:noFill/>
          </a:ln>
        </c:spPr>
        <c:crossAx val="2822745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Gesubsidieerde productie en benutting banking </a:t>
            </a:r>
          </a:p>
        </c:rich>
      </c:tx>
      <c:overlay val="0"/>
    </c:title>
    <c:autoTitleDeleted val="0"/>
    <c:plotArea>
      <c:layout/>
      <c:barChart>
        <c:barDir val="col"/>
        <c:grouping val="stacked"/>
        <c:varyColors val="0"/>
        <c:ser>
          <c:idx val="1"/>
          <c:order val="0"/>
          <c:tx>
            <c:strRef>
              <c:f>'Hulpblad grafieken'!$A$7</c:f>
              <c:strCache>
                <c:ptCount val="1"/>
                <c:pt idx="0">
                  <c:v>Gesubsidieerde productie zonder benutting banking (MWh)</c:v>
                </c:pt>
              </c:strCache>
            </c:strRef>
          </c:tx>
          <c:invertIfNegative val="0"/>
          <c:val>
            <c:numRef>
              <c:f>'Hulpblad grafieken'!$B$7:$R$7</c:f>
              <c:numCache>
                <c:formatCode>General</c:formatCode>
                <c:ptCount val="17"/>
                <c:pt idx="0" formatCode="#,##0">
                  <c:v>450</c:v>
                </c:pt>
                <c:pt idx="1">
                  <c:v>900</c:v>
                </c:pt>
                <c:pt idx="2">
                  <c:v>900</c:v>
                </c:pt>
                <c:pt idx="3">
                  <c:v>840</c:v>
                </c:pt>
                <c:pt idx="4">
                  <c:v>840</c:v>
                </c:pt>
                <c:pt idx="5">
                  <c:v>740</c:v>
                </c:pt>
                <c:pt idx="6">
                  <c:v>900</c:v>
                </c:pt>
                <c:pt idx="7">
                  <c:v>900</c:v>
                </c:pt>
                <c:pt idx="8">
                  <c:v>900</c:v>
                </c:pt>
                <c:pt idx="9">
                  <c:v>900</c:v>
                </c:pt>
                <c:pt idx="10">
                  <c:v>840</c:v>
                </c:pt>
                <c:pt idx="11">
                  <c:v>900</c:v>
                </c:pt>
                <c:pt idx="12">
                  <c:v>900</c:v>
                </c:pt>
                <c:pt idx="13">
                  <c:v>890</c:v>
                </c:pt>
                <c:pt idx="14">
                  <c:v>740</c:v>
                </c:pt>
                <c:pt idx="15">
                  <c:v>225</c:v>
                </c:pt>
                <c:pt idx="16">
                  <c:v>0</c:v>
                </c:pt>
              </c:numCache>
            </c:numRef>
          </c:val>
          <c:extLst>
            <c:ext xmlns:c16="http://schemas.microsoft.com/office/drawing/2014/chart" uri="{C3380CC4-5D6E-409C-BE32-E72D297353CC}">
              <c16:uniqueId val="{00000000-6931-4EB2-BECB-A027F077036C}"/>
            </c:ext>
          </c:extLst>
        </c:ser>
        <c:ser>
          <c:idx val="2"/>
          <c:order val="1"/>
          <c:tx>
            <c:strRef>
              <c:f>'Hulpblad grafieken'!$A$8</c:f>
              <c:strCache>
                <c:ptCount val="1"/>
                <c:pt idx="0">
                  <c:v>Benutting gebankte onderproductie (MWh)</c:v>
                </c:pt>
              </c:strCache>
            </c:strRef>
          </c:tx>
          <c:invertIfNegative val="0"/>
          <c:val>
            <c:numRef>
              <c:f>'Hulpblad grafieken'!$B$8:$R$8</c:f>
              <c:numCache>
                <c:formatCode>#,##0</c:formatCode>
                <c:ptCount val="17"/>
                <c:pt idx="0">
                  <c:v>0</c:v>
                </c:pt>
                <c:pt idx="1">
                  <c:v>225</c:v>
                </c:pt>
                <c:pt idx="2">
                  <c:v>0</c:v>
                </c:pt>
                <c:pt idx="3">
                  <c:v>0</c:v>
                </c:pt>
                <c:pt idx="4">
                  <c:v>0</c:v>
                </c:pt>
                <c:pt idx="5">
                  <c:v>0</c:v>
                </c:pt>
                <c:pt idx="6">
                  <c:v>55</c:v>
                </c:pt>
                <c:pt idx="7">
                  <c:v>0</c:v>
                </c:pt>
                <c:pt idx="8">
                  <c:v>0</c:v>
                </c:pt>
                <c:pt idx="9">
                  <c:v>0</c:v>
                </c:pt>
                <c:pt idx="10">
                  <c:v>0</c:v>
                </c:pt>
                <c:pt idx="11">
                  <c:v>0</c:v>
                </c:pt>
                <c:pt idx="12">
                  <c:v>0</c:v>
                </c:pt>
                <c:pt idx="13">
                  <c:v>0</c:v>
                </c:pt>
                <c:pt idx="14">
                  <c:v>0</c:v>
                </c:pt>
                <c:pt idx="15">
                  <c:v>0</c:v>
                </c:pt>
                <c:pt idx="16">
                  <c:v>0</c:v>
                </c:pt>
              </c:numCache>
            </c:numRef>
          </c:val>
          <c:extLst>
            <c:ext xmlns:c16="http://schemas.microsoft.com/office/drawing/2014/chart" uri="{C3380CC4-5D6E-409C-BE32-E72D297353CC}">
              <c16:uniqueId val="{00000001-6931-4EB2-BECB-A027F077036C}"/>
            </c:ext>
          </c:extLst>
        </c:ser>
        <c:ser>
          <c:idx val="0"/>
          <c:order val="2"/>
          <c:tx>
            <c:strRef>
              <c:f>'Hulpblad grafieken'!$A$9</c:f>
              <c:strCache>
                <c:ptCount val="1"/>
                <c:pt idx="0">
                  <c:v>Benutting gebankte overproductie (MWh)</c:v>
                </c:pt>
              </c:strCache>
            </c:strRef>
          </c:tx>
          <c:invertIfNegative val="0"/>
          <c:val>
            <c:numRef>
              <c:f>'Hulpblad grafieken'!$B$9:$R$9</c:f>
              <c:numCache>
                <c:formatCode>#,##0</c:formatCode>
                <c:ptCount val="17"/>
                <c:pt idx="0">
                  <c:v>0</c:v>
                </c:pt>
                <c:pt idx="1">
                  <c:v>0</c:v>
                </c:pt>
                <c:pt idx="2">
                  <c:v>0</c:v>
                </c:pt>
                <c:pt idx="3">
                  <c:v>60</c:v>
                </c:pt>
                <c:pt idx="4">
                  <c:v>60</c:v>
                </c:pt>
                <c:pt idx="5">
                  <c:v>105</c:v>
                </c:pt>
                <c:pt idx="6">
                  <c:v>0</c:v>
                </c:pt>
                <c:pt idx="7">
                  <c:v>0</c:v>
                </c:pt>
                <c:pt idx="8">
                  <c:v>0</c:v>
                </c:pt>
                <c:pt idx="9">
                  <c:v>0</c:v>
                </c:pt>
                <c:pt idx="10">
                  <c:v>60</c:v>
                </c:pt>
                <c:pt idx="11">
                  <c:v>0</c:v>
                </c:pt>
                <c:pt idx="12">
                  <c:v>0</c:v>
                </c:pt>
                <c:pt idx="13">
                  <c:v>10</c:v>
                </c:pt>
                <c:pt idx="14">
                  <c:v>160</c:v>
                </c:pt>
                <c:pt idx="15">
                  <c:v>0</c:v>
                </c:pt>
                <c:pt idx="16">
                  <c:v>0</c:v>
                </c:pt>
              </c:numCache>
            </c:numRef>
          </c:val>
          <c:extLst>
            <c:ext xmlns:c16="http://schemas.microsoft.com/office/drawing/2014/chart" uri="{C3380CC4-5D6E-409C-BE32-E72D297353CC}">
              <c16:uniqueId val="{00000002-6931-4EB2-BECB-A027F077036C}"/>
            </c:ext>
          </c:extLst>
        </c:ser>
        <c:dLbls>
          <c:showLegendKey val="0"/>
          <c:showVal val="0"/>
          <c:showCatName val="0"/>
          <c:showSerName val="0"/>
          <c:showPercent val="0"/>
          <c:showBubbleSize val="0"/>
        </c:dLbls>
        <c:gapWidth val="75"/>
        <c:overlap val="100"/>
        <c:axId val="28279936"/>
        <c:axId val="28281472"/>
      </c:barChart>
      <c:catAx>
        <c:axId val="28279936"/>
        <c:scaling>
          <c:orientation val="minMax"/>
        </c:scaling>
        <c:delete val="0"/>
        <c:axPos val="b"/>
        <c:majorTickMark val="none"/>
        <c:minorTickMark val="none"/>
        <c:tickLblPos val="nextTo"/>
        <c:crossAx val="28281472"/>
        <c:crosses val="autoZero"/>
        <c:auto val="1"/>
        <c:lblAlgn val="ctr"/>
        <c:lblOffset val="100"/>
        <c:noMultiLvlLbl val="0"/>
      </c:catAx>
      <c:valAx>
        <c:axId val="28281472"/>
        <c:scaling>
          <c:orientation val="minMax"/>
        </c:scaling>
        <c:delete val="0"/>
        <c:axPos val="l"/>
        <c:majorGridlines/>
        <c:numFmt formatCode="#,##0" sourceLinked="1"/>
        <c:majorTickMark val="none"/>
        <c:minorTickMark val="none"/>
        <c:tickLblPos val="nextTo"/>
        <c:spPr>
          <a:ln w="9525">
            <a:noFill/>
          </a:ln>
        </c:spPr>
        <c:crossAx val="2827993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nl-NL"/>
              <a:t>Gesubsidieerde productie netlevering en niet-netlevering </a:t>
            </a:r>
          </a:p>
        </c:rich>
      </c:tx>
      <c:overlay val="0"/>
    </c:title>
    <c:autoTitleDeleted val="0"/>
    <c:plotArea>
      <c:layout/>
      <c:barChart>
        <c:barDir val="col"/>
        <c:grouping val="stacked"/>
        <c:varyColors val="0"/>
        <c:ser>
          <c:idx val="1"/>
          <c:order val="0"/>
          <c:tx>
            <c:strRef>
              <c:f>'Hulpblad grafieken'!$A$31</c:f>
              <c:strCache>
                <c:ptCount val="1"/>
                <c:pt idx="0">
                  <c:v>Gesubsidieerde productie netlevering (MWh) </c:v>
                </c:pt>
              </c:strCache>
            </c:strRef>
          </c:tx>
          <c:spPr>
            <a:solidFill>
              <a:schemeClr val="accent5">
                <a:lumMod val="60000"/>
                <a:lumOff val="40000"/>
              </a:schemeClr>
            </a:solidFill>
          </c:spPr>
          <c:invertIfNegative val="0"/>
          <c:val>
            <c:numRef>
              <c:f>'Hulpblad grafieken'!$B$31:$R$31</c:f>
              <c:numCache>
                <c:formatCode>#,##0</c:formatCode>
                <c:ptCount val="17"/>
                <c:pt idx="0">
                  <c:v>250</c:v>
                </c:pt>
                <c:pt idx="1">
                  <c:v>605.76923076923072</c:v>
                </c:pt>
                <c:pt idx="2">
                  <c:v>375</c:v>
                </c:pt>
                <c:pt idx="3">
                  <c:v>465</c:v>
                </c:pt>
                <c:pt idx="4">
                  <c:v>573.33333333333337</c:v>
                </c:pt>
                <c:pt idx="5">
                  <c:v>610</c:v>
                </c:pt>
                <c:pt idx="6">
                  <c:v>477.5</c:v>
                </c:pt>
                <c:pt idx="7">
                  <c:v>540</c:v>
                </c:pt>
                <c:pt idx="8">
                  <c:v>450</c:v>
                </c:pt>
                <c:pt idx="9">
                  <c:v>654.5454545454545</c:v>
                </c:pt>
                <c:pt idx="10">
                  <c:v>483.63636363636363</c:v>
                </c:pt>
                <c:pt idx="11">
                  <c:v>525</c:v>
                </c:pt>
                <c:pt idx="12">
                  <c:v>553.84615384615381</c:v>
                </c:pt>
                <c:pt idx="13">
                  <c:v>546.15384615384619</c:v>
                </c:pt>
                <c:pt idx="14">
                  <c:v>441.0526315789474</c:v>
                </c:pt>
                <c:pt idx="15">
                  <c:v>168.75</c:v>
                </c:pt>
                <c:pt idx="16">
                  <c:v>0</c:v>
                </c:pt>
              </c:numCache>
            </c:numRef>
          </c:val>
          <c:extLst>
            <c:ext xmlns:c16="http://schemas.microsoft.com/office/drawing/2014/chart" uri="{C3380CC4-5D6E-409C-BE32-E72D297353CC}">
              <c16:uniqueId val="{00000000-B885-4AB1-B993-878B8048E1DC}"/>
            </c:ext>
          </c:extLst>
        </c:ser>
        <c:ser>
          <c:idx val="2"/>
          <c:order val="1"/>
          <c:tx>
            <c:strRef>
              <c:f>'Hulpblad grafieken'!$A$32</c:f>
              <c:strCache>
                <c:ptCount val="1"/>
                <c:pt idx="0">
                  <c:v>Gesubsidieerde productie niet-netlevering (MWh) </c:v>
                </c:pt>
              </c:strCache>
            </c:strRef>
          </c:tx>
          <c:spPr>
            <a:solidFill>
              <a:schemeClr val="accent6"/>
            </a:solidFill>
          </c:spPr>
          <c:invertIfNegative val="0"/>
          <c:val>
            <c:numRef>
              <c:f>'Hulpblad grafieken'!$B$32:$R$32</c:f>
              <c:numCache>
                <c:formatCode>#,##0</c:formatCode>
                <c:ptCount val="17"/>
                <c:pt idx="0">
                  <c:v>200</c:v>
                </c:pt>
                <c:pt idx="1">
                  <c:v>519.23076923076928</c:v>
                </c:pt>
                <c:pt idx="2">
                  <c:v>525</c:v>
                </c:pt>
                <c:pt idx="3">
                  <c:v>435</c:v>
                </c:pt>
                <c:pt idx="4">
                  <c:v>326.66666666666669</c:v>
                </c:pt>
                <c:pt idx="5">
                  <c:v>235</c:v>
                </c:pt>
                <c:pt idx="6">
                  <c:v>477.5</c:v>
                </c:pt>
                <c:pt idx="7">
                  <c:v>360</c:v>
                </c:pt>
                <c:pt idx="8">
                  <c:v>450</c:v>
                </c:pt>
                <c:pt idx="9">
                  <c:v>245.45454545454547</c:v>
                </c:pt>
                <c:pt idx="10">
                  <c:v>416.36363636363637</c:v>
                </c:pt>
                <c:pt idx="11">
                  <c:v>375</c:v>
                </c:pt>
                <c:pt idx="12">
                  <c:v>346.15384615384613</c:v>
                </c:pt>
                <c:pt idx="13">
                  <c:v>353.84615384615387</c:v>
                </c:pt>
                <c:pt idx="14">
                  <c:v>458.9473684210526</c:v>
                </c:pt>
                <c:pt idx="15">
                  <c:v>56.25</c:v>
                </c:pt>
                <c:pt idx="16">
                  <c:v>0</c:v>
                </c:pt>
              </c:numCache>
            </c:numRef>
          </c:val>
          <c:extLst>
            <c:ext xmlns:c16="http://schemas.microsoft.com/office/drawing/2014/chart" uri="{C3380CC4-5D6E-409C-BE32-E72D297353CC}">
              <c16:uniqueId val="{00000001-B885-4AB1-B993-878B8048E1DC}"/>
            </c:ext>
          </c:extLst>
        </c:ser>
        <c:dLbls>
          <c:showLegendKey val="0"/>
          <c:showVal val="0"/>
          <c:showCatName val="0"/>
          <c:showSerName val="0"/>
          <c:showPercent val="0"/>
          <c:showBubbleSize val="0"/>
        </c:dLbls>
        <c:gapWidth val="75"/>
        <c:overlap val="100"/>
        <c:axId val="28323200"/>
        <c:axId val="28341376"/>
      </c:barChart>
      <c:catAx>
        <c:axId val="28323200"/>
        <c:scaling>
          <c:orientation val="minMax"/>
        </c:scaling>
        <c:delete val="0"/>
        <c:axPos val="b"/>
        <c:majorTickMark val="none"/>
        <c:minorTickMark val="none"/>
        <c:tickLblPos val="nextTo"/>
        <c:crossAx val="28341376"/>
        <c:crosses val="autoZero"/>
        <c:auto val="1"/>
        <c:lblAlgn val="ctr"/>
        <c:lblOffset val="100"/>
        <c:noMultiLvlLbl val="0"/>
      </c:catAx>
      <c:valAx>
        <c:axId val="28341376"/>
        <c:scaling>
          <c:orientation val="minMax"/>
        </c:scaling>
        <c:delete val="0"/>
        <c:axPos val="l"/>
        <c:majorGridlines/>
        <c:numFmt formatCode="#,##0" sourceLinked="1"/>
        <c:majorTickMark val="none"/>
        <c:minorTickMark val="none"/>
        <c:tickLblPos val="nextTo"/>
        <c:spPr>
          <a:ln w="9525">
            <a:noFill/>
          </a:ln>
        </c:spPr>
        <c:crossAx val="28323200"/>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2</xdr:col>
      <xdr:colOff>323850</xdr:colOff>
      <xdr:row>11</xdr:row>
      <xdr:rowOff>76200</xdr:rowOff>
    </xdr:from>
    <xdr:to>
      <xdr:col>15</xdr:col>
      <xdr:colOff>76200</xdr:colOff>
      <xdr:row>27</xdr:row>
      <xdr:rowOff>104775</xdr:rowOff>
    </xdr:to>
    <xdr:graphicFrame macro="">
      <xdr:nvGraphicFramePr>
        <xdr:cNvPr id="6" name="Grafiek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304800</xdr:colOff>
      <xdr:row>34</xdr:row>
      <xdr:rowOff>152400</xdr:rowOff>
    </xdr:from>
    <xdr:to>
      <xdr:col>15</xdr:col>
      <xdr:colOff>57150</xdr:colOff>
      <xdr:row>50</xdr:row>
      <xdr:rowOff>180975</xdr:rowOff>
    </xdr:to>
    <xdr:graphicFrame macro="">
      <xdr:nvGraphicFramePr>
        <xdr:cNvPr id="3" name="Grafiek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276225</xdr:colOff>
      <xdr:row>34</xdr:row>
      <xdr:rowOff>11906</xdr:rowOff>
    </xdr:from>
    <xdr:to>
      <xdr:col>36</xdr:col>
      <xdr:colOff>323850</xdr:colOff>
      <xdr:row>50</xdr:row>
      <xdr:rowOff>145257</xdr:rowOff>
    </xdr:to>
    <xdr:graphicFrame macro="">
      <xdr:nvGraphicFramePr>
        <xdr:cNvPr id="2" name="Grafiek 1" descr="grafiek gesubsidieerde productie en benutting banking">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292100</xdr:colOff>
      <xdr:row>51</xdr:row>
      <xdr:rowOff>95250</xdr:rowOff>
    </xdr:from>
    <xdr:to>
      <xdr:col>36</xdr:col>
      <xdr:colOff>314324</xdr:colOff>
      <xdr:row>67</xdr:row>
      <xdr:rowOff>123825</xdr:rowOff>
    </xdr:to>
    <xdr:graphicFrame macro="">
      <xdr:nvGraphicFramePr>
        <xdr:cNvPr id="4" name="Grafiek 3" descr="grafiek gesubsidieerde productie netlevering en niet-netlevering">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14</xdr:col>
      <xdr:colOff>11906</xdr:colOff>
      <xdr:row>0</xdr:row>
      <xdr:rowOff>0</xdr:rowOff>
    </xdr:from>
    <xdr:to>
      <xdr:col>23</xdr:col>
      <xdr:colOff>130968</xdr:colOff>
      <xdr:row>0</xdr:row>
      <xdr:rowOff>1003573</xdr:rowOff>
    </xdr:to>
    <xdr:pic>
      <xdr:nvPicPr>
        <xdr:cNvPr id="6" name="Afbeelding 5" descr="logo rijksdienst voor ondernemend nederland">
          <a:extLst>
            <a:ext uri="{FF2B5EF4-FFF2-40B4-BE49-F238E27FC236}">
              <a16:creationId xmlns:a16="http://schemas.microsoft.com/office/drawing/2014/main" id="{E7ED4528-8C27-E2D0-164C-526A8712CE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82312" y="0"/>
          <a:ext cx="4191000" cy="1003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activeCell="F10" sqref="F10"/>
    </sheetView>
  </sheetViews>
  <sheetFormatPr defaultRowHeight="15"/>
  <cols>
    <col min="1" max="1" width="15.7109375" customWidth="1"/>
    <col min="4" max="4" width="9" customWidth="1"/>
  </cols>
  <sheetData>
    <row r="1" spans="1:3">
      <c r="A1" s="14" t="s">
        <v>19</v>
      </c>
      <c r="C1" s="14"/>
    </row>
    <row r="2" spans="1:3">
      <c r="A2" s="15" t="s">
        <v>21</v>
      </c>
    </row>
    <row r="3" spans="1:3">
      <c r="A3" s="15" t="s">
        <v>22</v>
      </c>
    </row>
    <row r="4" spans="1:3">
      <c r="A4" s="15" t="s">
        <v>23</v>
      </c>
    </row>
    <row r="5" spans="1:3">
      <c r="A5" s="15" t="s">
        <v>24</v>
      </c>
    </row>
    <row r="6" spans="1:3">
      <c r="A6" s="15" t="s">
        <v>25</v>
      </c>
    </row>
    <row r="7" spans="1:3">
      <c r="A7" s="15" t="s">
        <v>26</v>
      </c>
    </row>
    <row r="8" spans="1:3">
      <c r="A8" s="15" t="s">
        <v>27</v>
      </c>
    </row>
    <row r="9" spans="1:3">
      <c r="A9" s="15" t="s">
        <v>28</v>
      </c>
    </row>
    <row r="10" spans="1:3">
      <c r="A10" s="15" t="s">
        <v>29</v>
      </c>
    </row>
    <row r="11" spans="1:3">
      <c r="A11" s="15" t="s">
        <v>30</v>
      </c>
    </row>
    <row r="12" spans="1:3">
      <c r="A12" s="15" t="s">
        <v>31</v>
      </c>
    </row>
    <row r="13" spans="1:3">
      <c r="A13" s="15" t="s">
        <v>32</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2"/>
  <sheetViews>
    <sheetView topLeftCell="A28" workbookViewId="0">
      <selection activeCell="A16" sqref="A16"/>
    </sheetView>
  </sheetViews>
  <sheetFormatPr defaultRowHeight="15"/>
  <cols>
    <col min="1" max="1" width="47.42578125" customWidth="1"/>
    <col min="2" max="2" width="10.5703125" bestFit="1" customWidth="1"/>
  </cols>
  <sheetData>
    <row r="1" spans="1:18" ht="26.25">
      <c r="A1" s="9" t="s">
        <v>11</v>
      </c>
    </row>
    <row r="3" spans="1:18">
      <c r="A3" s="10" t="s">
        <v>36</v>
      </c>
    </row>
    <row r="5" spans="1:18">
      <c r="A5" t="s">
        <v>12</v>
      </c>
      <c r="B5">
        <v>1</v>
      </c>
      <c r="C5">
        <v>2</v>
      </c>
      <c r="D5">
        <v>3</v>
      </c>
      <c r="E5">
        <v>4</v>
      </c>
      <c r="F5">
        <v>5</v>
      </c>
      <c r="G5">
        <v>6</v>
      </c>
      <c r="H5">
        <v>7</v>
      </c>
      <c r="I5">
        <v>8</v>
      </c>
      <c r="J5">
        <v>9</v>
      </c>
      <c r="K5">
        <v>10</v>
      </c>
      <c r="L5">
        <v>11</v>
      </c>
      <c r="M5">
        <v>12</v>
      </c>
      <c r="N5">
        <v>13</v>
      </c>
      <c r="O5">
        <v>14</v>
      </c>
      <c r="P5">
        <v>15</v>
      </c>
      <c r="Q5">
        <v>16</v>
      </c>
      <c r="R5">
        <v>17</v>
      </c>
    </row>
    <row r="6" spans="1:18">
      <c r="A6" s="11" t="s">
        <v>10</v>
      </c>
      <c r="B6" s="12">
        <f>'Bankingberekening Zon-PV '!C28</f>
        <v>450</v>
      </c>
      <c r="C6" s="12">
        <f>'Bankingberekening Zon-PV '!E28</f>
        <v>1125</v>
      </c>
      <c r="D6" s="12">
        <f>'Bankingberekening Zon-PV '!G28</f>
        <v>900</v>
      </c>
      <c r="E6" s="12">
        <f>'Bankingberekening Zon-PV '!I28</f>
        <v>900</v>
      </c>
      <c r="F6" s="12">
        <f>'Bankingberekening Zon-PV '!K28</f>
        <v>900</v>
      </c>
      <c r="G6" s="12">
        <f>'Bankingberekening Zon-PV '!M28</f>
        <v>845</v>
      </c>
      <c r="H6" s="12">
        <f>'Bankingberekening Zon-PV '!O28</f>
        <v>955</v>
      </c>
      <c r="I6" s="12">
        <f>'Bankingberekening Zon-PV '!Q28</f>
        <v>900</v>
      </c>
      <c r="J6" s="12">
        <f>'Bankingberekening Zon-PV '!S28</f>
        <v>900</v>
      </c>
      <c r="K6" s="12">
        <f>'Bankingberekening Zon-PV '!U28</f>
        <v>900</v>
      </c>
      <c r="L6" s="12">
        <f>'Bankingberekening Zon-PV '!W28</f>
        <v>900</v>
      </c>
      <c r="M6" s="12">
        <f>'Bankingberekening Zon-PV '!Y28</f>
        <v>900</v>
      </c>
      <c r="N6" s="12">
        <f>'Bankingberekening Zon-PV '!AA28</f>
        <v>900</v>
      </c>
      <c r="O6" s="12">
        <f>'Bankingberekening Zon-PV '!AC28</f>
        <v>900</v>
      </c>
      <c r="P6" s="12">
        <f>'Bankingberekening Zon-PV '!AE28</f>
        <v>900</v>
      </c>
      <c r="Q6" s="12">
        <f>'Bankingberekening Zon-PV '!AG28</f>
        <v>225</v>
      </c>
      <c r="R6" s="12">
        <f>'Bankingberekening Zon-PV '!AI28</f>
        <v>0</v>
      </c>
    </row>
    <row r="7" spans="1:18">
      <c r="A7" s="11" t="s">
        <v>47</v>
      </c>
      <c r="B7" s="12">
        <f>B6-B8-B9</f>
        <v>450</v>
      </c>
      <c r="C7">
        <f t="shared" ref="C7:R7" si="0">C6-C8-C9</f>
        <v>900</v>
      </c>
      <c r="D7">
        <f t="shared" si="0"/>
        <v>900</v>
      </c>
      <c r="E7">
        <f t="shared" si="0"/>
        <v>840</v>
      </c>
      <c r="F7">
        <f t="shared" si="0"/>
        <v>840</v>
      </c>
      <c r="G7">
        <f t="shared" si="0"/>
        <v>740</v>
      </c>
      <c r="H7">
        <f t="shared" si="0"/>
        <v>900</v>
      </c>
      <c r="I7">
        <f t="shared" si="0"/>
        <v>900</v>
      </c>
      <c r="J7">
        <f t="shared" si="0"/>
        <v>900</v>
      </c>
      <c r="K7">
        <f t="shared" si="0"/>
        <v>900</v>
      </c>
      <c r="L7">
        <f t="shared" si="0"/>
        <v>840</v>
      </c>
      <c r="M7">
        <f t="shared" si="0"/>
        <v>900</v>
      </c>
      <c r="N7">
        <f t="shared" si="0"/>
        <v>900</v>
      </c>
      <c r="O7">
        <f t="shared" si="0"/>
        <v>890</v>
      </c>
      <c r="P7">
        <f t="shared" si="0"/>
        <v>740</v>
      </c>
      <c r="Q7">
        <f t="shared" si="0"/>
        <v>225</v>
      </c>
      <c r="R7">
        <f t="shared" si="0"/>
        <v>0</v>
      </c>
    </row>
    <row r="8" spans="1:18">
      <c r="A8" s="11" t="s">
        <v>41</v>
      </c>
      <c r="B8" s="12">
        <f>'Bankingberekening Zon-PV '!C23</f>
        <v>0</v>
      </c>
      <c r="C8" s="12">
        <f>'Bankingberekening Zon-PV '!E23</f>
        <v>225</v>
      </c>
      <c r="D8" s="12">
        <f>'Bankingberekening Zon-PV '!G23</f>
        <v>0</v>
      </c>
      <c r="E8" s="12">
        <f>'Bankingberekening Zon-PV '!I23</f>
        <v>0</v>
      </c>
      <c r="F8" s="12">
        <f>'Bankingberekening Zon-PV '!K23</f>
        <v>0</v>
      </c>
      <c r="G8" s="12">
        <f>'Bankingberekening Zon-PV '!M23</f>
        <v>0</v>
      </c>
      <c r="H8" s="12">
        <f>'Bankingberekening Zon-PV '!O23</f>
        <v>55</v>
      </c>
      <c r="I8" s="12">
        <f>'Bankingberekening Zon-PV '!Q23</f>
        <v>0</v>
      </c>
      <c r="J8" s="12">
        <f>'Bankingberekening Zon-PV '!S23</f>
        <v>0</v>
      </c>
      <c r="K8" s="12">
        <f>'Bankingberekening Zon-PV '!U23</f>
        <v>0</v>
      </c>
      <c r="L8" s="12">
        <f>'Bankingberekening Zon-PV '!W23</f>
        <v>0</v>
      </c>
      <c r="M8" s="12">
        <f>'Bankingberekening Zon-PV '!Y23</f>
        <v>0</v>
      </c>
      <c r="N8" s="12">
        <f>'Bankingberekening Zon-PV '!AA23</f>
        <v>0</v>
      </c>
      <c r="O8" s="12">
        <f>'Bankingberekening Zon-PV '!AC23</f>
        <v>0</v>
      </c>
      <c r="P8" s="12">
        <f>'Bankingberekening Zon-PV '!AE23</f>
        <v>0</v>
      </c>
      <c r="Q8" s="12">
        <f>'Bankingberekening Zon-PV '!AG23</f>
        <v>0</v>
      </c>
      <c r="R8" s="12">
        <f>'Bankingberekening Zon-PV '!AI23</f>
        <v>0</v>
      </c>
    </row>
    <row r="9" spans="1:18">
      <c r="A9" t="s">
        <v>42</v>
      </c>
      <c r="B9" s="12">
        <f>'Bankingberekening Zon-PV '!C24</f>
        <v>0</v>
      </c>
      <c r="C9" s="12">
        <f>'Bankingberekening Zon-PV '!E24</f>
        <v>0</v>
      </c>
      <c r="D9" s="12">
        <f>'Bankingberekening Zon-PV '!G24</f>
        <v>0</v>
      </c>
      <c r="E9" s="12">
        <f>'Bankingberekening Zon-PV '!I24</f>
        <v>60</v>
      </c>
      <c r="F9" s="12">
        <f>'Bankingberekening Zon-PV '!K24</f>
        <v>60</v>
      </c>
      <c r="G9" s="12">
        <f>'Bankingberekening Zon-PV '!M24</f>
        <v>105</v>
      </c>
      <c r="H9" s="12">
        <f>'Bankingberekening Zon-PV '!O24</f>
        <v>0</v>
      </c>
      <c r="I9" s="12">
        <f>'Bankingberekening Zon-PV '!Q24</f>
        <v>0</v>
      </c>
      <c r="J9" s="12">
        <f>'Bankingberekening Zon-PV '!S24</f>
        <v>0</v>
      </c>
      <c r="K9" s="12">
        <f>'Bankingberekening Zon-PV '!U24</f>
        <v>0</v>
      </c>
      <c r="L9" s="12">
        <f>'Bankingberekening Zon-PV '!W24</f>
        <v>60</v>
      </c>
      <c r="M9" s="12">
        <f>'Bankingberekening Zon-PV '!Y24</f>
        <v>0</v>
      </c>
      <c r="N9" s="12">
        <f>'Bankingberekening Zon-PV '!AA24</f>
        <v>0</v>
      </c>
      <c r="O9" s="12">
        <f>'Bankingberekening Zon-PV '!AC24</f>
        <v>10</v>
      </c>
      <c r="P9" s="12">
        <f>'Bankingberekening Zon-PV '!AE24</f>
        <v>160</v>
      </c>
      <c r="Q9" s="12">
        <f>'Bankingberekening Zon-PV '!AG24</f>
        <v>0</v>
      </c>
      <c r="R9" s="12">
        <f>'Bankingberekening Zon-PV '!AI24</f>
        <v>0</v>
      </c>
    </row>
    <row r="30" spans="1:18">
      <c r="A30" t="s">
        <v>12</v>
      </c>
      <c r="B30">
        <v>1</v>
      </c>
      <c r="C30">
        <v>2</v>
      </c>
      <c r="D30">
        <v>3</v>
      </c>
      <c r="E30">
        <v>4</v>
      </c>
      <c r="F30">
        <v>5</v>
      </c>
      <c r="G30">
        <v>6</v>
      </c>
      <c r="H30">
        <v>7</v>
      </c>
      <c r="I30">
        <v>8</v>
      </c>
      <c r="J30">
        <v>9</v>
      </c>
      <c r="K30">
        <v>10</v>
      </c>
      <c r="L30">
        <v>11</v>
      </c>
      <c r="M30">
        <v>12</v>
      </c>
      <c r="N30">
        <v>13</v>
      </c>
      <c r="O30">
        <v>14</v>
      </c>
      <c r="P30">
        <v>15</v>
      </c>
      <c r="Q30">
        <v>16</v>
      </c>
      <c r="R30">
        <v>17</v>
      </c>
    </row>
    <row r="31" spans="1:18">
      <c r="A31" t="s">
        <v>59</v>
      </c>
      <c r="B31" s="12">
        <f>'Bankingberekening Zon-PV '!C26</f>
        <v>250</v>
      </c>
      <c r="C31" s="12">
        <f>'Bankingberekening Zon-PV '!E26</f>
        <v>605.76923076923072</v>
      </c>
      <c r="D31" s="12">
        <f>'Bankingberekening Zon-PV '!G26</f>
        <v>375</v>
      </c>
      <c r="E31" s="12">
        <f>'Bankingberekening Zon-PV '!I26</f>
        <v>465</v>
      </c>
      <c r="F31" s="12">
        <f>'Bankingberekening Zon-PV '!K26</f>
        <v>573.33333333333337</v>
      </c>
      <c r="G31" s="12">
        <f>'Bankingberekening Zon-PV '!M26</f>
        <v>610</v>
      </c>
      <c r="H31" s="12">
        <f>'Bankingberekening Zon-PV '!O26</f>
        <v>477.5</v>
      </c>
      <c r="I31" s="12">
        <f>'Bankingberekening Zon-PV '!Q26</f>
        <v>540</v>
      </c>
      <c r="J31" s="12">
        <f>'Bankingberekening Zon-PV '!S26</f>
        <v>450</v>
      </c>
      <c r="K31" s="12">
        <f>'Bankingberekening Zon-PV '!U26</f>
        <v>654.5454545454545</v>
      </c>
      <c r="L31" s="12">
        <f>'Bankingberekening Zon-PV '!W26</f>
        <v>483.63636363636363</v>
      </c>
      <c r="M31" s="12">
        <f>'Bankingberekening Zon-PV '!Y26</f>
        <v>525</v>
      </c>
      <c r="N31" s="12">
        <f>'Bankingberekening Zon-PV '!AA26</f>
        <v>553.84615384615381</v>
      </c>
      <c r="O31" s="12">
        <f>'Bankingberekening Zon-PV '!AC26</f>
        <v>546.15384615384619</v>
      </c>
      <c r="P31" s="12">
        <f>'Bankingberekening Zon-PV '!AE26</f>
        <v>441.0526315789474</v>
      </c>
      <c r="Q31" s="12">
        <f>'Bankingberekening Zon-PV '!AG26</f>
        <v>168.75</v>
      </c>
      <c r="R31" s="12">
        <f>'Bankingberekening Zon-PV '!AI26</f>
        <v>0</v>
      </c>
    </row>
    <row r="32" spans="1:18">
      <c r="A32" t="s">
        <v>60</v>
      </c>
      <c r="B32" s="12">
        <f>'Bankingberekening Zon-PV '!C27</f>
        <v>200</v>
      </c>
      <c r="C32" s="12">
        <f>'Bankingberekening Zon-PV '!E27</f>
        <v>519.23076923076928</v>
      </c>
      <c r="D32" s="12">
        <f>'Bankingberekening Zon-PV '!G27</f>
        <v>525</v>
      </c>
      <c r="E32" s="12">
        <f>'Bankingberekening Zon-PV '!I27</f>
        <v>435</v>
      </c>
      <c r="F32" s="12">
        <f>'Bankingberekening Zon-PV '!K27</f>
        <v>326.66666666666669</v>
      </c>
      <c r="G32" s="12">
        <f>'Bankingberekening Zon-PV '!M27</f>
        <v>235</v>
      </c>
      <c r="H32" s="12">
        <f>'Bankingberekening Zon-PV '!O27</f>
        <v>477.5</v>
      </c>
      <c r="I32" s="12">
        <f>'Bankingberekening Zon-PV '!Q27</f>
        <v>360</v>
      </c>
      <c r="J32" s="12">
        <f>'Bankingberekening Zon-PV '!S27</f>
        <v>450</v>
      </c>
      <c r="K32" s="12">
        <f>'Bankingberekening Zon-PV '!U27</f>
        <v>245.45454545454547</v>
      </c>
      <c r="L32" s="12">
        <f>'Bankingberekening Zon-PV '!W27</f>
        <v>416.36363636363637</v>
      </c>
      <c r="M32" s="12">
        <f>'Bankingberekening Zon-PV '!Y27</f>
        <v>375</v>
      </c>
      <c r="N32" s="12">
        <f>'Bankingberekening Zon-PV '!AA27</f>
        <v>346.15384615384613</v>
      </c>
      <c r="O32" s="12">
        <f>'Bankingberekening Zon-PV '!AC27</f>
        <v>353.84615384615387</v>
      </c>
      <c r="P32" s="12">
        <f>'Bankingberekening Zon-PV '!AE27</f>
        <v>458.9473684210526</v>
      </c>
      <c r="Q32" s="12">
        <f>'Bankingberekening Zon-PV '!AG27</f>
        <v>56.25</v>
      </c>
      <c r="R32" s="12">
        <f>'Bankingberekening Zon-PV '!AI27</f>
        <v>0</v>
      </c>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N86"/>
  <sheetViews>
    <sheetView tabSelected="1" zoomScale="80" zoomScaleNormal="80" workbookViewId="0">
      <selection activeCell="AL86" sqref="AL86"/>
    </sheetView>
  </sheetViews>
  <sheetFormatPr defaultColWidth="0" defaultRowHeight="15" zeroHeight="1"/>
  <cols>
    <col min="1" max="1" width="72.7109375" style="8" customWidth="1"/>
    <col min="2" max="2" width="8.85546875" style="17" customWidth="1"/>
    <col min="3" max="37" width="6.7109375" style="17" customWidth="1"/>
    <col min="38" max="38" width="22.85546875" style="7" customWidth="1"/>
    <col min="39" max="40" width="9.140625" style="17" customWidth="1"/>
    <col min="41" max="16384" width="9.140625" style="17" hidden="1"/>
  </cols>
  <sheetData>
    <row r="1" spans="1:40" ht="105" customHeight="1">
      <c r="AF1" s="7"/>
      <c r="AL1" s="17"/>
    </row>
    <row r="2" spans="1:40" s="31" customFormat="1" ht="48" customHeight="1">
      <c r="A2" s="30" t="s">
        <v>66</v>
      </c>
    </row>
    <row r="3" spans="1:40" ht="49.5" customHeight="1">
      <c r="A3" s="44" t="s">
        <v>72</v>
      </c>
      <c r="B3" s="28"/>
      <c r="C3" s="28"/>
      <c r="D3" s="28"/>
      <c r="E3" s="28"/>
      <c r="F3" s="28"/>
      <c r="G3" s="28"/>
      <c r="H3" s="28"/>
      <c r="I3" s="28"/>
      <c r="J3" s="28"/>
      <c r="K3" s="28"/>
      <c r="L3" s="28"/>
      <c r="M3" s="28"/>
      <c r="N3" s="28"/>
      <c r="O3" s="28"/>
      <c r="P3" s="28"/>
      <c r="Q3" s="36"/>
      <c r="R3" s="36"/>
      <c r="S3" s="36"/>
      <c r="T3" s="36"/>
      <c r="U3" s="36"/>
      <c r="V3" s="36"/>
      <c r="W3" s="36"/>
      <c r="X3" s="36"/>
      <c r="Y3" s="29"/>
      <c r="Z3" s="29"/>
      <c r="AA3" s="29"/>
      <c r="AB3" s="29"/>
      <c r="AC3" s="29"/>
      <c r="AD3" s="29"/>
      <c r="AE3" s="29"/>
      <c r="AF3" s="29"/>
      <c r="AL3" s="17"/>
    </row>
    <row r="4" spans="1:40">
      <c r="A4" s="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1"/>
    </row>
    <row r="5" spans="1:40" ht="15.75">
      <c r="A5" s="26" t="s">
        <v>37</v>
      </c>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1"/>
    </row>
    <row r="6" spans="1:40">
      <c r="A6" s="3" t="s">
        <v>57</v>
      </c>
      <c r="B6" s="32"/>
      <c r="C6" s="83">
        <v>1</v>
      </c>
      <c r="D6" s="84"/>
      <c r="E6" s="32"/>
      <c r="F6" s="85">
        <f>C6*1000</f>
        <v>1000</v>
      </c>
      <c r="G6" s="86"/>
      <c r="H6" s="32" t="s">
        <v>58</v>
      </c>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1"/>
    </row>
    <row r="7" spans="1:40">
      <c r="A7" s="3" t="s">
        <v>69</v>
      </c>
      <c r="B7" s="32"/>
      <c r="C7" s="97">
        <v>900</v>
      </c>
      <c r="D7" s="97"/>
      <c r="E7" s="32"/>
      <c r="F7" s="48"/>
      <c r="G7" s="49"/>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1"/>
    </row>
    <row r="8" spans="1:40">
      <c r="A8" s="25" t="str">
        <f>"Maximum subsidiabele jaarproductie op basis van "&amp;C7&amp;" vollasturen (MWh)"</f>
        <v>Maximum subsidiabele jaarproductie op basis van 900 vollasturen (MWh)</v>
      </c>
      <c r="B8" s="32"/>
      <c r="C8" s="87">
        <f>C6*C7</f>
        <v>900</v>
      </c>
      <c r="D8" s="87"/>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1"/>
    </row>
    <row r="9" spans="1:40">
      <c r="A9" s="3" t="s">
        <v>20</v>
      </c>
      <c r="B9" s="32"/>
      <c r="C9" s="88" t="s">
        <v>24</v>
      </c>
      <c r="D9" s="89"/>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1"/>
    </row>
    <row r="10" spans="1:40">
      <c r="A10" s="3" t="s">
        <v>46</v>
      </c>
      <c r="B10" s="32"/>
      <c r="C10" s="90">
        <f>IF(C9="1 januari",C8*1,IF(C9="1 februari",C8*11/12,IF(C9="1 maart",C8*10/12,IF(C9="1 april",C8*9/12,IF(C9="1 mei",C8*8/12,IF(C9="1 juni",C8*7/12,IF(C9="1 juli",C8*6/12,IF(C9="1 augustus",C8*5/12,IF(C9="1 september",C8*4/12,IF(C9="1 oktober",C8*3/12,IF(C9="1 november",C8*2/12,IF(C9="1 december",C8*1/12))))))))))))</f>
        <v>675</v>
      </c>
      <c r="D10" s="90"/>
      <c r="E10" s="32"/>
      <c r="F10" s="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1"/>
    </row>
    <row r="11" spans="1:40">
      <c r="A11" s="3" t="s">
        <v>43</v>
      </c>
      <c r="B11" s="32"/>
      <c r="C11" s="87">
        <f>C8*0.25</f>
        <v>225</v>
      </c>
      <c r="D11" s="91"/>
      <c r="E11" s="13"/>
      <c r="F11" s="19"/>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1"/>
    </row>
    <row r="12" spans="1:40">
      <c r="A12" s="3"/>
      <c r="B12" s="32"/>
      <c r="C12" s="24"/>
      <c r="D12" s="42"/>
      <c r="E12" s="13"/>
      <c r="F12" s="19"/>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1"/>
    </row>
    <row r="13" spans="1:40" s="26" customFormat="1" ht="18" customHeight="1">
      <c r="A13" s="26" t="s">
        <v>38</v>
      </c>
    </row>
    <row r="14" spans="1:40" ht="26.25">
      <c r="A14" s="3" t="s">
        <v>16</v>
      </c>
      <c r="B14" s="24"/>
      <c r="C14" s="59" t="s">
        <v>40</v>
      </c>
      <c r="D14" s="60"/>
      <c r="E14" s="37">
        <f>IF(C9="1 januari","",3)</f>
        <v>3</v>
      </c>
      <c r="F14" s="40" t="s">
        <v>0</v>
      </c>
      <c r="G14" s="59" t="s">
        <v>1</v>
      </c>
      <c r="H14" s="59"/>
      <c r="I14" s="59" t="s">
        <v>2</v>
      </c>
      <c r="J14" s="59"/>
      <c r="K14" s="59" t="s">
        <v>3</v>
      </c>
      <c r="L14" s="59"/>
      <c r="M14" s="59" t="s">
        <v>4</v>
      </c>
      <c r="N14" s="59"/>
      <c r="O14" s="59" t="s">
        <v>5</v>
      </c>
      <c r="P14" s="59"/>
      <c r="Q14" s="59" t="s">
        <v>6</v>
      </c>
      <c r="R14" s="59"/>
      <c r="S14" s="59" t="s">
        <v>7</v>
      </c>
      <c r="T14" s="59"/>
      <c r="U14" s="59" t="s">
        <v>8</v>
      </c>
      <c r="V14" s="59"/>
      <c r="W14" s="59" t="s">
        <v>9</v>
      </c>
      <c r="X14" s="59"/>
      <c r="Y14" s="59" t="s">
        <v>17</v>
      </c>
      <c r="Z14" s="60"/>
      <c r="AA14" s="59" t="s">
        <v>18</v>
      </c>
      <c r="AB14" s="75"/>
      <c r="AC14" s="59" t="s">
        <v>34</v>
      </c>
      <c r="AD14" s="60"/>
      <c r="AE14" s="59" t="s">
        <v>35</v>
      </c>
      <c r="AF14" s="60"/>
      <c r="AG14" s="92" t="str">
        <f>IF(C9= "1 januari","extra jaar 16","jaar 16")</f>
        <v>jaar 16</v>
      </c>
      <c r="AH14" s="93"/>
      <c r="AI14" s="38">
        <f>IF(C9="1 januari","",4)</f>
        <v>4</v>
      </c>
      <c r="AJ14" s="79" t="str">
        <f>IF(C9= "1 januari","","extra jaar")</f>
        <v>extra jaar</v>
      </c>
      <c r="AK14" s="77"/>
      <c r="AL14" s="43" t="s">
        <v>14</v>
      </c>
      <c r="AM14" s="5"/>
      <c r="AN14" s="5"/>
    </row>
    <row r="15" spans="1:40">
      <c r="A15" s="4"/>
      <c r="B15" s="24"/>
      <c r="C15" s="59" t="str">
        <f>IF(C9="1 januari","","vanaf")</f>
        <v>vanaf</v>
      </c>
      <c r="D15" s="6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1"/>
      <c r="AG15" s="59" t="str">
        <f>IF(C9="1 januari","","tot")</f>
        <v>tot</v>
      </c>
      <c r="AH15" s="60"/>
      <c r="AI15" s="92" t="str">
        <f>IF(C9="1 januari","",""&amp;C9&amp;" jaar 16")</f>
        <v>1 april jaar 16</v>
      </c>
      <c r="AJ15" s="99"/>
      <c r="AK15" s="60"/>
      <c r="AL15" s="16" t="str">
        <f>IF(C9="1 januari","","tot")</f>
        <v>tot</v>
      </c>
      <c r="AM15" s="5"/>
      <c r="AN15" s="5"/>
    </row>
    <row r="16" spans="1:40">
      <c r="A16" s="4"/>
      <c r="B16" s="24"/>
      <c r="C16" s="40"/>
      <c r="D16" s="40" t="str">
        <f>IF(C9="1 januari","",C9)</f>
        <v>1 april</v>
      </c>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1"/>
      <c r="AG16" s="40"/>
      <c r="AH16" s="40" t="str">
        <f>IF(C9="1 januari","",""&amp;C9&amp;" jaar 16")</f>
        <v>1 april jaar 16</v>
      </c>
      <c r="AI16" s="59" t="str">
        <f>IF(C9="1 januari","",""&amp;C9&amp;" jaar 17")</f>
        <v>1 april jaar 17</v>
      </c>
      <c r="AJ16" s="67"/>
      <c r="AK16" s="80"/>
      <c r="AL16" s="16"/>
      <c r="AM16" s="5"/>
      <c r="AN16" s="5"/>
    </row>
    <row r="17" spans="1:40">
      <c r="A17" s="4"/>
      <c r="B17" s="24"/>
      <c r="C17" s="40"/>
      <c r="D17" s="23"/>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1"/>
      <c r="AG17" s="40"/>
      <c r="AH17" s="23"/>
      <c r="AI17" s="40"/>
      <c r="AJ17" s="34"/>
      <c r="AK17" s="35"/>
      <c r="AL17" s="16"/>
      <c r="AM17" s="5"/>
      <c r="AN17" s="5"/>
    </row>
    <row r="18" spans="1:40">
      <c r="A18" s="18" t="s">
        <v>33</v>
      </c>
      <c r="C18" s="59">
        <f>C10</f>
        <v>675</v>
      </c>
      <c r="D18" s="59"/>
      <c r="E18" s="59">
        <f>$C$8</f>
        <v>900</v>
      </c>
      <c r="F18" s="59"/>
      <c r="G18" s="59">
        <f>$C$8</f>
        <v>900</v>
      </c>
      <c r="H18" s="59"/>
      <c r="I18" s="59">
        <f>$C$8</f>
        <v>900</v>
      </c>
      <c r="J18" s="59"/>
      <c r="K18" s="59">
        <f>$C$8</f>
        <v>900</v>
      </c>
      <c r="L18" s="59"/>
      <c r="M18" s="59">
        <f>$C$8</f>
        <v>900</v>
      </c>
      <c r="N18" s="59"/>
      <c r="O18" s="59">
        <f>$C$8</f>
        <v>900</v>
      </c>
      <c r="P18" s="59"/>
      <c r="Q18" s="59">
        <f>$C$8</f>
        <v>900</v>
      </c>
      <c r="R18" s="59"/>
      <c r="S18" s="59">
        <f>$C$8</f>
        <v>900</v>
      </c>
      <c r="T18" s="59"/>
      <c r="U18" s="59">
        <f>$C$8</f>
        <v>900</v>
      </c>
      <c r="V18" s="59"/>
      <c r="W18" s="59">
        <f t="shared" ref="W18:AC18" si="0">$C$8</f>
        <v>900</v>
      </c>
      <c r="X18" s="59"/>
      <c r="Y18" s="59">
        <f t="shared" si="0"/>
        <v>900</v>
      </c>
      <c r="Z18" s="60"/>
      <c r="AA18" s="59">
        <f t="shared" si="0"/>
        <v>900</v>
      </c>
      <c r="AB18" s="60"/>
      <c r="AC18" s="59">
        <f t="shared" si="0"/>
        <v>900</v>
      </c>
      <c r="AD18" s="60"/>
      <c r="AE18" s="59">
        <f>$C$8</f>
        <v>900</v>
      </c>
      <c r="AF18" s="78"/>
      <c r="AG18" s="59">
        <f>C8-C10</f>
        <v>225</v>
      </c>
      <c r="AH18" s="75"/>
      <c r="AI18" s="76"/>
      <c r="AJ18" s="77"/>
      <c r="AK18" s="20"/>
      <c r="AL18" s="23"/>
    </row>
    <row r="19" spans="1:40">
      <c r="A19" s="4" t="s">
        <v>48</v>
      </c>
      <c r="B19" s="39"/>
      <c r="C19" s="94">
        <v>300</v>
      </c>
      <c r="D19" s="71"/>
      <c r="E19" s="71">
        <v>700</v>
      </c>
      <c r="F19" s="71"/>
      <c r="G19" s="71">
        <v>500</v>
      </c>
      <c r="H19" s="71"/>
      <c r="I19" s="71">
        <v>500</v>
      </c>
      <c r="J19" s="71"/>
      <c r="K19" s="71">
        <v>600</v>
      </c>
      <c r="L19" s="71"/>
      <c r="M19" s="71">
        <v>600</v>
      </c>
      <c r="N19" s="71"/>
      <c r="O19" s="71">
        <v>600</v>
      </c>
      <c r="P19" s="71"/>
      <c r="Q19" s="71">
        <v>600</v>
      </c>
      <c r="R19" s="71"/>
      <c r="S19" s="71">
        <v>700</v>
      </c>
      <c r="T19" s="71"/>
      <c r="U19" s="71">
        <v>800</v>
      </c>
      <c r="V19" s="71"/>
      <c r="W19" s="71">
        <v>500</v>
      </c>
      <c r="X19" s="71"/>
      <c r="Y19" s="71">
        <v>700</v>
      </c>
      <c r="Z19" s="74"/>
      <c r="AA19" s="71">
        <v>800</v>
      </c>
      <c r="AB19" s="74"/>
      <c r="AC19" s="71">
        <v>600</v>
      </c>
      <c r="AD19" s="74"/>
      <c r="AE19" s="71">
        <v>400</v>
      </c>
      <c r="AF19" s="72"/>
      <c r="AG19" s="71">
        <v>300</v>
      </c>
      <c r="AH19" s="72"/>
      <c r="AI19" s="71">
        <v>200</v>
      </c>
      <c r="AJ19" s="73"/>
      <c r="AK19" s="39"/>
      <c r="AL19" s="39">
        <f>IF(C9="1 januari",SUM(C19:AH19),SUM(C19:AJ19))</f>
        <v>9400</v>
      </c>
      <c r="AM19" s="6"/>
      <c r="AN19" s="5"/>
    </row>
    <row r="20" spans="1:40">
      <c r="A20" s="4" t="s">
        <v>70</v>
      </c>
      <c r="B20" s="39"/>
      <c r="C20" s="98">
        <v>50</v>
      </c>
      <c r="D20" s="60"/>
      <c r="E20" s="95">
        <v>60</v>
      </c>
      <c r="F20" s="95"/>
      <c r="G20" s="95">
        <v>60</v>
      </c>
      <c r="H20" s="95"/>
      <c r="I20" s="95">
        <v>60</v>
      </c>
      <c r="J20" s="95"/>
      <c r="K20" s="95">
        <v>60</v>
      </c>
      <c r="L20" s="95"/>
      <c r="M20" s="95">
        <v>60</v>
      </c>
      <c r="N20" s="95"/>
      <c r="O20" s="95">
        <v>60</v>
      </c>
      <c r="P20" s="95"/>
      <c r="Q20" s="95">
        <v>60</v>
      </c>
      <c r="R20" s="95"/>
      <c r="S20" s="95">
        <v>60</v>
      </c>
      <c r="T20" s="95"/>
      <c r="U20" s="95">
        <v>60</v>
      </c>
      <c r="V20" s="95"/>
      <c r="W20" s="95">
        <v>60</v>
      </c>
      <c r="X20" s="95"/>
      <c r="Y20" s="95">
        <v>60</v>
      </c>
      <c r="Z20" s="95"/>
      <c r="AA20" s="95">
        <v>60</v>
      </c>
      <c r="AB20" s="95"/>
      <c r="AC20" s="95">
        <v>60</v>
      </c>
      <c r="AD20" s="95"/>
      <c r="AE20" s="95">
        <v>60</v>
      </c>
      <c r="AF20" s="95"/>
      <c r="AG20" s="95">
        <v>60</v>
      </c>
      <c r="AH20" s="95"/>
      <c r="AI20" s="95">
        <v>10</v>
      </c>
      <c r="AJ20" s="96"/>
      <c r="AK20" s="39"/>
      <c r="AL20" s="39">
        <f>IF(C9="1 januari",SUM(C20:AH20),SUM(C20:AJ20))</f>
        <v>960</v>
      </c>
      <c r="AM20" s="6"/>
      <c r="AN20" s="5"/>
    </row>
    <row r="21" spans="1:40">
      <c r="A21" s="4" t="s">
        <v>49</v>
      </c>
      <c r="B21" s="39"/>
      <c r="C21" s="66">
        <v>200</v>
      </c>
      <c r="D21" s="64"/>
      <c r="E21" s="63">
        <v>600</v>
      </c>
      <c r="F21" s="64"/>
      <c r="G21" s="63">
        <v>700</v>
      </c>
      <c r="H21" s="64"/>
      <c r="I21" s="63">
        <v>400</v>
      </c>
      <c r="J21" s="64"/>
      <c r="K21" s="63">
        <v>300</v>
      </c>
      <c r="L21" s="64"/>
      <c r="M21" s="63">
        <v>200</v>
      </c>
      <c r="N21" s="64"/>
      <c r="O21" s="63">
        <v>600</v>
      </c>
      <c r="P21" s="64"/>
      <c r="Q21" s="63">
        <v>400</v>
      </c>
      <c r="R21" s="64"/>
      <c r="S21" s="63">
        <v>700</v>
      </c>
      <c r="T21" s="64"/>
      <c r="U21" s="63">
        <v>300</v>
      </c>
      <c r="V21" s="64"/>
      <c r="W21" s="63">
        <v>400</v>
      </c>
      <c r="X21" s="64"/>
      <c r="Y21" s="63">
        <v>500</v>
      </c>
      <c r="Z21" s="64"/>
      <c r="AA21" s="63">
        <v>500</v>
      </c>
      <c r="AB21" s="64"/>
      <c r="AC21" s="63">
        <v>350</v>
      </c>
      <c r="AD21" s="64"/>
      <c r="AE21" s="63">
        <v>400</v>
      </c>
      <c r="AF21" s="64"/>
      <c r="AG21" s="63">
        <v>100</v>
      </c>
      <c r="AH21" s="64"/>
      <c r="AI21" s="63">
        <v>100</v>
      </c>
      <c r="AJ21" s="65"/>
      <c r="AK21" s="39"/>
      <c r="AL21" s="39">
        <f>IF(C9="1 januari",SUM(C21:AH21),SUM(C21:AJ21))</f>
        <v>6750</v>
      </c>
      <c r="AM21" s="6"/>
      <c r="AN21" s="5"/>
    </row>
    <row r="22" spans="1:40">
      <c r="A22" s="3" t="s">
        <v>71</v>
      </c>
      <c r="B22" s="39"/>
      <c r="C22" s="61">
        <f>C19-C20+C21</f>
        <v>450</v>
      </c>
      <c r="D22" s="62"/>
      <c r="E22" s="61">
        <f t="shared" ref="E22" si="1">E19-E20+E21</f>
        <v>1240</v>
      </c>
      <c r="F22" s="62"/>
      <c r="G22" s="61">
        <f t="shared" ref="G22" si="2">G19-G20+G21</f>
        <v>1140</v>
      </c>
      <c r="H22" s="62"/>
      <c r="I22" s="61">
        <f t="shared" ref="I22" si="3">I19-I20+I21</f>
        <v>840</v>
      </c>
      <c r="J22" s="62"/>
      <c r="K22" s="61">
        <f t="shared" ref="K22" si="4">K19-K20+K21</f>
        <v>840</v>
      </c>
      <c r="L22" s="62"/>
      <c r="M22" s="61">
        <f t="shared" ref="M22" si="5">M19-M20+M21</f>
        <v>740</v>
      </c>
      <c r="N22" s="62"/>
      <c r="O22" s="61">
        <f t="shared" ref="O22" si="6">O19-O20+O21</f>
        <v>1140</v>
      </c>
      <c r="P22" s="62"/>
      <c r="Q22" s="61">
        <f t="shared" ref="Q22" si="7">Q19-Q20+Q21</f>
        <v>940</v>
      </c>
      <c r="R22" s="62"/>
      <c r="S22" s="61">
        <f t="shared" ref="S22" si="8">S19-S20+S21</f>
        <v>1340</v>
      </c>
      <c r="T22" s="62"/>
      <c r="U22" s="61">
        <f t="shared" ref="U22" si="9">U19-U20+U21</f>
        <v>1040</v>
      </c>
      <c r="V22" s="62"/>
      <c r="W22" s="61">
        <f t="shared" ref="W22" si="10">W19-W20+W21</f>
        <v>840</v>
      </c>
      <c r="X22" s="62"/>
      <c r="Y22" s="61">
        <f>Y19-Y20+Y21</f>
        <v>1140</v>
      </c>
      <c r="Z22" s="62"/>
      <c r="AA22" s="61">
        <f t="shared" ref="AA22" si="11">AA19-AA20+AA21</f>
        <v>1240</v>
      </c>
      <c r="AB22" s="62"/>
      <c r="AC22" s="61">
        <f t="shared" ref="AC22" si="12">AC19-AC20+AC21</f>
        <v>890</v>
      </c>
      <c r="AD22" s="62"/>
      <c r="AE22" s="61">
        <f t="shared" ref="AE22" si="13">AE19-AE20+AE21</f>
        <v>740</v>
      </c>
      <c r="AF22" s="62"/>
      <c r="AG22" s="61">
        <f t="shared" ref="AG22" si="14">AG19-AG20+AG21</f>
        <v>340</v>
      </c>
      <c r="AH22" s="62"/>
      <c r="AI22" s="61">
        <f t="shared" ref="AI22" si="15">AI19-AI20+AI21</f>
        <v>290</v>
      </c>
      <c r="AJ22" s="62"/>
      <c r="AK22" s="39"/>
      <c r="AL22" s="40">
        <f>SUM(AL19-AL20+AL21)</f>
        <v>15190</v>
      </c>
      <c r="AM22" s="6"/>
      <c r="AN22" s="5"/>
    </row>
    <row r="23" spans="1:40">
      <c r="A23" s="3" t="s">
        <v>41</v>
      </c>
      <c r="B23" s="21"/>
      <c r="C23" s="57"/>
      <c r="D23" s="57"/>
      <c r="E23" s="57">
        <f>IF(E22&gt;E18,MIN(D32,E22-E18),0)</f>
        <v>225</v>
      </c>
      <c r="F23" s="57"/>
      <c r="G23" s="57">
        <f t="shared" ref="G23" si="16">IF(G22&gt;G18,MIN(F32,G22-G18),0)</f>
        <v>0</v>
      </c>
      <c r="H23" s="57"/>
      <c r="I23" s="57">
        <f t="shared" ref="I23" si="17">IF(I22&gt;I18,MIN(H32,I22-I18),0)</f>
        <v>0</v>
      </c>
      <c r="J23" s="57"/>
      <c r="K23" s="57">
        <f t="shared" ref="K23" si="18">IF(K22&gt;K18,MIN(J32,K22-K18),0)</f>
        <v>0</v>
      </c>
      <c r="L23" s="57"/>
      <c r="M23" s="57">
        <f t="shared" ref="M23" si="19">IF(M22&gt;M18,MIN(L32,M22-M18),0)</f>
        <v>0</v>
      </c>
      <c r="N23" s="57"/>
      <c r="O23" s="57">
        <f t="shared" ref="O23" si="20">IF(O22&gt;O18,MIN(N32,O22-O18),0)</f>
        <v>55</v>
      </c>
      <c r="P23" s="57"/>
      <c r="Q23" s="57">
        <f t="shared" ref="Q23" si="21">IF(Q22&gt;Q18,MIN(P32,Q22-Q18),0)</f>
        <v>0</v>
      </c>
      <c r="R23" s="57"/>
      <c r="S23" s="57">
        <f t="shared" ref="S23" si="22">IF(S22&gt;S18,MIN(R32,S22-S18),0)</f>
        <v>0</v>
      </c>
      <c r="T23" s="57"/>
      <c r="U23" s="57">
        <f t="shared" ref="U23" si="23">IF(U22&gt;U18,MIN(T32,U22-U18),0)</f>
        <v>0</v>
      </c>
      <c r="V23" s="57"/>
      <c r="W23" s="57">
        <f t="shared" ref="W23" si="24">IF(W22&gt;W18,MIN(V32,W22-W18),0)</f>
        <v>0</v>
      </c>
      <c r="X23" s="57"/>
      <c r="Y23" s="57">
        <f t="shared" ref="Y23" si="25">IF(Y22&gt;Y18,MIN(X32,Y22-Y18),0)</f>
        <v>0</v>
      </c>
      <c r="Z23" s="60"/>
      <c r="AA23" s="57">
        <f t="shared" ref="AA23" si="26">IF(AA22&gt;AA18,MIN(Z32,AA22-AA18),0)</f>
        <v>0</v>
      </c>
      <c r="AB23" s="60"/>
      <c r="AC23" s="57">
        <f t="shared" ref="AC23" si="27">IF(AC22&gt;AC18,MIN(AB32,AC22-AC18),0)</f>
        <v>0</v>
      </c>
      <c r="AD23" s="60"/>
      <c r="AE23" s="57">
        <f t="shared" ref="AE23" si="28">IF(AE22&gt;AE18,MIN(AD32,AE22-AE18),0)</f>
        <v>0</v>
      </c>
      <c r="AF23" s="60"/>
      <c r="AG23" s="57">
        <f>IF(AG22&gt;AG18,MIN(AF32,AG22-AG18),0)</f>
        <v>0</v>
      </c>
      <c r="AH23" s="60"/>
      <c r="AI23" s="57">
        <f>IF(C9="1 januari","",MIN(AH32,AI22))</f>
        <v>0</v>
      </c>
      <c r="AJ23" s="60"/>
      <c r="AK23" s="39"/>
      <c r="AL23" s="40"/>
      <c r="AM23" s="6"/>
      <c r="AN23" s="5"/>
    </row>
    <row r="24" spans="1:40">
      <c r="A24" s="3" t="s">
        <v>42</v>
      </c>
      <c r="B24" s="22"/>
      <c r="C24" s="57"/>
      <c r="D24" s="57"/>
      <c r="E24" s="57">
        <f>IF(E18&gt;E22,MIN(D33,E18-E22),0)</f>
        <v>0</v>
      </c>
      <c r="F24" s="57"/>
      <c r="G24" s="57">
        <f t="shared" ref="G24" si="29">IF(G18&gt;G22,MIN(F33,G18-G22),0)</f>
        <v>0</v>
      </c>
      <c r="H24" s="57"/>
      <c r="I24" s="57">
        <f t="shared" ref="I24" si="30">IF(I18&gt;I22,MIN(H33,I18-I22),0)</f>
        <v>60</v>
      </c>
      <c r="J24" s="57"/>
      <c r="K24" s="57">
        <f t="shared" ref="K24" si="31">IF(K18&gt;K22,MIN(J33,K18-K22),0)</f>
        <v>60</v>
      </c>
      <c r="L24" s="57"/>
      <c r="M24" s="57">
        <f t="shared" ref="M24" si="32">IF(M18&gt;M22,MIN(L33,M18-M22),0)</f>
        <v>105</v>
      </c>
      <c r="N24" s="57"/>
      <c r="O24" s="57">
        <f t="shared" ref="O24" si="33">IF(O18&gt;O22,MIN(N33,O18-O22),0)</f>
        <v>0</v>
      </c>
      <c r="P24" s="57"/>
      <c r="Q24" s="57">
        <f t="shared" ref="Q24" si="34">IF(Q18&gt;Q22,MIN(P33,Q18-Q22),0)</f>
        <v>0</v>
      </c>
      <c r="R24" s="57"/>
      <c r="S24" s="57">
        <f t="shared" ref="S24" si="35">IF(S18&gt;S22,MIN(R33,S18-S22),0)</f>
        <v>0</v>
      </c>
      <c r="T24" s="57"/>
      <c r="U24" s="57">
        <f t="shared" ref="U24" si="36">IF(U18&gt;U22,MIN(T33,U18-U22),0)</f>
        <v>0</v>
      </c>
      <c r="V24" s="57"/>
      <c r="W24" s="57">
        <f t="shared" ref="W24" si="37">IF(W18&gt;W22,MIN(V33,W18-W22),0)</f>
        <v>60</v>
      </c>
      <c r="X24" s="57"/>
      <c r="Y24" s="57">
        <f t="shared" ref="Y24" si="38">IF(Y18&gt;Y22,MIN(X33,Y18-Y22),0)</f>
        <v>0</v>
      </c>
      <c r="Z24" s="60"/>
      <c r="AA24" s="57">
        <f t="shared" ref="AA24" si="39">IF(AA18&gt;AA22,MIN(Z33,AA18-AA22),0)</f>
        <v>0</v>
      </c>
      <c r="AB24" s="60"/>
      <c r="AC24" s="57">
        <f t="shared" ref="AC24" si="40">IF(AC18&gt;AC22,MIN(AB33,AC18-AC22),0)</f>
        <v>10</v>
      </c>
      <c r="AD24" s="60"/>
      <c r="AE24" s="57">
        <f t="shared" ref="AE24" si="41">IF(AE18&gt;AE22,MIN(AD33,AE18-AE22),0)</f>
        <v>160</v>
      </c>
      <c r="AF24" s="60"/>
      <c r="AG24" s="57">
        <f t="shared" ref="AG24" si="42">IF(AG18&gt;AG22,MIN(AF33,AG18-AG22),0)</f>
        <v>0</v>
      </c>
      <c r="AH24" s="60"/>
      <c r="AI24" s="57"/>
      <c r="AJ24" s="60"/>
      <c r="AK24" s="39"/>
      <c r="AL24" s="40"/>
      <c r="AM24" s="6"/>
      <c r="AN24" s="5"/>
    </row>
    <row r="25" spans="1:40" s="55" customFormat="1">
      <c r="A25" s="52"/>
      <c r="B25" s="51"/>
      <c r="C25" s="51"/>
      <c r="D25" s="51"/>
      <c r="E25" s="51"/>
      <c r="F25" s="51"/>
      <c r="G25" s="51"/>
      <c r="H25" s="51"/>
      <c r="I25" s="51"/>
      <c r="J25" s="51"/>
      <c r="K25" s="51"/>
      <c r="L25" s="51"/>
      <c r="M25" s="51"/>
      <c r="N25" s="51"/>
      <c r="O25" s="51"/>
      <c r="P25" s="51"/>
      <c r="Q25" s="51"/>
      <c r="R25" s="51"/>
      <c r="S25" s="51"/>
      <c r="T25" s="51"/>
      <c r="U25" s="51"/>
      <c r="V25" s="51"/>
      <c r="W25" s="51"/>
      <c r="X25" s="51"/>
      <c r="Y25" s="51"/>
      <c r="Z25" s="56"/>
      <c r="AA25" s="51"/>
      <c r="AB25" s="56"/>
      <c r="AC25" s="51"/>
      <c r="AD25" s="56"/>
      <c r="AE25" s="51"/>
      <c r="AF25" s="56"/>
      <c r="AG25" s="51"/>
      <c r="AH25" s="56"/>
      <c r="AI25" s="51"/>
      <c r="AJ25" s="56"/>
      <c r="AK25" s="51"/>
      <c r="AL25" s="51"/>
      <c r="AM25" s="53"/>
      <c r="AN25" s="54"/>
    </row>
    <row r="26" spans="1:40">
      <c r="A26" s="3" t="s">
        <v>51</v>
      </c>
      <c r="B26" s="22"/>
      <c r="C26" s="68">
        <f>IF(C18&gt;C22,C19-C20,C18*((C19-C20)/C22))</f>
        <v>250</v>
      </c>
      <c r="D26" s="68"/>
      <c r="E26" s="68">
        <f t="shared" ref="E26" si="43">IF(E22&gt;E18,(E18+E23)*E19/(E19+E21),IF(E24&gt;0,(E19-E20)+E24*C19/(C19+C21),E19-E20))</f>
        <v>605.76923076923072</v>
      </c>
      <c r="F26" s="68"/>
      <c r="G26" s="68">
        <f t="shared" ref="G26" si="44">IF(G22&gt;G18,(G18+G23)*G19/(G19+G21),IF(G24&gt;0,(G19-G20)+G24*E19/(E19+E21),G19-G20))</f>
        <v>375</v>
      </c>
      <c r="H26" s="68"/>
      <c r="I26" s="68">
        <f>IF(I22&gt;I18,(I18+I23)*I19/(I19+I21),IF(I24&gt;0,(I19-I20)+I24*G19/(G19+G21),I19-I20))</f>
        <v>465</v>
      </c>
      <c r="J26" s="68"/>
      <c r="K26" s="68">
        <f t="shared" ref="K26" si="45">IF(K22&gt;K18,(K18+K23)*K19/(K19+K21),IF(K24&gt;0,(K19-K20)+K24*I19/(I19+I21),K19-K20))</f>
        <v>573.33333333333337</v>
      </c>
      <c r="L26" s="68"/>
      <c r="M26" s="68">
        <f t="shared" ref="M26" si="46">IF(M22&gt;M18,(M18+M23)*M19/(M19+M21),IF(M24&gt;0,(M19-M20)+M24*K19/(K19+K21),M19-M20))</f>
        <v>610</v>
      </c>
      <c r="N26" s="68"/>
      <c r="O26" s="68">
        <f t="shared" ref="O26" si="47">IF(O22&gt;O18,(O18+O23)*O19/(O19+O21),IF(O24&gt;0,(O19-O20)+O24*M19/(M19+M21),O19-O20))</f>
        <v>477.5</v>
      </c>
      <c r="P26" s="68"/>
      <c r="Q26" s="68">
        <f t="shared" ref="Q26" si="48">IF(Q22&gt;Q18,(Q18+Q23)*Q19/(Q19+Q21),IF(Q24&gt;0,(Q19-Q20)+Q24*O19/(O19+O21),Q19-Q20))</f>
        <v>540</v>
      </c>
      <c r="R26" s="68"/>
      <c r="S26" s="68">
        <f t="shared" ref="S26" si="49">IF(S22&gt;S18,(S18+S23)*S19/(S19+S21),IF(S24&gt;0,(S19-S20)+S24*Q19/(Q19+Q21),S19-S20))</f>
        <v>450</v>
      </c>
      <c r="T26" s="68"/>
      <c r="U26" s="68">
        <f t="shared" ref="U26" si="50">IF(U22&gt;U18,(U18+U23)*U19/(U19+U21),IF(U24&gt;0,(U19-U20)+U24*S19/(S19+S21),U19-U20))</f>
        <v>654.5454545454545</v>
      </c>
      <c r="V26" s="68"/>
      <c r="W26" s="68">
        <f t="shared" ref="W26" si="51">IF(W22&gt;W18,(W18+W23)*W19/(W19+W21),IF(W24&gt;0,(W19-W20)+W24*U19/(U19+U21),W19-W20))</f>
        <v>483.63636363636363</v>
      </c>
      <c r="X26" s="68"/>
      <c r="Y26" s="68">
        <f t="shared" ref="Y26" si="52">IF(Y22&gt;Y18,(Y18+Y23)*Y19/(Y19+Y21),IF(Y24&gt;0,(Y19-Y20)+Y24*W19/(W19+W21),Y19-Y20))</f>
        <v>525</v>
      </c>
      <c r="Z26" s="68"/>
      <c r="AA26" s="68">
        <f t="shared" ref="AA26" si="53">IF(AA22&gt;AA18,(AA18+AA23)*AA19/(AA19+AA21),IF(AA24&gt;0,(AA19-AA20)+AA24*Y19/(Y19+Y21),AA19-AA20))</f>
        <v>553.84615384615381</v>
      </c>
      <c r="AB26" s="68"/>
      <c r="AC26" s="68">
        <f t="shared" ref="AC26" si="54">IF(AC22&gt;AC18,(AC18+AC23)*AC19/(AC19+AC21),IF(AC24&gt;0,(AC19-AC20)+AC24*AA19/(AA19+AA21),AC19-AC20))</f>
        <v>546.15384615384619</v>
      </c>
      <c r="AD26" s="68"/>
      <c r="AE26" s="68">
        <f t="shared" ref="AE26" si="55">IF(AE22&gt;AE18,(AE18+AE23)*AE19/(AE19+AE21),IF(AE24&gt;0,(AE19-AE20)+AE24*AC19/(AC19+AC21),AE19-AE20))</f>
        <v>441.0526315789474</v>
      </c>
      <c r="AF26" s="68"/>
      <c r="AG26" s="68">
        <f t="shared" ref="AG26" si="56">IF(AG22&gt;AG18,(AG18+AG23)*AG19/(AG19+AG21),IF(AG24&gt;0,(AG19-AG20)+AG24*AE19/(AE19+AE21),AG19-AG20))</f>
        <v>168.75</v>
      </c>
      <c r="AH26" s="68"/>
      <c r="AI26" s="68">
        <f>IF(C9= "1 januari","",IF(AI22&gt;0,AI23*AI19/(AI19+AI21),0))</f>
        <v>0</v>
      </c>
      <c r="AJ26" s="69"/>
      <c r="AK26" s="47"/>
      <c r="AL26" s="47">
        <f t="shared" ref="AL26:AL27" si="57">SUM(C26:AJ26)</f>
        <v>7719.58701386333</v>
      </c>
      <c r="AM26" s="6"/>
      <c r="AN26" s="5"/>
    </row>
    <row r="27" spans="1:40">
      <c r="A27" s="3" t="s">
        <v>52</v>
      </c>
      <c r="B27" s="22"/>
      <c r="C27" s="57">
        <f>IF(C18&gt;C22,C21,C18*(C21/C22))</f>
        <v>200</v>
      </c>
      <c r="D27" s="58"/>
      <c r="E27" s="57">
        <f t="shared" ref="E27" si="58">IF(E22&gt;E18,(E18+E23)*E21/(E19+E21),IF(E24&gt;0,E21+E24*C21/(C19+C21),E21))</f>
        <v>519.23076923076928</v>
      </c>
      <c r="F27" s="58"/>
      <c r="G27" s="57">
        <f t="shared" ref="G27" si="59">IF(G22&gt;G18,(G18+G23)*G21/(G19+G21),IF(G24&gt;0,G21+G24*E21/(E19+E21),G21))</f>
        <v>525</v>
      </c>
      <c r="H27" s="58"/>
      <c r="I27" s="57">
        <f>IF(I22&gt;I18,(I18+I23)*I21/(I19+I21),IF(I24&gt;0,I21+I24*G21/(G19+G21),I21))</f>
        <v>435</v>
      </c>
      <c r="J27" s="58"/>
      <c r="K27" s="57">
        <f t="shared" ref="K27" si="60">IF(K22&gt;K18,(K18+K23)*K21/(K19+K21),IF(K24&gt;0,K21+K24*I21/(I19+I21),K21))</f>
        <v>326.66666666666669</v>
      </c>
      <c r="L27" s="58"/>
      <c r="M27" s="57">
        <f t="shared" ref="M27" si="61">IF(M22&gt;M18,(M18+M23)*M21/(M19+M21),IF(M24&gt;0,M21+M24*K21/(K19+K21),M21))</f>
        <v>235</v>
      </c>
      <c r="N27" s="58"/>
      <c r="O27" s="57">
        <f t="shared" ref="O27" si="62">IF(O22&gt;O18,(O18+O23)*O21/(O19+O21),IF(O24&gt;0,O21+O24*M21/(M19+M21),O21))</f>
        <v>477.5</v>
      </c>
      <c r="P27" s="58"/>
      <c r="Q27" s="57">
        <f t="shared" ref="Q27" si="63">IF(Q22&gt;Q18,(Q18+Q23)*Q21/(Q19+Q21),IF(Q24&gt;0,Q21+Q24*O21/(O19+O21),Q21))</f>
        <v>360</v>
      </c>
      <c r="R27" s="58"/>
      <c r="S27" s="57">
        <f t="shared" ref="S27" si="64">IF(S22&gt;S18,(S18+S23)*S21/(S19+S21),IF(S24&gt;0,S21+S24*Q21/(Q19+Q21),S21))</f>
        <v>450</v>
      </c>
      <c r="T27" s="58"/>
      <c r="U27" s="57">
        <f t="shared" ref="U27" si="65">IF(U22&gt;U18,(U18+U23)*U21/(U19+U21),IF(U24&gt;0,U21+U24*S21/(S19+S21),U21))</f>
        <v>245.45454545454547</v>
      </c>
      <c r="V27" s="58"/>
      <c r="W27" s="57">
        <f t="shared" ref="W27" si="66">IF(W22&gt;W18,(W18+W23)*W21/(W19+W21),IF(W24&gt;0,W21+W24*U21/(U19+U21),W21))</f>
        <v>416.36363636363637</v>
      </c>
      <c r="X27" s="58"/>
      <c r="Y27" s="57">
        <f t="shared" ref="Y27" si="67">IF(Y22&gt;Y18,(Y18+Y23)*Y21/(Y19+Y21),IF(Y24&gt;0,Y21+Y24*W21/(W19+W21),Y21))</f>
        <v>375</v>
      </c>
      <c r="Z27" s="58"/>
      <c r="AA27" s="57">
        <f t="shared" ref="AA27" si="68">IF(AA22&gt;AA18,(AA18+AA23)*AA21/(AA19+AA21),IF(AA24&gt;0,AA21+AA24*Y21/(Y19+Y21),AA21))</f>
        <v>346.15384615384613</v>
      </c>
      <c r="AB27" s="58"/>
      <c r="AC27" s="57">
        <f t="shared" ref="AC27" si="69">IF(AC22&gt;AC18,(AC18+AC23)*AC21/(AC19+AC21),IF(AC24&gt;0,AC21+AC24*AA21/(AA19+AA21),AC21))</f>
        <v>353.84615384615387</v>
      </c>
      <c r="AD27" s="58"/>
      <c r="AE27" s="57">
        <f t="shared" ref="AE27" si="70">IF(AE22&gt;AE18,(AE18+AE23)*AE21/(AE19+AE21),IF(AE24&gt;0,AE21+AE24*AC21/(AC19+AC21),AE21))</f>
        <v>458.9473684210526</v>
      </c>
      <c r="AF27" s="58"/>
      <c r="AG27" s="57">
        <f t="shared" ref="AG27" si="71">IF(AG22&gt;AG18,(AG18+AG23)*AG21/(AG19+AG21),IF(AG24&gt;0,AG21+AG24*AE21/(AE19+AE21),AG21))</f>
        <v>56.25</v>
      </c>
      <c r="AH27" s="58"/>
      <c r="AI27" s="57">
        <f>IF(C9= "1 januari","",IF(AI22&gt;0,AI23*AI21/(AI19+AI21),0))</f>
        <v>0</v>
      </c>
      <c r="AJ27" s="58"/>
      <c r="AK27" s="39"/>
      <c r="AL27" s="39">
        <f t="shared" si="57"/>
        <v>5780.41298613667</v>
      </c>
      <c r="AM27" s="6"/>
      <c r="AN27" s="5"/>
    </row>
    <row r="28" spans="1:40">
      <c r="A28" s="4" t="s">
        <v>50</v>
      </c>
      <c r="B28" s="22"/>
      <c r="C28" s="59">
        <f>C26+C27</f>
        <v>450</v>
      </c>
      <c r="D28" s="60"/>
      <c r="E28" s="59">
        <f t="shared" ref="E28" si="72">E26+E27</f>
        <v>1125</v>
      </c>
      <c r="F28" s="60"/>
      <c r="G28" s="59">
        <f t="shared" ref="G28" si="73">G26+G27</f>
        <v>900</v>
      </c>
      <c r="H28" s="60"/>
      <c r="I28" s="59">
        <f t="shared" ref="I28" si="74">I26+I27</f>
        <v>900</v>
      </c>
      <c r="J28" s="60"/>
      <c r="K28" s="59">
        <f t="shared" ref="K28" si="75">K26+K27</f>
        <v>900</v>
      </c>
      <c r="L28" s="60"/>
      <c r="M28" s="59">
        <f t="shared" ref="M28" si="76">M26+M27</f>
        <v>845</v>
      </c>
      <c r="N28" s="60"/>
      <c r="O28" s="59">
        <f t="shared" ref="O28" si="77">O26+O27</f>
        <v>955</v>
      </c>
      <c r="P28" s="60"/>
      <c r="Q28" s="59">
        <f t="shared" ref="Q28" si="78">Q26+Q27</f>
        <v>900</v>
      </c>
      <c r="R28" s="60"/>
      <c r="S28" s="59">
        <f t="shared" ref="S28" si="79">S26+S27</f>
        <v>900</v>
      </c>
      <c r="T28" s="60"/>
      <c r="U28" s="59">
        <f t="shared" ref="U28" si="80">U26+U27</f>
        <v>900</v>
      </c>
      <c r="V28" s="60"/>
      <c r="W28" s="59">
        <f t="shared" ref="W28" si="81">W26+W27</f>
        <v>900</v>
      </c>
      <c r="X28" s="60"/>
      <c r="Y28" s="59">
        <f t="shared" ref="Y28" si="82">Y26+Y27</f>
        <v>900</v>
      </c>
      <c r="Z28" s="60"/>
      <c r="AA28" s="59">
        <f t="shared" ref="AA28" si="83">AA26+AA27</f>
        <v>900</v>
      </c>
      <c r="AB28" s="60"/>
      <c r="AC28" s="59">
        <f t="shared" ref="AC28" si="84">AC26+AC27</f>
        <v>900</v>
      </c>
      <c r="AD28" s="60"/>
      <c r="AE28" s="59">
        <f t="shared" ref="AE28" si="85">AE26+AE27</f>
        <v>900</v>
      </c>
      <c r="AF28" s="60"/>
      <c r="AG28" s="59">
        <f t="shared" ref="AG28" si="86">AG26+AG27</f>
        <v>225</v>
      </c>
      <c r="AH28" s="60"/>
      <c r="AI28" s="59">
        <f>IF(C9= "1 januari","",AI26+AI27)</f>
        <v>0</v>
      </c>
      <c r="AJ28" s="60"/>
      <c r="AK28" s="39"/>
      <c r="AL28" s="50">
        <f>SUM(C28:AJ28)</f>
        <v>13500</v>
      </c>
      <c r="AM28" s="6"/>
      <c r="AN28" s="5"/>
    </row>
    <row r="29" spans="1:40">
      <c r="A29" s="3"/>
      <c r="B29" s="57"/>
      <c r="C29" s="57"/>
      <c r="D29" s="57"/>
      <c r="E29" s="57"/>
      <c r="F29" s="57"/>
      <c r="G29" s="57"/>
      <c r="H29" s="57"/>
      <c r="I29" s="57"/>
      <c r="J29" s="57"/>
      <c r="K29" s="57"/>
      <c r="L29" s="57"/>
      <c r="M29" s="57"/>
      <c r="N29" s="57"/>
      <c r="O29" s="57"/>
      <c r="P29" s="57"/>
      <c r="Q29" s="57"/>
      <c r="R29" s="57"/>
      <c r="S29" s="57"/>
      <c r="T29" s="57"/>
      <c r="U29" s="57"/>
      <c r="V29" s="57"/>
      <c r="W29" s="57"/>
      <c r="X29" s="39"/>
      <c r="Y29" s="57"/>
      <c r="Z29" s="58"/>
      <c r="AA29" s="39"/>
      <c r="AB29" s="39"/>
      <c r="AC29" s="39"/>
      <c r="AD29" s="39"/>
      <c r="AE29" s="39"/>
      <c r="AF29" s="39"/>
      <c r="AG29" s="39"/>
      <c r="AH29" s="39"/>
      <c r="AI29" s="39"/>
      <c r="AJ29" s="39"/>
      <c r="AK29" s="39"/>
      <c r="AL29" s="40"/>
      <c r="AM29" s="6"/>
      <c r="AN29" s="5"/>
    </row>
    <row r="30" spans="1:40" ht="15.75">
      <c r="A30" s="26" t="s">
        <v>39</v>
      </c>
      <c r="B30" s="39"/>
      <c r="C30" s="39"/>
      <c r="D30" s="39"/>
      <c r="E30" s="40" t="s">
        <v>15</v>
      </c>
      <c r="F30" s="40"/>
      <c r="G30" s="40" t="s">
        <v>1</v>
      </c>
      <c r="H30" s="40"/>
      <c r="I30" s="40" t="s">
        <v>2</v>
      </c>
      <c r="J30" s="40"/>
      <c r="K30" s="40" t="s">
        <v>3</v>
      </c>
      <c r="L30" s="40"/>
      <c r="M30" s="40" t="s">
        <v>4</v>
      </c>
      <c r="N30" s="40"/>
      <c r="O30" s="40" t="s">
        <v>5</v>
      </c>
      <c r="P30" s="40"/>
      <c r="Q30" s="40" t="s">
        <v>6</v>
      </c>
      <c r="R30" s="40"/>
      <c r="S30" s="40" t="s">
        <v>7</v>
      </c>
      <c r="T30" s="40"/>
      <c r="U30" s="40" t="s">
        <v>8</v>
      </c>
      <c r="V30" s="40"/>
      <c r="W30" s="40" t="s">
        <v>9</v>
      </c>
      <c r="X30" s="40"/>
      <c r="Y30" s="40" t="s">
        <v>17</v>
      </c>
      <c r="Z30" s="40"/>
      <c r="AA30" s="40" t="s">
        <v>18</v>
      </c>
      <c r="AB30" s="40"/>
      <c r="AC30" s="40" t="s">
        <v>34</v>
      </c>
      <c r="AD30" s="40"/>
      <c r="AE30" s="33" t="s">
        <v>35</v>
      </c>
      <c r="AF30" s="59" t="str">
        <f>IF(C9= "1 januari","extra jaar","jaar 16")</f>
        <v>jaar 16</v>
      </c>
      <c r="AG30" s="67"/>
      <c r="AH30" s="59" t="str">
        <f>IF(C9= "1 januari","","extra jaar")</f>
        <v>extra jaar</v>
      </c>
      <c r="AI30" s="67"/>
      <c r="AJ30" s="39"/>
      <c r="AK30" s="39"/>
      <c r="AL30" s="40"/>
      <c r="AM30" s="6"/>
      <c r="AN30" s="5"/>
    </row>
    <row r="31" spans="1:40">
      <c r="A31" s="3" t="s">
        <v>13</v>
      </c>
      <c r="B31" s="57"/>
      <c r="C31" s="57"/>
      <c r="D31" s="57">
        <f>C28</f>
        <v>450</v>
      </c>
      <c r="E31" s="57"/>
      <c r="F31" s="57">
        <f>SUM(C28:E28)</f>
        <v>1575</v>
      </c>
      <c r="G31" s="57"/>
      <c r="H31" s="57">
        <f>SUM(C28:H28)</f>
        <v>2475</v>
      </c>
      <c r="I31" s="57"/>
      <c r="J31" s="57">
        <f>SUM(C28:J28)</f>
        <v>3375</v>
      </c>
      <c r="K31" s="57"/>
      <c r="L31" s="57">
        <f>SUM(C28:L28)</f>
        <v>4275</v>
      </c>
      <c r="M31" s="57"/>
      <c r="N31" s="57">
        <f>SUM(C28:N28)</f>
        <v>5120</v>
      </c>
      <c r="O31" s="57"/>
      <c r="P31" s="57">
        <f>SUM(C28:P28)</f>
        <v>6075</v>
      </c>
      <c r="Q31" s="57"/>
      <c r="R31" s="57">
        <f>SUM(C28:R28)</f>
        <v>6975</v>
      </c>
      <c r="S31" s="57"/>
      <c r="T31" s="57">
        <f>SUM(C28:T28)</f>
        <v>7875</v>
      </c>
      <c r="U31" s="57"/>
      <c r="V31" s="57">
        <f>SUM(C28:V28)</f>
        <v>8775</v>
      </c>
      <c r="W31" s="57"/>
      <c r="X31" s="57">
        <f>SUM(C28:X28)</f>
        <v>9675</v>
      </c>
      <c r="Y31" s="60"/>
      <c r="Z31" s="57">
        <f>SUM(C28:Z28)</f>
        <v>10575</v>
      </c>
      <c r="AA31" s="60"/>
      <c r="AB31" s="57">
        <f>SUM(C28:AB28)</f>
        <v>11475</v>
      </c>
      <c r="AC31" s="60"/>
      <c r="AD31" s="57">
        <f>SUM(C28:AD28)</f>
        <v>12375</v>
      </c>
      <c r="AE31" s="60"/>
      <c r="AF31" s="57">
        <f>SUM(C28:AF28)</f>
        <v>13275</v>
      </c>
      <c r="AG31" s="60"/>
      <c r="AH31" s="57">
        <f>IF(C9= "1 januari","",SUM(C28:AH28))</f>
        <v>13500</v>
      </c>
      <c r="AI31" s="60"/>
      <c r="AJ31" s="39"/>
      <c r="AK31" s="39"/>
      <c r="AL31" s="40"/>
      <c r="AM31" s="6"/>
      <c r="AN31" s="5"/>
    </row>
    <row r="32" spans="1:40">
      <c r="A32" s="3" t="s">
        <v>55</v>
      </c>
      <c r="B32" s="70"/>
      <c r="C32" s="70"/>
      <c r="D32" s="57">
        <f>IF(C10&gt;C28,C10-C28,0)</f>
        <v>225</v>
      </c>
      <c r="E32" s="57"/>
      <c r="F32" s="57">
        <f>IF(E18&gt;E28,E18-E28,0)+D32-E23</f>
        <v>0</v>
      </c>
      <c r="G32" s="57"/>
      <c r="H32" s="57">
        <f>IF(G18&gt;G28,G18-G28,0)+F32-G23</f>
        <v>0</v>
      </c>
      <c r="I32" s="57"/>
      <c r="J32" s="57">
        <f>IF(I18&gt;I28,I18-I28,0)+H32-I23</f>
        <v>0</v>
      </c>
      <c r="K32" s="57"/>
      <c r="L32" s="57">
        <f>IF(K18&gt;K28,K18-K28,0)+J32-K23</f>
        <v>0</v>
      </c>
      <c r="M32" s="57"/>
      <c r="N32" s="57">
        <f>IF(M18&gt;M28,M18-M28,0)+L32-M23</f>
        <v>55</v>
      </c>
      <c r="O32" s="57"/>
      <c r="P32" s="57">
        <f>IF(O18&gt;O28,O18-O28,0)+N32-O23</f>
        <v>0</v>
      </c>
      <c r="Q32" s="57"/>
      <c r="R32" s="57">
        <f>IF(Q18&gt;Q28,Q18-Q28,0)+P32-Q23</f>
        <v>0</v>
      </c>
      <c r="S32" s="57"/>
      <c r="T32" s="57">
        <f>IF(S18&gt;S28,S18-S28,0)+R32-S23</f>
        <v>0</v>
      </c>
      <c r="U32" s="57"/>
      <c r="V32" s="57">
        <f>IF(U18&gt;U28,U18-U28,0)+T32-U23</f>
        <v>0</v>
      </c>
      <c r="W32" s="57"/>
      <c r="X32" s="57">
        <f>IF(W18&gt;W28,W18-W28,0)+V32-W23</f>
        <v>0</v>
      </c>
      <c r="Y32" s="60"/>
      <c r="Z32" s="57">
        <f>IF(Y18&gt;Y28,Y18-Y28,0)+X32-Y23</f>
        <v>0</v>
      </c>
      <c r="AA32" s="60"/>
      <c r="AB32" s="57">
        <f>IF(AA18&gt;AA28,AA18-AA28,0)+Z32-AA23</f>
        <v>0</v>
      </c>
      <c r="AC32" s="60"/>
      <c r="AD32" s="57">
        <f>IF(AC18&gt;AC28,AC18-AC28,0)+AB32-AC23</f>
        <v>0</v>
      </c>
      <c r="AE32" s="60"/>
      <c r="AF32" s="57">
        <f>IF(AE18&gt;AE28,AE18-AE28,0)+AD32-AE23</f>
        <v>0</v>
      </c>
      <c r="AG32" s="60"/>
      <c r="AH32" s="57">
        <f>IF(C9="1 januari","",IF(AG18&gt;AG28,AG18-AG28,0)+AF32-AG23)</f>
        <v>0</v>
      </c>
      <c r="AI32" s="60"/>
      <c r="AJ32" s="39"/>
      <c r="AK32" s="39"/>
      <c r="AL32" s="39"/>
      <c r="AM32" s="6"/>
      <c r="AN32" s="5"/>
    </row>
    <row r="33" spans="1:40">
      <c r="A33" s="3" t="s">
        <v>56</v>
      </c>
      <c r="B33" s="70"/>
      <c r="C33" s="70"/>
      <c r="D33" s="57">
        <f>IF(C22&gt;C18,MIN(C11,C22-C18),0)</f>
        <v>0</v>
      </c>
      <c r="E33" s="57"/>
      <c r="F33" s="57">
        <f>IF(E22&gt;E18,MIN($C$11,E22-E18-E23+D33),(D33-E24))</f>
        <v>115</v>
      </c>
      <c r="G33" s="57"/>
      <c r="H33" s="57">
        <f t="shared" ref="H33" si="87">IF(G22&gt;G18,MIN($C$11,G22-G18-G23+F33),(F33-G24))</f>
        <v>225</v>
      </c>
      <c r="I33" s="57"/>
      <c r="J33" s="57">
        <f t="shared" ref="J33" si="88">IF(I22&gt;I18,MIN($C$11,I22-I18-I23+H33),(H33-I24))</f>
        <v>165</v>
      </c>
      <c r="K33" s="57"/>
      <c r="L33" s="57">
        <f t="shared" ref="L33" si="89">IF(K22&gt;K18,MIN($C$11,K22-K18-K23+J33),(J33-K24))</f>
        <v>105</v>
      </c>
      <c r="M33" s="57"/>
      <c r="N33" s="57">
        <f t="shared" ref="N33" si="90">IF(M22&gt;M18,MIN($C$11,M22-M18-M23+L33),(L33-M24))</f>
        <v>0</v>
      </c>
      <c r="O33" s="57"/>
      <c r="P33" s="57">
        <f t="shared" ref="P33" si="91">IF(O22&gt;O18,MIN($C$11,O22-O18-O23+N33),(N33-O24))</f>
        <v>185</v>
      </c>
      <c r="Q33" s="57"/>
      <c r="R33" s="57">
        <f t="shared" ref="R33" si="92">IF(Q22&gt;Q18,MIN($C$11,Q22-Q18-Q23+P33),(P33-Q24))</f>
        <v>225</v>
      </c>
      <c r="S33" s="57"/>
      <c r="T33" s="57">
        <f t="shared" ref="T33" si="93">IF(S22&gt;S18,MIN($C$11,S22-S18-S23+R33),(R33-S24))</f>
        <v>225</v>
      </c>
      <c r="U33" s="57"/>
      <c r="V33" s="57">
        <f t="shared" ref="V33" si="94">IF(U22&gt;U18,MIN($C$11,U22-U18-U23+T33),(T33-U24))</f>
        <v>225</v>
      </c>
      <c r="W33" s="57"/>
      <c r="X33" s="57">
        <f t="shared" ref="X33" si="95">IF(W22&gt;W18,MIN($C$11,W22-W18-W23+V33),(V33-W24))</f>
        <v>165</v>
      </c>
      <c r="Y33" s="60"/>
      <c r="Z33" s="57">
        <f t="shared" ref="Z33" si="96">IF(Y22&gt;Y18,MIN($C$11,Y22-Y18-Y23+X33),(X33-Y24))</f>
        <v>225</v>
      </c>
      <c r="AA33" s="60"/>
      <c r="AB33" s="57">
        <f t="shared" ref="AB33" si="97">IF(AA22&gt;AA18,MIN($C$11,AA22-AA18-AA23+Z33),(Z33-AA24))</f>
        <v>225</v>
      </c>
      <c r="AC33" s="60"/>
      <c r="AD33" s="57">
        <f t="shared" ref="AD33" si="98">IF(AC22&gt;AC18,MIN($C$11,AC22-AC18-AC23+AB33),(AB33-AC24))</f>
        <v>215</v>
      </c>
      <c r="AE33" s="60"/>
      <c r="AF33" s="57">
        <f t="shared" ref="AF33" si="99">IF(AE22&gt;AE18,MIN($C$11,AE22-AE18-AE23+AD33),(AD33-AE24))</f>
        <v>55</v>
      </c>
      <c r="AG33" s="60"/>
      <c r="AH33" s="57">
        <f>IF(C9="1 januari","",IF(AG22&gt;AG18,MIN($C$11,AG22-AG18-AG23+AF33),(AF33-AG24)))</f>
        <v>170</v>
      </c>
      <c r="AI33" s="60"/>
      <c r="AJ33" s="39"/>
      <c r="AK33" s="39"/>
      <c r="AL33" s="40"/>
      <c r="AM33" s="6"/>
      <c r="AN33" s="5"/>
    </row>
    <row r="34" spans="1:40">
      <c r="A34" s="3"/>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40"/>
      <c r="AM34" s="6"/>
      <c r="AN34" s="5"/>
    </row>
    <row r="35" spans="1:40"/>
    <row r="36" spans="1:40"/>
    <row r="37" spans="1:40">
      <c r="A37" s="81" t="s">
        <v>65</v>
      </c>
    </row>
    <row r="38" spans="1:40">
      <c r="A38" s="82"/>
    </row>
    <row r="39" spans="1:40"/>
    <row r="40" spans="1:40"/>
    <row r="41" spans="1:40"/>
    <row r="42" spans="1:40"/>
    <row r="43" spans="1:40"/>
    <row r="44" spans="1:40"/>
    <row r="45" spans="1:40"/>
    <row r="46" spans="1:40"/>
    <row r="47" spans="1:40"/>
    <row r="48" spans="1:40"/>
    <row r="49"/>
    <row r="50"/>
    <row r="51"/>
    <row r="52"/>
    <row r="53"/>
    <row r="54"/>
    <row r="55"/>
    <row r="56"/>
    <row r="57"/>
    <row r="58"/>
    <row r="59"/>
    <row r="60"/>
    <row r="61"/>
    <row r="62"/>
    <row r="63"/>
    <row r="64"/>
    <row r="65" spans="1:38"/>
    <row r="66" spans="1:38"/>
    <row r="67" spans="1:38"/>
    <row r="68" spans="1:38"/>
    <row r="69" spans="1:38"/>
    <row r="70" spans="1:38">
      <c r="A70" s="3" t="s">
        <v>67</v>
      </c>
      <c r="AL70" s="17"/>
    </row>
    <row r="71" spans="1:38">
      <c r="A71" s="3" t="s">
        <v>45</v>
      </c>
      <c r="AL71" s="17"/>
    </row>
    <row r="72" spans="1:38">
      <c r="A72" s="3"/>
      <c r="AL72" s="17"/>
    </row>
    <row r="73" spans="1:38">
      <c r="A73" s="3" t="s">
        <v>68</v>
      </c>
      <c r="B73" s="24"/>
      <c r="C73" s="24"/>
      <c r="D73" s="24"/>
      <c r="E73" s="24"/>
      <c r="F73" s="24"/>
      <c r="G73" s="24"/>
      <c r="H73" s="24"/>
      <c r="I73" s="24"/>
      <c r="J73" s="24"/>
      <c r="K73" s="24"/>
      <c r="L73" s="24"/>
      <c r="M73" s="24"/>
      <c r="N73" s="24"/>
      <c r="O73" s="24"/>
      <c r="P73" s="5"/>
      <c r="Q73" s="5"/>
      <c r="R73" s="5"/>
      <c r="AL73" s="17"/>
    </row>
    <row r="74" spans="1:38">
      <c r="A74" s="3" t="s">
        <v>44</v>
      </c>
      <c r="B74" s="24"/>
      <c r="C74" s="24"/>
      <c r="D74" s="24"/>
      <c r="E74" s="24"/>
      <c r="F74" s="24"/>
      <c r="G74" s="24"/>
      <c r="H74" s="24"/>
      <c r="I74" s="24"/>
      <c r="J74" s="24"/>
      <c r="K74" s="24"/>
      <c r="L74" s="24"/>
      <c r="M74" s="24"/>
      <c r="N74" s="24"/>
      <c r="O74" s="24"/>
      <c r="P74" s="5"/>
      <c r="Q74" s="5"/>
      <c r="R74" s="5"/>
      <c r="AL74" s="17"/>
    </row>
    <row r="75" spans="1:38">
      <c r="A75" s="3"/>
      <c r="B75" s="24"/>
      <c r="C75" s="24"/>
      <c r="D75" s="24"/>
      <c r="E75" s="24"/>
      <c r="F75" s="24"/>
      <c r="G75" s="24"/>
      <c r="H75" s="24"/>
      <c r="I75" s="24"/>
      <c r="J75" s="24"/>
      <c r="K75" s="24"/>
      <c r="L75" s="24"/>
      <c r="M75" s="24"/>
      <c r="N75" s="24"/>
      <c r="O75" s="24"/>
      <c r="P75" s="5"/>
      <c r="Q75" s="5"/>
      <c r="R75" s="5"/>
      <c r="AL75" s="17"/>
    </row>
    <row r="76" spans="1:38" s="24" customFormat="1" ht="14.25">
      <c r="A76" s="3" t="s">
        <v>64</v>
      </c>
      <c r="X76" s="27"/>
    </row>
    <row r="77" spans="1:38">
      <c r="X77" s="7"/>
      <c r="AL77" s="17"/>
    </row>
    <row r="78" spans="1:38">
      <c r="A78" s="3" t="s">
        <v>63</v>
      </c>
      <c r="AL78" s="17"/>
    </row>
    <row r="79" spans="1:38">
      <c r="X79" s="7"/>
    </row>
    <row r="80" spans="1:38">
      <c r="A80" s="37" t="s">
        <v>53</v>
      </c>
    </row>
    <row r="81" spans="1:1">
      <c r="A81" s="3" t="s">
        <v>54</v>
      </c>
    </row>
    <row r="82" spans="1:1"/>
    <row r="83" spans="1:1"/>
    <row r="84" spans="1:1">
      <c r="A84" s="45" t="s">
        <v>61</v>
      </c>
    </row>
    <row r="85" spans="1:1">
      <c r="A85" s="46" t="s">
        <v>62</v>
      </c>
    </row>
    <row r="86" spans="1:1"/>
  </sheetData>
  <sheetProtection algorithmName="SHA-512" hashValue="2NT6QtKSqQUig/sW7H1AWmNbtcL/Yolie8dnmTuofHgVe4aZrTgSUdcZ76hDPo+iyELD0ffO1hXczhVIvspQbw==" saltValue="krICuFxtZbq7Q/jBabS9Bw==" spinCount="100000" sheet="1" objects="1" scenarios="1"/>
  <mergeCells count="263">
    <mergeCell ref="U20:V20"/>
    <mergeCell ref="W20:X20"/>
    <mergeCell ref="Y20:Z20"/>
    <mergeCell ref="AA20:AB20"/>
    <mergeCell ref="AC20:AD20"/>
    <mergeCell ref="AE20:AF20"/>
    <mergeCell ref="AG20:AH20"/>
    <mergeCell ref="AI20:AJ20"/>
    <mergeCell ref="C7:D7"/>
    <mergeCell ref="C20:D20"/>
    <mergeCell ref="E20:F20"/>
    <mergeCell ref="G20:H20"/>
    <mergeCell ref="I20:J20"/>
    <mergeCell ref="K20:L20"/>
    <mergeCell ref="M20:N20"/>
    <mergeCell ref="O20:P20"/>
    <mergeCell ref="Q20:R20"/>
    <mergeCell ref="S20:T20"/>
    <mergeCell ref="AI15:AK15"/>
    <mergeCell ref="C14:D14"/>
    <mergeCell ref="G14:H14"/>
    <mergeCell ref="I14:J14"/>
    <mergeCell ref="K14:L14"/>
    <mergeCell ref="M14:N14"/>
    <mergeCell ref="A37:A38"/>
    <mergeCell ref="C6:D6"/>
    <mergeCell ref="F6:G6"/>
    <mergeCell ref="C8:D8"/>
    <mergeCell ref="C9:D9"/>
    <mergeCell ref="C10:D10"/>
    <mergeCell ref="C11:D11"/>
    <mergeCell ref="AG14:AH14"/>
    <mergeCell ref="C15:D15"/>
    <mergeCell ref="AG15:AH15"/>
    <mergeCell ref="C19:D19"/>
    <mergeCell ref="E19:F19"/>
    <mergeCell ref="G19:H19"/>
    <mergeCell ref="I19:J19"/>
    <mergeCell ref="K19:L19"/>
    <mergeCell ref="M19:N19"/>
    <mergeCell ref="O19:P19"/>
    <mergeCell ref="Q19:R19"/>
    <mergeCell ref="O18:P18"/>
    <mergeCell ref="Q18:R18"/>
    <mergeCell ref="C18:D18"/>
    <mergeCell ref="E18:F18"/>
    <mergeCell ref="G18:H18"/>
    <mergeCell ref="I18:J18"/>
    <mergeCell ref="AJ14:AK14"/>
    <mergeCell ref="AI16:AK16"/>
    <mergeCell ref="Y14:Z14"/>
    <mergeCell ref="AA14:AB14"/>
    <mergeCell ref="AC14:AD14"/>
    <mergeCell ref="O14:P14"/>
    <mergeCell ref="Q14:R14"/>
    <mergeCell ref="S14:T14"/>
    <mergeCell ref="U14:V14"/>
    <mergeCell ref="W14:X14"/>
    <mergeCell ref="AE14:AF14"/>
    <mergeCell ref="K18:L18"/>
    <mergeCell ref="M18:N18"/>
    <mergeCell ref="S19:T19"/>
    <mergeCell ref="U19:V19"/>
    <mergeCell ref="W19:X19"/>
    <mergeCell ref="AE19:AF19"/>
    <mergeCell ref="AG19:AH19"/>
    <mergeCell ref="AI19:AJ19"/>
    <mergeCell ref="AA19:AB19"/>
    <mergeCell ref="AC19:AD19"/>
    <mergeCell ref="AG18:AH18"/>
    <mergeCell ref="AI18:AJ18"/>
    <mergeCell ref="S18:T18"/>
    <mergeCell ref="U18:V18"/>
    <mergeCell ref="W18:X18"/>
    <mergeCell ref="AE18:AF18"/>
    <mergeCell ref="Y18:Z18"/>
    <mergeCell ref="Y19:Z19"/>
    <mergeCell ref="AA18:AB18"/>
    <mergeCell ref="AC18:AD18"/>
    <mergeCell ref="C24:D24"/>
    <mergeCell ref="E24:F24"/>
    <mergeCell ref="G24:H24"/>
    <mergeCell ref="I24:J24"/>
    <mergeCell ref="K24:L24"/>
    <mergeCell ref="M24:N24"/>
    <mergeCell ref="O24:P24"/>
    <mergeCell ref="Q24:R24"/>
    <mergeCell ref="O23:P23"/>
    <mergeCell ref="Q23:R23"/>
    <mergeCell ref="C23:D23"/>
    <mergeCell ref="E23:F23"/>
    <mergeCell ref="G23:H23"/>
    <mergeCell ref="I23:J23"/>
    <mergeCell ref="K23:L23"/>
    <mergeCell ref="M23:N23"/>
    <mergeCell ref="S24:T24"/>
    <mergeCell ref="U24:V24"/>
    <mergeCell ref="W24:X24"/>
    <mergeCell ref="AE24:AF24"/>
    <mergeCell ref="AG24:AH24"/>
    <mergeCell ref="AI24:AJ24"/>
    <mergeCell ref="AA24:AB24"/>
    <mergeCell ref="AC24:AD24"/>
    <mergeCell ref="AG23:AH23"/>
    <mergeCell ref="AI23:AJ23"/>
    <mergeCell ref="S23:T23"/>
    <mergeCell ref="U23:V23"/>
    <mergeCell ref="W23:X23"/>
    <mergeCell ref="AE23:AF23"/>
    <mergeCell ref="AA23:AB23"/>
    <mergeCell ref="AC23:AD23"/>
    <mergeCell ref="Y23:Z23"/>
    <mergeCell ref="Y24:Z24"/>
    <mergeCell ref="O26:P26"/>
    <mergeCell ref="Q26:R26"/>
    <mergeCell ref="S26:T26"/>
    <mergeCell ref="U26:V26"/>
    <mergeCell ref="W26:X26"/>
    <mergeCell ref="AE26:AF26"/>
    <mergeCell ref="AA26:AB26"/>
    <mergeCell ref="AC26:AD26"/>
    <mergeCell ref="C26:D26"/>
    <mergeCell ref="E26:F26"/>
    <mergeCell ref="G26:H26"/>
    <mergeCell ref="I26:J26"/>
    <mergeCell ref="K26:L26"/>
    <mergeCell ref="M26:N26"/>
    <mergeCell ref="Y26:Z26"/>
    <mergeCell ref="H31:I31"/>
    <mergeCell ref="J31:K31"/>
    <mergeCell ref="L31:M31"/>
    <mergeCell ref="R29:S29"/>
    <mergeCell ref="T29:U29"/>
    <mergeCell ref="V29:W29"/>
    <mergeCell ref="B29:C29"/>
    <mergeCell ref="D29:E29"/>
    <mergeCell ref="F29:G29"/>
    <mergeCell ref="H29:I29"/>
    <mergeCell ref="J29:K29"/>
    <mergeCell ref="L29:M29"/>
    <mergeCell ref="N29:O29"/>
    <mergeCell ref="P29:Q29"/>
    <mergeCell ref="N31:O31"/>
    <mergeCell ref="P31:Q31"/>
    <mergeCell ref="R31:S31"/>
    <mergeCell ref="T31:U31"/>
    <mergeCell ref="V31:W31"/>
    <mergeCell ref="AD31:AE31"/>
    <mergeCell ref="B33:C33"/>
    <mergeCell ref="D33:E33"/>
    <mergeCell ref="F33:G33"/>
    <mergeCell ref="H33:I33"/>
    <mergeCell ref="J33:K33"/>
    <mergeCell ref="L33:M33"/>
    <mergeCell ref="R32:S32"/>
    <mergeCell ref="T32:U32"/>
    <mergeCell ref="V32:W32"/>
    <mergeCell ref="B32:C32"/>
    <mergeCell ref="D32:E32"/>
    <mergeCell ref="F32:G32"/>
    <mergeCell ref="H32:I32"/>
    <mergeCell ref="J32:K32"/>
    <mergeCell ref="L32:M32"/>
    <mergeCell ref="N32:O32"/>
    <mergeCell ref="P32:Q32"/>
    <mergeCell ref="N33:O33"/>
    <mergeCell ref="P33:Q33"/>
    <mergeCell ref="R33:S33"/>
    <mergeCell ref="B31:C31"/>
    <mergeCell ref="D31:E31"/>
    <mergeCell ref="F31:G31"/>
    <mergeCell ref="AF30:AG30"/>
    <mergeCell ref="AH30:AI30"/>
    <mergeCell ref="AG26:AH26"/>
    <mergeCell ref="AI26:AJ26"/>
    <mergeCell ref="T33:U33"/>
    <mergeCell ref="V33:W33"/>
    <mergeCell ref="X33:Y33"/>
    <mergeCell ref="Z33:AA33"/>
    <mergeCell ref="AB33:AC33"/>
    <mergeCell ref="AD33:AE33"/>
    <mergeCell ref="AF33:AG33"/>
    <mergeCell ref="AH33:AI33"/>
    <mergeCell ref="AH32:AI32"/>
    <mergeCell ref="AH31:AI31"/>
    <mergeCell ref="Y29:Z29"/>
    <mergeCell ref="AF32:AG32"/>
    <mergeCell ref="X32:Y32"/>
    <mergeCell ref="Z32:AA32"/>
    <mergeCell ref="AB32:AC32"/>
    <mergeCell ref="AD32:AE32"/>
    <mergeCell ref="AF31:AG31"/>
    <mergeCell ref="X31:Y31"/>
    <mergeCell ref="Z31:AA31"/>
    <mergeCell ref="AB31:AC31"/>
    <mergeCell ref="U21:V21"/>
    <mergeCell ref="W21:X21"/>
    <mergeCell ref="Y21:Z21"/>
    <mergeCell ref="AA21:AB21"/>
    <mergeCell ref="AC21:AD21"/>
    <mergeCell ref="AE21:AF21"/>
    <mergeCell ref="AG21:AH21"/>
    <mergeCell ref="AI21:AJ21"/>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U22:V22"/>
    <mergeCell ref="W22:X22"/>
    <mergeCell ref="Y22:Z22"/>
    <mergeCell ref="AA22:AB22"/>
    <mergeCell ref="AC22:AD22"/>
    <mergeCell ref="AE22:AF22"/>
    <mergeCell ref="AG22:AH22"/>
    <mergeCell ref="AI22:AJ22"/>
    <mergeCell ref="C27:D27"/>
    <mergeCell ref="E27:F27"/>
    <mergeCell ref="G27:H27"/>
    <mergeCell ref="I27:J27"/>
    <mergeCell ref="K27:L27"/>
    <mergeCell ref="M27:N27"/>
    <mergeCell ref="O27:P27"/>
    <mergeCell ref="Q27:R27"/>
    <mergeCell ref="S27:T27"/>
    <mergeCell ref="U27:V27"/>
    <mergeCell ref="W27:X27"/>
    <mergeCell ref="Y27:Z27"/>
    <mergeCell ref="AA27:AB27"/>
    <mergeCell ref="AC27:AD27"/>
    <mergeCell ref="AE27:AF27"/>
    <mergeCell ref="AG27:AH27"/>
    <mergeCell ref="AI27:AJ27"/>
    <mergeCell ref="C28:D28"/>
    <mergeCell ref="E28:F28"/>
    <mergeCell ref="G28:H28"/>
    <mergeCell ref="I28:J28"/>
    <mergeCell ref="K28:L28"/>
    <mergeCell ref="M28:N28"/>
    <mergeCell ref="O28:P28"/>
    <mergeCell ref="Q28:R28"/>
    <mergeCell ref="S28:T28"/>
    <mergeCell ref="U28:V28"/>
    <mergeCell ref="W28:X28"/>
    <mergeCell ref="Y28:Z28"/>
    <mergeCell ref="AA28:AB28"/>
    <mergeCell ref="AC28:AD28"/>
    <mergeCell ref="AE28:AF28"/>
    <mergeCell ref="AG28:AH28"/>
    <mergeCell ref="AI28:AJ28"/>
  </mergeCells>
  <pageMargins left="0.70866141732283472" right="0.70866141732283472" top="0.74803149606299213" bottom="0.74803149606299213" header="0.31496062992125984" footer="0.31496062992125984"/>
  <pageSetup paperSize="8" scale="53"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Hulpblad!$A$2:$A$13</xm:f>
          </x14:formula1>
          <xm:sqref>C9:D9</xm:sqref>
        </x14:dataValidation>
      </x14:dataValidations>
    </ext>
  </extLst>
</worksheet>
</file>

<file path=docMetadata/LabelInfo.xml><?xml version="1.0" encoding="utf-8"?>
<clbl:labelList xmlns:clbl="http://schemas.microsoft.com/office/2020/mipLabelMetadata">
  <clbl:label id="{4bde8109-f994-4a60-a1d3-5c95e2ff3620}" enabled="1" method="Privileged" siteId="{1321633e-f6b9-44e2-a44f-59b9d264ecb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Hulpblad</vt:lpstr>
      <vt:lpstr>Hulpblad grafieken</vt:lpstr>
      <vt:lpstr>Bankingberekening Zon-PV </vt:lpstr>
      <vt:lpstr>'Bankingberekening Zon-PV '!Afdrukbereik</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Rekenmodel banking Zon-PV SDE 2018 tot en met 2023</dc:title>
  <dc:creator>Rijksdienst voor Ondernemend Nederland</dc:creator>
  <cp:lastModifiedBy>Rijksdienst voor Ondernemend Nederland</cp:lastModifiedBy>
  <cp:lastPrinted>2016-09-29T11:41:47Z</cp:lastPrinted>
  <dcterms:created xsi:type="dcterms:W3CDTF">2015-03-17T15:43:16Z</dcterms:created>
  <dcterms:modified xsi:type="dcterms:W3CDTF">2026-07-14T14:46:16Z</dcterms:modified>
</cp:coreProperties>
</file>