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1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T:\rvo\IV_Processpecialisten_RB\Opdrachten 2026\Opmaak PDF\SDE\augustus\"/>
    </mc:Choice>
  </mc:AlternateContent>
  <xr:revisionPtr revIDLastSave="0" documentId="14_{B2EED7F8-AA75-419D-B437-5F8CF252F5CC}" xr6:coauthVersionLast="47" xr6:coauthVersionMax="47" xr10:uidLastSave="{00000000-0000-0000-0000-000000000000}"/>
  <workbookProtection workbookAlgorithmName="SHA-512" workbookHashValue="45EURkQqmuk6+j2/Q8d9j/FmUBVTpOILuRg8ikAuWNmuKKMKoRrQIBFwFaO9E7qoNi4w5p1SBX6p+ddlwDijSg==" workbookSaltValue="bokYT7gKQ/UQDWYNerzqgQ==" workbookSpinCount="100000" lockStructure="1"/>
  <bookViews>
    <workbookView xWindow="-120" yWindow="-120" windowWidth="29040" windowHeight="15840" xr2:uid="{FEB83FE9-37A0-456F-83DE-888987527C12}"/>
  </bookViews>
  <sheets>
    <sheet name="Invulinstructie_disclaimer" sheetId="1" r:id="rId1"/>
    <sheet name="Financiering_en_projectplan" sheetId="2" r:id="rId2"/>
    <sheet name="Productie_en_afzet" sheetId="3" r:id="rId3"/>
    <sheet name="Exploitatieberekening" sheetId="4" r:id="rId4"/>
    <sheet name="Overzicht bijlagen" sheetId="5" r:id="rId5"/>
    <sheet name="Hulpblad_categorieën_parameters" sheetId="6" state="hidden" r:id="rId6"/>
    <sheet name="Hulpblad_overig" sheetId="7" state="hidden" r:id="rId7"/>
    <sheet name="Alternat.rendementsberekening" sheetId="8" state="hidden"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39" i="6" l="1"/>
  <c r="S340" i="6"/>
  <c r="S341" i="6"/>
  <c r="S342" i="6"/>
  <c r="S343" i="6"/>
  <c r="S344" i="6"/>
  <c r="S345" i="6"/>
  <c r="S326" i="6"/>
  <c r="S327" i="6"/>
  <c r="S328" i="6"/>
  <c r="S329" i="6"/>
  <c r="S330" i="6"/>
  <c r="S331" i="6"/>
  <c r="S332" i="6"/>
  <c r="S333" i="6"/>
  <c r="S334" i="6"/>
  <c r="S335" i="6"/>
  <c r="S325" i="6"/>
  <c r="S314" i="6"/>
  <c r="S315" i="6"/>
  <c r="S316" i="6"/>
  <c r="S317" i="6"/>
  <c r="S318" i="6"/>
  <c r="S319" i="6"/>
  <c r="S320" i="6"/>
  <c r="S321" i="6"/>
  <c r="S322" i="6"/>
  <c r="S220" i="6"/>
  <c r="S221" i="6"/>
  <c r="S222" i="6"/>
  <c r="S223" i="6"/>
  <c r="S212" i="6"/>
  <c r="S213" i="6"/>
  <c r="S214" i="6"/>
  <c r="S215" i="6"/>
  <c r="S216" i="6"/>
  <c r="S192" i="6"/>
  <c r="S184" i="6"/>
  <c r="S185" i="6"/>
  <c r="S178" i="6"/>
  <c r="S154" i="6"/>
  <c r="S153" i="6"/>
  <c r="S142" i="6"/>
  <c r="S132" i="6"/>
  <c r="S133" i="6"/>
  <c r="S134" i="6"/>
  <c r="S107" i="6"/>
  <c r="S108" i="6"/>
  <c r="S109" i="6"/>
  <c r="S110" i="6"/>
  <c r="S111" i="6"/>
  <c r="S112" i="6"/>
  <c r="S113" i="6"/>
  <c r="S114" i="6"/>
  <c r="S115" i="6"/>
  <c r="S116" i="6"/>
  <c r="S117" i="6"/>
  <c r="S98" i="6"/>
  <c r="S99" i="6"/>
  <c r="S100" i="6"/>
  <c r="S101" i="6"/>
  <c r="S102" i="6"/>
  <c r="S103" i="6"/>
  <c r="S269" i="6"/>
  <c r="S270" i="6"/>
  <c r="S271" i="6"/>
  <c r="S272" i="6"/>
  <c r="S273" i="6"/>
  <c r="S274" i="6"/>
  <c r="S275" i="6"/>
  <c r="S276" i="6"/>
  <c r="S277" i="6"/>
  <c r="S278" i="6"/>
  <c r="S279" i="6"/>
  <c r="S280" i="6"/>
  <c r="S281" i="6"/>
  <c r="S282" i="6"/>
  <c r="S283" i="6"/>
  <c r="S284" i="6"/>
  <c r="S285" i="6"/>
  <c r="S286" i="6"/>
  <c r="S287" i="6"/>
  <c r="S288" i="6"/>
  <c r="S239" i="6"/>
  <c r="S240" i="6"/>
  <c r="S241" i="6"/>
  <c r="S242" i="6"/>
  <c r="S243" i="6"/>
  <c r="S244" i="6"/>
  <c r="S245" i="6"/>
  <c r="S246" i="6"/>
  <c r="S247" i="6"/>
  <c r="S248" i="6"/>
  <c r="S249" i="6"/>
  <c r="S250" i="6"/>
  <c r="S251" i="6"/>
  <c r="S252" i="6"/>
  <c r="S253" i="6"/>
  <c r="S254" i="6"/>
  <c r="S255" i="6"/>
  <c r="S256" i="6"/>
  <c r="S257" i="6"/>
  <c r="S258" i="6"/>
  <c r="AA339" i="6"/>
  <c r="AA340" i="6"/>
  <c r="AA341" i="6"/>
  <c r="AA342" i="6"/>
  <c r="AA338" i="6"/>
  <c r="B206" i="7"/>
  <c r="F39" i="6"/>
  <c r="E39" i="6"/>
  <c r="D39" i="6"/>
  <c r="N132" i="6"/>
  <c r="O132" i="6"/>
  <c r="P132" i="6"/>
  <c r="Q132" i="6"/>
  <c r="N133" i="6"/>
  <c r="O133" i="6"/>
  <c r="P133" i="6"/>
  <c r="Q133" i="6"/>
  <c r="N134" i="6"/>
  <c r="O134" i="6"/>
  <c r="P134" i="6"/>
  <c r="Q134" i="6"/>
  <c r="G132" i="6"/>
  <c r="G133" i="6"/>
  <c r="G134" i="6"/>
  <c r="L44" i="6"/>
  <c r="N335" i="6"/>
  <c r="O335" i="6"/>
  <c r="P335" i="6"/>
  <c r="Q335" i="6"/>
  <c r="I335" i="6"/>
  <c r="G335" i="6"/>
  <c r="V55" i="6" l="1"/>
  <c r="S55" i="6"/>
  <c r="P55" i="6"/>
  <c r="O55" i="6"/>
  <c r="N55" i="6"/>
  <c r="M55" i="6"/>
  <c r="J55" i="6"/>
  <c r="G55" i="6"/>
  <c r="D55" i="6"/>
  <c r="G288" i="6"/>
  <c r="N288" i="6"/>
  <c r="O288" i="6"/>
  <c r="P288" i="6"/>
  <c r="Q288" i="6"/>
  <c r="N285" i="6"/>
  <c r="O285" i="6"/>
  <c r="P285" i="6"/>
  <c r="Q285" i="6"/>
  <c r="G285" i="6"/>
  <c r="N279" i="6"/>
  <c r="O279" i="6"/>
  <c r="P279" i="6"/>
  <c r="Q279" i="6"/>
  <c r="N280" i="6"/>
  <c r="O280" i="6"/>
  <c r="P280" i="6"/>
  <c r="Q280" i="6"/>
  <c r="N281" i="6"/>
  <c r="O281" i="6"/>
  <c r="P281" i="6"/>
  <c r="Q281" i="6"/>
  <c r="N282" i="6"/>
  <c r="O282" i="6"/>
  <c r="P282" i="6"/>
  <c r="Q282" i="6"/>
  <c r="G279" i="6"/>
  <c r="G280" i="6"/>
  <c r="G281" i="6"/>
  <c r="G282" i="6"/>
  <c r="N276" i="6"/>
  <c r="O276" i="6"/>
  <c r="P276" i="6"/>
  <c r="Q276" i="6"/>
  <c r="G276" i="6"/>
  <c r="N273" i="6"/>
  <c r="O273" i="6"/>
  <c r="P273" i="6"/>
  <c r="Q273" i="6"/>
  <c r="N270" i="6"/>
  <c r="O270" i="6"/>
  <c r="P270" i="6"/>
  <c r="Q270" i="6"/>
  <c r="G269" i="6"/>
  <c r="G270" i="6"/>
  <c r="G271" i="6"/>
  <c r="G272" i="6"/>
  <c r="G273" i="6"/>
  <c r="F54" i="6"/>
  <c r="E54" i="6"/>
  <c r="S264" i="6"/>
  <c r="S265" i="6"/>
  <c r="N264" i="6"/>
  <c r="O264" i="6"/>
  <c r="P264" i="6"/>
  <c r="Q264" i="6"/>
  <c r="N265" i="6"/>
  <c r="O265" i="6"/>
  <c r="P265" i="6"/>
  <c r="Q265" i="6"/>
  <c r="G264" i="6"/>
  <c r="G265" i="6"/>
  <c r="J49" i="6"/>
  <c r="G49" i="6"/>
  <c r="D49" i="6"/>
  <c r="N215" i="6"/>
  <c r="O215" i="6"/>
  <c r="P215" i="6"/>
  <c r="Q215" i="6"/>
  <c r="N212" i="6"/>
  <c r="O212" i="6"/>
  <c r="P212" i="6"/>
  <c r="Q212" i="6"/>
  <c r="G212" i="6"/>
  <c r="G213" i="6"/>
  <c r="G214" i="6"/>
  <c r="G215" i="6"/>
  <c r="S209" i="6"/>
  <c r="N209" i="6"/>
  <c r="O209" i="6"/>
  <c r="P209" i="6"/>
  <c r="Q209" i="6"/>
  <c r="G209" i="6"/>
  <c r="K49" i="6"/>
  <c r="K48" i="6"/>
  <c r="J48" i="6"/>
  <c r="F48" i="6"/>
  <c r="E48" i="6"/>
  <c r="S203" i="6"/>
  <c r="S204" i="6"/>
  <c r="N203" i="6"/>
  <c r="O203" i="6"/>
  <c r="P203" i="6"/>
  <c r="Q203" i="6"/>
  <c r="N204" i="6"/>
  <c r="O204" i="6"/>
  <c r="P204" i="6"/>
  <c r="Q204" i="6"/>
  <c r="G203" i="6"/>
  <c r="G204" i="6"/>
  <c r="S198" i="6"/>
  <c r="S199" i="6"/>
  <c r="N198" i="6"/>
  <c r="O198" i="6"/>
  <c r="P198" i="6"/>
  <c r="Q198" i="6"/>
  <c r="N199" i="6"/>
  <c r="O199" i="6"/>
  <c r="P199" i="6"/>
  <c r="Q199" i="6"/>
  <c r="G198" i="6"/>
  <c r="G199" i="6"/>
  <c r="Q216" i="6"/>
  <c r="P216" i="6"/>
  <c r="O216" i="6"/>
  <c r="N216" i="6"/>
  <c r="G216" i="6"/>
  <c r="D51" i="6"/>
  <c r="S228" i="6"/>
  <c r="AA228" i="6"/>
  <c r="N228" i="6"/>
  <c r="O228" i="6"/>
  <c r="P228" i="6"/>
  <c r="Q228" i="6"/>
  <c r="G228" i="6"/>
  <c r="F50" i="6"/>
  <c r="E50" i="6"/>
  <c r="N222" i="6"/>
  <c r="O222" i="6"/>
  <c r="P222" i="6"/>
  <c r="Q222" i="6"/>
  <c r="N223" i="6"/>
  <c r="O223" i="6"/>
  <c r="P223" i="6"/>
  <c r="Q223" i="6"/>
  <c r="G222" i="6"/>
  <c r="G223" i="6"/>
  <c r="V53" i="6"/>
  <c r="S53" i="6"/>
  <c r="P53" i="6"/>
  <c r="O53" i="6"/>
  <c r="N53" i="6"/>
  <c r="M53" i="6"/>
  <c r="J53" i="6"/>
  <c r="G53" i="6"/>
  <c r="D53" i="6"/>
  <c r="G258" i="6"/>
  <c r="N246" i="6"/>
  <c r="O246" i="6"/>
  <c r="P246" i="6"/>
  <c r="Q246" i="6"/>
  <c r="G246" i="6"/>
  <c r="N258" i="6"/>
  <c r="O258" i="6"/>
  <c r="P258" i="6"/>
  <c r="Q258" i="6"/>
  <c r="N255" i="6"/>
  <c r="O255" i="6"/>
  <c r="P255" i="6"/>
  <c r="Q255" i="6"/>
  <c r="G255" i="6"/>
  <c r="N249" i="6"/>
  <c r="O249" i="6"/>
  <c r="P249" i="6"/>
  <c r="Q249" i="6"/>
  <c r="N250" i="6"/>
  <c r="O250" i="6"/>
  <c r="P250" i="6"/>
  <c r="Q250" i="6"/>
  <c r="N251" i="6"/>
  <c r="O251" i="6"/>
  <c r="P251" i="6"/>
  <c r="Q251" i="6"/>
  <c r="N252" i="6"/>
  <c r="O252" i="6"/>
  <c r="P252" i="6"/>
  <c r="Q252" i="6"/>
  <c r="G249" i="6"/>
  <c r="G250" i="6"/>
  <c r="G251" i="6"/>
  <c r="G252" i="6"/>
  <c r="N243" i="6" l="1"/>
  <c r="O243" i="6"/>
  <c r="P243" i="6"/>
  <c r="Q243" i="6"/>
  <c r="G243" i="6"/>
  <c r="N240" i="6"/>
  <c r="O240" i="6"/>
  <c r="P240" i="6"/>
  <c r="Q240" i="6"/>
  <c r="G240" i="6"/>
  <c r="F52" i="6"/>
  <c r="E52" i="6"/>
  <c r="S234" i="6"/>
  <c r="S235" i="6"/>
  <c r="N234" i="6"/>
  <c r="O234" i="6"/>
  <c r="P234" i="6"/>
  <c r="Q234" i="6"/>
  <c r="N235" i="6"/>
  <c r="O235" i="6"/>
  <c r="P235" i="6"/>
  <c r="Q235" i="6"/>
  <c r="G234" i="6"/>
  <c r="G235" i="6"/>
  <c r="B192" i="7" l="1"/>
  <c r="B203" i="7" l="1"/>
  <c r="B202" i="7"/>
  <c r="B201" i="7"/>
  <c r="K43" i="6"/>
  <c r="Q322" i="6"/>
  <c r="P322" i="6"/>
  <c r="O322" i="6"/>
  <c r="N322" i="6"/>
  <c r="G322" i="6"/>
  <c r="H349" i="6"/>
  <c r="H348" i="6"/>
  <c r="B44" i="6"/>
  <c r="I327" i="6"/>
  <c r="I328" i="6"/>
  <c r="I329" i="6"/>
  <c r="Q325" i="6"/>
  <c r="P325" i="6"/>
  <c r="O325" i="6"/>
  <c r="N325" i="6"/>
  <c r="G325" i="6"/>
  <c r="I37" i="6"/>
  <c r="C34" i="6"/>
  <c r="H175" i="6"/>
  <c r="H176" i="6"/>
  <c r="H177" i="6"/>
  <c r="H178" i="6"/>
  <c r="H179" i="6"/>
  <c r="H180" i="6"/>
  <c r="H181" i="6"/>
  <c r="H182" i="6"/>
  <c r="H183" i="6"/>
  <c r="H184" i="6"/>
  <c r="H185" i="6"/>
  <c r="H186" i="6"/>
  <c r="H187" i="6"/>
  <c r="H174" i="6"/>
  <c r="H158" i="6"/>
  <c r="H159" i="6"/>
  <c r="H160" i="6"/>
  <c r="H161" i="6"/>
  <c r="H162" i="6"/>
  <c r="H163" i="6"/>
  <c r="H164" i="6"/>
  <c r="H165" i="6"/>
  <c r="H166" i="6"/>
  <c r="H167" i="6"/>
  <c r="H168" i="6"/>
  <c r="H169" i="6"/>
  <c r="H170" i="6"/>
  <c r="H171" i="6"/>
  <c r="H157" i="6"/>
  <c r="Q127" i="6"/>
  <c r="P127" i="6"/>
  <c r="O127" i="6"/>
  <c r="N127" i="6"/>
  <c r="I127" i="6"/>
  <c r="G127" i="6"/>
  <c r="Q117" i="6"/>
  <c r="P117" i="6"/>
  <c r="O117" i="6"/>
  <c r="N117" i="6"/>
  <c r="I117" i="6"/>
  <c r="G117" i="6"/>
  <c r="G97" i="6"/>
  <c r="I89" i="6" l="1"/>
  <c r="H15" i="2" l="1"/>
  <c r="H17" i="2"/>
  <c r="A59" i="5" s="1"/>
  <c r="O83" i="4"/>
  <c r="P83" i="4"/>
  <c r="Q83" i="4" s="1"/>
  <c r="R83" i="4" s="1"/>
  <c r="S83" i="4" s="1"/>
  <c r="B194" i="7" l="1"/>
  <c r="A1" i="5" l="1"/>
  <c r="A1" i="4"/>
  <c r="A1" i="3"/>
  <c r="A1" i="2"/>
  <c r="B212" i="7"/>
  <c r="B209" i="7"/>
  <c r="B190" i="7"/>
  <c r="B187" i="7"/>
  <c r="G310" i="6" l="1"/>
  <c r="G302" i="6"/>
  <c r="G303" i="6"/>
  <c r="G304" i="6"/>
  <c r="G305" i="6"/>
  <c r="G306" i="6"/>
  <c r="G307" i="6"/>
  <c r="G297" i="6"/>
  <c r="G298" i="6"/>
  <c r="G299" i="6"/>
  <c r="G291" i="6"/>
  <c r="G292" i="6"/>
  <c r="G293" i="6"/>
  <c r="G294" i="6"/>
  <c r="G295" i="6"/>
  <c r="G296" i="6"/>
  <c r="G283" i="6"/>
  <c r="G284" i="6"/>
  <c r="G286" i="6"/>
  <c r="G287" i="6"/>
  <c r="G277" i="6"/>
  <c r="G278" i="6"/>
  <c r="G274" i="6"/>
  <c r="G275" i="6"/>
  <c r="G268" i="6"/>
  <c r="G261" i="6"/>
  <c r="G262" i="6"/>
  <c r="G263" i="6"/>
  <c r="G253" i="6"/>
  <c r="G254" i="6"/>
  <c r="G256" i="6"/>
  <c r="G257" i="6"/>
  <c r="G247" i="6"/>
  <c r="G248" i="6"/>
  <c r="G241" i="6"/>
  <c r="G242" i="6"/>
  <c r="G244" i="6"/>
  <c r="G245" i="6"/>
  <c r="G238" i="6"/>
  <c r="G239" i="6"/>
  <c r="G231" i="6"/>
  <c r="G232" i="6"/>
  <c r="G233" i="6"/>
  <c r="G219" i="6"/>
  <c r="G220" i="6"/>
  <c r="G221" i="6"/>
  <c r="G226" i="6"/>
  <c r="G227" i="6"/>
  <c r="G207" i="6"/>
  <c r="G208" i="6"/>
  <c r="G210" i="6"/>
  <c r="G211" i="6"/>
  <c r="G195" i="6"/>
  <c r="G196" i="6"/>
  <c r="G197" i="6"/>
  <c r="G200" i="6"/>
  <c r="G201" i="6"/>
  <c r="G202" i="6"/>
  <c r="N345" i="6" l="1"/>
  <c r="O345" i="6"/>
  <c r="P345" i="6"/>
  <c r="Q345" i="6"/>
  <c r="G345" i="6"/>
  <c r="N326" i="6" l="1"/>
  <c r="O326" i="6"/>
  <c r="P326" i="6"/>
  <c r="Q326" i="6"/>
  <c r="G326" i="6"/>
  <c r="N320" i="6"/>
  <c r="O320" i="6"/>
  <c r="P320" i="6"/>
  <c r="Q320" i="6"/>
  <c r="N317" i="6"/>
  <c r="O317" i="6"/>
  <c r="P317" i="6"/>
  <c r="Q317" i="6"/>
  <c r="N314" i="6"/>
  <c r="O314" i="6"/>
  <c r="P314" i="6"/>
  <c r="Q314" i="6"/>
  <c r="G314" i="6"/>
  <c r="G315" i="6"/>
  <c r="G316" i="6"/>
  <c r="G317" i="6"/>
  <c r="G318" i="6"/>
  <c r="G319" i="6"/>
  <c r="G320" i="6"/>
  <c r="G321" i="6"/>
  <c r="N341" i="6" l="1"/>
  <c r="O341" i="6"/>
  <c r="P341" i="6"/>
  <c r="Q341" i="6"/>
  <c r="N342" i="6"/>
  <c r="O342" i="6"/>
  <c r="P342" i="6"/>
  <c r="Q342" i="6"/>
  <c r="G341" i="6"/>
  <c r="G342" i="6"/>
  <c r="G192" i="6"/>
  <c r="G142" i="6"/>
  <c r="G98" i="6"/>
  <c r="G99" i="6"/>
  <c r="G100" i="6"/>
  <c r="G101" i="6"/>
  <c r="G102" i="6"/>
  <c r="G103" i="6"/>
  <c r="AA109" i="6"/>
  <c r="AA112" i="6"/>
  <c r="AA113" i="6"/>
  <c r="G111" i="6"/>
  <c r="G112" i="6"/>
  <c r="G113" i="6"/>
  <c r="G114" i="6"/>
  <c r="G115" i="6"/>
  <c r="G116" i="6"/>
  <c r="G175" i="6" l="1"/>
  <c r="G176" i="6"/>
  <c r="G177" i="6"/>
  <c r="G178" i="6"/>
  <c r="G179" i="6"/>
  <c r="G180" i="6"/>
  <c r="G181" i="6"/>
  <c r="G182" i="6"/>
  <c r="G183" i="6"/>
  <c r="G184" i="6"/>
  <c r="G185" i="6"/>
  <c r="G186" i="6"/>
  <c r="G187" i="6"/>
  <c r="N195" i="6" l="1"/>
  <c r="O195" i="6"/>
  <c r="P195" i="6"/>
  <c r="Q195" i="6"/>
  <c r="N196" i="6"/>
  <c r="O196" i="6"/>
  <c r="P196" i="6"/>
  <c r="Q196" i="6"/>
  <c r="N197" i="6"/>
  <c r="O197" i="6"/>
  <c r="P197" i="6"/>
  <c r="Q197" i="6"/>
  <c r="N200" i="6"/>
  <c r="O200" i="6"/>
  <c r="P200" i="6"/>
  <c r="Q200" i="6"/>
  <c r="N201" i="6"/>
  <c r="O201" i="6"/>
  <c r="P201" i="6"/>
  <c r="Q201" i="6"/>
  <c r="N202" i="6"/>
  <c r="O202" i="6"/>
  <c r="P202" i="6"/>
  <c r="Q202" i="6"/>
  <c r="N207" i="6"/>
  <c r="O207" i="6"/>
  <c r="P207" i="6"/>
  <c r="Q207" i="6"/>
  <c r="N208" i="6"/>
  <c r="O208" i="6"/>
  <c r="P208" i="6"/>
  <c r="Q208" i="6"/>
  <c r="N210" i="6"/>
  <c r="O210" i="6"/>
  <c r="P210" i="6"/>
  <c r="Q210" i="6"/>
  <c r="N211" i="6"/>
  <c r="O211" i="6"/>
  <c r="P211" i="6"/>
  <c r="Q211" i="6"/>
  <c r="N213" i="6"/>
  <c r="O213" i="6"/>
  <c r="P213" i="6"/>
  <c r="Q213" i="6"/>
  <c r="N214" i="6"/>
  <c r="O214" i="6"/>
  <c r="P214" i="6"/>
  <c r="Q214" i="6"/>
  <c r="N219" i="6"/>
  <c r="O219" i="6"/>
  <c r="P219" i="6"/>
  <c r="Q219" i="6"/>
  <c r="N220" i="6"/>
  <c r="O220" i="6"/>
  <c r="P220" i="6"/>
  <c r="Q220" i="6"/>
  <c r="N221" i="6"/>
  <c r="O221" i="6"/>
  <c r="P221" i="6"/>
  <c r="Q221" i="6"/>
  <c r="N226" i="6"/>
  <c r="O226" i="6"/>
  <c r="P226" i="6"/>
  <c r="Q226" i="6"/>
  <c r="N227" i="6"/>
  <c r="O227" i="6"/>
  <c r="P227" i="6"/>
  <c r="Q227" i="6"/>
  <c r="N231" i="6"/>
  <c r="O231" i="6"/>
  <c r="P231" i="6"/>
  <c r="Q231" i="6"/>
  <c r="N232" i="6"/>
  <c r="O232" i="6"/>
  <c r="P232" i="6"/>
  <c r="Q232" i="6"/>
  <c r="N233" i="6"/>
  <c r="O233" i="6"/>
  <c r="P233" i="6"/>
  <c r="Q233" i="6"/>
  <c r="N238" i="6"/>
  <c r="O238" i="6"/>
  <c r="P238" i="6"/>
  <c r="Q238" i="6"/>
  <c r="N239" i="6"/>
  <c r="O239" i="6"/>
  <c r="P239" i="6"/>
  <c r="Q239" i="6"/>
  <c r="N241" i="6"/>
  <c r="O241" i="6"/>
  <c r="P241" i="6"/>
  <c r="Q241" i="6"/>
  <c r="N242" i="6"/>
  <c r="O242" i="6"/>
  <c r="P242" i="6"/>
  <c r="Q242" i="6"/>
  <c r="N244" i="6"/>
  <c r="O244" i="6"/>
  <c r="P244" i="6"/>
  <c r="Q244" i="6"/>
  <c r="N245" i="6"/>
  <c r="O245" i="6"/>
  <c r="P245" i="6"/>
  <c r="Q245" i="6"/>
  <c r="N247" i="6"/>
  <c r="O247" i="6"/>
  <c r="P247" i="6"/>
  <c r="Q247" i="6"/>
  <c r="N248" i="6"/>
  <c r="O248" i="6"/>
  <c r="P248" i="6"/>
  <c r="Q248" i="6"/>
  <c r="N253" i="6"/>
  <c r="O253" i="6"/>
  <c r="P253" i="6"/>
  <c r="Q253" i="6"/>
  <c r="N254" i="6"/>
  <c r="O254" i="6"/>
  <c r="P254" i="6"/>
  <c r="Q254" i="6"/>
  <c r="N256" i="6"/>
  <c r="O256" i="6"/>
  <c r="P256" i="6"/>
  <c r="Q256" i="6"/>
  <c r="N257" i="6"/>
  <c r="O257" i="6"/>
  <c r="P257" i="6"/>
  <c r="Q257" i="6"/>
  <c r="N261" i="6"/>
  <c r="O261" i="6"/>
  <c r="P261" i="6"/>
  <c r="Q261" i="6"/>
  <c r="N262" i="6"/>
  <c r="O262" i="6"/>
  <c r="P262" i="6"/>
  <c r="Q262" i="6"/>
  <c r="N263" i="6"/>
  <c r="O263" i="6"/>
  <c r="P263" i="6"/>
  <c r="Q263" i="6"/>
  <c r="N268" i="6"/>
  <c r="O268" i="6"/>
  <c r="P268" i="6"/>
  <c r="Q268" i="6"/>
  <c r="N269" i="6"/>
  <c r="O269" i="6"/>
  <c r="P269" i="6"/>
  <c r="Q269" i="6"/>
  <c r="N271" i="6"/>
  <c r="O271" i="6"/>
  <c r="P271" i="6"/>
  <c r="Q271" i="6"/>
  <c r="N272" i="6"/>
  <c r="O272" i="6"/>
  <c r="P272" i="6"/>
  <c r="Q272" i="6"/>
  <c r="N274" i="6"/>
  <c r="O274" i="6"/>
  <c r="P274" i="6"/>
  <c r="Q274" i="6"/>
  <c r="N275" i="6"/>
  <c r="O275" i="6"/>
  <c r="P275" i="6"/>
  <c r="Q275" i="6"/>
  <c r="N277" i="6"/>
  <c r="O277" i="6"/>
  <c r="P277" i="6"/>
  <c r="Q277" i="6"/>
  <c r="N278" i="6"/>
  <c r="O278" i="6"/>
  <c r="P278" i="6"/>
  <c r="Q278" i="6"/>
  <c r="N283" i="6"/>
  <c r="O283" i="6"/>
  <c r="P283" i="6"/>
  <c r="Q283" i="6"/>
  <c r="N284" i="6"/>
  <c r="O284" i="6"/>
  <c r="P284" i="6"/>
  <c r="Q284" i="6"/>
  <c r="N286" i="6"/>
  <c r="O286" i="6"/>
  <c r="P286" i="6"/>
  <c r="Q286" i="6"/>
  <c r="N287" i="6"/>
  <c r="O287" i="6"/>
  <c r="P287" i="6"/>
  <c r="Q287" i="6"/>
  <c r="N291" i="6"/>
  <c r="O291" i="6"/>
  <c r="P291" i="6"/>
  <c r="Q291" i="6"/>
  <c r="N292" i="6"/>
  <c r="O292" i="6"/>
  <c r="P292" i="6"/>
  <c r="Q292" i="6"/>
  <c r="N293" i="6"/>
  <c r="O293" i="6"/>
  <c r="P293" i="6"/>
  <c r="Q293" i="6"/>
  <c r="N294" i="6"/>
  <c r="O294" i="6"/>
  <c r="P294" i="6"/>
  <c r="Q294" i="6"/>
  <c r="N295" i="6"/>
  <c r="O295" i="6"/>
  <c r="P295" i="6"/>
  <c r="Q295" i="6"/>
  <c r="N296" i="6"/>
  <c r="O296" i="6"/>
  <c r="P296" i="6"/>
  <c r="Q296" i="6"/>
  <c r="N297" i="6"/>
  <c r="O297" i="6"/>
  <c r="P297" i="6"/>
  <c r="Q297" i="6"/>
  <c r="N298" i="6"/>
  <c r="O298" i="6"/>
  <c r="P298" i="6"/>
  <c r="Q298" i="6"/>
  <c r="N299" i="6"/>
  <c r="O299" i="6"/>
  <c r="P299" i="6"/>
  <c r="Q299" i="6"/>
  <c r="N302" i="6"/>
  <c r="O302" i="6"/>
  <c r="P302" i="6"/>
  <c r="Q302" i="6"/>
  <c r="N303" i="6"/>
  <c r="O303" i="6"/>
  <c r="P303" i="6"/>
  <c r="Q303" i="6"/>
  <c r="N304" i="6"/>
  <c r="O304" i="6"/>
  <c r="P304" i="6"/>
  <c r="Q304" i="6"/>
  <c r="N305" i="6"/>
  <c r="O305" i="6"/>
  <c r="P305" i="6"/>
  <c r="Q305" i="6"/>
  <c r="N306" i="6"/>
  <c r="O306" i="6"/>
  <c r="P306" i="6"/>
  <c r="Q306" i="6"/>
  <c r="N307" i="6"/>
  <c r="O307" i="6"/>
  <c r="P307" i="6"/>
  <c r="Q307" i="6"/>
  <c r="N310" i="6"/>
  <c r="O310" i="6"/>
  <c r="P310" i="6"/>
  <c r="Q310" i="6"/>
  <c r="N192" i="6"/>
  <c r="O192" i="6"/>
  <c r="P192" i="6"/>
  <c r="Q192" i="6"/>
  <c r="N178" i="6"/>
  <c r="O178" i="6"/>
  <c r="P178" i="6"/>
  <c r="Q178" i="6"/>
  <c r="N179" i="6"/>
  <c r="O179" i="6"/>
  <c r="P179" i="6"/>
  <c r="Q179" i="6"/>
  <c r="N180" i="6"/>
  <c r="O180" i="6"/>
  <c r="P180" i="6"/>
  <c r="Q180" i="6"/>
  <c r="N181" i="6"/>
  <c r="O181" i="6"/>
  <c r="P181" i="6"/>
  <c r="Q181" i="6"/>
  <c r="N182" i="6"/>
  <c r="O182" i="6"/>
  <c r="P182" i="6"/>
  <c r="Q182" i="6"/>
  <c r="N183" i="6"/>
  <c r="O183" i="6"/>
  <c r="P183" i="6"/>
  <c r="Q183" i="6"/>
  <c r="N184" i="6"/>
  <c r="O184" i="6"/>
  <c r="P184" i="6"/>
  <c r="Q184" i="6"/>
  <c r="N185" i="6"/>
  <c r="O185" i="6"/>
  <c r="P185" i="6"/>
  <c r="Q185" i="6"/>
  <c r="N186" i="6"/>
  <c r="O186" i="6"/>
  <c r="P186" i="6"/>
  <c r="Q186" i="6"/>
  <c r="N187" i="6"/>
  <c r="O187" i="6"/>
  <c r="P187" i="6"/>
  <c r="Q187" i="6"/>
  <c r="N142" i="6"/>
  <c r="O142" i="6"/>
  <c r="P142" i="6"/>
  <c r="Q142" i="6"/>
  <c r="N111" i="6"/>
  <c r="O111" i="6"/>
  <c r="P111" i="6"/>
  <c r="Q111" i="6"/>
  <c r="N112" i="6"/>
  <c r="O112" i="6"/>
  <c r="P112" i="6"/>
  <c r="Q112" i="6"/>
  <c r="N113" i="6"/>
  <c r="O113" i="6"/>
  <c r="P113" i="6"/>
  <c r="Q113" i="6"/>
  <c r="N114" i="6"/>
  <c r="O114" i="6"/>
  <c r="P114" i="6"/>
  <c r="Q114" i="6"/>
  <c r="N115" i="6"/>
  <c r="O115" i="6"/>
  <c r="P115" i="6"/>
  <c r="Q115" i="6"/>
  <c r="N116" i="6"/>
  <c r="O116" i="6"/>
  <c r="P116" i="6"/>
  <c r="Q116" i="6"/>
  <c r="N101" i="6"/>
  <c r="O101" i="6"/>
  <c r="P101" i="6"/>
  <c r="Q101" i="6"/>
  <c r="N102" i="6"/>
  <c r="O102" i="6"/>
  <c r="P102" i="6"/>
  <c r="Q102" i="6"/>
  <c r="N103" i="6"/>
  <c r="O103" i="6"/>
  <c r="P103" i="6"/>
  <c r="Q103" i="6"/>
  <c r="AA196" i="6"/>
  <c r="AA197" i="6"/>
  <c r="AA200" i="6"/>
  <c r="AA201" i="6"/>
  <c r="AA202" i="6"/>
  <c r="AA207" i="6"/>
  <c r="AA208" i="6"/>
  <c r="AA210" i="6"/>
  <c r="AA211" i="6"/>
  <c r="AA213" i="6"/>
  <c r="AA214" i="6"/>
  <c r="AA219" i="6"/>
  <c r="AA220" i="6"/>
  <c r="AA221" i="6"/>
  <c r="AA226" i="6"/>
  <c r="AA227" i="6"/>
  <c r="AA231" i="6"/>
  <c r="AA232" i="6"/>
  <c r="AA233" i="6"/>
  <c r="AA238" i="6"/>
  <c r="AA239" i="6"/>
  <c r="AA241" i="6"/>
  <c r="AA242" i="6"/>
  <c r="AA244" i="6"/>
  <c r="AA245" i="6"/>
  <c r="AA247" i="6"/>
  <c r="AA248" i="6"/>
  <c r="AA253" i="6"/>
  <c r="AA254" i="6"/>
  <c r="AA256" i="6"/>
  <c r="AA257" i="6"/>
  <c r="AA261" i="6"/>
  <c r="AA262" i="6"/>
  <c r="AA263" i="6"/>
  <c r="AA268" i="6"/>
  <c r="AA269" i="6"/>
  <c r="AA271" i="6"/>
  <c r="AA272" i="6"/>
  <c r="AA274" i="6"/>
  <c r="AA275" i="6"/>
  <c r="AA277" i="6"/>
  <c r="AA278" i="6"/>
  <c r="AA283" i="6"/>
  <c r="AA284" i="6"/>
  <c r="AA286" i="6"/>
  <c r="AA287" i="6"/>
  <c r="AA291" i="6"/>
  <c r="AA292" i="6"/>
  <c r="AA293" i="6"/>
  <c r="AA294" i="6"/>
  <c r="AA295" i="6"/>
  <c r="AA296" i="6"/>
  <c r="AA297" i="6"/>
  <c r="AA298" i="6"/>
  <c r="AA299" i="6"/>
  <c r="AA302" i="6"/>
  <c r="AA303" i="6"/>
  <c r="AA304" i="6"/>
  <c r="AA305" i="6"/>
  <c r="AA306" i="6"/>
  <c r="AA307" i="6"/>
  <c r="AA310" i="6"/>
  <c r="AA195" i="6"/>
  <c r="S196" i="6"/>
  <c r="S197" i="6"/>
  <c r="S200" i="6"/>
  <c r="S201" i="6"/>
  <c r="S202" i="6"/>
  <c r="S207" i="6"/>
  <c r="S208" i="6"/>
  <c r="S210" i="6"/>
  <c r="S211" i="6"/>
  <c r="S219" i="6"/>
  <c r="S226" i="6"/>
  <c r="S227" i="6"/>
  <c r="S231" i="6"/>
  <c r="S232" i="6"/>
  <c r="S233" i="6"/>
  <c r="S238" i="6"/>
  <c r="S261" i="6"/>
  <c r="S262" i="6"/>
  <c r="S263" i="6"/>
  <c r="S268" i="6"/>
  <c r="S291" i="6"/>
  <c r="S292" i="6"/>
  <c r="S293" i="6"/>
  <c r="S294" i="6"/>
  <c r="S295" i="6"/>
  <c r="S296" i="6"/>
  <c r="S297" i="6"/>
  <c r="S298" i="6"/>
  <c r="S299" i="6"/>
  <c r="S302" i="6"/>
  <c r="S303" i="6"/>
  <c r="S304" i="6"/>
  <c r="S305" i="6"/>
  <c r="S306" i="6"/>
  <c r="S307" i="6"/>
  <c r="S310" i="6"/>
  <c r="S195" i="6"/>
  <c r="B58" i="6"/>
  <c r="G57" i="6"/>
  <c r="F57" i="6"/>
  <c r="E57" i="6"/>
  <c r="D57" i="6"/>
  <c r="C57" i="6"/>
  <c r="B57" i="6"/>
  <c r="G56" i="6"/>
  <c r="J56" i="6"/>
  <c r="I56" i="6"/>
  <c r="H56" i="6"/>
  <c r="F56" i="6"/>
  <c r="E56" i="6"/>
  <c r="D56" i="6"/>
  <c r="C56" i="6"/>
  <c r="B56" i="6"/>
  <c r="R55" i="6"/>
  <c r="U55" i="6"/>
  <c r="T55" i="6"/>
  <c r="Q55" i="6"/>
  <c r="L55" i="6"/>
  <c r="K55" i="6"/>
  <c r="I55" i="6"/>
  <c r="H55" i="6"/>
  <c r="F55" i="6"/>
  <c r="E55" i="6"/>
  <c r="C55" i="6"/>
  <c r="B55" i="6"/>
  <c r="I53" i="6"/>
  <c r="U53" i="6"/>
  <c r="T53" i="6"/>
  <c r="R53" i="6"/>
  <c r="Q53" i="6"/>
  <c r="L53" i="6"/>
  <c r="K53" i="6"/>
  <c r="H53" i="6"/>
  <c r="F53" i="6"/>
  <c r="E53" i="6"/>
  <c r="C53" i="6"/>
  <c r="D54" i="6"/>
  <c r="C54" i="6"/>
  <c r="B54" i="6"/>
  <c r="B53" i="6"/>
  <c r="D52" i="6"/>
  <c r="C52" i="6"/>
  <c r="B52" i="6"/>
  <c r="C51" i="6"/>
  <c r="B51" i="6"/>
  <c r="D50" i="6"/>
  <c r="C50" i="6"/>
  <c r="B50" i="6"/>
  <c r="I49" i="6"/>
  <c r="H49" i="6"/>
  <c r="F49" i="6"/>
  <c r="E49" i="6"/>
  <c r="C49" i="6"/>
  <c r="B49" i="6"/>
  <c r="I48" i="6"/>
  <c r="H48" i="6"/>
  <c r="G48" i="6"/>
  <c r="D48" i="6"/>
  <c r="C48" i="6"/>
  <c r="B48" i="6"/>
  <c r="A58" i="6"/>
  <c r="A57" i="6"/>
  <c r="A56" i="6"/>
  <c r="A55" i="6"/>
  <c r="D46" i="6"/>
  <c r="B41" i="6"/>
  <c r="F45" i="6"/>
  <c r="E45" i="6"/>
  <c r="I43" i="6"/>
  <c r="F43" i="6"/>
  <c r="C43" i="6"/>
  <c r="C44" i="6" l="1"/>
  <c r="I38" i="6" l="1"/>
  <c r="K33" i="6"/>
  <c r="M31" i="6"/>
  <c r="L31" i="6"/>
  <c r="K31" i="6"/>
  <c r="F31" i="6"/>
  <c r="B32" i="6"/>
  <c r="O42" i="4" l="1"/>
  <c r="P42" i="4" s="1"/>
  <c r="Q42" i="4" s="1"/>
  <c r="R42" i="4" s="1"/>
  <c r="S42" i="4" s="1"/>
  <c r="B175" i="7" l="1"/>
  <c r="B174" i="7"/>
  <c r="H8" i="2" l="1"/>
  <c r="A77" i="5" s="1"/>
  <c r="B208" i="7"/>
  <c r="B196" i="7"/>
  <c r="B191" i="7"/>
  <c r="B189" i="7"/>
  <c r="B186" i="7"/>
  <c r="AA343" i="6" l="1"/>
  <c r="J43" i="6" l="1"/>
  <c r="H43" i="6"/>
  <c r="Q319" i="6"/>
  <c r="Q321" i="6"/>
  <c r="N319" i="6"/>
  <c r="O319" i="6"/>
  <c r="P319" i="6"/>
  <c r="N321" i="6"/>
  <c r="O321" i="6"/>
  <c r="P321" i="6"/>
  <c r="G106" i="6" l="1"/>
  <c r="G109" i="6"/>
  <c r="G110" i="6"/>
  <c r="G107" i="6"/>
  <c r="G108" i="6"/>
  <c r="G120" i="6"/>
  <c r="G121" i="6"/>
  <c r="G122" i="6"/>
  <c r="G123" i="6"/>
  <c r="G124" i="6"/>
  <c r="G125" i="6"/>
  <c r="G126" i="6"/>
  <c r="G130" i="6"/>
  <c r="G131" i="6"/>
  <c r="G135" i="6"/>
  <c r="G136" i="6"/>
  <c r="G137" i="6"/>
  <c r="G138" i="6"/>
  <c r="G139" i="6"/>
  <c r="G140" i="6"/>
  <c r="G141" i="6"/>
  <c r="G143" i="6"/>
  <c r="G144" i="6"/>
  <c r="G148" i="6"/>
  <c r="G147" i="6"/>
  <c r="G149" i="6"/>
  <c r="G150" i="6"/>
  <c r="G153" i="6"/>
  <c r="G154" i="6"/>
  <c r="G157" i="6"/>
  <c r="G158" i="6"/>
  <c r="G159" i="6"/>
  <c r="G160" i="6"/>
  <c r="G161" i="6"/>
  <c r="G162" i="6"/>
  <c r="G163" i="6"/>
  <c r="G164" i="6"/>
  <c r="G165" i="6"/>
  <c r="G166" i="6"/>
  <c r="G167" i="6"/>
  <c r="G168" i="6"/>
  <c r="G169" i="6"/>
  <c r="G170" i="6"/>
  <c r="G171" i="6"/>
  <c r="G174" i="6"/>
  <c r="G190" i="6"/>
  <c r="G191" i="6"/>
  <c r="G313" i="6"/>
  <c r="G327" i="6"/>
  <c r="G328" i="6"/>
  <c r="G329" i="6"/>
  <c r="G330" i="6"/>
  <c r="G331" i="6"/>
  <c r="G332" i="6"/>
  <c r="G333" i="6"/>
  <c r="G334" i="6"/>
  <c r="G338" i="6"/>
  <c r="G339" i="6"/>
  <c r="G340" i="6"/>
  <c r="G343" i="6"/>
  <c r="G344" i="6"/>
  <c r="G348" i="6"/>
  <c r="G349" i="6"/>
  <c r="G90" i="6" l="1"/>
  <c r="G91" i="6"/>
  <c r="G92" i="6"/>
  <c r="G94" i="6"/>
  <c r="G89" i="6"/>
  <c r="G93" i="6"/>
  <c r="G88" i="6"/>
  <c r="N348" i="6"/>
  <c r="O348" i="6"/>
  <c r="P348" i="6"/>
  <c r="Q348" i="6"/>
  <c r="N349" i="6"/>
  <c r="O349" i="6"/>
  <c r="P349" i="6"/>
  <c r="Q349" i="6"/>
  <c r="N339" i="6"/>
  <c r="O339" i="6"/>
  <c r="P339" i="6"/>
  <c r="Q339" i="6"/>
  <c r="N340" i="6"/>
  <c r="O340" i="6"/>
  <c r="P340" i="6"/>
  <c r="Q340" i="6"/>
  <c r="N343" i="6"/>
  <c r="O343" i="6"/>
  <c r="P343" i="6"/>
  <c r="Q343" i="6"/>
  <c r="N344" i="6"/>
  <c r="O344" i="6"/>
  <c r="P344" i="6"/>
  <c r="Q344" i="6"/>
  <c r="P338" i="6"/>
  <c r="O338" i="6"/>
  <c r="N338" i="6"/>
  <c r="N328" i="6"/>
  <c r="O328" i="6"/>
  <c r="P328" i="6"/>
  <c r="Q328" i="6"/>
  <c r="N329" i="6"/>
  <c r="O329" i="6"/>
  <c r="P329" i="6"/>
  <c r="Q329" i="6"/>
  <c r="N330" i="6"/>
  <c r="O330" i="6"/>
  <c r="P330" i="6"/>
  <c r="Q330" i="6"/>
  <c r="N331" i="6"/>
  <c r="O331" i="6"/>
  <c r="P331" i="6"/>
  <c r="Q331" i="6"/>
  <c r="N332" i="6"/>
  <c r="O332" i="6"/>
  <c r="P332" i="6"/>
  <c r="Q332" i="6"/>
  <c r="N333" i="6"/>
  <c r="O333" i="6"/>
  <c r="P333" i="6"/>
  <c r="Q333" i="6"/>
  <c r="N334" i="6"/>
  <c r="O334" i="6"/>
  <c r="P334" i="6"/>
  <c r="Q334" i="6"/>
  <c r="P327" i="6"/>
  <c r="O327" i="6"/>
  <c r="N327" i="6"/>
  <c r="N315" i="6"/>
  <c r="O315" i="6"/>
  <c r="P315" i="6"/>
  <c r="Q315" i="6"/>
  <c r="N316" i="6"/>
  <c r="O316" i="6"/>
  <c r="P316" i="6"/>
  <c r="Q316" i="6"/>
  <c r="N318" i="6"/>
  <c r="O318" i="6"/>
  <c r="P318" i="6"/>
  <c r="Q318" i="6"/>
  <c r="P313" i="6"/>
  <c r="O313" i="6"/>
  <c r="N313" i="6"/>
  <c r="N191" i="6"/>
  <c r="O191" i="6"/>
  <c r="P191" i="6"/>
  <c r="Q191" i="6"/>
  <c r="P190" i="6"/>
  <c r="O190" i="6"/>
  <c r="N190" i="6"/>
  <c r="N175" i="6"/>
  <c r="O175" i="6"/>
  <c r="P175" i="6"/>
  <c r="Q175" i="6"/>
  <c r="N176" i="6"/>
  <c r="O176" i="6"/>
  <c r="P176" i="6"/>
  <c r="Q176" i="6"/>
  <c r="N177" i="6"/>
  <c r="O177" i="6"/>
  <c r="P177" i="6"/>
  <c r="Q177" i="6"/>
  <c r="P174" i="6"/>
  <c r="O174" i="6"/>
  <c r="N174" i="6"/>
  <c r="N157" i="6"/>
  <c r="O157" i="6"/>
  <c r="P157" i="6"/>
  <c r="Q157" i="6"/>
  <c r="N158" i="6"/>
  <c r="O158" i="6"/>
  <c r="P158" i="6"/>
  <c r="Q158" i="6"/>
  <c r="N159" i="6"/>
  <c r="O159" i="6"/>
  <c r="P159" i="6"/>
  <c r="Q159" i="6"/>
  <c r="N160" i="6"/>
  <c r="O160" i="6"/>
  <c r="P160" i="6"/>
  <c r="Q160" i="6"/>
  <c r="N161" i="6"/>
  <c r="O161" i="6"/>
  <c r="P161" i="6"/>
  <c r="Q161" i="6"/>
  <c r="N162" i="6"/>
  <c r="O162" i="6"/>
  <c r="P162" i="6"/>
  <c r="Q162" i="6"/>
  <c r="N163" i="6"/>
  <c r="O163" i="6"/>
  <c r="P163" i="6"/>
  <c r="Q163" i="6"/>
  <c r="N164" i="6"/>
  <c r="O164" i="6"/>
  <c r="P164" i="6"/>
  <c r="Q164" i="6"/>
  <c r="N165" i="6"/>
  <c r="O165" i="6"/>
  <c r="P165" i="6"/>
  <c r="Q165" i="6"/>
  <c r="N166" i="6"/>
  <c r="O166" i="6"/>
  <c r="P166" i="6"/>
  <c r="Q166" i="6"/>
  <c r="N167" i="6"/>
  <c r="O167" i="6"/>
  <c r="P167" i="6"/>
  <c r="Q167" i="6"/>
  <c r="N168" i="6"/>
  <c r="O168" i="6"/>
  <c r="P168" i="6"/>
  <c r="Q168" i="6"/>
  <c r="N169" i="6"/>
  <c r="O169" i="6"/>
  <c r="P169" i="6"/>
  <c r="Q169" i="6"/>
  <c r="N170" i="6"/>
  <c r="O170" i="6"/>
  <c r="P170" i="6"/>
  <c r="Q170" i="6"/>
  <c r="N171" i="6"/>
  <c r="O171" i="6"/>
  <c r="P171" i="6"/>
  <c r="Q171" i="6"/>
  <c r="N154" i="6"/>
  <c r="O154" i="6"/>
  <c r="P154" i="6"/>
  <c r="Q154" i="6"/>
  <c r="P153" i="6"/>
  <c r="O153" i="6"/>
  <c r="N153" i="6"/>
  <c r="N148" i="6"/>
  <c r="O148" i="6"/>
  <c r="P148" i="6"/>
  <c r="Q148" i="6"/>
  <c r="N147" i="6"/>
  <c r="O147" i="6"/>
  <c r="P147" i="6"/>
  <c r="Q147" i="6"/>
  <c r="N149" i="6"/>
  <c r="O149" i="6"/>
  <c r="P149" i="6"/>
  <c r="Q149" i="6"/>
  <c r="N150" i="6"/>
  <c r="O150" i="6"/>
  <c r="P150" i="6"/>
  <c r="Q150" i="6"/>
  <c r="N131" i="6"/>
  <c r="O131" i="6"/>
  <c r="P131" i="6"/>
  <c r="Q131" i="6"/>
  <c r="N135" i="6"/>
  <c r="O135" i="6"/>
  <c r="P135" i="6"/>
  <c r="Q135" i="6"/>
  <c r="N136" i="6"/>
  <c r="O136" i="6"/>
  <c r="P136" i="6"/>
  <c r="Q136" i="6"/>
  <c r="N137" i="6"/>
  <c r="O137" i="6"/>
  <c r="P137" i="6"/>
  <c r="Q137" i="6"/>
  <c r="N138" i="6"/>
  <c r="O138" i="6"/>
  <c r="P138" i="6"/>
  <c r="Q138" i="6"/>
  <c r="N139" i="6"/>
  <c r="O139" i="6"/>
  <c r="P139" i="6"/>
  <c r="Q139" i="6"/>
  <c r="N140" i="6"/>
  <c r="O140" i="6"/>
  <c r="P140" i="6"/>
  <c r="Q140" i="6"/>
  <c r="N141" i="6"/>
  <c r="O141" i="6"/>
  <c r="P141" i="6"/>
  <c r="Q141" i="6"/>
  <c r="N143" i="6"/>
  <c r="O143" i="6"/>
  <c r="P143" i="6"/>
  <c r="Q143" i="6"/>
  <c r="N144" i="6"/>
  <c r="O144" i="6"/>
  <c r="P144" i="6"/>
  <c r="Q144" i="6"/>
  <c r="P130" i="6"/>
  <c r="O130" i="6"/>
  <c r="N130" i="6"/>
  <c r="N121" i="6"/>
  <c r="O121" i="6"/>
  <c r="P121" i="6"/>
  <c r="Q121" i="6"/>
  <c r="N122" i="6"/>
  <c r="O122" i="6"/>
  <c r="P122" i="6"/>
  <c r="Q122" i="6"/>
  <c r="N123" i="6"/>
  <c r="O123" i="6"/>
  <c r="P123" i="6"/>
  <c r="Q123" i="6"/>
  <c r="N124" i="6"/>
  <c r="O124" i="6"/>
  <c r="P124" i="6"/>
  <c r="Q124" i="6"/>
  <c r="N125" i="6"/>
  <c r="O125" i="6"/>
  <c r="P125" i="6"/>
  <c r="Q125" i="6"/>
  <c r="N126" i="6"/>
  <c r="O126" i="6"/>
  <c r="P126" i="6"/>
  <c r="Q126" i="6"/>
  <c r="P120" i="6"/>
  <c r="O120" i="6"/>
  <c r="N120" i="6"/>
  <c r="N109" i="6"/>
  <c r="O109" i="6"/>
  <c r="P109" i="6"/>
  <c r="Q109" i="6"/>
  <c r="N110" i="6"/>
  <c r="O110" i="6"/>
  <c r="P110" i="6"/>
  <c r="Q110" i="6"/>
  <c r="N107" i="6"/>
  <c r="O107" i="6"/>
  <c r="P107" i="6"/>
  <c r="Q107" i="6"/>
  <c r="N108" i="6"/>
  <c r="O108" i="6"/>
  <c r="P108" i="6"/>
  <c r="Q108" i="6"/>
  <c r="P106" i="6"/>
  <c r="O106" i="6"/>
  <c r="N106" i="6"/>
  <c r="N99" i="6"/>
  <c r="O99" i="6"/>
  <c r="P99" i="6"/>
  <c r="Q99" i="6"/>
  <c r="N100" i="6"/>
  <c r="O100" i="6"/>
  <c r="P100" i="6"/>
  <c r="Q100" i="6"/>
  <c r="N98" i="6"/>
  <c r="O98" i="6"/>
  <c r="P98" i="6"/>
  <c r="Q98" i="6"/>
  <c r="P97" i="6"/>
  <c r="O97" i="6"/>
  <c r="N97" i="6"/>
  <c r="N90" i="6"/>
  <c r="O90" i="6"/>
  <c r="P90" i="6"/>
  <c r="Q90" i="6"/>
  <c r="N91" i="6"/>
  <c r="O91" i="6"/>
  <c r="P91" i="6"/>
  <c r="Q91" i="6"/>
  <c r="N92" i="6"/>
  <c r="O92" i="6"/>
  <c r="P92" i="6"/>
  <c r="Q92" i="6"/>
  <c r="N94" i="6"/>
  <c r="O94" i="6"/>
  <c r="P94" i="6"/>
  <c r="Q94" i="6"/>
  <c r="N89" i="6"/>
  <c r="O89" i="6"/>
  <c r="P89" i="6"/>
  <c r="Q89" i="6"/>
  <c r="N93" i="6"/>
  <c r="O93" i="6"/>
  <c r="P93" i="6"/>
  <c r="Q93" i="6"/>
  <c r="P88" i="6"/>
  <c r="O88" i="6"/>
  <c r="N88" i="6"/>
  <c r="S176" i="6" l="1"/>
  <c r="S177" i="6"/>
  <c r="S181" i="6"/>
  <c r="S182" i="6"/>
  <c r="S183" i="6"/>
  <c r="S186" i="6"/>
  <c r="S187" i="6"/>
  <c r="C42" i="6"/>
  <c r="D45" i="6"/>
  <c r="G44" i="6"/>
  <c r="J36" i="6"/>
  <c r="G36" i="6"/>
  <c r="F33" i="6" l="1"/>
  <c r="O31" i="6"/>
  <c r="N31" i="6"/>
  <c r="J31" i="6"/>
  <c r="I31" i="6"/>
  <c r="H31" i="6"/>
  <c r="G31" i="6"/>
  <c r="E31" i="6"/>
  <c r="D31" i="6"/>
  <c r="B195" i="7" l="1"/>
  <c r="Q97" i="6"/>
  <c r="Q106" i="6"/>
  <c r="Q120" i="6"/>
  <c r="Q130" i="6"/>
  <c r="Q153" i="6"/>
  <c r="Q174" i="6"/>
  <c r="Q190" i="6"/>
  <c r="Q313" i="6"/>
  <c r="Q327" i="6"/>
  <c r="Q338" i="6"/>
  <c r="Q88" i="6"/>
  <c r="A47" i="6" l="1"/>
  <c r="B42" i="6"/>
  <c r="A42" i="6"/>
  <c r="C45" i="6"/>
  <c r="H37" i="6"/>
  <c r="E37" i="6"/>
  <c r="H51" i="2"/>
  <c r="B56" i="2"/>
  <c r="I348" i="6"/>
  <c r="I343" i="6"/>
  <c r="I344" i="6"/>
  <c r="I331" i="6"/>
  <c r="I332" i="6"/>
  <c r="I333" i="6"/>
  <c r="I334" i="6"/>
  <c r="I315" i="6"/>
  <c r="I316" i="6"/>
  <c r="I318" i="6"/>
  <c r="I148" i="6"/>
  <c r="I147" i="6"/>
  <c r="I149" i="6"/>
  <c r="I150" i="6"/>
  <c r="I131" i="6"/>
  <c r="I135" i="6"/>
  <c r="I136" i="6"/>
  <c r="I137" i="6"/>
  <c r="I138" i="6"/>
  <c r="I139" i="6"/>
  <c r="I140" i="6"/>
  <c r="I141" i="6"/>
  <c r="I143" i="6"/>
  <c r="I144" i="6"/>
  <c r="I108" i="6"/>
  <c r="I112" i="6"/>
  <c r="I113" i="6"/>
  <c r="I107" i="6"/>
  <c r="I98" i="6"/>
  <c r="I93" i="6"/>
  <c r="AA348" i="6"/>
  <c r="G56" i="2"/>
  <c r="B52" i="2"/>
  <c r="A83" i="2"/>
  <c r="A81" i="2"/>
  <c r="A78" i="2"/>
  <c r="A77" i="2"/>
  <c r="A71" i="2"/>
  <c r="A55" i="2"/>
  <c r="A60" i="2"/>
  <c r="A58" i="2"/>
  <c r="A56" i="2"/>
  <c r="A54" i="2"/>
  <c r="A50" i="2"/>
  <c r="A49" i="2"/>
  <c r="A44" i="2"/>
  <c r="A43" i="2"/>
  <c r="A10" i="2"/>
  <c r="A47" i="2"/>
  <c r="A12" i="6"/>
  <c r="A10" i="6"/>
  <c r="A127" i="4"/>
  <c r="A126" i="4"/>
  <c r="A95" i="2"/>
  <c r="A94" i="2"/>
  <c r="E13" i="2"/>
  <c r="A13" i="2"/>
  <c r="A12" i="2"/>
  <c r="A11" i="2"/>
  <c r="A5" i="5"/>
  <c r="B10" i="4"/>
  <c r="B8" i="4"/>
  <c r="B6" i="4"/>
  <c r="A98" i="2"/>
  <c r="A97" i="2"/>
  <c r="A14" i="5"/>
  <c r="B4" i="3"/>
  <c r="B211" i="7"/>
  <c r="B210" i="7"/>
  <c r="B207" i="7"/>
  <c r="B205" i="7"/>
  <c r="B204" i="7"/>
  <c r="B200" i="7"/>
  <c r="B199" i="7"/>
  <c r="B198" i="7"/>
  <c r="B197" i="7"/>
  <c r="B193" i="7"/>
  <c r="B188" i="7"/>
  <c r="B185" i="7"/>
  <c r="B184" i="7"/>
  <c r="B183" i="7"/>
  <c r="B182" i="7"/>
  <c r="B181" i="7"/>
  <c r="B180" i="7"/>
  <c r="B179" i="7"/>
  <c r="B177" i="7"/>
  <c r="B176" i="7"/>
  <c r="B173" i="7"/>
  <c r="B172" i="7"/>
  <c r="B171" i="7"/>
  <c r="B20" i="7"/>
  <c r="B19" i="7"/>
  <c r="AA349" i="6"/>
  <c r="S349" i="6"/>
  <c r="I349" i="6"/>
  <c r="S348" i="6"/>
  <c r="S338" i="6"/>
  <c r="I338" i="6"/>
  <c r="AA329" i="6"/>
  <c r="AA328" i="6"/>
  <c r="AA327" i="6"/>
  <c r="S313" i="6"/>
  <c r="I313" i="6"/>
  <c r="AA191" i="6"/>
  <c r="S191" i="6"/>
  <c r="I191" i="6"/>
  <c r="AA190" i="6"/>
  <c r="S190" i="6"/>
  <c r="I190" i="6"/>
  <c r="S180" i="6"/>
  <c r="S179" i="6"/>
  <c r="S175" i="6"/>
  <c r="S174" i="6"/>
  <c r="AA171" i="6"/>
  <c r="S171" i="6"/>
  <c r="I171" i="6"/>
  <c r="AA170" i="6"/>
  <c r="S170" i="6"/>
  <c r="I170" i="6"/>
  <c r="AA169" i="6"/>
  <c r="S169" i="6"/>
  <c r="I169" i="6"/>
  <c r="AA168" i="6"/>
  <c r="S168" i="6"/>
  <c r="I168" i="6"/>
  <c r="AA167" i="6"/>
  <c r="S167" i="6"/>
  <c r="I167" i="6"/>
  <c r="AA166" i="6"/>
  <c r="S166" i="6"/>
  <c r="I166" i="6"/>
  <c r="AA165" i="6"/>
  <c r="S165" i="6"/>
  <c r="I165" i="6"/>
  <c r="AA164" i="6"/>
  <c r="S164" i="6"/>
  <c r="I164" i="6"/>
  <c r="AA163" i="6"/>
  <c r="S163" i="6"/>
  <c r="I163" i="6"/>
  <c r="AA162" i="6"/>
  <c r="S162" i="6"/>
  <c r="I162" i="6"/>
  <c r="AA161" i="6"/>
  <c r="S161" i="6"/>
  <c r="I161" i="6"/>
  <c r="AA160" i="6"/>
  <c r="S160" i="6"/>
  <c r="I160" i="6"/>
  <c r="AA159" i="6"/>
  <c r="S159" i="6"/>
  <c r="I159" i="6"/>
  <c r="AA158" i="6"/>
  <c r="S158" i="6"/>
  <c r="I158" i="6"/>
  <c r="AA157" i="6"/>
  <c r="S157" i="6"/>
  <c r="I157" i="6"/>
  <c r="S150" i="6"/>
  <c r="S149" i="6"/>
  <c r="S147" i="6"/>
  <c r="S148" i="6"/>
  <c r="AA144" i="6"/>
  <c r="S144" i="6"/>
  <c r="S143" i="6"/>
  <c r="S141" i="6"/>
  <c r="AA140" i="6"/>
  <c r="S140" i="6"/>
  <c r="AA139" i="6"/>
  <c r="S139" i="6"/>
  <c r="AA138" i="6"/>
  <c r="S138" i="6"/>
  <c r="AA137" i="6"/>
  <c r="S137" i="6"/>
  <c r="AA136" i="6"/>
  <c r="S136" i="6"/>
  <c r="AA135" i="6"/>
  <c r="S135" i="6"/>
  <c r="S131" i="6"/>
  <c r="S130" i="6"/>
  <c r="I130" i="6"/>
  <c r="I126" i="6"/>
  <c r="I125" i="6"/>
  <c r="I123" i="6"/>
  <c r="I122" i="6"/>
  <c r="I120" i="6"/>
  <c r="I116" i="6"/>
  <c r="I114" i="6"/>
  <c r="I111" i="6"/>
  <c r="I109" i="6"/>
  <c r="S106" i="6"/>
  <c r="I106" i="6"/>
  <c r="I103" i="6"/>
  <c r="I101" i="6"/>
  <c r="AA99" i="6"/>
  <c r="I99" i="6"/>
  <c r="S97" i="6"/>
  <c r="I97" i="6"/>
  <c r="AA93" i="6"/>
  <c r="I94" i="6"/>
  <c r="I92" i="6"/>
  <c r="AA90" i="6"/>
  <c r="I90" i="6"/>
  <c r="I88" i="6"/>
  <c r="A54" i="6"/>
  <c r="A53" i="6"/>
  <c r="A52" i="6"/>
  <c r="A51" i="6"/>
  <c r="A50" i="6"/>
  <c r="A49" i="6"/>
  <c r="A48" i="6"/>
  <c r="B47" i="6"/>
  <c r="C47" i="6"/>
  <c r="C46" i="6"/>
  <c r="B46" i="6"/>
  <c r="A46" i="6"/>
  <c r="B45" i="6"/>
  <c r="A45" i="6"/>
  <c r="K44" i="6"/>
  <c r="J44" i="6"/>
  <c r="I44" i="6"/>
  <c r="H44" i="6"/>
  <c r="F44" i="6"/>
  <c r="E44" i="6"/>
  <c r="D44" i="6"/>
  <c r="A44" i="6"/>
  <c r="G43" i="6"/>
  <c r="E43" i="6"/>
  <c r="D43" i="6"/>
  <c r="B43" i="6"/>
  <c r="A43" i="6"/>
  <c r="A41" i="6"/>
  <c r="E40" i="6"/>
  <c r="D40" i="6"/>
  <c r="B40" i="6"/>
  <c r="C40" i="6"/>
  <c r="A40" i="6"/>
  <c r="C39" i="6"/>
  <c r="B39" i="6"/>
  <c r="A39" i="6"/>
  <c r="K38" i="6"/>
  <c r="J38" i="6"/>
  <c r="H38" i="6"/>
  <c r="G38" i="6"/>
  <c r="F38" i="6"/>
  <c r="E38" i="6"/>
  <c r="D38" i="6"/>
  <c r="C38" i="6"/>
  <c r="B38" i="6"/>
  <c r="A38" i="6"/>
  <c r="G37" i="6"/>
  <c r="F37" i="6"/>
  <c r="D37" i="6"/>
  <c r="C37" i="6"/>
  <c r="B37" i="6"/>
  <c r="A37" i="6"/>
  <c r="O36" i="6"/>
  <c r="N36" i="6"/>
  <c r="K36" i="6"/>
  <c r="H36" i="6"/>
  <c r="M36" i="6"/>
  <c r="I36" i="6"/>
  <c r="L36" i="6"/>
  <c r="F36" i="6"/>
  <c r="E36" i="6"/>
  <c r="C36" i="6"/>
  <c r="D36" i="6"/>
  <c r="B36" i="6"/>
  <c r="A36" i="6"/>
  <c r="C35" i="6"/>
  <c r="B35" i="6"/>
  <c r="A35" i="6"/>
  <c r="B34" i="6"/>
  <c r="A34" i="6"/>
  <c r="J33" i="6"/>
  <c r="G33" i="6"/>
  <c r="I33" i="6"/>
  <c r="H33" i="6"/>
  <c r="E33" i="6"/>
  <c r="D33" i="6"/>
  <c r="C33" i="6"/>
  <c r="B33" i="6"/>
  <c r="A33" i="6"/>
  <c r="P32" i="6"/>
  <c r="O32" i="6"/>
  <c r="N32" i="6"/>
  <c r="M32" i="6"/>
  <c r="L32" i="6"/>
  <c r="K32" i="6"/>
  <c r="J32" i="6"/>
  <c r="I32" i="6"/>
  <c r="H32" i="6"/>
  <c r="G32" i="6"/>
  <c r="F32" i="6"/>
  <c r="E32" i="6"/>
  <c r="D32" i="6"/>
  <c r="C32" i="6"/>
  <c r="A32" i="6"/>
  <c r="C31" i="6"/>
  <c r="B31" i="6"/>
  <c r="A31" i="6"/>
  <c r="A14" i="6"/>
  <c r="A13" i="6"/>
  <c r="A11" i="6"/>
  <c r="C7" i="6"/>
  <c r="N135" i="4"/>
  <c r="S92" i="4"/>
  <c r="R92" i="4"/>
  <c r="Q92" i="4"/>
  <c r="P92" i="4"/>
  <c r="O92" i="4"/>
  <c r="N92" i="4"/>
  <c r="N117" i="4" s="1"/>
  <c r="N129" i="4" s="1"/>
  <c r="N131" i="4" s="1"/>
  <c r="S73" i="4"/>
  <c r="R73" i="4"/>
  <c r="Q73" i="4"/>
  <c r="P73" i="4"/>
  <c r="O73" i="4"/>
  <c r="N27" i="4"/>
  <c r="G94" i="2"/>
  <c r="H76" i="2"/>
  <c r="A33" i="5" s="1"/>
  <c r="H75" i="2"/>
  <c r="A32" i="5" s="1"/>
  <c r="H74" i="2"/>
  <c r="A31" i="5" s="1"/>
  <c r="H73" i="2"/>
  <c r="A30" i="5" s="1"/>
  <c r="H72" i="2"/>
  <c r="A29" i="5" s="1"/>
  <c r="H70" i="2"/>
  <c r="A26" i="5" s="1"/>
  <c r="H69" i="2"/>
  <c r="A25" i="5" s="1"/>
  <c r="H68" i="2"/>
  <c r="A24" i="5" s="1"/>
  <c r="H67" i="2"/>
  <c r="A23" i="5" s="1"/>
  <c r="H66" i="2"/>
  <c r="A22" i="5" s="1"/>
  <c r="H65" i="2"/>
  <c r="A21" i="5" s="1"/>
  <c r="H64" i="2"/>
  <c r="A20" i="5" s="1"/>
  <c r="H63" i="2"/>
  <c r="A19" i="5" s="1"/>
  <c r="H62" i="2"/>
  <c r="A18" i="5" s="1"/>
  <c r="H61" i="2"/>
  <c r="A17" i="5" s="1"/>
  <c r="H58" i="2"/>
  <c r="A36" i="5" s="1"/>
  <c r="G40" i="2"/>
  <c r="H39" i="2"/>
  <c r="A71" i="5" s="1"/>
  <c r="H38" i="2"/>
  <c r="A70" i="5" s="1"/>
  <c r="H37" i="2"/>
  <c r="A69" i="5" s="1"/>
  <c r="H36" i="2"/>
  <c r="A68" i="5" s="1"/>
  <c r="H35" i="2"/>
  <c r="A67" i="5" s="1"/>
  <c r="H34" i="2"/>
  <c r="A66" i="5" s="1"/>
  <c r="H33" i="2"/>
  <c r="A65" i="5" s="1"/>
  <c r="H32" i="2"/>
  <c r="A64" i="5" s="1"/>
  <c r="H31" i="2"/>
  <c r="A63" i="5" s="1"/>
  <c r="H30" i="2"/>
  <c r="A62" i="5" s="1"/>
  <c r="L152" i="4" l="1"/>
  <c r="L147" i="4"/>
  <c r="A28" i="6"/>
  <c r="C28" i="6" s="1"/>
  <c r="A27" i="6"/>
  <c r="C27" i="6" s="1"/>
  <c r="A26" i="6"/>
  <c r="C26" i="6" s="1"/>
  <c r="A25" i="6"/>
  <c r="C25" i="6" s="1"/>
  <c r="A24" i="6"/>
  <c r="C24" i="6" s="1"/>
  <c r="A23" i="6"/>
  <c r="A22" i="6"/>
  <c r="A21" i="6"/>
  <c r="A20" i="6"/>
  <c r="A19" i="6"/>
  <c r="A18" i="6"/>
  <c r="A17" i="6"/>
  <c r="A16" i="6"/>
  <c r="H13" i="2"/>
  <c r="G43" i="2"/>
  <c r="G44" i="2" s="1"/>
  <c r="H56" i="2"/>
  <c r="A11" i="5" s="1"/>
  <c r="G77" i="2"/>
  <c r="G78" i="2" s="1"/>
  <c r="H95" i="2" s="1"/>
  <c r="C16" i="6"/>
  <c r="C17" i="6"/>
  <c r="C18" i="6"/>
  <c r="C19" i="6"/>
  <c r="C20" i="6"/>
  <c r="C21" i="6"/>
  <c r="C22" i="6"/>
  <c r="C23" i="6"/>
  <c r="O136" i="4"/>
  <c r="N138" i="4"/>
  <c r="N142" i="4" s="1"/>
  <c r="N143" i="4" s="1"/>
  <c r="N145" i="4" s="1"/>
  <c r="H40" i="2"/>
  <c r="A74" i="5" s="1"/>
  <c r="H78" i="2" l="1"/>
  <c r="H93" i="2"/>
  <c r="H92" i="2"/>
  <c r="H91" i="2"/>
  <c r="H90" i="2"/>
  <c r="H89" i="2"/>
  <c r="H88" i="2"/>
  <c r="H87" i="2"/>
  <c r="H86" i="2"/>
  <c r="H85" i="2"/>
  <c r="H84" i="2"/>
  <c r="A87" i="5"/>
  <c r="A86" i="5"/>
  <c r="A85" i="5"/>
  <c r="A84" i="5"/>
  <c r="A83" i="5"/>
  <c r="A82" i="5"/>
  <c r="A81" i="5"/>
  <c r="A80" i="5"/>
  <c r="A79" i="5"/>
  <c r="A78" i="5"/>
  <c r="A48" i="5"/>
  <c r="A47" i="5"/>
  <c r="A46" i="5"/>
  <c r="A45" i="5"/>
  <c r="A44" i="5"/>
  <c r="A43" i="5"/>
  <c r="A42" i="5"/>
  <c r="A41" i="5"/>
  <c r="A40" i="5"/>
  <c r="A39" i="5"/>
  <c r="D29" i="6"/>
  <c r="C10" i="8"/>
  <c r="C8" i="8"/>
  <c r="G95" i="2"/>
  <c r="G97" i="2" s="1"/>
  <c r="G98" i="2" s="1"/>
  <c r="B31" i="4"/>
  <c r="O17" i="4"/>
  <c r="A81" i="6" l="1"/>
  <c r="C81" i="6" s="1"/>
  <c r="A80" i="6"/>
  <c r="A79" i="6"/>
  <c r="A78" i="6"/>
  <c r="A77" i="6"/>
  <c r="A76" i="6"/>
  <c r="A75" i="6"/>
  <c r="A74" i="6"/>
  <c r="A73" i="6"/>
  <c r="A72" i="6"/>
  <c r="A71" i="6"/>
  <c r="A70" i="6"/>
  <c r="A69" i="6"/>
  <c r="A68" i="6"/>
  <c r="A67" i="6"/>
  <c r="A66" i="6"/>
  <c r="A65" i="6"/>
  <c r="A64" i="6"/>
  <c r="A63" i="6"/>
  <c r="A62" i="6"/>
  <c r="A61" i="6"/>
  <c r="A60" i="6"/>
  <c r="A13" i="3"/>
  <c r="C80" i="6"/>
  <c r="C79" i="6"/>
  <c r="A14" i="3"/>
  <c r="A67" i="4"/>
  <c r="A55" i="4"/>
  <c r="A52" i="4"/>
  <c r="E31" i="4"/>
  <c r="N150" i="4" s="1"/>
  <c r="H31" i="4"/>
  <c r="L31" i="4" s="1"/>
  <c r="C77" i="6"/>
  <c r="C62" i="6"/>
  <c r="C66" i="6"/>
  <c r="C72" i="6"/>
  <c r="C60" i="6"/>
  <c r="C64" i="6"/>
  <c r="C68" i="6"/>
  <c r="C70" i="6"/>
  <c r="C74" i="6"/>
  <c r="C76" i="6"/>
  <c r="C78" i="6"/>
  <c r="C61" i="6"/>
  <c r="C63" i="6"/>
  <c r="C65" i="6"/>
  <c r="C67" i="6"/>
  <c r="C69" i="6"/>
  <c r="C71" i="6"/>
  <c r="C73" i="6"/>
  <c r="C75" i="6"/>
  <c r="C14" i="8"/>
  <c r="C16" i="8"/>
  <c r="F9" i="3"/>
  <c r="O122" i="4"/>
  <c r="D82" i="6" l="1"/>
  <c r="A63" i="4" s="1"/>
  <c r="E13" i="3"/>
  <c r="D34" i="7"/>
  <c r="D35" i="7"/>
  <c r="B7" i="4"/>
  <c r="B34" i="4"/>
  <c r="H58" i="4"/>
  <c r="A49" i="4"/>
  <c r="H63" i="4" l="1"/>
  <c r="H48" i="4"/>
  <c r="H60" i="4"/>
  <c r="A231" i="7"/>
  <c r="A52" i="5"/>
  <c r="E55" i="4"/>
  <c r="A215" i="7"/>
  <c r="A26" i="3" s="1"/>
  <c r="H54" i="4"/>
  <c r="E50" i="4"/>
  <c r="E48" i="4"/>
  <c r="E39" i="4"/>
  <c r="E43" i="4"/>
  <c r="E54" i="4"/>
  <c r="B42" i="7"/>
  <c r="A43" i="4"/>
  <c r="A42" i="4"/>
  <c r="A41" i="4"/>
  <c r="A40" i="4"/>
  <c r="A66" i="4"/>
  <c r="A58" i="4"/>
  <c r="H49" i="4"/>
  <c r="O40" i="4"/>
  <c r="P40" i="4" s="1"/>
  <c r="Q40" i="4" s="1"/>
  <c r="R40" i="4" s="1"/>
  <c r="S40" i="4" s="1"/>
  <c r="O63" i="4"/>
  <c r="P63" i="4" s="1"/>
  <c r="Q63" i="4" s="1"/>
  <c r="R63" i="4" s="1"/>
  <c r="S63" i="4" s="1"/>
  <c r="A54" i="4"/>
  <c r="O41" i="4"/>
  <c r="P41" i="4" s="1"/>
  <c r="Q41" i="4" s="1"/>
  <c r="R41" i="4" s="1"/>
  <c r="S41" i="4" s="1"/>
  <c r="A10" i="4"/>
  <c r="O58" i="4"/>
  <c r="O67" i="4" s="1"/>
  <c r="A6" i="5"/>
  <c r="B45" i="7"/>
  <c r="B11" i="3"/>
  <c r="H39" i="4"/>
  <c r="F10" i="3"/>
  <c r="B9" i="4"/>
  <c r="B12" i="4" l="1"/>
  <c r="B11" i="4"/>
  <c r="A23" i="3"/>
  <c r="A20" i="3"/>
  <c r="A19" i="3"/>
  <c r="A17" i="3"/>
  <c r="A18" i="3"/>
  <c r="P58" i="4"/>
  <c r="P67" i="4" s="1"/>
  <c r="O43" i="4"/>
  <c r="P43" i="4" s="1"/>
  <c r="Q43" i="4" s="1"/>
  <c r="R43" i="4" s="1"/>
  <c r="S43" i="4" s="1"/>
  <c r="P66" i="4"/>
  <c r="O66" i="4"/>
  <c r="W36" i="4"/>
  <c r="A110" i="4"/>
  <c r="A113" i="4"/>
  <c r="A34" i="4"/>
  <c r="W71" i="4"/>
  <c r="W80" i="4"/>
  <c r="AA36" i="4"/>
  <c r="AA135" i="4" s="1"/>
  <c r="A94" i="4"/>
  <c r="A98" i="4"/>
  <c r="AA71" i="4"/>
  <c r="B235" i="7"/>
  <c r="A45" i="3"/>
  <c r="A47" i="3" s="1"/>
  <c r="B236" i="7"/>
  <c r="A40" i="3"/>
  <c r="C34" i="7"/>
  <c r="B34" i="7"/>
  <c r="B35" i="7"/>
  <c r="A42" i="3"/>
  <c r="B234" i="7"/>
  <c r="A37" i="3" s="1"/>
  <c r="A29" i="3"/>
  <c r="F32" i="3" s="1"/>
  <c r="C35" i="7"/>
  <c r="V92" i="4" l="1"/>
  <c r="U92" i="4"/>
  <c r="T92" i="4"/>
  <c r="V73" i="4"/>
  <c r="U73" i="4"/>
  <c r="T73" i="4"/>
  <c r="T63" i="4"/>
  <c r="U63" i="4"/>
  <c r="V63" i="4"/>
  <c r="T43" i="4"/>
  <c r="U43" i="4" s="1"/>
  <c r="V43" i="4" s="1"/>
  <c r="T42" i="4"/>
  <c r="U42" i="4" s="1"/>
  <c r="V42" i="4" s="1"/>
  <c r="T41" i="4"/>
  <c r="U41" i="4"/>
  <c r="V41" i="4"/>
  <c r="T40" i="4"/>
  <c r="U40" i="4"/>
  <c r="V40" i="4"/>
  <c r="V36" i="4"/>
  <c r="U36" i="4"/>
  <c r="T36" i="4"/>
  <c r="W42" i="4"/>
  <c r="X42" i="4" s="1"/>
  <c r="Y42" i="4" s="1"/>
  <c r="Z42" i="4" s="1"/>
  <c r="AA42" i="4" s="1"/>
  <c r="AB42" i="4" s="1"/>
  <c r="AC42" i="4" s="1"/>
  <c r="AD42" i="4" s="1"/>
  <c r="AE42" i="4" s="1"/>
  <c r="AF42" i="4" s="1"/>
  <c r="AG42" i="4" s="1"/>
  <c r="AH42" i="4" s="1"/>
  <c r="W41" i="4"/>
  <c r="X41" i="4" s="1"/>
  <c r="Y41" i="4" s="1"/>
  <c r="Z41" i="4" s="1"/>
  <c r="AA41" i="4" s="1"/>
  <c r="AB41" i="4" s="1"/>
  <c r="AC41" i="4" s="1"/>
  <c r="AD41" i="4" s="1"/>
  <c r="AE41" i="4" s="1"/>
  <c r="AF41" i="4" s="1"/>
  <c r="AG41" i="4" s="1"/>
  <c r="AH41" i="4" s="1"/>
  <c r="W43" i="4"/>
  <c r="X43" i="4" s="1"/>
  <c r="Y43" i="4" s="1"/>
  <c r="Z43" i="4" s="1"/>
  <c r="AA43" i="4" s="1"/>
  <c r="AB43" i="4" s="1"/>
  <c r="AC43" i="4" s="1"/>
  <c r="AD43" i="4" s="1"/>
  <c r="AE43" i="4" s="1"/>
  <c r="AF43" i="4" s="1"/>
  <c r="AG43" i="4" s="1"/>
  <c r="AH43" i="4" s="1"/>
  <c r="Q58" i="4"/>
  <c r="Q67" i="4" s="1"/>
  <c r="AH79" i="4"/>
  <c r="AG79" i="4"/>
  <c r="AF79" i="4"/>
  <c r="AE79" i="4"/>
  <c r="AD79" i="4"/>
  <c r="AC79" i="4"/>
  <c r="AB79" i="4"/>
  <c r="AA79" i="4"/>
  <c r="Z79" i="4"/>
  <c r="Y79" i="4"/>
  <c r="X79" i="4"/>
  <c r="W79" i="4"/>
  <c r="B119" i="4"/>
  <c r="AA119" i="4"/>
  <c r="W119" i="4"/>
  <c r="W81" i="4"/>
  <c r="W82" i="4"/>
  <c r="W83" i="4"/>
  <c r="W84" i="4"/>
  <c r="W85" i="4"/>
  <c r="W86" i="4"/>
  <c r="W87" i="4"/>
  <c r="W88" i="4"/>
  <c r="W89" i="4"/>
  <c r="W90" i="4"/>
  <c r="X80" i="4"/>
  <c r="Y80" i="4"/>
  <c r="Z80" i="4"/>
  <c r="AA80" i="4"/>
  <c r="AB80" i="4"/>
  <c r="AC80" i="4"/>
  <c r="AD80" i="4"/>
  <c r="AE80" i="4"/>
  <c r="AF80" i="4"/>
  <c r="AG80" i="4"/>
  <c r="AH80" i="4"/>
  <c r="X81" i="4"/>
  <c r="Y81" i="4"/>
  <c r="Z81" i="4"/>
  <c r="AA81" i="4"/>
  <c r="AB81" i="4"/>
  <c r="AC81" i="4"/>
  <c r="AD81" i="4"/>
  <c r="AE81" i="4"/>
  <c r="AF81" i="4"/>
  <c r="AG81" i="4"/>
  <c r="AH81" i="4"/>
  <c r="X82" i="4"/>
  <c r="Y82" i="4"/>
  <c r="Z82" i="4"/>
  <c r="AA82" i="4"/>
  <c r="AB82" i="4"/>
  <c r="AC82" i="4"/>
  <c r="AD82" i="4"/>
  <c r="AE82" i="4"/>
  <c r="AF82" i="4"/>
  <c r="AG82" i="4"/>
  <c r="AH82" i="4"/>
  <c r="X83" i="4"/>
  <c r="Y83" i="4"/>
  <c r="Z83" i="4"/>
  <c r="AA83" i="4"/>
  <c r="AB83" i="4"/>
  <c r="AC83" i="4"/>
  <c r="AD83" i="4"/>
  <c r="AE83" i="4"/>
  <c r="AF83" i="4"/>
  <c r="AG83" i="4"/>
  <c r="AH83" i="4"/>
  <c r="X84" i="4"/>
  <c r="Y84" i="4"/>
  <c r="Z84" i="4"/>
  <c r="AA84" i="4"/>
  <c r="AB84" i="4"/>
  <c r="AC84" i="4"/>
  <c r="AD84" i="4"/>
  <c r="AE84" i="4"/>
  <c r="AF84" i="4"/>
  <c r="AG84" i="4"/>
  <c r="AH84" i="4"/>
  <c r="X85" i="4"/>
  <c r="Y85" i="4"/>
  <c r="Z85" i="4"/>
  <c r="AA85" i="4"/>
  <c r="AB85" i="4"/>
  <c r="AC85" i="4"/>
  <c r="AD85" i="4"/>
  <c r="AE85" i="4"/>
  <c r="AF85" i="4"/>
  <c r="AG85" i="4"/>
  <c r="AH85" i="4"/>
  <c r="X86" i="4"/>
  <c r="Y86" i="4"/>
  <c r="Z86" i="4"/>
  <c r="AA86" i="4"/>
  <c r="AB86" i="4"/>
  <c r="AC86" i="4"/>
  <c r="AD86" i="4"/>
  <c r="AE86" i="4"/>
  <c r="AF86" i="4"/>
  <c r="AG86" i="4"/>
  <c r="AH86" i="4"/>
  <c r="X87" i="4"/>
  <c r="Y87" i="4"/>
  <c r="Z87" i="4"/>
  <c r="AA87" i="4"/>
  <c r="AB87" i="4"/>
  <c r="AC87" i="4"/>
  <c r="AD87" i="4"/>
  <c r="AE87" i="4"/>
  <c r="AF87" i="4"/>
  <c r="AG87" i="4"/>
  <c r="AH87" i="4"/>
  <c r="X88" i="4"/>
  <c r="Y88" i="4"/>
  <c r="Z88" i="4"/>
  <c r="AA88" i="4"/>
  <c r="AB88" i="4"/>
  <c r="AC88" i="4"/>
  <c r="AD88" i="4"/>
  <c r="AE88" i="4"/>
  <c r="AF88" i="4"/>
  <c r="AG88" i="4"/>
  <c r="AH88" i="4"/>
  <c r="X89" i="4"/>
  <c r="Y89" i="4"/>
  <c r="Z89" i="4"/>
  <c r="AA89" i="4"/>
  <c r="AB89" i="4"/>
  <c r="AC89" i="4"/>
  <c r="AD89" i="4"/>
  <c r="AE89" i="4"/>
  <c r="AF89" i="4"/>
  <c r="AG89" i="4"/>
  <c r="AH89" i="4"/>
  <c r="X90" i="4"/>
  <c r="Y90" i="4"/>
  <c r="Z90" i="4"/>
  <c r="AA90" i="4"/>
  <c r="AB90" i="4"/>
  <c r="AC90" i="4"/>
  <c r="AD90" i="4"/>
  <c r="AE90" i="4"/>
  <c r="AF90" i="4"/>
  <c r="AG90" i="4"/>
  <c r="AH90" i="4"/>
  <c r="AH92" i="4"/>
  <c r="AG92" i="4"/>
  <c r="AF92" i="4"/>
  <c r="AE92" i="4"/>
  <c r="AD92" i="4"/>
  <c r="AC92" i="4"/>
  <c r="AB92" i="4"/>
  <c r="Z92" i="4"/>
  <c r="Y92" i="4"/>
  <c r="X92" i="4"/>
  <c r="W72" i="4"/>
  <c r="W73" i="4" s="1"/>
  <c r="X72" i="4"/>
  <c r="Y72" i="4"/>
  <c r="Z72" i="4"/>
  <c r="AA72" i="4"/>
  <c r="AB72" i="4"/>
  <c r="AC72" i="4"/>
  <c r="AD72" i="4"/>
  <c r="AE72" i="4"/>
  <c r="AF72" i="4"/>
  <c r="AG72" i="4"/>
  <c r="AH72" i="4"/>
  <c r="AH71" i="4"/>
  <c r="AH73" i="4" s="1"/>
  <c r="AG71" i="4"/>
  <c r="AG73" i="4" s="1"/>
  <c r="AF71" i="4"/>
  <c r="AF73" i="4" s="1"/>
  <c r="AE71" i="4"/>
  <c r="AE73" i="4" s="1"/>
  <c r="AD71" i="4"/>
  <c r="AD73" i="4" s="1"/>
  <c r="AC71" i="4"/>
  <c r="AC73" i="4" s="1"/>
  <c r="AB71" i="4"/>
  <c r="AB73" i="4" s="1"/>
  <c r="Z71" i="4"/>
  <c r="Z73" i="4" s="1"/>
  <c r="Y71" i="4"/>
  <c r="Y73" i="4" s="1"/>
  <c r="X71" i="4"/>
  <c r="X73" i="4" s="1"/>
  <c r="AH68" i="4"/>
  <c r="AG68" i="4"/>
  <c r="AF68" i="4"/>
  <c r="AE68" i="4"/>
  <c r="AD68" i="4"/>
  <c r="AH66" i="4"/>
  <c r="AG66" i="4"/>
  <c r="AF66" i="4"/>
  <c r="AE66" i="4"/>
  <c r="AD66" i="4"/>
  <c r="AH63" i="4"/>
  <c r="AG63" i="4"/>
  <c r="AF63" i="4"/>
  <c r="AE63" i="4"/>
  <c r="AD63" i="4"/>
  <c r="W63" i="4"/>
  <c r="X63" i="4" s="1"/>
  <c r="Y63" i="4" s="1"/>
  <c r="Z63" i="4" s="1"/>
  <c r="AA63" i="4" s="1"/>
  <c r="AB63" i="4" s="1"/>
  <c r="AC63" i="4" s="1"/>
  <c r="AH58" i="4"/>
  <c r="AH67" i="4" s="1"/>
  <c r="AG58" i="4"/>
  <c r="AG67" i="4" s="1"/>
  <c r="AF58" i="4"/>
  <c r="AF67" i="4" s="1"/>
  <c r="AE58" i="4"/>
  <c r="AE67" i="4" s="1"/>
  <c r="AD58" i="4"/>
  <c r="AD67" i="4" s="1"/>
  <c r="AH36" i="4"/>
  <c r="AH119" i="4" s="1"/>
  <c r="AG36" i="4"/>
  <c r="AG119" i="4" s="1"/>
  <c r="AF36" i="4"/>
  <c r="AF119" i="4" s="1"/>
  <c r="AE36" i="4"/>
  <c r="AE119" i="4" s="1"/>
  <c r="AC36" i="4"/>
  <c r="AC119" i="4" s="1"/>
  <c r="AB36" i="4"/>
  <c r="AB119" i="4" s="1"/>
  <c r="Z36" i="4"/>
  <c r="Z119" i="4" s="1"/>
  <c r="Y36" i="4"/>
  <c r="Y119" i="4" s="1"/>
  <c r="X36" i="4"/>
  <c r="X119" i="4" s="1"/>
  <c r="AD36" i="4"/>
  <c r="AD119" i="4" s="1"/>
  <c r="A3" i="4"/>
  <c r="U123" i="4"/>
  <c r="P123" i="4"/>
  <c r="T120" i="4"/>
  <c r="T126" i="4" s="1"/>
  <c r="O120" i="4"/>
  <c r="O126" i="4" s="1"/>
  <c r="V120" i="4"/>
  <c r="V126" i="4" s="1"/>
  <c r="V121" i="4"/>
  <c r="V127" i="4" s="1"/>
  <c r="S123" i="4"/>
  <c r="AA92" i="4"/>
  <c r="AA73" i="4"/>
  <c r="AA120" i="4"/>
  <c r="P121" i="4"/>
  <c r="P127" i="4" s="1"/>
  <c r="B126" i="4"/>
  <c r="U121" i="4"/>
  <c r="U127" i="4" s="1"/>
  <c r="U120" i="4"/>
  <c r="U126" i="4" s="1"/>
  <c r="V123" i="4"/>
  <c r="S121" i="4"/>
  <c r="S127" i="4" s="1"/>
  <c r="AA121" i="4"/>
  <c r="S120" i="4"/>
  <c r="T121" i="4"/>
  <c r="T127" i="4" s="1"/>
  <c r="T123" i="4"/>
  <c r="R120" i="4"/>
  <c r="Q121" i="4"/>
  <c r="Q123" i="4"/>
  <c r="Q120" i="4"/>
  <c r="R121" i="4"/>
  <c r="R123" i="4"/>
  <c r="P120" i="4"/>
  <c r="O121" i="4"/>
  <c r="O123" i="4"/>
  <c r="O124" i="4" s="1"/>
  <c r="P122" i="4" s="1"/>
  <c r="P126" i="4" s="1"/>
  <c r="B127" i="4"/>
  <c r="W123" i="4"/>
  <c r="W120" i="4"/>
  <c r="W121" i="4"/>
  <c r="AA123" i="4"/>
  <c r="AA127" i="4" s="1"/>
  <c r="W92" i="4"/>
  <c r="O113" i="4"/>
  <c r="O114" i="4"/>
  <c r="P114" i="4" s="1"/>
  <c r="Q114" i="4" s="1"/>
  <c r="R114" i="4" s="1"/>
  <c r="S114" i="4" s="1"/>
  <c r="E17" i="3"/>
  <c r="D17" i="3"/>
  <c r="A35" i="3"/>
  <c r="A53" i="5" s="1"/>
  <c r="C237" i="7"/>
  <c r="B20" i="3"/>
  <c r="E19" i="3"/>
  <c r="A44" i="4"/>
  <c r="E18" i="3"/>
  <c r="O98" i="4"/>
  <c r="O104" i="4"/>
  <c r="P104" i="4" s="1"/>
  <c r="Q104" i="4" s="1"/>
  <c r="R104" i="4" s="1"/>
  <c r="S104" i="4" s="1"/>
  <c r="O105" i="4"/>
  <c r="P105" i="4" s="1"/>
  <c r="Q105" i="4" s="1"/>
  <c r="R105" i="4" s="1"/>
  <c r="S105" i="4" s="1"/>
  <c r="O99" i="4"/>
  <c r="P99" i="4" s="1"/>
  <c r="Q99" i="4" s="1"/>
  <c r="R99" i="4" s="1"/>
  <c r="S99" i="4" s="1"/>
  <c r="O102" i="4"/>
  <c r="P102" i="4" s="1"/>
  <c r="Q102" i="4" s="1"/>
  <c r="R102" i="4" s="1"/>
  <c r="S102" i="4" s="1"/>
  <c r="O107" i="4"/>
  <c r="P107" i="4" s="1"/>
  <c r="Q107" i="4" s="1"/>
  <c r="R107" i="4" s="1"/>
  <c r="S107" i="4" s="1"/>
  <c r="O100" i="4"/>
  <c r="P100" i="4" s="1"/>
  <c r="Q100" i="4" s="1"/>
  <c r="R100" i="4" s="1"/>
  <c r="S100" i="4" s="1"/>
  <c r="O101" i="4"/>
  <c r="P101" i="4" s="1"/>
  <c r="Q101" i="4" s="1"/>
  <c r="R101" i="4" s="1"/>
  <c r="S101" i="4" s="1"/>
  <c r="O106" i="4"/>
  <c r="P106" i="4" s="1"/>
  <c r="Q106" i="4" s="1"/>
  <c r="R106" i="4" s="1"/>
  <c r="S106" i="4" s="1"/>
  <c r="O103" i="4"/>
  <c r="P103" i="4" s="1"/>
  <c r="Q103" i="4" s="1"/>
  <c r="R103" i="4" s="1"/>
  <c r="S103" i="4" s="1"/>
  <c r="R127" i="4"/>
  <c r="W127" i="4"/>
  <c r="W40" i="4"/>
  <c r="X40" i="4" s="1"/>
  <c r="AA97" i="6" l="1"/>
  <c r="AA117" i="6"/>
  <c r="T103" i="4"/>
  <c r="U103" i="4" s="1"/>
  <c r="V103" i="4" s="1"/>
  <c r="W103" i="4" s="1"/>
  <c r="X103" i="4" s="1"/>
  <c r="Y103" i="4" s="1"/>
  <c r="Z103" i="4" s="1"/>
  <c r="AA103" i="4" s="1"/>
  <c r="AB103" i="4" s="1"/>
  <c r="AC103" i="4" s="1"/>
  <c r="AD103" i="4" s="1"/>
  <c r="AE103" i="4" s="1"/>
  <c r="AF103" i="4" s="1"/>
  <c r="AG103" i="4" s="1"/>
  <c r="AH103" i="4" s="1"/>
  <c r="T106" i="4"/>
  <c r="U106" i="4" s="1"/>
  <c r="V106" i="4" s="1"/>
  <c r="W106" i="4" s="1"/>
  <c r="X106" i="4" s="1"/>
  <c r="Y106" i="4" s="1"/>
  <c r="Z106" i="4" s="1"/>
  <c r="AA106" i="4" s="1"/>
  <c r="AB106" i="4" s="1"/>
  <c r="AC106" i="4" s="1"/>
  <c r="AD106" i="4" s="1"/>
  <c r="AE106" i="4" s="1"/>
  <c r="AF106" i="4" s="1"/>
  <c r="AG106" i="4" s="1"/>
  <c r="AH106" i="4" s="1"/>
  <c r="T101" i="4"/>
  <c r="U101" i="4" s="1"/>
  <c r="V101" i="4" s="1"/>
  <c r="W101" i="4" s="1"/>
  <c r="X101" i="4" s="1"/>
  <c r="Y101" i="4" s="1"/>
  <c r="Z101" i="4" s="1"/>
  <c r="AA101" i="4" s="1"/>
  <c r="AB101" i="4" s="1"/>
  <c r="AC101" i="4" s="1"/>
  <c r="AD101" i="4" s="1"/>
  <c r="AE101" i="4" s="1"/>
  <c r="AF101" i="4" s="1"/>
  <c r="AG101" i="4" s="1"/>
  <c r="AH101" i="4" s="1"/>
  <c r="T100" i="4"/>
  <c r="U100" i="4" s="1"/>
  <c r="V100" i="4" s="1"/>
  <c r="W100" i="4" s="1"/>
  <c r="X100" i="4" s="1"/>
  <c r="Y100" i="4" s="1"/>
  <c r="Z100" i="4" s="1"/>
  <c r="AA100" i="4" s="1"/>
  <c r="AB100" i="4" s="1"/>
  <c r="AC100" i="4" s="1"/>
  <c r="AD100" i="4" s="1"/>
  <c r="AE100" i="4" s="1"/>
  <c r="AF100" i="4" s="1"/>
  <c r="AG100" i="4" s="1"/>
  <c r="AH100" i="4" s="1"/>
  <c r="T107" i="4"/>
  <c r="U107" i="4" s="1"/>
  <c r="V107" i="4" s="1"/>
  <c r="W107" i="4" s="1"/>
  <c r="X107" i="4" s="1"/>
  <c r="Y107" i="4" s="1"/>
  <c r="Z107" i="4" s="1"/>
  <c r="AA107" i="4" s="1"/>
  <c r="AB107" i="4" s="1"/>
  <c r="AC107" i="4" s="1"/>
  <c r="AD107" i="4" s="1"/>
  <c r="AE107" i="4" s="1"/>
  <c r="AF107" i="4" s="1"/>
  <c r="AG107" i="4" s="1"/>
  <c r="AH107" i="4" s="1"/>
  <c r="T102" i="4"/>
  <c r="U102" i="4" s="1"/>
  <c r="V102" i="4" s="1"/>
  <c r="W102" i="4" s="1"/>
  <c r="X102" i="4" s="1"/>
  <c r="Y102" i="4" s="1"/>
  <c r="Z102" i="4" s="1"/>
  <c r="AA102" i="4" s="1"/>
  <c r="AB102" i="4" s="1"/>
  <c r="AC102" i="4" s="1"/>
  <c r="AD102" i="4" s="1"/>
  <c r="AE102" i="4" s="1"/>
  <c r="AF102" i="4" s="1"/>
  <c r="AG102" i="4" s="1"/>
  <c r="AH102" i="4" s="1"/>
  <c r="T99" i="4"/>
  <c r="U99" i="4" s="1"/>
  <c r="V99" i="4" s="1"/>
  <c r="W99" i="4" s="1"/>
  <c r="X99" i="4" s="1"/>
  <c r="Y99" i="4" s="1"/>
  <c r="Z99" i="4" s="1"/>
  <c r="AA99" i="4" s="1"/>
  <c r="AB99" i="4" s="1"/>
  <c r="AC99" i="4" s="1"/>
  <c r="AD99" i="4" s="1"/>
  <c r="AE99" i="4" s="1"/>
  <c r="AF99" i="4" s="1"/>
  <c r="AG99" i="4" s="1"/>
  <c r="AH99" i="4" s="1"/>
  <c r="T105" i="4"/>
  <c r="U105" i="4" s="1"/>
  <c r="V105" i="4" s="1"/>
  <c r="W105" i="4" s="1"/>
  <c r="X105" i="4" s="1"/>
  <c r="Y105" i="4" s="1"/>
  <c r="Z105" i="4" s="1"/>
  <c r="AA105" i="4" s="1"/>
  <c r="AB105" i="4" s="1"/>
  <c r="AC105" i="4" s="1"/>
  <c r="AD105" i="4" s="1"/>
  <c r="AE105" i="4" s="1"/>
  <c r="AF105" i="4" s="1"/>
  <c r="AG105" i="4" s="1"/>
  <c r="AH105" i="4" s="1"/>
  <c r="T104" i="4"/>
  <c r="U104" i="4" s="1"/>
  <c r="V104" i="4" s="1"/>
  <c r="W104" i="4" s="1"/>
  <c r="X104" i="4" s="1"/>
  <c r="Y104" i="4" s="1"/>
  <c r="Z104" i="4" s="1"/>
  <c r="AA104" i="4" s="1"/>
  <c r="AB104" i="4" s="1"/>
  <c r="AC104" i="4" s="1"/>
  <c r="AD104" i="4" s="1"/>
  <c r="AE104" i="4" s="1"/>
  <c r="AF104" i="4" s="1"/>
  <c r="AG104" i="4" s="1"/>
  <c r="AH104" i="4" s="1"/>
  <c r="T114" i="4"/>
  <c r="U114" i="4" s="1"/>
  <c r="V114" i="4" s="1"/>
  <c r="W114" i="4" s="1"/>
  <c r="X114" i="4" s="1"/>
  <c r="Y114" i="4" s="1"/>
  <c r="Z114" i="4" s="1"/>
  <c r="AA114" i="4" s="1"/>
  <c r="AB114" i="4" s="1"/>
  <c r="AC114" i="4" s="1"/>
  <c r="AD114" i="4" s="1"/>
  <c r="AE114" i="4" s="1"/>
  <c r="AF114" i="4" s="1"/>
  <c r="AG114" i="4" s="1"/>
  <c r="AH114" i="4" s="1"/>
  <c r="V119" i="4"/>
  <c r="U119" i="4"/>
  <c r="T119" i="4"/>
  <c r="B23" i="3"/>
  <c r="E44" i="4"/>
  <c r="AA115" i="6"/>
  <c r="AA111" i="6"/>
  <c r="AA114" i="6"/>
  <c r="AA116" i="6"/>
  <c r="Q66" i="4"/>
  <c r="R58" i="4"/>
  <c r="R67" i="4" s="1"/>
  <c r="S119" i="4"/>
  <c r="R119" i="4"/>
  <c r="Q119" i="4"/>
  <c r="P119" i="4"/>
  <c r="O119" i="4"/>
  <c r="AD135" i="4"/>
  <c r="AD123" i="4"/>
  <c r="AD121" i="4"/>
  <c r="AD127" i="4" s="1"/>
  <c r="AD120" i="4"/>
  <c r="AE135" i="4"/>
  <c r="AE123" i="4"/>
  <c r="AE121" i="4"/>
  <c r="AE127" i="4" s="1"/>
  <c r="AE120" i="4"/>
  <c r="AF135" i="4"/>
  <c r="AF123" i="4"/>
  <c r="AF121" i="4"/>
  <c r="AF127" i="4" s="1"/>
  <c r="AF120" i="4"/>
  <c r="AG135" i="4"/>
  <c r="AG123" i="4"/>
  <c r="AG121" i="4"/>
  <c r="AG127" i="4" s="1"/>
  <c r="AG120" i="4"/>
  <c r="AH135" i="4"/>
  <c r="AH123" i="4"/>
  <c r="AH121" i="4"/>
  <c r="AH127" i="4" s="1"/>
  <c r="AH120" i="4"/>
  <c r="X135" i="4"/>
  <c r="X123" i="4"/>
  <c r="X121" i="4"/>
  <c r="X127" i="4" s="1"/>
  <c r="X120" i="4"/>
  <c r="Y135" i="4"/>
  <c r="Y123" i="4"/>
  <c r="Y121" i="4"/>
  <c r="Y127" i="4" s="1"/>
  <c r="Y120" i="4"/>
  <c r="Z135" i="4"/>
  <c r="Z123" i="4"/>
  <c r="Z121" i="4"/>
  <c r="Z127" i="4" s="1"/>
  <c r="Z120" i="4"/>
  <c r="AB135" i="4"/>
  <c r="AB123" i="4"/>
  <c r="AB121" i="4"/>
  <c r="AB127" i="4" s="1"/>
  <c r="AB120" i="4"/>
  <c r="AC135" i="4"/>
  <c r="AC123" i="4"/>
  <c r="AC121" i="4"/>
  <c r="AC127" i="4" s="1"/>
  <c r="AC120" i="4"/>
  <c r="Y40" i="4"/>
  <c r="Z40" i="4" s="1"/>
  <c r="P124" i="4"/>
  <c r="Q122" i="4" s="1"/>
  <c r="Q126" i="4" s="1"/>
  <c r="O127" i="4"/>
  <c r="Q127" i="4"/>
  <c r="E52" i="4"/>
  <c r="O44" i="4"/>
  <c r="P113" i="4"/>
  <c r="O115" i="4"/>
  <c r="O108" i="4"/>
  <c r="P98" i="4"/>
  <c r="E49" i="4"/>
  <c r="O49" i="4" s="1"/>
  <c r="P49" i="4" s="1"/>
  <c r="Q49" i="4" s="1"/>
  <c r="R49" i="4" s="1"/>
  <c r="S49" i="4" s="1"/>
  <c r="B21" i="3"/>
  <c r="E21" i="3" s="1"/>
  <c r="AA106" i="6"/>
  <c r="AA89" i="6"/>
  <c r="AA122" i="6"/>
  <c r="AA101" i="6"/>
  <c r="AA88" i="6"/>
  <c r="AA108" i="6"/>
  <c r="AA103" i="6"/>
  <c r="AA92" i="6"/>
  <c r="AA107" i="6"/>
  <c r="AA98" i="6"/>
  <c r="AA94" i="6"/>
  <c r="A31" i="3"/>
  <c r="F30" i="3"/>
  <c r="T49" i="4" l="1"/>
  <c r="U49" i="4" s="1"/>
  <c r="V49" i="4" s="1"/>
  <c r="W49" i="4" s="1"/>
  <c r="R66" i="4"/>
  <c r="S58" i="4"/>
  <c r="X49" i="4"/>
  <c r="Y49" i="4" s="1"/>
  <c r="Q124" i="4"/>
  <c r="R124" i="4" s="1"/>
  <c r="F26" i="3"/>
  <c r="O45" i="4"/>
  <c r="P44" i="4"/>
  <c r="O117" i="4"/>
  <c r="O129" i="4" s="1"/>
  <c r="P115" i="4"/>
  <c r="Q113" i="4"/>
  <c r="Q98" i="4"/>
  <c r="P108" i="4"/>
  <c r="R122" i="4"/>
  <c r="R126" i="4" s="1"/>
  <c r="S67" i="4" l="1"/>
  <c r="T58" i="4"/>
  <c r="T67" i="4"/>
  <c r="S66" i="4"/>
  <c r="Z49" i="4"/>
  <c r="AA49" i="4" s="1"/>
  <c r="AB49" i="4" s="1"/>
  <c r="AC49" i="4" s="1"/>
  <c r="AD49" i="4" s="1"/>
  <c r="AE49" i="4" s="1"/>
  <c r="AF49" i="4" s="1"/>
  <c r="AG49" i="4" s="1"/>
  <c r="AH49" i="4" s="1"/>
  <c r="Q44" i="4"/>
  <c r="P45" i="4"/>
  <c r="P117" i="4"/>
  <c r="P129" i="4" s="1"/>
  <c r="R113" i="4"/>
  <c r="Q115" i="4"/>
  <c r="Q108" i="4"/>
  <c r="R98" i="4"/>
  <c r="S124" i="4"/>
  <c r="S122" i="4"/>
  <c r="S126" i="4" s="1"/>
  <c r="T66" i="4" l="1"/>
  <c r="U58" i="4"/>
  <c r="U67" i="4"/>
  <c r="Q117" i="4"/>
  <c r="Q129" i="4" s="1"/>
  <c r="O68" i="4"/>
  <c r="S113" i="4"/>
  <c r="T113" i="4" s="1"/>
  <c r="R115" i="4"/>
  <c r="Q45" i="4"/>
  <c r="R44" i="4"/>
  <c r="R108" i="4"/>
  <c r="S98" i="4"/>
  <c r="T98" i="4" s="1"/>
  <c r="T124" i="4"/>
  <c r="T122" i="4"/>
  <c r="AA40" i="4"/>
  <c r="AB40" i="4" s="1"/>
  <c r="U98" i="4" l="1"/>
  <c r="T108" i="4"/>
  <c r="T115" i="4"/>
  <c r="U113" i="4"/>
  <c r="U66" i="4"/>
  <c r="V58" i="4"/>
  <c r="V66" i="4" s="1"/>
  <c r="P68" i="4"/>
  <c r="V67" i="4"/>
  <c r="O75" i="4"/>
  <c r="O131" i="4" s="1"/>
  <c r="O134" i="4" s="1"/>
  <c r="O135" i="4" s="1"/>
  <c r="P75" i="4"/>
  <c r="P131" i="4" s="1"/>
  <c r="AC40" i="4"/>
  <c r="AD40" i="4" s="1"/>
  <c r="AE40" i="4" s="1"/>
  <c r="AF40" i="4" s="1"/>
  <c r="AG40" i="4" s="1"/>
  <c r="AH40" i="4" s="1"/>
  <c r="R117" i="4"/>
  <c r="R129" i="4" s="1"/>
  <c r="P134" i="4"/>
  <c r="P135" i="4" s="1"/>
  <c r="O138" i="4"/>
  <c r="P136" i="4" s="1"/>
  <c r="S44" i="4"/>
  <c r="T44" i="4" s="1"/>
  <c r="R45" i="4"/>
  <c r="S115" i="4"/>
  <c r="S108" i="4"/>
  <c r="S117" i="4" s="1"/>
  <c r="S129" i="4" s="1"/>
  <c r="U124" i="4"/>
  <c r="U122" i="4"/>
  <c r="U44" i="4" l="1"/>
  <c r="T45" i="4"/>
  <c r="U115" i="4"/>
  <c r="V113" i="4"/>
  <c r="V115" i="4" s="1"/>
  <c r="T117" i="4"/>
  <c r="T129" i="4" s="1"/>
  <c r="V98" i="4"/>
  <c r="V108" i="4" s="1"/>
  <c r="V117" i="4" s="1"/>
  <c r="V129" i="4" s="1"/>
  <c r="U108" i="4"/>
  <c r="U117" i="4" s="1"/>
  <c r="U129" i="4" s="1"/>
  <c r="Q68" i="4"/>
  <c r="W58" i="4"/>
  <c r="W67" i="4" s="1"/>
  <c r="P138" i="4"/>
  <c r="P142" i="4" s="1"/>
  <c r="P143" i="4" s="1"/>
  <c r="O142" i="4"/>
  <c r="O143" i="4" s="1"/>
  <c r="O150" i="4" s="1"/>
  <c r="S45" i="4"/>
  <c r="V122" i="4"/>
  <c r="V124" i="4"/>
  <c r="V44" i="4" l="1"/>
  <c r="V45" i="4" s="1"/>
  <c r="U45" i="4"/>
  <c r="Q75" i="4"/>
  <c r="Q131" i="4" s="1"/>
  <c r="Q134" i="4" s="1"/>
  <c r="Q135" i="4" s="1"/>
  <c r="R68" i="4"/>
  <c r="W66" i="4"/>
  <c r="X58" i="4"/>
  <c r="X67" i="4" s="1"/>
  <c r="D14" i="8"/>
  <c r="Q136" i="4"/>
  <c r="O145" i="4"/>
  <c r="Q138" i="4"/>
  <c r="R136" i="4" s="1"/>
  <c r="P150" i="4"/>
  <c r="P145" i="4"/>
  <c r="W124" i="4"/>
  <c r="W122" i="4"/>
  <c r="W126" i="4" s="1"/>
  <c r="B51" i="7" l="1"/>
  <c r="R75" i="4"/>
  <c r="R131" i="4" s="1"/>
  <c r="R134" i="4" s="1"/>
  <c r="S68" i="4"/>
  <c r="X66" i="4"/>
  <c r="Y58" i="4"/>
  <c r="Y67" i="4" s="1"/>
  <c r="B52" i="7"/>
  <c r="E8" i="8"/>
  <c r="P155" i="4"/>
  <c r="O155" i="4"/>
  <c r="E14" i="8"/>
  <c r="X124" i="4"/>
  <c r="Y124" i="4" s="1"/>
  <c r="Z124" i="4" s="1"/>
  <c r="X122" i="4"/>
  <c r="X126" i="4" s="1"/>
  <c r="D8" i="8"/>
  <c r="Q142" i="4"/>
  <c r="Q143" i="4" s="1"/>
  <c r="Q145" i="4" s="1"/>
  <c r="W113" i="4"/>
  <c r="X113" i="4" s="1"/>
  <c r="W98" i="4"/>
  <c r="X98" i="4" s="1"/>
  <c r="R138" i="4"/>
  <c r="S136" i="4" s="1"/>
  <c r="Y122" i="4"/>
  <c r="Y126" i="4" s="1"/>
  <c r="R135" i="4"/>
  <c r="B53" i="7" l="1"/>
  <c r="S75" i="4"/>
  <c r="S131" i="4" s="1"/>
  <c r="T68" i="4"/>
  <c r="Y66" i="4"/>
  <c r="Z58" i="4"/>
  <c r="Z67" i="4" s="1"/>
  <c r="X115" i="4"/>
  <c r="Y113" i="4"/>
  <c r="Q155" i="4"/>
  <c r="F8" i="8"/>
  <c r="X108" i="4"/>
  <c r="X117" i="4" s="1"/>
  <c r="X129" i="4" s="1"/>
  <c r="Y98" i="4"/>
  <c r="Q150" i="4"/>
  <c r="W115" i="4"/>
  <c r="W44" i="4"/>
  <c r="X44" i="4" s="1"/>
  <c r="W108" i="4"/>
  <c r="R142" i="4"/>
  <c r="R143" i="4" s="1"/>
  <c r="R150" i="4" s="1"/>
  <c r="G14" i="8" s="1"/>
  <c r="S134" i="4"/>
  <c r="S138" i="4" s="1"/>
  <c r="T136" i="4" s="1"/>
  <c r="Z122" i="4"/>
  <c r="Z126" i="4" s="1"/>
  <c r="T75" i="4" l="1"/>
  <c r="T131" i="4" s="1"/>
  <c r="U68" i="4"/>
  <c r="Z66" i="4"/>
  <c r="AA58" i="4"/>
  <c r="AA67" i="4" s="1"/>
  <c r="Y115" i="4"/>
  <c r="Z113" i="4"/>
  <c r="F14" i="8"/>
  <c r="Y108" i="4"/>
  <c r="Y117" i="4" s="1"/>
  <c r="Y129" i="4" s="1"/>
  <c r="Z98" i="4"/>
  <c r="Z108" i="4" s="1"/>
  <c r="Y44" i="4"/>
  <c r="X45" i="4"/>
  <c r="W117" i="4"/>
  <c r="W129" i="4" s="1"/>
  <c r="W45" i="4"/>
  <c r="R145" i="4"/>
  <c r="S142" i="4"/>
  <c r="S143" i="4" s="1"/>
  <c r="S135" i="4"/>
  <c r="B54" i="7" l="1"/>
  <c r="U75" i="4"/>
  <c r="U131" i="4" s="1"/>
  <c r="V68" i="4"/>
  <c r="T134" i="4"/>
  <c r="AA66" i="4"/>
  <c r="AB58" i="4"/>
  <c r="AB67" i="4" s="1"/>
  <c r="Z115" i="4"/>
  <c r="Z117" i="4" s="1"/>
  <c r="Z129" i="4" s="1"/>
  <c r="AA113" i="4"/>
  <c r="R155" i="4"/>
  <c r="G8" i="8"/>
  <c r="Y45" i="4"/>
  <c r="Z44" i="4"/>
  <c r="Z45" i="4" s="1"/>
  <c r="AA124" i="4"/>
  <c r="AA122" i="4"/>
  <c r="AA126" i="4" s="1"/>
  <c r="S145" i="4"/>
  <c r="S150" i="4"/>
  <c r="B55" i="7" l="1"/>
  <c r="T135" i="4"/>
  <c r="T138" i="4"/>
  <c r="V75" i="4"/>
  <c r="V131" i="4" s="1"/>
  <c r="W68" i="4"/>
  <c r="U134" i="4"/>
  <c r="AB66" i="4"/>
  <c r="AC58" i="4"/>
  <c r="AC67" i="4" s="1"/>
  <c r="AA115" i="4"/>
  <c r="AB113" i="4"/>
  <c r="S155" i="4"/>
  <c r="H14" i="8"/>
  <c r="H8" i="8"/>
  <c r="AB122" i="4"/>
  <c r="AB126" i="4" s="1"/>
  <c r="AB124" i="4"/>
  <c r="AC124" i="4" s="1"/>
  <c r="AD124" i="4" s="1"/>
  <c r="AE124" i="4" s="1"/>
  <c r="AF124" i="4" s="1"/>
  <c r="AG124" i="4" s="1"/>
  <c r="AH124" i="4" s="1"/>
  <c r="AA98" i="4"/>
  <c r="AC122" i="4"/>
  <c r="AC126" i="4" s="1"/>
  <c r="W75" i="4" l="1"/>
  <c r="W131" i="4" s="1"/>
  <c r="X68" i="4"/>
  <c r="T142" i="4"/>
  <c r="T143" i="4" s="1"/>
  <c r="U136" i="4"/>
  <c r="U138" i="4" s="1"/>
  <c r="U135" i="4"/>
  <c r="AC66" i="4"/>
  <c r="AB115" i="4"/>
  <c r="AC113" i="4"/>
  <c r="AC115" i="4" s="1"/>
  <c r="AA108" i="4"/>
  <c r="AB98" i="4"/>
  <c r="AA44" i="4"/>
  <c r="AB44" i="4" s="1"/>
  <c r="AD113" i="4"/>
  <c r="V134" i="4" l="1"/>
  <c r="U142" i="4"/>
  <c r="U143" i="4" s="1"/>
  <c r="V136" i="4"/>
  <c r="T150" i="4"/>
  <c r="T145" i="4"/>
  <c r="T155" i="4" s="1"/>
  <c r="X75" i="4"/>
  <c r="X131" i="4" s="1"/>
  <c r="Y68" i="4"/>
  <c r="AE113" i="4"/>
  <c r="AD115" i="4"/>
  <c r="I14" i="8"/>
  <c r="I8" i="8"/>
  <c r="AD122" i="4"/>
  <c r="AD126" i="4" s="1"/>
  <c r="AB108" i="4"/>
  <c r="AB117" i="4" s="1"/>
  <c r="AB129" i="4" s="1"/>
  <c r="AC98" i="4"/>
  <c r="AC44" i="4"/>
  <c r="AB45" i="4"/>
  <c r="AA117" i="4"/>
  <c r="AA129" i="4" s="1"/>
  <c r="AA45" i="4"/>
  <c r="B56" i="7" l="1"/>
  <c r="Y75" i="4"/>
  <c r="Y131" i="4" s="1"/>
  <c r="Y134" i="4" s="1"/>
  <c r="Z68" i="4"/>
  <c r="U150" i="4"/>
  <c r="U145" i="4"/>
  <c r="U155" i="4" s="1"/>
  <c r="V138" i="4"/>
  <c r="V142" i="4" s="1"/>
  <c r="V143" i="4" s="1"/>
  <c r="V135" i="4"/>
  <c r="W134" i="4" s="1"/>
  <c r="AE115" i="4"/>
  <c r="AF113" i="4"/>
  <c r="AE122" i="4"/>
  <c r="AE126" i="4" s="1"/>
  <c r="AC108" i="4"/>
  <c r="AC117" i="4" s="1"/>
  <c r="AC129" i="4" s="1"/>
  <c r="AD98" i="4"/>
  <c r="AC45" i="4"/>
  <c r="AD44" i="4"/>
  <c r="B57" i="7"/>
  <c r="W136" i="4"/>
  <c r="W138" i="4" s="1"/>
  <c r="X136" i="4" s="1"/>
  <c r="W135" i="4"/>
  <c r="V150" i="4" l="1"/>
  <c r="V145" i="4"/>
  <c r="V155" i="4" s="1"/>
  <c r="Z75" i="4"/>
  <c r="Z131" i="4" s="1"/>
  <c r="Z134" i="4" s="1"/>
  <c r="AA68" i="4"/>
  <c r="AF115" i="4"/>
  <c r="AG113" i="4"/>
  <c r="J14" i="8"/>
  <c r="J8" i="8"/>
  <c r="X134" i="4"/>
  <c r="X138" i="4" s="1"/>
  <c r="AF122" i="4"/>
  <c r="AF126" i="4" s="1"/>
  <c r="Y136" i="4"/>
  <c r="X142" i="4"/>
  <c r="X143" i="4" s="1"/>
  <c r="AD108" i="4"/>
  <c r="AD117" i="4" s="1"/>
  <c r="AD129" i="4" s="1"/>
  <c r="AE98" i="4"/>
  <c r="AE44" i="4"/>
  <c r="AD45" i="4"/>
  <c r="W142" i="4"/>
  <c r="W143" i="4" s="1"/>
  <c r="B58" i="7"/>
  <c r="AA75" i="4" l="1"/>
  <c r="AA131" i="4" s="1"/>
  <c r="AA134" i="4" s="1"/>
  <c r="AB68" i="4"/>
  <c r="AD75" i="4"/>
  <c r="AD131" i="4" s="1"/>
  <c r="AD134" i="4" s="1"/>
  <c r="AG115" i="4"/>
  <c r="AH113" i="4"/>
  <c r="AH115" i="4" s="1"/>
  <c r="K8" i="8"/>
  <c r="K14" i="8"/>
  <c r="AG122" i="4"/>
  <c r="AG126" i="4" s="1"/>
  <c r="AE108" i="4"/>
  <c r="AE117" i="4" s="1"/>
  <c r="AE129" i="4" s="1"/>
  <c r="AF98" i="4"/>
  <c r="AF44" i="4"/>
  <c r="AE45" i="4"/>
  <c r="W150" i="4"/>
  <c r="W145" i="4"/>
  <c r="B59" i="7" l="1"/>
  <c r="AB75" i="4"/>
  <c r="AB131" i="4" s="1"/>
  <c r="AB134" i="4" s="1"/>
  <c r="AC68" i="4"/>
  <c r="AC75" i="4" s="1"/>
  <c r="AC131" i="4" s="1"/>
  <c r="AC134" i="4" s="1"/>
  <c r="AE75" i="4"/>
  <c r="AE131" i="4" s="1"/>
  <c r="AE134" i="4" s="1"/>
  <c r="W155" i="4"/>
  <c r="L8" i="8"/>
  <c r="L14" i="8"/>
  <c r="AH122" i="4"/>
  <c r="AH126" i="4" s="1"/>
  <c r="Y138" i="4"/>
  <c r="X150" i="4"/>
  <c r="X145" i="4"/>
  <c r="AF108" i="4"/>
  <c r="AF117" i="4" s="1"/>
  <c r="AF129" i="4" s="1"/>
  <c r="AG98" i="4"/>
  <c r="AG44" i="4"/>
  <c r="AF45" i="4"/>
  <c r="M14" i="8"/>
  <c r="M8" i="8"/>
  <c r="B60" i="7" l="1"/>
  <c r="AF75" i="4"/>
  <c r="AF131" i="4" s="1"/>
  <c r="AF134" i="4" s="1"/>
  <c r="X155" i="4"/>
  <c r="Y142" i="4"/>
  <c r="Y143" i="4" s="1"/>
  <c r="Z136" i="4"/>
  <c r="Z138" i="4"/>
  <c r="Z142" i="4" s="1"/>
  <c r="Z143" i="4" s="1"/>
  <c r="Y150" i="4"/>
  <c r="Y145" i="4"/>
  <c r="AG108" i="4"/>
  <c r="AG117" i="4" s="1"/>
  <c r="AG129" i="4" s="1"/>
  <c r="AH98" i="4"/>
  <c r="AH108" i="4" s="1"/>
  <c r="AH117" i="4" s="1"/>
  <c r="AH129" i="4" s="1"/>
  <c r="AH44" i="4"/>
  <c r="AH45" i="4" s="1"/>
  <c r="AG45" i="4"/>
  <c r="AA136" i="4"/>
  <c r="AA138" i="4" s="1"/>
  <c r="AB136" i="4" s="1"/>
  <c r="N8" i="8"/>
  <c r="N14" i="8"/>
  <c r="B61" i="7" l="1"/>
  <c r="AG75" i="4"/>
  <c r="AG131" i="4" s="1"/>
  <c r="AG134" i="4" s="1"/>
  <c r="AH75" i="4"/>
  <c r="AH131" i="4" s="1"/>
  <c r="AH134" i="4" s="1"/>
  <c r="Y155" i="4"/>
  <c r="Z150" i="4"/>
  <c r="Z145" i="4"/>
  <c r="O14" i="8"/>
  <c r="O8" i="8"/>
  <c r="AA142" i="4"/>
  <c r="AA143" i="4" s="1"/>
  <c r="B62" i="7" l="1"/>
  <c r="Z155" i="4"/>
  <c r="AB138" i="4"/>
  <c r="AA145" i="4"/>
  <c r="AA150" i="4"/>
  <c r="B63" i="7" l="1"/>
  <c r="AA155" i="4"/>
  <c r="P14" i="8"/>
  <c r="P8" i="8"/>
  <c r="AB142" i="4"/>
  <c r="AB143" i="4" s="1"/>
  <c r="AC136" i="4"/>
  <c r="AC138" i="4"/>
  <c r="AD136" i="4" s="1"/>
  <c r="AB150" i="4"/>
  <c r="AB145" i="4"/>
  <c r="Q14" i="8"/>
  <c r="Q8" i="8"/>
  <c r="B64" i="7" l="1"/>
  <c r="AB155" i="4"/>
  <c r="AD138" i="4"/>
  <c r="AE136" i="4" s="1"/>
  <c r="AC142" i="4"/>
  <c r="AC143" i="4" s="1"/>
  <c r="AC150" i="4" l="1"/>
  <c r="AC145" i="4"/>
  <c r="AE138" i="4"/>
  <c r="AF136" i="4" s="1"/>
  <c r="AD142" i="4"/>
  <c r="AD143" i="4" s="1"/>
  <c r="B65" i="7" l="1"/>
  <c r="L157" i="4" s="1"/>
  <c r="AC155" i="4"/>
  <c r="R8" i="8"/>
  <c r="R14" i="8"/>
  <c r="AD150" i="4"/>
  <c r="AD145" i="4"/>
  <c r="AF138" i="4"/>
  <c r="AG136" i="4" s="1"/>
  <c r="AE142" i="4"/>
  <c r="AE143" i="4" s="1"/>
  <c r="B66" i="7" l="1"/>
  <c r="E16" i="8"/>
  <c r="G16" i="8"/>
  <c r="I16" i="8"/>
  <c r="K16" i="8"/>
  <c r="M16" i="8"/>
  <c r="O16" i="8"/>
  <c r="Q16" i="8"/>
  <c r="D16" i="8"/>
  <c r="F16" i="8"/>
  <c r="H16" i="8"/>
  <c r="J16" i="8"/>
  <c r="L16" i="8"/>
  <c r="N16" i="8"/>
  <c r="P16" i="8"/>
  <c r="R16" i="8"/>
  <c r="B15" i="8"/>
  <c r="P10" i="8"/>
  <c r="J10" i="8"/>
  <c r="K10" i="8"/>
  <c r="B9" i="8"/>
  <c r="G10" i="8"/>
  <c r="O10" i="8"/>
  <c r="F10" i="8"/>
  <c r="N10" i="8"/>
  <c r="R10" i="8"/>
  <c r="E10" i="8"/>
  <c r="I10" i="8"/>
  <c r="M10" i="8"/>
  <c r="Q10" i="8"/>
  <c r="D10" i="8"/>
  <c r="H10" i="8"/>
  <c r="L10" i="8"/>
  <c r="AD155" i="4"/>
  <c r="AE150" i="4"/>
  <c r="AE145" i="4"/>
  <c r="AG138" i="4"/>
  <c r="AH136" i="4" s="1"/>
  <c r="AF142" i="4"/>
  <c r="AF143" i="4" s="1"/>
  <c r="B67" i="7" l="1"/>
  <c r="B11" i="8"/>
  <c r="B17" i="8"/>
  <c r="AE155" i="4"/>
  <c r="AF150" i="4"/>
  <c r="AF145" i="4"/>
  <c r="AH138" i="4"/>
  <c r="AH142" i="4" s="1"/>
  <c r="AH143" i="4" s="1"/>
  <c r="AG142" i="4"/>
  <c r="AG143" i="4" s="1"/>
  <c r="B68" i="7" l="1"/>
  <c r="AF155" i="4"/>
  <c r="AG150" i="4"/>
  <c r="AG145" i="4"/>
  <c r="AH150" i="4"/>
  <c r="AH145" i="4"/>
  <c r="AH155" i="4" s="1"/>
  <c r="B69" i="7" l="1"/>
  <c r="B70" i="7"/>
  <c r="AG15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J.H. Hoekstra</author>
    <author>Hoekstra, ing. J.H. (Jan Hendrik)</author>
    <author>Oerlemans, ir. R.H.J. (Ruud)</author>
  </authors>
  <commentList>
    <comment ref="E11" authorId="0" shapeId="0" xr:uid="{DB18735C-A641-48F2-87C0-B3DE717F23DD}">
      <text>
        <r>
          <rPr>
            <b/>
            <sz val="9"/>
            <color indexed="81"/>
            <rFont val="Tahoma"/>
            <family val="2"/>
          </rPr>
          <t>Eigen vermogen ingeval van balansfinanciering:</t>
        </r>
        <r>
          <rPr>
            <sz val="9"/>
            <color indexed="81"/>
            <rFont val="Tahoma"/>
            <family val="2"/>
          </rPr>
          <t xml:space="preserve">
U kunt hierbij uitgaan van het eigen vermogen op de meest recente jaarrekening, eventueel vermeerderd met extra inbreng van vermogen door aandeelhouders voor het project c.q. de projecten waarvoor u subsidie aanvraagt binnen deze openstellingsronde.  </t>
        </r>
      </text>
    </comment>
    <comment ref="E12" authorId="0" shapeId="0" xr:uid="{76056613-5A6B-412A-B1AF-7686E19E3D1D}">
      <text>
        <r>
          <rPr>
            <b/>
            <sz val="9"/>
            <color indexed="81"/>
            <rFont val="Tahoma"/>
            <family val="2"/>
          </rPr>
          <t>Rentedragende financiering ingeval van balansfinanciering:</t>
        </r>
        <r>
          <rPr>
            <sz val="9"/>
            <color indexed="81"/>
            <rFont val="Tahoma"/>
            <family val="2"/>
          </rPr>
          <t xml:space="preserve">
U kunt hierbij uitgaan van de rentedragende financiering op de meest recente jaarrekening, eventueel vermeerderd met extra financiering voor het project c.q. de projecten waarvoor u subsidie aanvraagt binnen deze openstellingsronde.  </t>
        </r>
      </text>
    </comment>
    <comment ref="E13" authorId="0" shapeId="0" xr:uid="{5BA959CA-0E3C-4744-9021-322AF3DBC2AD}">
      <text>
        <r>
          <rPr>
            <b/>
            <sz val="9"/>
            <color indexed="81"/>
            <rFont val="Tahoma"/>
            <family val="2"/>
          </rPr>
          <t>Eigen vermogen bij balansfinanciering:</t>
        </r>
        <r>
          <rPr>
            <sz val="9"/>
            <color indexed="81"/>
            <rFont val="Tahoma"/>
            <family val="2"/>
          </rPr>
          <t xml:space="preserve">
Voor de bepaling van percentage eigen vermogen wordt de onderstaande berekening aangehouden:
                              eigen vermogen
--------------------------------------------------------------------------------* 100%
eigen vermogen + rentedragende gefinancierd vermogen 
</t>
        </r>
      </text>
    </comment>
    <comment ref="E19" authorId="1" shapeId="0" xr:uid="{A3CD5890-54D4-4181-BD2E-08FACF16070A}">
      <text>
        <r>
          <rPr>
            <sz val="8"/>
            <color indexed="81"/>
            <rFont val="Tahoma"/>
            <family val="2"/>
          </rPr>
          <t xml:space="preserve">Het gaat hier om het aantal productie-installaties waarvoor de aanvrager binnen deze openstellingsronde subsidie aanvraagt.
</t>
        </r>
      </text>
    </comment>
    <comment ref="B22" authorId="0" shapeId="0" xr:uid="{0883EF34-DB4E-4C34-A76D-B6A823DF405B}">
      <text>
        <r>
          <rPr>
            <sz val="9"/>
            <color indexed="81"/>
            <rFont val="Tahoma"/>
            <family val="2"/>
          </rPr>
          <t xml:space="preserve">Hier geeft u een korte omschrijving van uw aanvraag of als u meerdere aanvragen hebt ingediend van alle aanvragen binnen deze openstellingsronde. </t>
        </r>
      </text>
    </comment>
    <comment ref="B25" authorId="0" shapeId="0" xr:uid="{32ECCC70-555C-4142-B006-A8FA95DF9B1D}">
      <text>
        <r>
          <rPr>
            <sz val="9"/>
            <color indexed="81"/>
            <rFont val="Tahoma"/>
            <family val="2"/>
          </rPr>
          <t xml:space="preserve">Hier geeft u een duidelijk plan voor de financiering van de productie-installatie(s) waarvoor u SDE++ aanvraagt. Het financieringsplan moet aannemelijk maken dat het project gefinancierd kan worden als SDE++ subsidie wordt verleend.
- Als het aandeel eigen vermogen in de totale investering minder is dan 20% is ook een verklaring van een financier verplicht.
- U geeft altijd inzicht in het eigen vermogen van de subsidieaanvrager zelf. Dit doet u door het bijvoegen van een jaarrekening of bedrijfsbalans of als u geen jaarrekening of bedrijfsbalans heeft (bijvoorbeeld in het geval dat u een recent een nieuwe entiteit heeft opgericht voor het project waarvoor u subsidie aanvraagt) door toe te lichten waarom u als aanvrager geen jaarrekening of bedrijfsbalans heeft.
- Het onderdeel eigen vermogen door derden of aandeelhouder(s) onderbouwt u door een contract met deze partij(en) bij te voegen en eventueel een jaarrekening of bedrijfsbalans van deze partij(en) bij te voegen. </t>
        </r>
      </text>
    </comment>
    <comment ref="B30" authorId="1" shapeId="0" xr:uid="{23784CDD-DB9C-4030-8964-73BC5D2BD225}">
      <text>
        <r>
          <rPr>
            <b/>
            <sz val="8"/>
            <color indexed="81"/>
            <rFont val="Tahoma"/>
            <family val="2"/>
          </rPr>
          <t>Investeringen:</t>
        </r>
        <r>
          <rPr>
            <sz val="8"/>
            <color indexed="81"/>
            <rFont val="Tahoma"/>
            <family val="2"/>
          </rPr>
          <t xml:space="preserve">
Hieronder vallen alle te verwachten investeringskosten die moeten worden gemaakt ten behoeve van de realisatie van de productie-installatie(s).  
Wanneer u voor één productie-installatie subsidie aanvraagt in deze openstellingsronde, volstaat het noemen van de totale investeringskosten van de installatie.
Wanneer u voor meerdere installaties aanvraagt in deze openstellingsronde, geeft u per installatie of cluster van soortgelijke installaties de investeringskosten op. U kunt in dit invulblok eventueel extra regels invoegen.
In het tabblad Exploitatieberekening geeft u per installatie per hoofdcomponent de investeringskosten op.</t>
        </r>
      </text>
    </comment>
    <comment ref="G40" authorId="2" shapeId="0" xr:uid="{4DEB4B20-4A91-4EDB-9C77-E9BFA6C663F0}">
      <text>
        <r>
          <rPr>
            <b/>
            <sz val="8"/>
            <color indexed="81"/>
            <rFont val="Tahoma"/>
            <family val="2"/>
          </rPr>
          <t xml:space="preserve">Let op:
</t>
        </r>
        <r>
          <rPr>
            <sz val="8"/>
            <color indexed="81"/>
            <rFont val="Tahoma"/>
            <family val="2"/>
          </rPr>
          <t>Dit totaal moet gelijk zijn aan de som van alle aanvragen indien u meerdere aanvragen in deze openstellingsronde hebt ingediend</t>
        </r>
      </text>
    </comment>
    <comment ref="A47" authorId="2" shapeId="0" xr:uid="{B109F112-6E80-4672-A314-F961AE81EA37}">
      <text>
        <r>
          <rPr>
            <sz val="8"/>
            <color indexed="81"/>
            <rFont val="Tahoma"/>
            <family val="2"/>
          </rPr>
          <t xml:space="preserve">De financiering bestaat uit inbreng eigen vermogen en/of inbreng uit vreemd vermogen. 
U geeft op hoeveel Euro u uit eigen vermogen financiert. Het resterende bedrag specificeert u onder het kopje vreemd vermogen. 
</t>
        </r>
      </text>
    </comment>
    <comment ref="B51" authorId="1" shapeId="0" xr:uid="{58FC15CB-5D6F-4107-975E-0BADFF3A2A68}">
      <text>
        <r>
          <rPr>
            <b/>
            <sz val="8"/>
            <color indexed="81"/>
            <rFont val="Tahoma"/>
            <family val="2"/>
          </rPr>
          <t xml:space="preserve">Investeringssubsidies:
</t>
        </r>
        <r>
          <rPr>
            <sz val="8"/>
            <color indexed="81"/>
            <rFont val="Tahoma"/>
            <family val="2"/>
          </rPr>
          <t xml:space="preserve">Hiertoe behoren alle subsidies die worden ontvangen voor de investeringen in alle productie-installaties waarvoor deze aanvrager binnen deze openstellingsronde aanvraagt.
Graag hier de naam van de subsidieregeling vermelden.
</t>
        </r>
      </text>
    </comment>
    <comment ref="G51" authorId="1" shapeId="0" xr:uid="{F514513C-4EAF-4FFE-B8A9-4C709BC96A2A}">
      <text>
        <r>
          <rPr>
            <sz val="8"/>
            <color indexed="81"/>
            <rFont val="Tahoma"/>
            <family val="2"/>
          </rPr>
          <t xml:space="preserve">Graag hier de hoogte van de aangevraagde investeringssubsidie invullen. Hiertoe behoren alle subsidies die worden ontvangen voor de investeringen in alle productie-installaties waarvoor deze aanvrager binnen deze openstellingsronde aanvraagt.
</t>
        </r>
      </text>
    </comment>
    <comment ref="G55" authorId="1" shapeId="0" xr:uid="{A6ABAB8C-40E7-4477-9523-81E3BF52A493}">
      <text>
        <r>
          <rPr>
            <sz val="8"/>
            <color indexed="81"/>
            <rFont val="Tahoma"/>
            <family val="2"/>
          </rPr>
          <t>Het gaat hierbij specifiek om het eigen vermogen van uw onderneming dat beschikbaar is voor de investering in het project op het moment dat u de subsidie aanvraag/aanvragen indient.</t>
        </r>
      </text>
    </comment>
    <comment ref="G58" authorId="1" shapeId="0" xr:uid="{DCF300CC-A4EC-4178-B6C4-3F8E9F0B056E}">
      <text>
        <r>
          <rPr>
            <sz val="8"/>
            <color indexed="81"/>
            <rFont val="Tahoma"/>
            <family val="2"/>
          </rPr>
          <t xml:space="preserve">Hier vult u het totaalbedrag in dat middels crowdfunding of participaties wordt ingebracht.
</t>
        </r>
      </text>
    </comment>
    <comment ref="B61" authorId="1" shapeId="0" xr:uid="{B41E4B29-B323-444D-BE7F-E48FD4B6157D}">
      <text>
        <r>
          <rPr>
            <sz val="8"/>
            <color indexed="81"/>
            <rFont val="Tahoma"/>
            <family val="2"/>
          </rPr>
          <t>Eigen vermogen door derden of aandeelhouder(s) is onderbouwd met een contract.
Maak eventueel duidelijk dat de eigen vermogenverschaffer het geld beschikbaar heeft (jaarrekening of bedrijfsbalans).</t>
        </r>
      </text>
    </comment>
    <comment ref="B72" authorId="1" shapeId="0" xr:uid="{3E733C8E-2217-456D-9AD8-E0A85A7EAE96}">
      <text>
        <r>
          <rPr>
            <sz val="8"/>
            <color indexed="81"/>
            <rFont val="Tahoma"/>
            <family val="2"/>
          </rPr>
          <t>Eigen vermogen door achtergestelde leningen van derden is onderbouwd met een contract.
Maak eventueel duidelijk dat de verschaffer van de achtergestelde lening het geld beschikbaar heeft (jaarrekening of bedrijfsbalans).
Ingeval van een bij overheidswege verschafte achtergestelde lening hoeft u niet te onderbouwen dat deze geld beschikbaar heeft, maar volstaat het contract zelf.</t>
        </r>
      </text>
    </comment>
    <comment ref="B84" authorId="1" shapeId="0" xr:uid="{16A97686-2F0F-4EB4-AC18-7297D26217D0}">
      <text>
        <r>
          <rPr>
            <sz val="8"/>
            <color indexed="81"/>
            <rFont val="Tahoma"/>
            <family val="2"/>
          </rPr>
          <t xml:space="preserve">Onderbouwt u het vreemd vermogen zoveel mogelijk met contracten, offertes of intentieverklaring van de beoogde financier(s). 
</t>
        </r>
        <r>
          <rPr>
            <b/>
            <sz val="8"/>
            <color indexed="81"/>
            <rFont val="Tahoma"/>
            <family val="2"/>
          </rPr>
          <t>Let op:</t>
        </r>
        <r>
          <rPr>
            <sz val="8"/>
            <color indexed="81"/>
            <rFont val="Tahoma"/>
            <family val="2"/>
          </rPr>
          <t xml:space="preserve">
Als u voor de investeringskosten van het project, waarvoor u SDE++ subsidie aanvraagt, over minder dan 20% eigen vermogen beschikt voor deze investering, moet u verplicht een contract, offerte of intentieverklaring van een financier toevoegen. Hieruit moet blijken dat deze financier bereid is om het project te financieren in geval van een positieve SDE+ beschikking.
In het geval dat u wel over 20% van de investeringskosten aan eigen vermogen beschikt, maar dit niet in het project kan of wil investeren moet u eveneens verplicht een contract, offerte of intentieverklaring van de beoogde financier(s) toevoegen.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Hoekstra, ing. J.H. (Jan Hendrik)</author>
  </authors>
  <commentList>
    <comment ref="B17" authorId="0" shapeId="0" xr:uid="{F57BEF25-B077-429F-B020-C8DA35D060E9}">
      <text>
        <r>
          <rPr>
            <sz val="8"/>
            <color indexed="81"/>
            <rFont val="Tahoma"/>
            <family val="2"/>
          </rPr>
          <t xml:space="preserve">Hier vult u het vermogen van de productie-installatie in uitgedrukt in kW.
</t>
        </r>
      </text>
    </comment>
    <comment ref="A32" authorId="0" shapeId="0" xr:uid="{E9095E03-0134-4404-AE13-373076400717}">
      <text>
        <r>
          <rPr>
            <sz val="8"/>
            <color indexed="81"/>
            <rFont val="Tahoma"/>
            <family val="2"/>
          </rPr>
          <t>Alleen warmte die nuttig (volgens artikel 1 van de algemene uitvoeringsregeling stimulering duurzame energieproductie) wordt gebruikt, kan worden gesubsidieerd. Daarom vermeldt u hoe de warmte gebruikt gaat worden.
Als u de opgewekte warmte gebruikt in uw eigen bedrijf, vermeldt dan voor welke gebouwverwarming of welk productieproces u de warmte gaat aanwenden.
Als u warmte levert aan derden, vermeldt dan voor welke gebouwverwarming of welk productieproces uw warmteafnemer de warmte gaat aanwenden.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Oerlemans, ir. R.H.J. (Ruud)</author>
    <author>Hoekstra, ing. J.H. (Jan Hendrik)</author>
    <author>JHH</author>
    <author>RVO</author>
    <author>J.H. Hoekstra</author>
  </authors>
  <commentList>
    <comment ref="B17" authorId="0" shapeId="0" xr:uid="{BAB39E0C-D283-4CF4-BA97-74B02619CE25}">
      <text>
        <r>
          <rPr>
            <b/>
            <sz val="8"/>
            <color indexed="81"/>
            <rFont val="Tahoma"/>
            <family val="2"/>
          </rPr>
          <t>Investeringskosten:</t>
        </r>
        <r>
          <rPr>
            <sz val="8"/>
            <color indexed="81"/>
            <rFont val="Tahoma"/>
            <family val="2"/>
          </rPr>
          <t xml:space="preserve">
Hier beschrijft u de investeringen op niveau van hoofdcomponenten. Hieronder vallen alle te verwachten investeringskosten die moeten worden gemaakt ten behoeve van de realisatie productie-installatie voor duurzame energie. 
Het is voldoende om investeringskosten op het niveau van hoofdcomponenten te specificeren. </t>
        </r>
      </text>
    </comment>
    <comment ref="N17" authorId="1" shapeId="0" xr:uid="{C76EB25A-54F1-4B02-A0F2-3F0332D75775}">
      <text>
        <r>
          <rPr>
            <sz val="8"/>
            <color indexed="81"/>
            <rFont val="Tahoma"/>
            <family val="2"/>
          </rPr>
          <t xml:space="preserve">In dit blok vult u de investeringsbedragen in van de hoofdcomponenten.
</t>
        </r>
      </text>
    </comment>
    <comment ref="E34" authorId="1" shapeId="0" xr:uid="{FE96901E-954C-4690-88F7-3F921FC1A908}">
      <text>
        <r>
          <rPr>
            <b/>
            <sz val="8"/>
            <color indexed="81"/>
            <rFont val="Tahoma"/>
            <family val="2"/>
          </rPr>
          <t>Toelichting:</t>
        </r>
        <r>
          <rPr>
            <sz val="8"/>
            <color indexed="81"/>
            <rFont val="Tahoma"/>
            <family val="2"/>
          </rPr>
          <t xml:space="preserve">
De looptijd van de lening is in deze exploitatieberekening standaard gelijk aan de subsidielooptijd. Indien uw lening een kortere looptijd heeft kunt u de looptijd van de lening naar beneden aanpassen.    
</t>
        </r>
      </text>
    </comment>
    <comment ref="L34" authorId="1" shapeId="0" xr:uid="{D0ABC709-5B7A-4F9E-821F-D64705C99365}">
      <text>
        <r>
          <rPr>
            <b/>
            <sz val="8"/>
            <color indexed="81"/>
            <rFont val="Tahoma"/>
            <family val="2"/>
          </rPr>
          <t>Vreemd vermogen:</t>
        </r>
        <r>
          <rPr>
            <sz val="8"/>
            <color indexed="81"/>
            <rFont val="Tahoma"/>
            <family val="2"/>
          </rPr>
          <t xml:space="preserve">
In dit invulblok vult u het rentepercentage, de looptijd van de lening en de aflossingsvorm van de lening in. Het model rekent dan zelf de aflossing en rente per jaar uit. </t>
        </r>
      </text>
    </comment>
    <comment ref="E40" authorId="1" shapeId="0" xr:uid="{B9921934-3D48-4740-9A73-0017C2B6229C}">
      <text>
        <r>
          <rPr>
            <sz val="8"/>
            <color indexed="81"/>
            <rFont val="Tahoma"/>
            <family val="2"/>
          </rPr>
          <t xml:space="preserve">Hier vult u in welk deel van de door de productie-installatie opgewekte hernieuwbare elektriciteit u gemiddeld per jaar verwacht zelf te gaan gebruiken op uw locatie.
</t>
        </r>
      </text>
    </comment>
    <comment ref="H40" authorId="1" shapeId="0" xr:uid="{471D93E3-4320-42CE-82A0-632898E10BB1}">
      <text>
        <r>
          <rPr>
            <sz val="8"/>
            <color indexed="81"/>
            <rFont val="Tahoma"/>
            <family val="2"/>
          </rPr>
          <t>Voor de opgewekte elektriciteit die u zelf gebruikt, kunt u uitgaan van de vermeden inkoopkosten inclusief bijkomende kosten als energiebelasting (EB) en transportkosten.</t>
        </r>
        <r>
          <rPr>
            <b/>
            <sz val="8"/>
            <color indexed="81"/>
            <rFont val="Tahoma"/>
            <family val="2"/>
          </rPr>
          <t xml:space="preserve"> </t>
        </r>
        <r>
          <rPr>
            <sz val="8"/>
            <color indexed="81"/>
            <rFont val="Tahoma"/>
            <family val="2"/>
          </rPr>
          <t xml:space="preserve">
</t>
        </r>
      </text>
    </comment>
    <comment ref="L40" authorId="1" shapeId="0" xr:uid="{CA53BBD0-50E2-4ACC-9321-47B202327ABC}">
      <text>
        <r>
          <rPr>
            <sz val="8"/>
            <color indexed="81"/>
            <rFont val="Tahoma"/>
            <family val="2"/>
          </rPr>
          <t xml:space="preserve">In dit invulblok vult u de indexatie per soort energie of product waarvoor u subsidie aanvraagt in. Bij elektriciteit geldt het indexatiepercentage in de samengevoegde cel L40-43 voor zowel netlevering, niet-netlevering als gemiste productie.
In het geval dat er sprake is van langlopende energiecontracten of leveringscontracten voor uw product met een vaste prijs, kunt u deze op 0% zetten. Anders kunt u de indexatie invullen die u verwacht voor de prijsontwikkeling in Nederland voor de betreffende soort energie. 
</t>
        </r>
      </text>
    </comment>
    <comment ref="E41" authorId="2" shapeId="0" xr:uid="{3A00D9D8-BBD4-4D82-B5F1-56299B3B9EE6}">
      <text>
        <r>
          <rPr>
            <b/>
            <sz val="9"/>
            <color indexed="81"/>
            <rFont val="Tahoma"/>
            <family val="2"/>
          </rPr>
          <t>Toelichting bij netaansluiting teruglevering ≥ 200 kW</t>
        </r>
        <r>
          <rPr>
            <sz val="9"/>
            <color indexed="81"/>
            <rFont val="Tahoma"/>
            <family val="2"/>
          </rPr>
          <t xml:space="preserve">
Voor netlevering van elektriciteit door productie-installaties zon-PV, wind, waterkracht en biomassavergisting-WKK op een netaansluiting ≥ 200 kW geldt de voorwaarde dat deze productie niet in aanmerking komt voor SDE++ subsidie tijdens periodes van negatieve elektriciteitsprijzen ≥ 1 uur op de European Power Exchange groothandelsbeurs voor elektriciteit (EPEX). 
Indien U de opgewekte elektriciteit gaat verkopen via een purchase power agreement (PPA) en u laat de productie-installatie doorproduceren tijdens negatieve prijsperioden op de EPEX-beurs, vult u in cel E41 de verwachte hoeveelheid elektriciteit in, die geproduceerd gaat worden ten tijde van negatieve elektriciteieitsprijzen op de EPEX-beurs.
Meer informatie over negatieve elektriciteitsprijzen vindt u op: https://www.rvo.nl/subsidies-financiering/sde/produceren#negatieve-elektriciteitsprijzen
</t>
        </r>
        <r>
          <rPr>
            <b/>
            <sz val="9"/>
            <color indexed="81"/>
            <rFont val="Tahoma"/>
            <family val="2"/>
          </rPr>
          <t>Toelichting bij netaansluiting teruglevering &lt; 200 kW</t>
        </r>
        <r>
          <rPr>
            <sz val="9"/>
            <color indexed="81"/>
            <rFont val="Tahoma"/>
            <family val="2"/>
          </rPr>
          <t xml:space="preserve">
Indien uw netaansluiting voor teruglevering kleiner is dan 200 KW vult u in cel E41 0 kWh in, omdat de uitsluiting van SDE++ subsidie bij negatieve EPEX-prijzen voor uw productie-installatie niet van toepassing is. 
</t>
        </r>
      </text>
    </comment>
    <comment ref="H41" authorId="3" shapeId="0" xr:uid="{FF054D51-481B-4104-A613-7011D17EA6B5}">
      <text>
        <r>
          <rPr>
            <sz val="9"/>
            <color indexed="81"/>
            <rFont val="Tahoma"/>
            <family val="2"/>
          </rPr>
          <t xml:space="preserve">In deze cel vult u de marktvergoeding in als u de elektriciteit verkoopt via een stroomafname-overeenkomst (ook wel PPA genoemd).  
</t>
        </r>
      </text>
    </comment>
    <comment ref="E42" authorId="3" shapeId="0" xr:uid="{254E4ACC-93D3-47C4-A795-240605E299A7}">
      <text>
        <r>
          <rPr>
            <b/>
            <sz val="9"/>
            <color indexed="81"/>
            <rFont val="Tahoma"/>
            <family val="2"/>
          </rPr>
          <t xml:space="preserve">Toelichting
</t>
        </r>
        <r>
          <rPr>
            <sz val="9"/>
            <color indexed="81"/>
            <rFont val="Tahoma"/>
            <family val="2"/>
          </rPr>
          <t xml:space="preserve">Voor netlevering van elektriciteit door productie-installaties zon-PV, wind, waterkracht en biomassavergisting-WKK op een netaansluiting ≥ 200 kW geldt de voorwaarde dat deze productie niet in aanmerking komt voor SDE++ subsidie tijdens periodes van negatieve elektriciteitsprijzen ≥ 1 uur op de European Power Exchange groothandelsbeurs voor elektriciteit (EPEX). 
Indien U de opgewekte elektriciteit gaat verkopen op de EPEX-beurs en zet uw productie-installatie stop tijdens negatieve prijzen op de EPEX-beurs, kunt u de  verwachte jaarlijkse germiste productie invullen in cel E42. De marktwaarde staat standaard op 0 €/kWh in cel H42. In het geval u bijvoorbeeld opbrengsten (onbalansvergoeding) verwacht door curtailment (terugregelen of stilzetten) van uw productie-installatie voor opwekking van hernieuwbare elektriciteit kunt u de gemiddelde vergoeding per kWh invullen in cel H42.
 </t>
        </r>
        <r>
          <rPr>
            <b/>
            <sz val="9"/>
            <color indexed="81"/>
            <rFont val="Tahoma"/>
            <family val="2"/>
          </rPr>
          <t xml:space="preserve">
</t>
        </r>
        <r>
          <rPr>
            <sz val="9"/>
            <color indexed="81"/>
            <rFont val="Tahoma"/>
            <family val="2"/>
          </rPr>
          <t xml:space="preserve">Meer informatie over negatieve elektriciteitsprijzen vindt u op: https://www.rvo.nl/subsidies-financiering/sde/produceren#negatieve-elektriciteitsprijzen
</t>
        </r>
        <r>
          <rPr>
            <b/>
            <sz val="9"/>
            <color indexed="81"/>
            <rFont val="Tahoma"/>
            <family val="2"/>
          </rPr>
          <t xml:space="preserve">
</t>
        </r>
      </text>
    </comment>
    <comment ref="H42" authorId="3" shapeId="0" xr:uid="{8B336CEC-8F55-497D-B483-80DDA680A48C}">
      <text>
        <r>
          <rPr>
            <sz val="9"/>
            <color indexed="81"/>
            <rFont val="Tahoma"/>
            <family val="2"/>
          </rPr>
          <t xml:space="preserve">Standaard staat de marktvergoeding voor gemiste productie op € 0/kWh
In het geval u bijvoorbeeld opbrengsten (onbalansvergoeding) verwacht door curtailment (terugregelen of stilzetten) van uw productie-installatie voor opwekking van hernieuwbare elektriciteit, kunt u deze hier invullen.
</t>
        </r>
      </text>
    </comment>
    <comment ref="H43" authorId="4" shapeId="0" xr:uid="{9D5D0B1D-97B4-49B7-AC12-E0FD4FD1F889}">
      <text>
        <r>
          <rPr>
            <sz val="9"/>
            <color indexed="81"/>
            <rFont val="Tahoma"/>
            <family val="2"/>
          </rPr>
          <t xml:space="preserve">In deze cel vult u de door u verwachte verkoopprijs van één kWh elektriciteit in. Hierbij dient u uit te gaan van het gemiddelde over een jaar.
Indien uw productie-installatie zon-PV, wind, osmose, waterkracht, of biomassavergisting-WKK betreft en u geen vaste leveringsprijs hebt, kunt u hier de waarde uit cel H58 overnemen. 
</t>
        </r>
      </text>
    </comment>
    <comment ref="H44" authorId="4" shapeId="0" xr:uid="{C02EE4DD-47AC-46E5-BF2B-A8E3D0728392}">
      <text>
        <r>
          <rPr>
            <sz val="9"/>
            <color indexed="81"/>
            <rFont val="Tahoma"/>
            <family val="2"/>
          </rPr>
          <t>In deze cel vult u de verwachte verkoopprijs van uw product in.
Voor de onderstaande producten is dat in €/kWh:
- hernieuwbare en CO</t>
        </r>
        <r>
          <rPr>
            <vertAlign val="subscript"/>
            <sz val="9"/>
            <color indexed="81"/>
            <rFont val="Tahoma"/>
            <family val="2"/>
          </rPr>
          <t>2</t>
        </r>
        <r>
          <rPr>
            <sz val="9"/>
            <color indexed="81"/>
            <rFont val="Tahoma"/>
            <family val="2"/>
          </rPr>
          <t>-arme warmte
- hernieuwbaar gas
- waterstof 
- hernieuwbare transportbrandstof
Voor de levering van CO</t>
        </r>
        <r>
          <rPr>
            <vertAlign val="subscript"/>
            <sz val="9"/>
            <color indexed="81"/>
            <rFont val="Tahoma"/>
            <family val="2"/>
          </rPr>
          <t>2</t>
        </r>
        <r>
          <rPr>
            <sz val="9"/>
            <color indexed="81"/>
            <rFont val="Tahoma"/>
            <family val="2"/>
          </rPr>
          <t xml:space="preserve"> aan de glastuinbouw (CCU) is dat in €/ton CO</t>
        </r>
        <r>
          <rPr>
            <vertAlign val="subscript"/>
            <sz val="9"/>
            <color indexed="81"/>
            <rFont val="Tahoma"/>
            <family val="2"/>
          </rPr>
          <t>2</t>
        </r>
        <r>
          <rPr>
            <sz val="9"/>
            <color indexed="81"/>
            <rFont val="Tahoma"/>
            <family val="2"/>
          </rPr>
          <t xml:space="preserve">
Hierbij dient u uit te gaan van een gemiddelde prijs over een jaar. 
Indien u warmte opwekt en (een deel van) de opgewekte warmte zelf gebruikt, kunt u (voor dat deel) uitgaan van de vermeden inkoopkosten aan gas inclusief bijkomende kosten als energiebelasting (EB) en transportkosten. 
</t>
        </r>
      </text>
    </comment>
    <comment ref="H49" authorId="4" shapeId="0" xr:uid="{E19CB5C3-9CB5-434E-908D-CB91212ED538}">
      <text>
        <r>
          <rPr>
            <sz val="9"/>
            <color indexed="81"/>
            <rFont val="Tahoma"/>
            <family val="2"/>
          </rPr>
          <t xml:space="preserve">De ETS-1 prijs is in deze exploitatieberekening standaard gelijk aan de ETS-1 component in het voorlopige correctiebedrag (cel H63 op dit tabblad). Indien u kunt onderbouwen dat voor u een andere waarde van toepassing is kunt u dit aanpassen.
</t>
        </r>
      </text>
    </comment>
    <comment ref="L49" authorId="1" shapeId="0" xr:uid="{1FA35F50-4D13-48B8-A56B-FE7F145A22FF}">
      <text>
        <r>
          <rPr>
            <sz val="8"/>
            <color indexed="81"/>
            <rFont val="Tahoma"/>
            <family val="2"/>
          </rPr>
          <t xml:space="preserve">Hier vult u de indexatie in die u verwacht voor de ontwikkeling van de 
ETS-prijs.
</t>
        </r>
      </text>
    </comment>
    <comment ref="E54" authorId="1" shapeId="0" xr:uid="{8CB8E13D-799B-48AC-BEE4-3DE7C9124366}">
      <text>
        <r>
          <rPr>
            <b/>
            <sz val="8"/>
            <color indexed="81"/>
            <rFont val="Tahoma"/>
            <family val="2"/>
          </rPr>
          <t>Toelichting:</t>
        </r>
        <r>
          <rPr>
            <sz val="8"/>
            <color indexed="81"/>
            <rFont val="Tahoma"/>
            <family val="2"/>
          </rPr>
          <t xml:space="preserve">
Hier vult u het bedrag in waarvoor u subsidie aanvraagt.
Standaard staat het maximum basisbedrag ingevuld, maar u kunt ook voor een lager bedrag aanvragen om meer kans op subsidie te maken.
</t>
        </r>
      </text>
    </comment>
    <comment ref="E55" authorId="2" shapeId="0" xr:uid="{47445DE8-7E9F-4DF9-8638-04A97D0CEB2A}">
      <text>
        <r>
          <rPr>
            <b/>
            <sz val="9"/>
            <color indexed="81"/>
            <rFont val="Tahoma"/>
            <family val="2"/>
          </rPr>
          <t>Toelichting:</t>
        </r>
        <r>
          <rPr>
            <sz val="9"/>
            <color indexed="81"/>
            <rFont val="Tahoma"/>
            <family val="2"/>
          </rPr>
          <t xml:space="preserve">
Als hier een waarde staat, betreft het hier het opbrengstgrensbedrag voor de categorie wind of zon-PV.
Het opbrengstgrensbedrag ligt 0,0180 euro/kWh boven het basisbedrag van de betreffende categorie wind of zon-PV. Indien in enig jaar het correctiebedrag (generieke bepaalde marktprijs) boven het opbrengstgrensbedrag ligt, wordt dit gezien als teveel staatsteun en wordt dit in mindering gebracht op reeds ontvangen subsidies of nog uit te betalen subsidies in de toekomst. Omdat dit rekenmodel werkt met een prognose waarbij prijzen geindexeerd worden naar de toekomst, zullen in dit model alleen "te hoge correctiebedragen" (opbrengsten die uit de markt kunnen worden verkregen) worden verrekend (teruggevorderd) met reeds ontvangen subsidie. Deze terugvordering zal echter nooit hoger zijn dan de reeds ontvangen SDE++ subsidie in de jaren voorafgaand aan de terugvordering.    
</t>
        </r>
      </text>
    </comment>
    <comment ref="H58" authorId="4" shapeId="0" xr:uid="{003EF928-6114-4B7D-917D-4164CFDB6CA6}">
      <text>
        <r>
          <rPr>
            <sz val="9"/>
            <color indexed="81"/>
            <rFont val="Tahoma"/>
            <family val="2"/>
          </rPr>
          <t>Het verwachte correctiebedrag in deze exploitatieberekening is standaard gelijk aan de voorlopige correcties in 2026 voor de energie-of productprijs die PBL berekend heeft voor de betreffende categorie vermeerderd met categorie-afhankelijke opslagen zoals vermeden energiebelasting, transportkosten voor elektriciteit, waarde Garantie van Oorsprong (GVO) en Hernieuwbare Brandstof Eenheden (HBE). Indien u kunt onderbouwen dat een andere set van beginwaarde en indexatie beter aansluit bij een verwachte prijsontwikkeling kunt u dit aanpassen.</t>
        </r>
      </text>
    </comment>
    <comment ref="L58" authorId="4" shapeId="0" xr:uid="{D602FB62-9EE3-4728-B11F-4845354C6EA3}">
      <text>
        <r>
          <rPr>
            <sz val="9"/>
            <color indexed="81"/>
            <rFont val="Tahoma"/>
            <family val="2"/>
          </rPr>
          <t>Hier vult u de indexatie in die u verwacht voor de ontwikkeling van de ETS-prijs.</t>
        </r>
      </text>
    </comment>
    <comment ref="H63" authorId="4" shapeId="0" xr:uid="{5C07FB91-B697-4CF7-80F9-922E45075749}">
      <text>
        <r>
          <rPr>
            <b/>
            <sz val="9"/>
            <color indexed="81"/>
            <rFont val="Tahoma"/>
            <family val="2"/>
          </rPr>
          <t>Toelichting</t>
        </r>
        <r>
          <rPr>
            <sz val="9"/>
            <color indexed="81"/>
            <rFont val="Tahoma"/>
            <family val="2"/>
          </rPr>
          <t xml:space="preserve">
De ETS-1 prijs voor warmtecategorieën is in deze exploitatieberekening standaard gelijk aan de ETS-1 component in het voorlopige correctiebedrag 2026. Bij CCS-categorieën voor ETS-1 installaties is het voorlopige ETS-1 correctiebedrag voor in deze exploitatieberekening standaard gelijk aan het voorlopige ETS-1 correctiebedrag 2026 die PBL berekend heeft voor de betreffende CCS-categorie. Indien u kunt onderbouwen dat voor u een andere waarde van toepassing is kunt u dit aanpassen.
</t>
        </r>
        <r>
          <rPr>
            <b/>
            <sz val="9"/>
            <color indexed="81"/>
            <rFont val="Tahoma"/>
            <family val="2"/>
          </rPr>
          <t>Aanpassing rekenregels ETS-1 correctiebedrag vanaf 2026</t>
        </r>
        <r>
          <rPr>
            <sz val="9"/>
            <color indexed="81"/>
            <rFont val="Tahoma"/>
            <family val="2"/>
          </rPr>
          <t xml:space="preserve">
Er zijn vanaf 2026 wijzigingen doorgevoerd in de rekenformules voor de ETS-1 correctie voor de volgende categorieën productie-installaties:
- Elektroboiler;
- Categorieën met warmtepompen;
- Waterstofproductie door elektrolyse.
Vanaf 2026 kunnen namelijk vrije emissierechten worden toegekend aan warmte opgewekt door elektriciteit. Omdat elektroboilers warmte opwekken met elektriciteit en warmtepompen een deel van de warmte uit elektriciteit halen zullen installaties waarbij sprake is van een ETS-1 installatie een hoger ETS-1 voordeel behalen en daarom ook een hogere ETS-1 correctie op de SDE++ subsidie krijgen. Dit geldt ook bij restwarmtebenutting met warmtepomp waarbij er warmte wordt geleverd aan ETS-1-installaties.
Voor waterstofproductie door elektrolyse kunnen vanaf 2026 ook vrije emissierechten worden toegekend. Indien dit voor de subsidieontvanger het geval is zal ook hier het ETS-1 voordeel met de SDE++ subsidie worden verrekend.       
In het Model haalbaarheidsstudie SDE++ 2026 zijn standaard de opbrengsten uit ETS-1 en de ETS-1 correctie gelijk aan elkaar. Mocht u de waarden in de cel E49 en E63 handmatig aanpassen, houdt u dan rekening met het bovenstaande.    
</t>
        </r>
      </text>
    </comment>
    <comment ref="L63" authorId="4" shapeId="0" xr:uid="{A499367B-D128-4611-BEDF-F93E75B709F0}">
      <text>
        <r>
          <rPr>
            <sz val="9"/>
            <color indexed="81"/>
            <rFont val="Tahoma"/>
            <family val="2"/>
          </rPr>
          <t>Hier vult u de indexatie in die u verwacht voor de ontwikkeling van de ETS-prijs.</t>
        </r>
      </text>
    </comment>
    <comment ref="C64" authorId="3" shapeId="0" xr:uid="{F1168D15-3255-4118-94CB-6473C1096219}">
      <text>
        <r>
          <rPr>
            <b/>
            <sz val="9"/>
            <color indexed="81"/>
            <rFont val="Tahoma"/>
            <family val="2"/>
          </rPr>
          <t xml:space="preserve">Aankondiging ETS-2 correctie in kamerbrief 6 juni 2025 door minister van Klimaat &amp; Groene Groei </t>
        </r>
        <r>
          <rPr>
            <sz val="9"/>
            <color indexed="81"/>
            <rFont val="Tahoma"/>
            <family val="2"/>
          </rPr>
          <t xml:space="preserve">
Aanvragers vanaf de SDE++ 2026 kunnen gekort worden op hun subsidie als ze leveren aan sectoren die onder het ETS-2 vallen middels een ETS-2 correctie zodra de ETS-2 in werking is getreden. De inwerkingtreding van het ETS-2 is voorzien vanaf het kalenderjaar 2028. Bij het publiceren van de SDE++ 2026 regeling waren de exacte details m.b.t. een ETS-2 correctie op de SDE++ subsidie nog niet bekend. 
Voor het invullen van deze Exploitatieberekening hoeft u geen ETS-2 opbrengsten en ETS-2 correcties in te vullen. De extra opbrengsten omdat een afnemer in de toekomst bereidt zou zijn meer te betalen vanwege vermeden inkoop aan ETS-2 rechten zullen in dezelfde ordegrootte liggen als de vastgestelde ETS-2 correcties die worden toegepast op de SDE++ productie-installatie van de exploitant. Het netto effect aan extra opbrengst en extra correctie kunt u voor deze exploitatieberekening als neutraal beschouwen. </t>
        </r>
      </text>
    </comment>
    <comment ref="B71" authorId="1" shapeId="0" xr:uid="{A55D0FB1-30B2-4496-8AC2-0F6B0E8FCC86}">
      <text>
        <r>
          <rPr>
            <b/>
            <sz val="8"/>
            <color indexed="81"/>
            <rFont val="Tahoma"/>
            <family val="2"/>
          </rPr>
          <t>Overige exploitatiesubsidies:</t>
        </r>
        <r>
          <rPr>
            <sz val="8"/>
            <color indexed="81"/>
            <rFont val="Tahoma"/>
            <family val="2"/>
          </rPr>
          <t xml:space="preserve">
Hiertoe behoren alle exploitatiesubsidies die u naast SDE+ subsidie verwacht te ontvangen. Indien van toepassing vult u hier de naam in van exploitatiesubsidie.  
</t>
        </r>
      </text>
    </comment>
    <comment ref="O71" authorId="1" shapeId="0" xr:uid="{A4D96456-68BC-4EEF-8A0D-C47D5CE4D168}">
      <text>
        <r>
          <rPr>
            <sz val="8"/>
            <color indexed="81"/>
            <rFont val="Tahoma"/>
            <family val="2"/>
          </rPr>
          <t xml:space="preserve">Hier kunt u, indien van toepassing, per jaar het bedrag van de overige exploitatiesubsidies invullen.
</t>
        </r>
      </text>
    </comment>
    <comment ref="B72" authorId="1" shapeId="0" xr:uid="{0F6CB6A3-D6F2-4F66-8C2A-F215854F94A2}">
      <text>
        <r>
          <rPr>
            <b/>
            <sz val="8"/>
            <color indexed="81"/>
            <rFont val="Tahoma"/>
            <family val="2"/>
          </rPr>
          <t>Additionele inkomsten:</t>
        </r>
        <r>
          <rPr>
            <sz val="8"/>
            <color indexed="81"/>
            <rFont val="Tahoma"/>
            <family val="2"/>
          </rPr>
          <t xml:space="preserve">
Hieronder vallen alle opbrengsten die uit de exploitatie van het project verkregen worden, bijvoorbeeld verkoopopbrengst van geproduceerde goederen, anders dan de producten waarvoor u subsidie uit de SDE++ ontvangt. Indien van toepassing kunt u hier het type opbrengsten invullen. 
Additionele inkomsten door verkoop van bijproducten bij biomassa installaties kunt u invullen bij "Verwachte kosten (+) en opbrengsten (-) biomassa en bijproducten". </t>
        </r>
      </text>
    </comment>
    <comment ref="O72" authorId="1" shapeId="0" xr:uid="{4D709AE6-106F-446F-AD8E-AA6056055043}">
      <text>
        <r>
          <rPr>
            <sz val="8"/>
            <color indexed="81"/>
            <rFont val="Tahoma"/>
            <family val="2"/>
          </rPr>
          <t xml:space="preserve">Hier kunt u, indien van toepassing, per jaar het bedrag van de overige additionale inkomsten invullen.
</t>
        </r>
      </text>
    </comment>
    <comment ref="B79" authorId="4" shapeId="0" xr:uid="{8A671653-8A7F-44A4-BAEE-264894F976CF}">
      <text>
        <r>
          <rPr>
            <sz val="9"/>
            <color indexed="81"/>
            <rFont val="Tahoma"/>
            <family val="2"/>
          </rPr>
          <t xml:space="preserve">Er wordt hier een lijst met standaard kostenposten getoond. Deze lijst kunt u aanpassen aan uw specifieke project. 
</t>
        </r>
      </text>
    </comment>
    <comment ref="N79" authorId="1" shapeId="0" xr:uid="{0D24105D-03EB-4563-A6DB-4C8039A2BDCA}">
      <text>
        <r>
          <rPr>
            <sz val="8"/>
            <color indexed="81"/>
            <rFont val="Tahoma"/>
            <family val="2"/>
          </rPr>
          <t xml:space="preserve">In dit invulblok vult u per jaar de bedragen van de verschillende soorten aan operationele kosten in. 
</t>
        </r>
      </text>
    </comment>
    <comment ref="L98" authorId="1" shapeId="0" xr:uid="{027DB946-E109-4B00-82F2-F8DCDF57F56F}">
      <text>
        <r>
          <rPr>
            <b/>
            <sz val="8"/>
            <color indexed="81"/>
            <rFont val="Tahoma"/>
            <family val="2"/>
          </rPr>
          <t>Indexatie %:</t>
        </r>
        <r>
          <rPr>
            <sz val="8"/>
            <color indexed="81"/>
            <rFont val="Tahoma"/>
            <family val="2"/>
          </rPr>
          <t xml:space="preserve">
U kunt hierbij uitgaan van de actuele biomassaprijzen en hier een percentage invullen voor de verwachte indexatie (inflatie) van de biomassaprijzen.</t>
        </r>
      </text>
    </comment>
    <comment ref="L113" authorId="1" shapeId="0" xr:uid="{E4056B5B-D666-4019-8799-2514913D0D82}">
      <text>
        <r>
          <rPr>
            <b/>
            <sz val="8"/>
            <color indexed="81"/>
            <rFont val="Tahoma"/>
            <family val="2"/>
          </rPr>
          <t>Indexatie %:</t>
        </r>
        <r>
          <rPr>
            <sz val="8"/>
            <color indexed="81"/>
            <rFont val="Tahoma"/>
            <family val="2"/>
          </rPr>
          <t xml:space="preserve">
U kunt in dit blok een percentage invullen voor de verwachte indexatie (inflatie) van de transport- en opslagkosten van CO₂ </t>
        </r>
      </text>
    </comment>
    <comment ref="B119" authorId="2" shapeId="0" xr:uid="{C0E5D5B5-E5ED-40AA-ABDE-6AB21C8BCC27}">
      <text>
        <r>
          <rPr>
            <b/>
            <sz val="9"/>
            <color indexed="81"/>
            <rFont val="Tahoma"/>
            <family val="2"/>
          </rPr>
          <t xml:space="preserve">Toelichting:
</t>
        </r>
        <r>
          <rPr>
            <sz val="9"/>
            <color indexed="81"/>
            <rFont val="Tahoma"/>
            <family val="2"/>
          </rPr>
          <t xml:space="preserve">De afschrijvingsperiode is in deze exploitatieberekening standaard gelijk aan de economische levensduur van de categorie. Indien de afschrijvingsperiode voor deze productie-installatie korter is, kunt u deze naar beneden aanpassen.    </t>
        </r>
      </text>
    </comment>
    <comment ref="L141" authorId="1" shapeId="0" xr:uid="{306B3295-AB89-4EC2-A889-371D6195B516}">
      <text>
        <r>
          <rPr>
            <b/>
            <sz val="8"/>
            <color indexed="81"/>
            <rFont val="Tahoma"/>
            <family val="2"/>
          </rPr>
          <t>Tarief winstbelasting:</t>
        </r>
        <r>
          <rPr>
            <sz val="8"/>
            <color indexed="81"/>
            <rFont val="Tahoma"/>
            <family val="2"/>
          </rPr>
          <t xml:space="preserve">
Hier vult u het hoge tarief voor de vennootschapsbelasting in, dan wel (als het niet om een rechtspersoon gaat) het tarief in de hoogste schijf voor de inkomstenbelasting. 
Als u niet belastingplichtig bent, stelt u het tarief op 0.</t>
        </r>
      </text>
    </comment>
  </commentList>
</comments>
</file>

<file path=xl/sharedStrings.xml><?xml version="1.0" encoding="utf-8"?>
<sst xmlns="http://schemas.openxmlformats.org/spreadsheetml/2006/main" count="2491" uniqueCount="708">
  <si>
    <t>Algemene instructies</t>
  </si>
  <si>
    <t xml:space="preserve">Handleiding haalbaarheidsstudie SDE++ </t>
  </si>
  <si>
    <t xml:space="preserve">De tabbladen van dit model haalbaarheidsstudie zijn aan elkaar gekoppeld. U vult eerst het tabblad 'Financiering en projectplan' in, daarna het tabblad 'Productie en afzet' en tenslotte het tabblad  'Exploitatieberekening'. </t>
  </si>
  <si>
    <t>Compatibiliteit Excelmodel met Microsoft Windows en andere besturingssystemen</t>
  </si>
  <si>
    <t xml:space="preserve">Dit Excelmodel functioneert het beste in combinatie met Microsoft Windows. Bij gebruik van dit Excelmodel op computers met andere besturingssystemen kunnen (compatiliteits)problemen ontstaan. In dat geval wordt u geadviseerd gebruik te maken van een computer met een Windows besturingssysteem. </t>
  </si>
  <si>
    <t>Instructie per tabblad</t>
  </si>
  <si>
    <t xml:space="preserve">Financiering en projectplan </t>
  </si>
  <si>
    <r>
      <t xml:space="preserve">In het tabblad  'Financiering en projectplan' moet u onderbouwen hoe u </t>
    </r>
    <r>
      <rPr>
        <u/>
        <sz val="10"/>
        <rFont val="Arial"/>
        <family val="2"/>
      </rPr>
      <t>alle productie-installaties</t>
    </r>
    <r>
      <rPr>
        <sz val="10"/>
        <rFont val="Arial"/>
        <family val="2"/>
      </rPr>
      <t xml:space="preserve"> waarvoor u in deze openstellingsronde subsidie aanvraagt gaat financieren. Dit wordt aan u gevraagd om te kunnen toetsen of u als aanvrager al uw aanvragen ook daadwerkelijk kunt realiseren.     </t>
    </r>
  </si>
  <si>
    <t xml:space="preserve">Productie en afzet </t>
  </si>
  <si>
    <r>
      <t xml:space="preserve">In het tabblad  'Productie en afzet' wordt u gevraagd voor de </t>
    </r>
    <r>
      <rPr>
        <u/>
        <sz val="10"/>
        <rFont val="Arial"/>
        <family val="2"/>
      </rPr>
      <t>betreffende aanvraag</t>
    </r>
    <r>
      <rPr>
        <sz val="10"/>
        <rFont val="Arial"/>
        <family val="2"/>
      </rPr>
      <t xml:space="preserve"> een omschrijving van de beoogde productie-installatie te geven met een product- of energieopbrengstberekening. Indien de productie-installatie warmte opwekt, moet u ook een onderbouwing geven van de beoogde toepassing voor warmteafzet.     </t>
    </r>
  </si>
  <si>
    <t>Exploitatieberekening</t>
  </si>
  <si>
    <t>In het tabblad  'Exploitatieberekening' zijn een aantal kentallen reeds ingevuld als u de tabbladen 'Financiering en projectplan' en 'Energieopbrengst en warmteafzet' hebt ingevuld. U vult voor de betreffende aanvraag nog de ontbrekende gegegevens in en het model rekent dan zelf het projectrendement, het rendement op eigen vermogen en de Debt Service Coverage Ratio (DSCR) uit.</t>
  </si>
  <si>
    <t>Exploitatieberekening en leasing</t>
  </si>
  <si>
    <t>Als u als aanvrager een leasemaatschappij bent, vermeldt u onder 'opbrengsten' de exploitatieopbrengsten uit het project. Hier moet u niet de leasetermijnen invullen.</t>
  </si>
  <si>
    <t xml:space="preserve">Onder 'inkopen en bedrijfskosten' vult u de exploitatiekosten voor het project in.  </t>
  </si>
  <si>
    <t>Ingeval van lease (bij vaste leasetermijnen) vult als aflossingsvorm onder het kopje 'Financiering' annuïteit in.</t>
  </si>
  <si>
    <t>Volledigheid haalbaarheidsstudie</t>
  </si>
  <si>
    <t>Vergeet u niet dit model haalbaarheidsstudie volledig in te vullen en alle verplichte bijlagen mee te sturen die bij deze haalbaarheidsstudie horen. Onvolledige aanvragen kunnen niet in behandeling worden genomen.</t>
  </si>
  <si>
    <t xml:space="preserve">Als u de tabbladen 'Financiering en projectplan', 'Productie en afzet' en 'Exploitatieberekening' volledig hebt ingevuld, kunt u in het tabblad 'Overzicht bijlagen' de stukken vinden die u in ieder geval met de haalbaarheidsstudie mee moet sturen bij uw subsidieaanvraag in eloket. </t>
  </si>
  <si>
    <t>Disclaimer</t>
  </si>
  <si>
    <t>Hoewel dit Model haalbaarheidsstudie met de grootst mogelijke zorg is samengesteld kan Rijksdienst voor Ondernemend Nederland geen enkele aansprakelijkheid aanvaarden voor eventuele fouten.</t>
  </si>
  <si>
    <t xml:space="preserve">Onderbouwing eigen vermogen en financiering voor alle productie-installaties waarvoor deze aanvrager binnen deze openstellingsronde subsidie aanvraagt </t>
  </si>
  <si>
    <t>Algemene gegevens</t>
  </si>
  <si>
    <t>Naam aanvrager/producent</t>
  </si>
  <si>
    <t>Is de aanvrager producent?</t>
  </si>
  <si>
    <t>Hoe financiert u als aanvrager SDE++ projecten?</t>
  </si>
  <si>
    <t xml:space="preserve">Heeft de aanvrager een jaarrekening?  </t>
  </si>
  <si>
    <t>Voor hoeveel productie-installaties vraagt de aanvrager subsidie aan?</t>
  </si>
  <si>
    <t xml:space="preserve">Overzicht van uw aanvraag of aanvragen binnen deze openstellingsronde  </t>
  </si>
  <si>
    <t>Financieringsplan voor alle productie-installaties waarvoor de aanvrager subsidie aanvraagt</t>
  </si>
  <si>
    <t>Totale investeringen voor alle productie-installaties waarvoor de aanvrager subsidie aanvraagt</t>
  </si>
  <si>
    <t xml:space="preserve">Investeringskosten per productie-installatie (€) </t>
  </si>
  <si>
    <t>Totale investeringskosten</t>
  </si>
  <si>
    <t xml:space="preserve">Eigen vermogen en rentedragende financiering bij balansfinanciering  </t>
  </si>
  <si>
    <t>Tekstvak voor toelichtingen aanvrager</t>
  </si>
  <si>
    <t xml:space="preserve">Productieberekening  </t>
  </si>
  <si>
    <t>Naam aanvrager</t>
  </si>
  <si>
    <t xml:space="preserve">Projectnaam </t>
  </si>
  <si>
    <t>Hoofdthema productie-installaties</t>
  </si>
  <si>
    <t>Indeling subthema's productie-installaties</t>
  </si>
  <si>
    <t>Categorie SDE+</t>
  </si>
  <si>
    <t xml:space="preserve">U hebt gekozen voor de categorie </t>
  </si>
  <si>
    <t>Verwachte productie</t>
  </si>
  <si>
    <t>Aantal vollasturen (uur/jaar)</t>
  </si>
  <si>
    <t>Onderbouwing energie- of productopbrengst</t>
  </si>
  <si>
    <t xml:space="preserve">Onderbouwing aanwending hernieuwbare of koolstofdioxide-arme warmte </t>
  </si>
  <si>
    <t>Onderbouwing warmtelevering aan derden</t>
  </si>
  <si>
    <t>Verklaring van de netbeheerder voor invoeden hernieuwbaar gas</t>
  </si>
  <si>
    <t>Capaciteitsverklaring transport- en opslagpartij voor transport en opslag van CO₂</t>
  </si>
  <si>
    <t>ETS-correctie/Geen ETS-correctie</t>
  </si>
  <si>
    <t>Categorie SDE++</t>
  </si>
  <si>
    <t>Subsidielooptijd (jaar)</t>
  </si>
  <si>
    <t>Investeringen</t>
  </si>
  <si>
    <t xml:space="preserve">Investeringskosten gespecificeerd op hoofdcomponenten (€) </t>
  </si>
  <si>
    <r>
      <t>Totale investeringskosten (€</t>
    </r>
    <r>
      <rPr>
        <b/>
        <sz val="10"/>
        <rFont val="Calibri"/>
        <family val="2"/>
      </rPr>
      <t>)</t>
    </r>
  </si>
  <si>
    <t>Financiering</t>
  </si>
  <si>
    <t>Eigen vermogen (%)</t>
  </si>
  <si>
    <t>Eigen vermogen (€)</t>
  </si>
  <si>
    <t>Vreemd vermogen (%)</t>
  </si>
  <si>
    <t>Vreemd vermogen (€)</t>
  </si>
  <si>
    <t>Eigen vermogen en vreemd vermogen</t>
  </si>
  <si>
    <t>Lening</t>
  </si>
  <si>
    <r>
      <t>Bedrag lening (€</t>
    </r>
    <r>
      <rPr>
        <sz val="10"/>
        <color indexed="8"/>
        <rFont val="Arial"/>
        <family val="2"/>
      </rPr>
      <t>)</t>
    </r>
  </si>
  <si>
    <t>Looptijd lening (jaar)</t>
  </si>
  <si>
    <t>Aflossingsvorm</t>
  </si>
  <si>
    <t xml:space="preserve">Rente lening (%) </t>
  </si>
  <si>
    <t>Kalenderjaar of boekjaar</t>
  </si>
  <si>
    <t>Opbrengsten</t>
  </si>
  <si>
    <t>Prijsindexatie marktwaarde (%)</t>
  </si>
  <si>
    <t>Opbrengsten energie-of productafnemer (€)</t>
  </si>
  <si>
    <t>Opbrengsten SDE++</t>
  </si>
  <si>
    <t>Indexatie correctie productprijs (%)</t>
  </si>
  <si>
    <t>Overige opbrengsten (€)</t>
  </si>
  <si>
    <t>Overige exploitatiesubsidies (€)</t>
  </si>
  <si>
    <t>Addtionele inkomsten (€)</t>
  </si>
  <si>
    <t>Totaal overige opbrengsten (€)</t>
  </si>
  <si>
    <t>Totale opbrengsten (€)</t>
  </si>
  <si>
    <t>Kosten</t>
  </si>
  <si>
    <t>Operationele kosten (exclusief afschrijving, rente, belasting en biomassa) (€)</t>
  </si>
  <si>
    <t>Garantie en onderhoud</t>
  </si>
  <si>
    <t>Netbeheer</t>
  </si>
  <si>
    <t>Personeelskosten en administratiekosten</t>
  </si>
  <si>
    <t>Administratiekosten</t>
  </si>
  <si>
    <t>Kosten elektriciteitsverbruik van de productieinstallatie</t>
  </si>
  <si>
    <t>Opstalvergoeding (ingeval van activering invullen onder investeringskosten)</t>
  </si>
  <si>
    <t>Monitoringssysteem/telefoon</t>
  </si>
  <si>
    <t>Onroerende zaakbelasting</t>
  </si>
  <si>
    <t>Verzekeringen</t>
  </si>
  <si>
    <t>Reservedelen</t>
  </si>
  <si>
    <t>Afvoerkosten (voor bijvoorbeeld afval)</t>
  </si>
  <si>
    <t>Onvoorzien</t>
  </si>
  <si>
    <t>Overige kosten</t>
  </si>
  <si>
    <t>Soort biomassa of bijproduct</t>
  </si>
  <si>
    <t>ton/jaar</t>
  </si>
  <si>
    <r>
      <rPr>
        <sz val="10"/>
        <rFont val="Calibri"/>
        <family val="2"/>
      </rPr>
      <t>€/</t>
    </r>
    <r>
      <rPr>
        <sz val="10"/>
        <rFont val="Arial"/>
        <family val="2"/>
      </rPr>
      <t>ton</t>
    </r>
  </si>
  <si>
    <t xml:space="preserve">Prijsindexatie % </t>
  </si>
  <si>
    <t>Totale kosten biomassa en bijproducten per jaar (€)</t>
  </si>
  <si>
    <t>Soort kosten</t>
  </si>
  <si>
    <t>Invoeden hub derden</t>
  </si>
  <si>
    <t>Overig</t>
  </si>
  <si>
    <t>Totale kosten CO₂ transport en opslag (€)</t>
  </si>
  <si>
    <t>Totale operationele kosten (€)</t>
  </si>
  <si>
    <t xml:space="preserve">Afschrijvingen </t>
  </si>
  <si>
    <t>Rentelasten annuïteitenlening</t>
  </si>
  <si>
    <t>Aflossingen annuïteitenlening</t>
  </si>
  <si>
    <t>Rentelasten lineaire lening</t>
  </si>
  <si>
    <t>Aflossingen lineaire lening</t>
  </si>
  <si>
    <t>Openstaande leensom lineaire lening</t>
  </si>
  <si>
    <t>jaar looptijd</t>
  </si>
  <si>
    <t>Totale kosten (€)</t>
  </si>
  <si>
    <t>Winst voor belasting (€)</t>
  </si>
  <si>
    <t xml:space="preserve">Overige aftrekbare bedragen (graag toelichten in tekstvak) </t>
  </si>
  <si>
    <t>Toegepaste overige aftrek</t>
  </si>
  <si>
    <t>Nog beschikbare aftrek</t>
  </si>
  <si>
    <t>Verliezen uit verleden</t>
  </si>
  <si>
    <t>Belastbaar inkomen (€)</t>
  </si>
  <si>
    <t>Tarief winstbelasting % invullen afhankelijk van of u IB-plichtig of VPB-plichtig bent</t>
  </si>
  <si>
    <t>Belasting</t>
  </si>
  <si>
    <t>Netto winst (€)</t>
  </si>
  <si>
    <t>Bruto cashflow na belasting exclusief rentelasten (€)</t>
  </si>
  <si>
    <t>Projectrentabiliteit</t>
  </si>
  <si>
    <t>Netto cashflow voor eigen vermogen verschaffer na belasting en na financieringslasten (€)</t>
  </si>
  <si>
    <t>Rendement op eigen vermogen</t>
  </si>
  <si>
    <t>Debt service coverage ratio (DSCR) per jaar</t>
  </si>
  <si>
    <t>Debt service coverage ratio (DSCR)</t>
  </si>
  <si>
    <t>Overzicht bijlagen</t>
  </si>
  <si>
    <t xml:space="preserve">Verplichte bijlagen behorende bij Financiering en projectplan </t>
  </si>
  <si>
    <t>Beschikking investeringssubsidie</t>
  </si>
  <si>
    <t xml:space="preserve">Onderbouwing eigen vermogen aanvrager (in geval van samenwerkingsverband, dan van alle deelnemers)  </t>
  </si>
  <si>
    <t>Gecontracteerd vermogen</t>
  </si>
  <si>
    <t>Gecontracteerde achtergestelde lening</t>
  </si>
  <si>
    <t>Crowdfunding of participaties</t>
  </si>
  <si>
    <t>Onderbouwing financiering</t>
  </si>
  <si>
    <t>Verplichte bijlagen behorende bij Productie en afzet</t>
  </si>
  <si>
    <t>Facultatieve bijlagen voor sterkere haalbaarheidsstudie</t>
  </si>
  <si>
    <t>Onderbouwing investeringskosten</t>
  </si>
  <si>
    <t>Onderbouwing liquiditeit bij grote projecten</t>
  </si>
  <si>
    <t>Thema's hoofdkeuzelijst</t>
  </si>
  <si>
    <t>Hernieuwbare elektriciteit</t>
  </si>
  <si>
    <t>Hernieuwbaar gas</t>
  </si>
  <si>
    <t>CO₂-arme warmte</t>
  </si>
  <si>
    <t>CO₂-arme productie</t>
  </si>
  <si>
    <t>Eerste vervolgkeuzelijst op basis van gekozen hoofdthema</t>
  </si>
  <si>
    <t>Wind</t>
  </si>
  <si>
    <t>Zon-PV</t>
  </si>
  <si>
    <t>Biomassavergisting (hernieuwbaar gas)</t>
  </si>
  <si>
    <t>Biomassavergassing (hernieuwbaar gas)</t>
  </si>
  <si>
    <t>Biomassaverbranding</t>
  </si>
  <si>
    <t>Biomassavergisting</t>
  </si>
  <si>
    <t>Aquathermie (thermische energie uit water met warmtepomp)</t>
  </si>
  <si>
    <t>Zon-PVT systeem met warmtepomp</t>
  </si>
  <si>
    <t>Geothermie (on)diep met warmtepomp</t>
  </si>
  <si>
    <t>Grootschalige elektrische boiler</t>
  </si>
  <si>
    <t>Industriële warmtepompen</t>
  </si>
  <si>
    <t>Restwarmtebenutting</t>
  </si>
  <si>
    <t>Geavanceerde hernieuwbare transportbrandstoffen (vloeibaar gas, benzine- en dieselvervangers)</t>
  </si>
  <si>
    <t>Tweede vervolgkeuzelijst op basis van gekozen subthema</t>
  </si>
  <si>
    <t>Categorieën productie-installaties</t>
  </si>
  <si>
    <t>Maximum basisbedrag (fase 5)</t>
  </si>
  <si>
    <t xml:space="preserve">Basisprijs </t>
  </si>
  <si>
    <t>Emissie-factor</t>
  </si>
  <si>
    <t>Subsidieintensiteit bij basisbedrag</t>
  </si>
  <si>
    <t>Maximum vollasturen</t>
  </si>
  <si>
    <t>Subsidielooptijd</t>
  </si>
  <si>
    <t>Maximum fasebedrag (met aftopping op basisbedrag)</t>
  </si>
  <si>
    <t>Teksten voor vermogen en productie op tabblad Productie_en_afzet</t>
  </si>
  <si>
    <t>Hulpveld voor tekstblok voor onderbouwing energie-of productopbrengst</t>
  </si>
  <si>
    <t xml:space="preserve">Hulpveld type product </t>
  </si>
  <si>
    <t>Type bijlage opbrengstberekening voor tabblad bijlagen</t>
  </si>
  <si>
    <t>Eenheid product</t>
  </si>
  <si>
    <t>Extra attenderingen</t>
  </si>
  <si>
    <t>Basisprijs generiek (bij zon-PV netlevering)</t>
  </si>
  <si>
    <t>(toegepaste GVO-of HBE-waarde)</t>
  </si>
  <si>
    <t>ETS (euro/ton CO2), bij WKK naar rato warmtedeel o.b.v. WK-factor</t>
  </si>
  <si>
    <t>Allesvergisting, gecombineerde opwekking</t>
  </si>
  <si>
    <t>Productie elektriciteit (kWh/jaar)</t>
  </si>
  <si>
    <t>Productie warmte (kWh/jaar)</t>
  </si>
  <si>
    <t>Vermogen productie-installatie (kW)</t>
  </si>
  <si>
    <t>Totale productie (kWh/jaar)</t>
  </si>
  <si>
    <t>Subsidiabele productie (kWh/jaar)</t>
  </si>
  <si>
    <t>Biomassa</t>
  </si>
  <si>
    <t>Gecombineerde opwekking</t>
  </si>
  <si>
    <t>Voeg een biomassa energieopbrengstberekening toe</t>
  </si>
  <si>
    <t>kWh</t>
  </si>
  <si>
    <t>RWZI verbeterde slibgisting, gecombineerde opwekking</t>
  </si>
  <si>
    <t>RWZI, verbeterde slibgisting</t>
  </si>
  <si>
    <t>Allesvergisting, warmte</t>
  </si>
  <si>
    <t>Warmte</t>
  </si>
  <si>
    <t>RWZI verbeterde slibgisting, warmte</t>
  </si>
  <si>
    <t>Voor deze categorie geldt dat de ingezette brandstof voor ten minste 97% van de energetische waarde biogeen is!</t>
  </si>
  <si>
    <t>Allesvergisting, hernieuwbaar gas</t>
  </si>
  <si>
    <t>Productie gas (kWh/jaar)</t>
  </si>
  <si>
    <t>RWZI verbeterde slibgisting, hernieuwbaar gas</t>
  </si>
  <si>
    <t>Voor deze categorie gelden duurzaamheidseisen voor de ingezette biomassa!</t>
  </si>
  <si>
    <t>Biomassa, extra eisen</t>
  </si>
  <si>
    <t>De ingezette brandstof moet voor ten minste 97% van de energetische waarde biogeen zijn! Daarnaast gelden duurzaamheidseisen voor de ingezette biomassa!</t>
  </si>
  <si>
    <t>Geothermie warmte</t>
  </si>
  <si>
    <t>Ondiepe geothermie (6000 vollasturen)</t>
  </si>
  <si>
    <t>Geothermie met warmtepomp</t>
  </si>
  <si>
    <t>Voeg een geologisch onderzoek en een energieopbrengstberekening toe</t>
  </si>
  <si>
    <t xml:space="preserve">Voor deze categorie geldt een minimale COP-eis voor de warmtepomp! </t>
  </si>
  <si>
    <t>Ondiepe geothermie, verwarming gebouwde omgeving (3500 vollasturen)</t>
  </si>
  <si>
    <t>Diepe geothermie &lt; 12 MWth (6000 vollasturen)</t>
  </si>
  <si>
    <t>Geothermie zonder warmtepomp</t>
  </si>
  <si>
    <t>Diepe geothermie ≥ 12 MWth &lt; 20 MWth (6000 vollasturen)</t>
  </si>
  <si>
    <r>
      <t xml:space="preserve">Diepe geothermie </t>
    </r>
    <r>
      <rPr>
        <sz val="10"/>
        <rFont val="Calibri"/>
        <family val="2"/>
      </rPr>
      <t>≥</t>
    </r>
    <r>
      <rPr>
        <sz val="10"/>
        <rFont val="Arial"/>
        <family val="2"/>
      </rPr>
      <t xml:space="preserve"> 20 MWth (6000 vollasturen)</t>
    </r>
  </si>
  <si>
    <t>Diepe geothermie &lt; 12 MWth, ombouw van bestaande olie- en/of gasputten (6000 vollasturen)</t>
  </si>
  <si>
    <t>Diepe geothermie ≥ 12 MWth en &lt; 20 MWth, ombouw van bestaande olie- en/of gasputten (6000 vollasturen)</t>
  </si>
  <si>
    <r>
      <t xml:space="preserve">Diepe geothermie </t>
    </r>
    <r>
      <rPr>
        <sz val="10"/>
        <rFont val="Calibri"/>
        <family val="2"/>
      </rPr>
      <t>≥</t>
    </r>
    <r>
      <rPr>
        <sz val="10"/>
        <rFont val="Arial"/>
        <family val="2"/>
      </rPr>
      <t xml:space="preserve"> 20 MWth, basislast, ombouw van bestaande olie- en/of gasputten (6000 vollasturen)</t>
    </r>
  </si>
  <si>
    <t xml:space="preserve">Voor deze categorie geldt dat warmte uitsluitend wordt geleverd aan gebouwde omgeving! </t>
  </si>
  <si>
    <t>Diepe geothermie, verwarming gebouwde omgeving (5000 vollasturen)</t>
  </si>
  <si>
    <t>Diepe geothermie, uitbreiding productie-installatie met tenminste één aanvullende put (6000 vollasturen)</t>
  </si>
  <si>
    <t/>
  </si>
  <si>
    <t>Elektriciteit uit water</t>
  </si>
  <si>
    <t>Elektriciteit</t>
  </si>
  <si>
    <t>Water warmte</t>
  </si>
  <si>
    <t>Voeg een energieopbrengstberekening toe</t>
  </si>
  <si>
    <t xml:space="preserve">Voor deze categorie geldt een minimale COP-eis voor de warmtepomp en dat warmte uitsluitend wordt geleverd aan gebouwde omgeving!  </t>
  </si>
  <si>
    <t>Wind overig</t>
  </si>
  <si>
    <t>Voeg een windenergieopbrengstberekening toe</t>
  </si>
  <si>
    <t>Wind op land ≥ 7,5 en &lt; 8,0 m/s</t>
  </si>
  <si>
    <t>Wind op land ≥ 7,0 en &lt; 7,5 m/s</t>
  </si>
  <si>
    <t>Wind op land ≥ 6,75 en &lt; 7,0 m/s</t>
  </si>
  <si>
    <t>Wind op land &lt; 6,75 m/s</t>
  </si>
  <si>
    <t>Wind hoogtebeperkt</t>
  </si>
  <si>
    <t>Voeg een windenergieopbrengstberekening en een onderbouwing van de hoogtebeperking toe</t>
  </si>
  <si>
    <t>Wind op land, hoogtebeperkt ≥ 7,5 en &lt; 8,0 m/s</t>
  </si>
  <si>
    <t>Wind op land, hoogtebeperkt ≥ 7,0 en &lt; 7,5 m/s</t>
  </si>
  <si>
    <t>Wind op land, hoogtebeperkt ≥ 6,75 en &lt; 7,0 m/s</t>
  </si>
  <si>
    <t>Wind op land, hoogtebeperkt &lt; 6,75 m/s</t>
  </si>
  <si>
    <t>Wind op waterkering ≥ 7,5 en &lt; 8,0 m/s</t>
  </si>
  <si>
    <t>Wind op waterkering ≥ 7,0 en &lt; 7,5 m/s</t>
  </si>
  <si>
    <t>Wind op waterkering ≥ 6,75 en &lt; 7,0 m/s</t>
  </si>
  <si>
    <t>Wind op waterkering &lt; 6,75 m/s</t>
  </si>
  <si>
    <t>Zon elektriciteit</t>
  </si>
  <si>
    <t xml:space="preserve">Gebouwgebonden Zon-PV </t>
  </si>
  <si>
    <t xml:space="preserve">Voeg een gedetailleerde tekening op schaal toe waarop de aangevraagde Zon-PV-installatie nauwkeurig is ingetekend. </t>
  </si>
  <si>
    <t xml:space="preserve">Voor deze categorie geldt dat een project een gecontracteerd terugleververmogen van de netaansluiting voor de productie-installatie van maximaal 50% van het piekvermogen van de zonnepanelen mag hebben. </t>
  </si>
  <si>
    <t>Voeg een gedetailleerde tekening op schaal waarop de aangevraagde Zon-PV-installatie nauwkeurig is ingetekend en een zonne-energieopbrengstberekening toe.</t>
  </si>
  <si>
    <t>Zon warmte</t>
  </si>
  <si>
    <t>Zonthermie ≥ 140 kW en &lt; 1 MW</t>
  </si>
  <si>
    <t>Zonthermie</t>
  </si>
  <si>
    <r>
      <t xml:space="preserve">Zonthermie </t>
    </r>
    <r>
      <rPr>
        <sz val="10"/>
        <rFont val="Calibri"/>
        <family val="2"/>
      </rPr>
      <t>≥</t>
    </r>
    <r>
      <rPr>
        <sz val="10"/>
        <rFont val="Arial"/>
        <family val="2"/>
      </rPr>
      <t xml:space="preserve"> 1 MW</t>
    </r>
  </si>
  <si>
    <t>Productie afvang en opslag CO₂ (ton/jaar)</t>
  </si>
  <si>
    <r>
      <t>Capaciteit afvanginstallatie CO</t>
    </r>
    <r>
      <rPr>
        <sz val="10"/>
        <rFont val="Calibri"/>
        <family val="2"/>
      </rPr>
      <t>₂ (ton/uur</t>
    </r>
    <r>
      <rPr>
        <sz val="10"/>
        <rFont val="Arial"/>
        <family val="2"/>
      </rPr>
      <t>)</t>
    </r>
  </si>
  <si>
    <r>
      <t>Totale productie CO</t>
    </r>
    <r>
      <rPr>
        <sz val="10"/>
        <rFont val="Calibri"/>
        <family val="2"/>
      </rPr>
      <t>₂</t>
    </r>
    <r>
      <rPr>
        <sz val="10"/>
        <rFont val="Arial"/>
        <family val="2"/>
      </rPr>
      <t xml:space="preserve"> (ton/jaar)</t>
    </r>
  </si>
  <si>
    <t>Subsidiabele productie CO₂ (ton/jaar)</t>
  </si>
  <si>
    <t>CO2 afvang en opslag (CCS)</t>
  </si>
  <si>
    <r>
      <t>CO</t>
    </r>
    <r>
      <rPr>
        <sz val="10"/>
        <rFont val="Calibri"/>
        <family val="2"/>
      </rPr>
      <t>₂</t>
    </r>
    <r>
      <rPr>
        <sz val="10"/>
        <rFont val="Arial"/>
        <family val="2"/>
      </rPr>
      <t>-opslag</t>
    </r>
  </si>
  <si>
    <r>
      <t>ton CO</t>
    </r>
    <r>
      <rPr>
        <sz val="10"/>
        <rFont val="Calibri"/>
        <family val="2"/>
      </rPr>
      <t>₂</t>
    </r>
  </si>
  <si>
    <t>CO2 afvang en opslag (CCS) met productie waterstof voor ondervuring</t>
  </si>
  <si>
    <t>CO2 afvang en hergebruik (CCU)</t>
  </si>
  <si>
    <r>
      <t>CO</t>
    </r>
    <r>
      <rPr>
        <sz val="10"/>
        <rFont val="Calibri"/>
        <family val="2"/>
      </rPr>
      <t>₂</t>
    </r>
    <r>
      <rPr>
        <sz val="10"/>
        <rFont val="Arial"/>
        <family val="2"/>
      </rPr>
      <t>-hergebruik</t>
    </r>
  </si>
  <si>
    <r>
      <t>Voeg een berekening voor CO</t>
    </r>
    <r>
      <rPr>
        <sz val="10"/>
        <rFont val="Calibri"/>
        <family val="2"/>
      </rPr>
      <t>₂</t>
    </r>
    <r>
      <rPr>
        <sz val="10"/>
        <rFont val="Arial"/>
        <family val="2"/>
      </rPr>
      <t xml:space="preserve"> afvang- en levering en een toelichting voor de beoogde infrastructuur toe</t>
    </r>
  </si>
  <si>
    <t>Industriële gesloten warmtepomp (8000 vollasturen)</t>
  </si>
  <si>
    <t>Warmtepomp gesloten</t>
  </si>
  <si>
    <t xml:space="preserve">Voor deze categorie geldt een minimale COP eis voor de warmtepomp! </t>
  </si>
  <si>
    <t>Industriële gesloten warmtepomp (3000 vollasturen)</t>
  </si>
  <si>
    <t>Restwarmte zonder warmtepomp</t>
  </si>
  <si>
    <t>Voeg een energieopbrengstberekening en een plattegrond van het beoogde leidingtracé toe</t>
  </si>
  <si>
    <t>Restwarmtebenutting (zonder warmtepomp), transportleiding ≥ 0,20 en &lt; 0,30 km/MWth</t>
  </si>
  <si>
    <t>Restwarmtebenutting (zonder warmtepomp), transportleiding ≥ 0,30 en &lt; 0,40 km/MWth</t>
  </si>
  <si>
    <t>Restwarmtebenutting met warmtepomp, transportleiding ≥ 0,10 en &lt; 0,20 km/MWth</t>
  </si>
  <si>
    <t>Restwarmte met warmtepomp</t>
  </si>
  <si>
    <t>Restwarmtebenutting met warmtepomp, transportleiding ≥ 0,20 en &lt; 0,30 km/MWth</t>
  </si>
  <si>
    <t>Restwarmtebenutting met warmtepomp, transportleiding ≥ 0,30 en &lt; 0,40 km/MWth</t>
  </si>
  <si>
    <t>Restwarmtebenutting met warmtepomp, transportleiding ≥ 0,40 km/MWth</t>
  </si>
  <si>
    <t>Elektrificatie industrie</t>
  </si>
  <si>
    <t>Elektroboiler</t>
  </si>
  <si>
    <t>Productie waterstof (kWh/jaar)</t>
  </si>
  <si>
    <t>Waterstof netgekoppeld</t>
  </si>
  <si>
    <t>Waterstof</t>
  </si>
  <si>
    <t>Waterstof directe lijn</t>
  </si>
  <si>
    <t>Geavanceerde hernieuwbare transportbrandstoffen (gas, benzine en diesel)</t>
  </si>
  <si>
    <t>Bio-ethanol</t>
  </si>
  <si>
    <t>Bio-methanol uit vaste lignocellulosehoudende biomassa (benzinevervanger)</t>
  </si>
  <si>
    <t>Productie bio-methanol (kWh/jaar)</t>
  </si>
  <si>
    <t>Bio-methanol</t>
  </si>
  <si>
    <t>Productie vloeibaar gas (kWh/jaar)</t>
  </si>
  <si>
    <t>Vloeibaar gas</t>
  </si>
  <si>
    <t>Bio-LNG uit allesvergisting (vloeibaar gas)</t>
  </si>
  <si>
    <t>Vragen tabblad Financiering_en_projectplan</t>
  </si>
  <si>
    <t>Vraag producent</t>
  </si>
  <si>
    <t>Antwoord bent u producent (1 = ja, 2 = nee)</t>
  </si>
  <si>
    <t>Vraag financiering</t>
  </si>
  <si>
    <t>Projectfinanciering</t>
  </si>
  <si>
    <t>Balansfinanciering</t>
  </si>
  <si>
    <t>Vraag ETS-bedrijf</t>
  </si>
  <si>
    <t>Antwoord ETS-installatie (1 = ja, 2 = nee)</t>
  </si>
  <si>
    <t>Vraag jaarrekening/bedrijfsbalans</t>
  </si>
  <si>
    <t>Ja</t>
  </si>
  <si>
    <t xml:space="preserve">Nee, aanvrager is kleine onderneming </t>
  </si>
  <si>
    <t>Nee, aanvrager is startende onderneming</t>
  </si>
  <si>
    <t>Vraag investeringssubsidie</t>
  </si>
  <si>
    <t>Nee</t>
  </si>
  <si>
    <t>Niet van toepassing</t>
  </si>
  <si>
    <t>Antwoord investeringssubsidie (1 = ja, 2 = nee)</t>
  </si>
  <si>
    <t>Vraag participaties</t>
  </si>
  <si>
    <t>Antwoord participaties (1= ja, 2 = nee)</t>
  </si>
  <si>
    <t>Vragen tabblad Exploitatieberekening</t>
  </si>
  <si>
    <t>Vragen aflossingsvorm lening</t>
  </si>
  <si>
    <t>Annuïteit</t>
  </si>
  <si>
    <t>Lineair</t>
  </si>
  <si>
    <t>Vragen met ja/nee opties</t>
  </si>
  <si>
    <t>Vragen netbeheerder gas</t>
  </si>
  <si>
    <t>Vragen transport en opslagpartij CO2</t>
  </si>
  <si>
    <t>Vragen ETS-inrichting</t>
  </si>
  <si>
    <t>Vraag verklaring netbeheerder gas en CO2-transport- en opslagpartij</t>
  </si>
  <si>
    <t>Antwoord doorlaatwaarde &gt; 40 Nm3 (1 = ja, 2 = nee)</t>
  </si>
  <si>
    <t>Hulpveld voor uitblauwen biomassablok bij niet biomassacategorieën</t>
  </si>
  <si>
    <t>(0 = wit, 1 = blauw)</t>
  </si>
  <si>
    <t>Hulpveld voor uitblauwen CO2 afvang en opslagblok bij niet CCS-categorieën</t>
  </si>
  <si>
    <t>Vragen tabblad Productie_en_afzet</t>
  </si>
  <si>
    <t>Tekst biomassa met extra eisen temperatuur</t>
  </si>
  <si>
    <t>Tekst biomassa RWZI, verbeterde slibgisting</t>
  </si>
  <si>
    <t>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Daarnaast stelt u een renovatieplan op waaruit blijkt dat de productie-installatie geschikt wordt gemaakt om 12 jaar door te kunnen produceren.</t>
  </si>
  <si>
    <t>Tekst biomassa (overig)</t>
  </si>
  <si>
    <t xml:space="preserve">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Bij complexere installaties stuurt u een processchema van de installatie mee. </t>
  </si>
  <si>
    <t>Tekst geothermische opbrengstberekening</t>
  </si>
  <si>
    <t>Als u subsidie aanvraagt in de categorie geothermie moet u ter onderbouwing van de energieopbrengst een geologisch onderzoek overleggen. Aan dit onderzoek worden nadere eisen gesteld. Het geologisch rapport dient te voldoen aan de eisen van het ‘Model Geologisch Onderzoek SDE+’, het ‘Model Geologisch Onderzoek van de Subsidieregeling Energie en Innovatie Risico’s dekken voor aardwarmte (SEI)’, of het ‘Model Geologisch Onderzoek van de Regeling nationale EZ-subsidies Risico’s dekken voor Aardwarmte (RNES)’.</t>
  </si>
  <si>
    <t>Tekst geothermie met warmtepomp opbrengstberekening</t>
  </si>
  <si>
    <t>₂</t>
  </si>
  <si>
    <t>Tekst waterenergie opbrengstberekening</t>
  </si>
  <si>
    <t>Tekst windenergieopbrengstberekening categorie hoogtebeperkt</t>
  </si>
  <si>
    <t>Tekst windenergieopbrengstberekening overige windcategorieën</t>
  </si>
  <si>
    <t xml:space="preserve">U vraagt subsidie aan in een categorie windenergie. Ter onderbouwing van de jaarlijks te verwachten energieproductie (netto P50-waarde) moet u een windenergie-opbrengstberekening meesturen. Aan dit onderzoek worden nadere eisen gesteld. Meer informatie vindt u in de 'Handleiding haalbaarheidstudie SDE++’.
</t>
  </si>
  <si>
    <t>Tekst energieopbrengstberekening gebouwgebonden zon-PV-installatie</t>
  </si>
  <si>
    <t>Tekst energieopbrengstberekening drijvende zon-PV-installatie zonder zonvolgsysteem</t>
  </si>
  <si>
    <t>Tekst energieopbrengstberekening zonthermie</t>
  </si>
  <si>
    <t>Tekst CO2 afvang en opslag (CCS) met productie waterstof uit restgassen voor ondervuring</t>
  </si>
  <si>
    <t>U onderbouwt de aangevraagde hoeveelheid CO₂ die u gaat afvangen en opslaan. Dit kunt u doen door bijvoorbeeld de specificatie-sheets van de CO₂ -afvanginstallatie en een beschrijving van het proces waarbij uit restgassen waterstof wordt geproduceert en CO₂ vrijkomt en afgevangen wordt toe te voegen. Daarnaast geeft u aan voor welk proces de geproduceerde waterstof voor ondervuring wordt ingezet. Tevens geeft u aan of uw project een bestaande of nieuwe afvanginstallatie betreft bij een bestaand of nieuw proces en vermeldt u of er gebruik wordt gemaakt van een nieuwe compressor of vervloeiingsinstallatie. 
Verder voegt u de capaciteitsverklaring(en) van de transport-en opslagpartijen toe waarmee u aantoont dat de afgevangen hoeveelheid CO₂ kan worden getransporteerd en opgeslagen. Ten slotte voegt u rapport(en) toe over de infrastructuur voor transport en de opslag die zijn opgesteld door de transport-en opslagpartijen, die voldoen aan het model 'Vereiste informatie transport- en opslagverklaring’, gepubliceerd op de website van de Rijksdienst voor Ondernemend Nederland.</t>
  </si>
  <si>
    <t>Tekst CO2 afvang en opslag (CCS)</t>
  </si>
  <si>
    <t>Tekst CO2 afvang en hergebruik (CCU)</t>
  </si>
  <si>
    <t>U onderbouwt de aangevraagde hoeveelheid CO₂ die u gaat afvangen en leveren aan de glastuinbouw. Dit kunt u doen door bijvoorbeeld de specificatie-sheets van de CO₂-afvanginstallatie en een beschrijving van het proces waarbij de CO₂ vrijkomt en afgevangen wordt toe te voegen. Daarbij geeft u tevens aan of het een bestaande of nieuwe afvanginstallatie en of het een bestaand of nieuw proces betreft. Daarnaast voegt u een plattegrond met het beoogde leidingtracé van CO₂ -afvang tot CO₂-levering toe. Ook geeft u aan of u als aanvrager zelf de CO₂ gaat transporteren of laat transporteren door een derde. Indien u gebruik maakt van vloeibaar transport per schip of vrachtwagen geeft u dat ook aan en beschrijft u over welk traject dat gaat plaatsvinden. Ook geeft u een onderbouwing van de CO₂-afzet in de glastuinbouw, bijvoorbeeld aan de hand van een intentieverklaring van afnemers.</t>
  </si>
  <si>
    <t>Tekst warmtepomp gesloten</t>
  </si>
  <si>
    <t>Tekst restwarmte zonder warmtepomp</t>
  </si>
  <si>
    <t>U onderbouwt de hoeveelheid restwarmte die op jaarbasis wordt uitgekoppeld. U geeft daarbij aan uit welk productieproces de restwarmte afkomstig is, wat het temperatuurniveau is en wat er in de bestaande situatie met de restwarmte werd gedaan. Daarnaast geeft u aan wat het vermogen is van de restwarmtestroom en voor welke nuttige aanwending de restwarmte in de nieuwe situatie krijgt. Ook voegt u een plattegrond toe van het beoogde leidingtracé met leidingdiameters en leidinglengte van uitkoppeling tot aan de afnemer van de restwarmte. Ten slotte geeft u voor uw project een onderbouwing dat uw project voldoet aan de gestelde rato voor vermogen en leidinglengte van de categorie waarvoor u subsidie aanvraagt (deze rato is de som van nieuw aan te leggen warmtetransportleidingen en het vermogen van de restwarmtestroom, uitgedrukt in km/MWth).</t>
  </si>
  <si>
    <t>Tekst restwarmte met warmtepomp</t>
  </si>
  <si>
    <t>Tekst elektroboiler</t>
  </si>
  <si>
    <t>Tekst waterstof netgekoppeld</t>
  </si>
  <si>
    <t>Tekst waterstof directe lijn</t>
  </si>
  <si>
    <t>Tekst warmtelevering aan derden</t>
  </si>
  <si>
    <t>Tekst haalbaarheidsstudie netbeheerder voor invoeden hernieuwbaar gas</t>
  </si>
  <si>
    <t>U voegt een verklaring met prijsindicatie van de netbeheerder voor het invoeden van hernieuwbaar gas toe aan de haalbaarheidsstudie.</t>
  </si>
  <si>
    <t>Tekst capaciteitsverklaring CCS, aanvrager laat CO2 transporteren</t>
  </si>
  <si>
    <r>
      <t>U gaat niet zelf CO₂ te gaan transporteren én opslaan. U voegt een Capaciteitsverklaring van de partij die de transport en opslag van CO₂ zal realiseren toe aan de haalbaarheidsstudie en een rapport over de infrastructuur voor transport en opslag. Haalbaarheidsstudies van de beoogde opslagpartijen naar de geschikheid en capaciteit van de beoogde opslaglocaties maken deel uit van de capaciteitsverklaring. RVO biedt op haar website een verplicht Model haalbaarheidsstudie voor CO</t>
    </r>
    <r>
      <rPr>
        <sz val="10"/>
        <rFont val="Calibri"/>
        <family val="2"/>
      </rPr>
      <t>₂</t>
    </r>
    <r>
      <rPr>
        <sz val="10"/>
        <rFont val="Arial"/>
        <family val="2"/>
      </rPr>
      <t xml:space="preserve">-opslag aan.   </t>
    </r>
  </si>
  <si>
    <t>Tekst capaciteitsverklaring CCS, aanvrager transporteert zelf CO2</t>
  </si>
  <si>
    <r>
      <t>U gaat zelf CO</t>
    </r>
    <r>
      <rPr>
        <sz val="10"/>
        <rFont val="Calibri"/>
        <family val="2"/>
      </rPr>
      <t>₂</t>
    </r>
    <r>
      <rPr>
        <sz val="10"/>
        <rFont val="Arial"/>
        <family val="2"/>
      </rPr>
      <t xml:space="preserve"> te gaan transporteren én opslaan. U voegt een rapport over de infrastructuur voor transport en opslag toe. Onderdeel hiervan is de haalbaarheidsstudie(s) naar de geschikheid en capaciteit van de beoogde opslaglocatie(s). RVO biedt op haar website een verplicht Model haalbaarheidsstudie voor CO₂-opslag aan.   </t>
    </r>
  </si>
  <si>
    <t>Tabel voor onderbouwing energie-of productopbrengst</t>
  </si>
  <si>
    <t>Selectie tekstblok energie-of productopbrengst</t>
  </si>
  <si>
    <t>Tabel voor onderbouwing afzet warmte, gas, elektriciteit, CO2</t>
  </si>
  <si>
    <t>Gas</t>
  </si>
  <si>
    <t xml:space="preserve">Elektriciteit </t>
  </si>
  <si>
    <t>CO2</t>
  </si>
  <si>
    <t>Transportbrandstof</t>
  </si>
  <si>
    <t>Hoe gaat u de warmte aanwenden?</t>
  </si>
  <si>
    <t>Is voor de productie-installatie een aansluiting met een doorlaatwaarde groter dan 40 Nm3 per uur nodig?</t>
  </si>
  <si>
    <t>Hydropyrolyse-olie</t>
  </si>
  <si>
    <t>Selectie tekstje vraag aanwending warmte, invoeding hernieuwbaar gas of opslag CO2</t>
  </si>
  <si>
    <t>Vraag aanwending warmte</t>
  </si>
  <si>
    <t>Warmtegebruik binnen eigen bedrijf</t>
  </si>
  <si>
    <t>Vul hieronder in voor welke gebouwverwarming of welk productieproces u de warmte binnen uw bedrijf zal gaan aanwenden</t>
  </si>
  <si>
    <t>Warmtegebruik binnen eigen bedrijf én warmtelevering aan derden</t>
  </si>
  <si>
    <t>Vul hieronder zowel voor uw eigen bedrijf als voor uw warmteafnemer in voor welke gebouwverwarming of welk productieproces de warmte zal worden aangewend</t>
  </si>
  <si>
    <t>Warmtelevering aan derden</t>
  </si>
  <si>
    <t>Vul hieronder in voor welke gebouwverwarming of welk productieproces de warmte bij uw warmteafnemer zal worden aangewend</t>
  </si>
  <si>
    <t>Warmtegebruik binnen eigen bedrijf op een andere locatie</t>
  </si>
  <si>
    <t>Vul hieronder in voor welke gebouwverwarming of welk productieproces u de warmte binnen uw bedrijf op een andere locatie zal gaan aanwenden</t>
  </si>
  <si>
    <t xml:space="preserve">Berekening projectrendement en rendement eigen vermogen over de subsidielooptijd </t>
  </si>
  <si>
    <t xml:space="preserve">Toelichting: </t>
  </si>
  <si>
    <t>Bij jaarlijks sterk varierende cashflows en/of het optreden van negatieve cashflows gedurende de subsidielooptijd kan de standaard IR-berekening in Excel mogelijk onjuiste uitkomsten geven. In dat geval kan als indicatie voor het projectrendement en rendement op eigen vermogen gerekend worden met een gemiddelde cashflow over de subsidielooptijd.</t>
  </si>
  <si>
    <t>Berekening projectrendement</t>
  </si>
  <si>
    <t>Bruto cashflows per jaar conform tabblad explotatieberekening</t>
  </si>
  <si>
    <t xml:space="preserve">Standaard IR-berekening </t>
  </si>
  <si>
    <t>Gemiddelde bruto cashfow per jaar over subsidieperiode</t>
  </si>
  <si>
    <t>Aangepaste IR-berekening gemiddelde bruto cashflow</t>
  </si>
  <si>
    <t>Berekening rendement op eigen vermogen</t>
  </si>
  <si>
    <t>Netto cashflows per jaar conform tabblad explotatieberekening</t>
  </si>
  <si>
    <t>Gemiddelde netto cashfow per jaar over subsidieperiode</t>
  </si>
  <si>
    <t>Aangepaste IR-berekening gemiddelde netto cashflow</t>
  </si>
  <si>
    <t>Totaal verwachte opbrengst energie (vermeden inkoop en/of terugleververgoeding) (€)</t>
  </si>
  <si>
    <t>Totaal verwachte opbrengst SDE++ (€/jaar)</t>
  </si>
  <si>
    <t>Naam subsidieregeling</t>
  </si>
  <si>
    <t>Tekst ETS-voordeel</t>
  </si>
  <si>
    <t xml:space="preserve">Voor de categorie zonthermie hoeft u geen energie-opbrengstberekening toe te voegen. Bij een zonthermiesysteem met afgedekte collectoren bedraagt het vermogen van een zonthermie installatie 0,7 kWth/m2 apertuuroppervlakte. Bij zonnecollectorsystemen met zonvolgende concentrerende collectoren  bedraagt het vermogen van een zonthermie installatie 0,7 kWth/m2 aangestraald oppervlak van de spiegels of lenzen voor het concentreren van zonlicht. De energieopbrengst (kWh/jaar) wordt berekend door het totaal thermisch vermogen van de installatie (in kW) te vermenigvuldigen met 600 vollasturen/jaar. Wel wordt u gevraagd om een gedetailleerde tekening op schaal waarop de aangevraagde zonthermie-installatie nauwkeurig op de beoogde locatie is ingetekend, toe te voegen. Zijn of komen er op de beoogde locatie meer installaties, dan geeft u dit duidelijk aan. Uit de intekening moet ook de oriëntatie van de installatie blijken. Bereken ingeval van een dakgebonden systeem het beschikbare dakoppervlak en houd rekening met lichtstraten en klimaatinstallaties die op het dak staan.
</t>
  </si>
  <si>
    <t xml:space="preserve">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Bij complexere installaties stuurt u een processchema van de installatie mee. 
Indien u gebruik maakt van houtige biomassa gelden minimum temperatuureisen voor toepassing van de warmte. Geeft u in dat geval een onderbouwing dat de geproduceerde warmte wordt toegepast in een verwarmingssysteem met een aanvoertemperatuur aan de gebruikerszijde van ten minste 100 °C in het stookseizoen of in een stoomsysteem (met gebruikerszijde wordt de eerste gebruiker van de warmte bedoeld).
</t>
  </si>
  <si>
    <t>Stoomketel op houtpellets ≥ 5 MWth en &lt; 50 MWth</t>
  </si>
  <si>
    <t>Stoomketel op houtpellets ≥ 50 MWth</t>
  </si>
  <si>
    <t>Lucht warmte</t>
  </si>
  <si>
    <t>Zon-PV ≥ 15 kWp en &lt; 1 MWp aansluiting &gt; 3*80 A, gebouwgebonden (net = 50%)</t>
  </si>
  <si>
    <t>Zon-PV ≥ 1 MWp, gebouwgebonden (net = 50%)</t>
  </si>
  <si>
    <t>Zon-PV ≥ 15 kWp en &lt; 1 MWp aansluiting &gt; 3*80 A, drijvend op water (net = 50%)</t>
  </si>
  <si>
    <t>Zon-PV ≥ 1 MWp, drijvend op water (net = 50%)</t>
  </si>
  <si>
    <t>Lucht-water warmtepomp</t>
  </si>
  <si>
    <t>Fase 4 (300 euro/ton CO2)</t>
  </si>
  <si>
    <t>Economische levensduur (jaar)</t>
  </si>
  <si>
    <t>Economische levensduur</t>
  </si>
  <si>
    <t>Afschrijftermijn (jaar)</t>
  </si>
  <si>
    <t>Gewogen gemiddelde DSCR berekening afhankelijk van looptijd lening</t>
  </si>
  <si>
    <t>Looptijd lening</t>
  </si>
  <si>
    <t>Waarde DSCR</t>
  </si>
  <si>
    <t xml:space="preserve">U onderbouwt de aangevraagde warmteproductie uit elektriciteit. U stuurt een processchema van de installatie mee waarmee u inzichtelijk maakt hoe groot de totale warmtevraag is van de warmteafnemers en op welk temperatuurniveau. Daarbij toont u aan dat de warmte van de elektroboiler wordt toegepast in een verwarmingssysteem met een aanvoertemperatuur aan de gebruikerszijde van ten minste 100 ⁰C in het stookseizoen of in een stoomsysteem (met gebruikerszijde wordt de eerste gebruiker van de warmte bedoeld). Eventueel vermeldt u, indien er ook andere warmteopwekkers met de elektroboiler warmtezijdig zijn verbonden, welke dat zijn en wat het vermogen daarvan is. Voor de elektrische aansluiting van de elektroboiler geldt dat deze minimaal het nominale vermogen van de elektrische boiler bedraagt. </t>
  </si>
  <si>
    <t>Voeg een CO₂ afvang en opslagberekening en onderbouwend(e) rapport(en) over de infrastructuur voor transport en opslag toe</t>
  </si>
  <si>
    <t xml:space="preserve">Voor deze categorie geldt een minimale COP eis en temperatuurseis voor de warmtepomp! </t>
  </si>
  <si>
    <t>Zon-PV ≥ 20 MWp, op land natuurinclusief (net = 50%)</t>
  </si>
  <si>
    <t>Monomestvergisting, hernieuwbaar gas ≤ 110 kW</t>
  </si>
  <si>
    <t>Monomestvergisting, gecombineerde opwekking ≤ 110 kW</t>
  </si>
  <si>
    <t>Monomestvergisting, warmte ≤ 110 kW</t>
  </si>
  <si>
    <t>Restwarmtebenutting met warmtepomp, transportleiding &lt; 0,10 km/MWth</t>
  </si>
  <si>
    <t xml:space="preserve">Waterstof uit elektrolyse, netgekoppeld met hernieuwbare stroomafnameovereenkomsten </t>
  </si>
  <si>
    <t>Waterstof uit elektrolyse, directe lijn met windpark of zonnepark</t>
  </si>
  <si>
    <t>Aquathermie, basislast, verwarming gebouwde omgeving (6000 vollasturen)</t>
  </si>
  <si>
    <t>Fase 1 (75 euro/ton CO2)</t>
  </si>
  <si>
    <t>Fase 2 (150 euro/ton CO2)</t>
  </si>
  <si>
    <t>Fase 3 (225 euro/ton CO2)</t>
  </si>
  <si>
    <t>Biomassavergisting gecombineerde opwekking van elektriciteit en warmte</t>
  </si>
  <si>
    <t>Biomassavergisting warmte</t>
  </si>
  <si>
    <t>Biomassavergisting en vergassing hernieuwbaar gas</t>
  </si>
  <si>
    <t>Biomassaverbranding warmte</t>
  </si>
  <si>
    <t>Directe inzet van houtpellets voor industriële toepassingen ≥ 5 MWth</t>
  </si>
  <si>
    <t>Hernieuwbare warmte (en gecombineerde opwekking)</t>
  </si>
  <si>
    <t>Zon-PV met lichte dakaanpassing</t>
  </si>
  <si>
    <t>Zon-PV zonvolgend natuurinclusief</t>
  </si>
  <si>
    <t>Tekst energieopbrengstberekening zon-PV-installatie met lichte dakaanpassing</t>
  </si>
  <si>
    <t>Tekst energieopbrengstberekening zon-PV-installatie natuurinclusief met zonvolgsysteem</t>
  </si>
  <si>
    <t>Tekst energieopbrengstberekening zon-PV-installatie natuurinclusief zonder zonvolgsysteem</t>
  </si>
  <si>
    <t>Tekst lucht-water warmtepomp 70 graden eis</t>
  </si>
  <si>
    <t>Tekst lucht-water warmtepomp 40 graden eis</t>
  </si>
  <si>
    <t>Lucht-water warmtepomp 70 graden eis</t>
  </si>
  <si>
    <t>Lucht-water warmtepomp 40 graden eis</t>
  </si>
  <si>
    <t>Elektroboiler met hogetemperatuuropslag</t>
  </si>
  <si>
    <t>Tekst elektroboiler met hogetemperatuuropslag</t>
  </si>
  <si>
    <t>Aquathermie, basislast, verwarming gebouwde omgeving, nieuw warmteoverdrachtstation (6000 vollasturen)</t>
  </si>
  <si>
    <t xml:space="preserve">Voor deze categorie geldt een minimale COP-eis voor de warmtepomp en dat warmte uitsluitend wordt geleverd aan gebouwde omgeving via een nieuw warmteoverdrachtsstation!  </t>
  </si>
  <si>
    <t xml:space="preserve">Voor deze categorie geldt een minimale COP-eis voor de warmtepomp en dat de warmte uitsluitend wordt geleverd voor verwarming van de gebouwde omgeving! </t>
  </si>
  <si>
    <t>Lucht-water-warmtepomp voor verwarming bestaande gebouwde omgeving, geen basislast, middentemperatuur (≥ 70 ⁰C)</t>
  </si>
  <si>
    <t xml:space="preserve">Voor deze categorie geldt een minimale COP eis en temperatuurseis voor de warmtepomp en dat de warmte uitsluitend wordt geleverd voor objecten in de gebouwde omgeving! </t>
  </si>
  <si>
    <t xml:space="preserve">Tekst energieopbrengstberekening thermische energie uit water met nieuw warmteoverdrachtstation </t>
  </si>
  <si>
    <t>Tekst energieopbrengstberekening thermische energie water</t>
  </si>
  <si>
    <t>Aquathermie met nieuw warmteoverdrachtsstation</t>
  </si>
  <si>
    <t>Aquathermie</t>
  </si>
  <si>
    <t xml:space="preserve">U vraagt subsidie aan in de categorie wind op land, hoogtebeperkt. Ter onderbouwing van de jaarlijks te verwachten energieproductie (netto P50-waarde) moet u een windenergie-opbrengstberekening meesturen. Aan dit onderzoek worden nadere eisen gesteld. Meer informatie vindt u in de 'Handleiding haalbaarheidstudie SDE++’.
Daarnaast geeft u een onderbouwing dat er op de locatie van de productie-installatie sprake is van een hoogterestrictie bij of krachtens landelijke wet- en regelgeving in verband met de aanwezigheid van een luchthaven in de omgeving waardoor de tiphoogte van de windturbine beperkt is tot 150 meter of lager. Vanaf 2024 komen ook projecten voor deze categorie in aanmerking als zij hogere turbines niet kunnen realiseren in verband met mogelijke verstoring van het militair radarbeeld. Het gaat hierbij om productie-installaties die worden gerealiseerd in een plaatselijk luchtverkeersleidingsgebied rond de luchthavens Schiphol, De Kooy, Deelen, Eindhoven, Gilze-Rijen, Leeuwarden, De Peel, Volkel, Woensdreacht of het boven Nederlands grondgebied gelegen deel van de Kleine-Brogel. Deze gebieden zijn vastgesteld door de Minister van Infrastructuur en Waterstaat en zijn  opgenomen in hoofdstuk ENR 6 van de luchtvaartgids (als bedoeld in artikel 605, onderdeel a, onder 1.vijfde lid van de Regeling luchtverkeersdienstverlening van het Luchtvaartreglement, hoofdstuk ENR 6). 
</t>
  </si>
  <si>
    <t>Allesvergisting voortzetting, gecombineerde opwekking</t>
  </si>
  <si>
    <t>Allesvergisting voortzetting, warmte</t>
  </si>
  <si>
    <t>Allesvergisting voortzetting, hernieuwbaar gas</t>
  </si>
  <si>
    <t xml:space="preserve">Grote ketel op vaste of vloeibare biomassa ≥ 5 MWth, voortzetting </t>
  </si>
  <si>
    <t>Tekst biomassa voortzetting (renovatie)</t>
  </si>
  <si>
    <t>Tekst biomassa extra faciliteit (ombouw)</t>
  </si>
  <si>
    <t>Biomassa extra faciliteit (ombouw)</t>
  </si>
  <si>
    <t>Biomassa voortzetting (renovatie)</t>
  </si>
  <si>
    <t>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Daarnaast geeft u aan in welke extra faciliteit (ombouw) u gaat investeren.</t>
  </si>
  <si>
    <t>Tekst biomassa voortzetting (renovatie), extra eisen</t>
  </si>
  <si>
    <t xml:space="preserve">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Bij complexere installaties stuurt u een processchema van de installatie mee. 
Indien u gebruik maakt van houtige biomassa gelden minimum temperatuureisen voor toepassing van de warmte. Geeft u in dat geval een onderbouwing dat de geproduceerde warmte wordt toegepast in een verwarmingssysteem met een aanvoertemperatuur aan de gebruikerszijde van ten minste 100 °C in het stookseizoen of in een stoomsysteem (met gebruikerszijde wordt de eerste gebruiker van de warmte bedoeld).
Daarnaast stelt u een renovatieplan op waaruit blijkt dat de productie-installatie geschikt wordt gemaakt om 12 jaar door te kunnen produceren.
</t>
  </si>
  <si>
    <t>Biomassa voortzetting (renovatie), extra eisen</t>
  </si>
  <si>
    <t>Als u subsidie aanvraagt in de categorie waterstof uit elektrolyse netgekoppeld, moet u ter onderbouwing een beschrijving van uw productie-installatie meesturen en een onderbouwing van de jaarlijkse hoeveelheid waterstofproductie. 
Verder geldt dat uitsluitend subsidie wordt verstrekt voor de waterstof die volledig hernieuwbaar is en voldoet aan de gedelegeerde verordening (er moeten hernieuwbare stroomovereenkomsten worden afgesloten die betrekking hebben op de levering van hernieuwbare elektriciteit uit wind- of zonne-energie). Tijdens de exploitatie dient u dan te beschikken over het bewijs van afboeking van garanties van oorsprong (GvO) voor hernieuwbare elektriciteit, die zijn uitgegeven voor productie-installaties voor de productie van hernieuwbare elektriciteit uit wind- of zonne-energie waarvoor de hernieuwbare stroomafnameovereenkomsten zijn aangegaan.</t>
  </si>
  <si>
    <t>Voeg een waterstofopbrengstberekening toe</t>
  </si>
  <si>
    <t>Wind op land ≥ 8,0 m/s</t>
  </si>
  <si>
    <t>Wind op land, hoogtebeperkt ≥ 8,0 m/s</t>
  </si>
  <si>
    <t>Wind op waterkering ≥ 8,0 m/s</t>
  </si>
  <si>
    <t xml:space="preserve">Zon-PV ≥ 15kWp en &lt; 1 MWp aansluiting &gt; 3*80 A,  verticaal op land </t>
  </si>
  <si>
    <t>Zon-PV ≥ 15 kWp en &lt; 1 MWp aansluiting &gt; 3*80 A,  op oost-west gevels van gebouwen (net = 50%)</t>
  </si>
  <si>
    <t>Monomestvergisting, hernieuwbaar gas &gt; 1500 kW</t>
  </si>
  <si>
    <t>Monomestvergisting, gecombineerde opwekking &gt; 1500 kW</t>
  </si>
  <si>
    <t>Monomestvergisting, warmte &gt; 1500 kW</t>
  </si>
  <si>
    <t>Diepe geothermie &lt; 12 MWth, verwarming gebouwde omgeving (3500 vollasturen)</t>
  </si>
  <si>
    <r>
      <t xml:space="preserve">Diepe geothermie </t>
    </r>
    <r>
      <rPr>
        <sz val="10"/>
        <rFont val="Calibri"/>
        <family val="2"/>
      </rPr>
      <t>≥</t>
    </r>
    <r>
      <rPr>
        <sz val="10"/>
        <rFont val="Arial"/>
        <family val="2"/>
      </rPr>
      <t xml:space="preserve"> 12 MWth, verwarming gebouwde omgeving (3500 vollasturen)</t>
    </r>
  </si>
  <si>
    <t>Zon-PV ≥ 15 kWp en &lt; 1 MWp aansluiting &gt; 3*80 A, op land natuurinclusief (net = 50%)</t>
  </si>
  <si>
    <t>Zon-PV ≥ 1 MWp en &lt; 20 MWp, op land natuurinclusief (net = 50%)</t>
  </si>
  <si>
    <t xml:space="preserve">Zon-PV ≥ 1 MWp aansluiting &gt; 3*80 A,  verticaal op land </t>
  </si>
  <si>
    <t>Restwarmtebenutting (zonder warmtepomp), transportleiding ≥ 0,40 km/MWth</t>
  </si>
  <si>
    <t>Restwarmtebenutting (zonder warmtepomp), transportleiding ≥ 0,10 en &lt; 0,20 km/MWth</t>
  </si>
  <si>
    <r>
      <t>Lucht-water-warmtepomp voor verwarming bestaande gebouwde omgeving of bestaande tuinbouwkassen, geen basislast, lagetemperatuur (</t>
    </r>
    <r>
      <rPr>
        <sz val="10"/>
        <rFont val="Calibri"/>
        <family val="2"/>
      </rPr>
      <t>≥</t>
    </r>
    <r>
      <rPr>
        <sz val="7.5"/>
        <rFont val="Arial"/>
        <family val="2"/>
      </rPr>
      <t xml:space="preserve"> </t>
    </r>
    <r>
      <rPr>
        <sz val="10"/>
        <rFont val="Arial"/>
        <family val="2"/>
      </rPr>
      <t>40</t>
    </r>
    <r>
      <rPr>
        <sz val="7.5"/>
        <rFont val="Arial"/>
        <family val="2"/>
      </rPr>
      <t xml:space="preserve"> </t>
    </r>
    <r>
      <rPr>
        <sz val="10"/>
        <rFont val="Calibri"/>
        <family val="2"/>
      </rPr>
      <t>⁰</t>
    </r>
    <r>
      <rPr>
        <sz val="10"/>
        <rFont val="Arial"/>
        <family val="2"/>
      </rPr>
      <t>C</t>
    </r>
    <r>
      <rPr>
        <sz val="5.65"/>
        <rFont val="Arial"/>
        <family val="2"/>
      </rPr>
      <t>)</t>
    </r>
  </si>
  <si>
    <t>Industriële gesloten warmtepomp (5000 vollasturen)</t>
  </si>
  <si>
    <t>Grootschalige elektrische boiler, stadsverwarming</t>
  </si>
  <si>
    <t>Grootschalige elektrische boiler voortzetting, stadsverwarming</t>
  </si>
  <si>
    <t>Grootschalige elektrische boiler, industriele toepassing niet zijnde tuinbouw</t>
  </si>
  <si>
    <t>Grootschalige elektrische boiler, industriele toepassing niet zijnde tuinbouw, met hogetemperatuuropslag</t>
  </si>
  <si>
    <t>Grootschalige elektrische boiler voortzetting, industriele toepassing niet zijnde tuinbouw</t>
  </si>
  <si>
    <t>Zon-PVT systeem, stadsverwarming</t>
  </si>
  <si>
    <t>Waterstof uit vergassing van afval</t>
  </si>
  <si>
    <r>
      <t>CO</t>
    </r>
    <r>
      <rPr>
        <b/>
        <vertAlign val="subscript"/>
        <sz val="10"/>
        <color rgb="FF000000"/>
        <rFont val="Arial"/>
        <family val="2"/>
      </rPr>
      <t>2</t>
    </r>
    <r>
      <rPr>
        <b/>
        <sz val="10"/>
        <color rgb="FF000000"/>
        <rFont val="Arial"/>
        <family val="2"/>
      </rPr>
      <t>-afvang en opslag (CCS) 4.000 uur bij afvalverbrandingsinstallaties (AVI's) (combinatie met 4.000 uur CCU mogelijk)</t>
    </r>
  </si>
  <si>
    <r>
      <t>CO</t>
    </r>
    <r>
      <rPr>
        <b/>
        <vertAlign val="subscript"/>
        <sz val="10"/>
        <color rgb="FF000000"/>
        <rFont val="Arial"/>
        <family val="2"/>
      </rPr>
      <t>2</t>
    </r>
    <r>
      <rPr>
        <b/>
        <sz val="10"/>
        <color rgb="FF000000"/>
        <rFont val="Arial"/>
        <family val="2"/>
      </rPr>
      <t>-afvang en opslag (CCS) 4.000 uur bij (industriële) ETS-installaties (combinatie met 4.000 uur CCU mogelijk)</t>
    </r>
  </si>
  <si>
    <r>
      <t>CO</t>
    </r>
    <r>
      <rPr>
        <b/>
        <vertAlign val="subscript"/>
        <sz val="10"/>
        <color rgb="FF000000"/>
        <rFont val="Arial"/>
        <family val="2"/>
      </rPr>
      <t>2</t>
    </r>
    <r>
      <rPr>
        <b/>
        <sz val="10"/>
        <color rgb="FF000000"/>
        <rFont val="Arial"/>
        <family val="2"/>
      </rPr>
      <t>-afvang en opslag (CCS) 4.000 uur bij (industriële) niet-ETS-installaties (combinatie met 4.000 uur CCU mogelijk)</t>
    </r>
  </si>
  <si>
    <r>
      <t>CO</t>
    </r>
    <r>
      <rPr>
        <b/>
        <vertAlign val="subscript"/>
        <sz val="10"/>
        <color rgb="FF000000"/>
        <rFont val="Arial"/>
        <family val="2"/>
      </rPr>
      <t>2</t>
    </r>
    <r>
      <rPr>
        <b/>
        <sz val="10"/>
        <color rgb="FF000000"/>
        <rFont val="Arial"/>
        <family val="2"/>
      </rPr>
      <t>-afvang en opslag (CCS) 8.000 uur bij (industriële) niet-ETS-installaties</t>
    </r>
  </si>
  <si>
    <r>
      <t>CO</t>
    </r>
    <r>
      <rPr>
        <b/>
        <vertAlign val="subscript"/>
        <sz val="10"/>
        <color theme="1"/>
        <rFont val="Arial"/>
        <family val="2"/>
      </rPr>
      <t>2</t>
    </r>
    <r>
      <rPr>
        <b/>
        <sz val="10"/>
        <color theme="1"/>
        <rFont val="Arial"/>
        <family val="2"/>
      </rPr>
      <t>-afvang en gebruik (CCU) 4.000 uur, gasvormig (transport)</t>
    </r>
  </si>
  <si>
    <r>
      <t>CO</t>
    </r>
    <r>
      <rPr>
        <b/>
        <vertAlign val="subscript"/>
        <sz val="10"/>
        <color theme="1"/>
        <rFont val="Arial"/>
        <family val="2"/>
      </rPr>
      <t>2</t>
    </r>
    <r>
      <rPr>
        <b/>
        <sz val="10"/>
        <color theme="1"/>
        <rFont val="Arial"/>
        <family val="2"/>
      </rPr>
      <t>-afvang en gebruik (CCU) 4.000 uur, vloeibaar (transport)</t>
    </r>
  </si>
  <si>
    <r>
      <t>CO</t>
    </r>
    <r>
      <rPr>
        <b/>
        <vertAlign val="subscript"/>
        <sz val="10"/>
        <color theme="1"/>
        <rFont val="Arial"/>
        <family val="2"/>
      </rPr>
      <t>2</t>
    </r>
    <r>
      <rPr>
        <b/>
        <sz val="10"/>
        <color theme="1"/>
        <rFont val="Arial"/>
        <family val="2"/>
      </rPr>
      <t>-afvang en gebruik (CCU) 4.000 uur, direct aircapture</t>
    </r>
  </si>
  <si>
    <r>
      <t>CO</t>
    </r>
    <r>
      <rPr>
        <vertAlign val="subscript"/>
        <sz val="10"/>
        <color rgb="FF000000"/>
        <rFont val="Arial"/>
        <family val="2"/>
      </rPr>
      <t>2</t>
    </r>
    <r>
      <rPr>
        <sz val="10"/>
        <color rgb="FF000000"/>
        <rFont val="Arial"/>
        <family val="2"/>
      </rPr>
      <t>-afvang en opslag (CCS) 4.000 uur bij afvalverbrandingsinstallaties (AVI's) (combinatie met 4.000 uur CCU mogelijk)</t>
    </r>
  </si>
  <si>
    <r>
      <t>CO</t>
    </r>
    <r>
      <rPr>
        <vertAlign val="subscript"/>
        <sz val="10"/>
        <color rgb="FF000000"/>
        <rFont val="Arial"/>
        <family val="2"/>
      </rPr>
      <t>2</t>
    </r>
    <r>
      <rPr>
        <sz val="10"/>
        <color rgb="FF000000"/>
        <rFont val="Arial"/>
        <family val="2"/>
      </rPr>
      <t>-afvang en opslag (CCS) 4.000 uur bij (industriële) ETS-installaties (combinatie met 4.000 uur CCU mogelijk)</t>
    </r>
  </si>
  <si>
    <r>
      <t>CO</t>
    </r>
    <r>
      <rPr>
        <vertAlign val="subscript"/>
        <sz val="10"/>
        <color rgb="FF000000"/>
        <rFont val="Arial"/>
        <family val="2"/>
      </rPr>
      <t>2</t>
    </r>
    <r>
      <rPr>
        <sz val="10"/>
        <color rgb="FF000000"/>
        <rFont val="Arial"/>
        <family val="2"/>
      </rPr>
      <t>-afvang en opslag (CCS) 4.000 uur bij (industriële) niet-ETS-installaties (combinatie met 4.000 uur CCU mogelijk)</t>
    </r>
  </si>
  <si>
    <r>
      <t>CO</t>
    </r>
    <r>
      <rPr>
        <vertAlign val="subscript"/>
        <sz val="10"/>
        <color rgb="FF000000"/>
        <rFont val="Arial"/>
        <family val="2"/>
      </rPr>
      <t>2</t>
    </r>
    <r>
      <rPr>
        <sz val="10"/>
        <color rgb="FF000000"/>
        <rFont val="Arial"/>
        <family val="2"/>
      </rPr>
      <t>-afvang en opslag (CCS) 8.000 uur bij (industriële) niet-ETS-installaties</t>
    </r>
  </si>
  <si>
    <r>
      <t>CO</t>
    </r>
    <r>
      <rPr>
        <vertAlign val="subscript"/>
        <sz val="10"/>
        <color theme="1"/>
        <rFont val="Arial"/>
        <family val="2"/>
      </rPr>
      <t>2</t>
    </r>
    <r>
      <rPr>
        <sz val="10"/>
        <color theme="1"/>
        <rFont val="Arial"/>
        <family val="2"/>
      </rPr>
      <t>-afvang en gebruik (CCU) 4.000 uur, gasvormig (transport)</t>
    </r>
  </si>
  <si>
    <r>
      <t>CO</t>
    </r>
    <r>
      <rPr>
        <vertAlign val="subscript"/>
        <sz val="10"/>
        <color theme="1"/>
        <rFont val="Arial"/>
        <family val="2"/>
      </rPr>
      <t>2</t>
    </r>
    <r>
      <rPr>
        <sz val="10"/>
        <color theme="1"/>
        <rFont val="Arial"/>
        <family val="2"/>
      </rPr>
      <t>-afvang en gebruik (CCU) 4.000 uur, vloeibaar (transport)</t>
    </r>
  </si>
  <si>
    <r>
      <t>CO</t>
    </r>
    <r>
      <rPr>
        <vertAlign val="subscript"/>
        <sz val="10"/>
        <color theme="1"/>
        <rFont val="Arial"/>
        <family val="2"/>
      </rPr>
      <t>2</t>
    </r>
    <r>
      <rPr>
        <sz val="10"/>
        <color theme="1"/>
        <rFont val="Arial"/>
        <family val="2"/>
      </rPr>
      <t>-afvang en gebruik (CCU) 4.000 uur, direct aircapture</t>
    </r>
  </si>
  <si>
    <t>Gekozen categorie productie-installatie</t>
  </si>
  <si>
    <r>
      <t>CO</t>
    </r>
    <r>
      <rPr>
        <sz val="10"/>
        <rFont val="Calibri"/>
        <family val="2"/>
      </rPr>
      <t>₂</t>
    </r>
    <r>
      <rPr>
        <sz val="10"/>
        <rFont val="Arial"/>
        <family val="2"/>
      </rPr>
      <t>-gebruik</t>
    </r>
  </si>
  <si>
    <t>CO2 afvang en gebruik (CCU)</t>
  </si>
  <si>
    <t>Productie afvang en gebruik CO₂ (ton/jaar)</t>
  </si>
  <si>
    <t>Basisprijs Zon-PV niet-netlevering (vervallen!)</t>
  </si>
  <si>
    <t>Correctiebedrag generiek (alleen netlevering bij zon-PV en wind) incl. waarde GVO voor zon-PV, Wind, hernieuwbaar gas en waarde HBE voor transportbrandstoffen</t>
  </si>
  <si>
    <t xml:space="preserve">Voor deze categorie geldt een minimale COP-eis voor de warmtepomp en dat de warmte uitsluitend wordt geleverd aan gebouwde omgeving! </t>
  </si>
  <si>
    <t xml:space="preserve">Dit model is bedoeld ter onderbouwing van de financiële en economische haalbaarheid voor SDE++ projecten. U voegt de haalbaarheidsstudie toe bij de aanvraag. </t>
  </si>
  <si>
    <t>Tekst energieopbrengstberekening zon-PV-installatie op oost-westgevels</t>
  </si>
  <si>
    <t>Tekst energieopbrengstberekening zon-PV-installatie vertikaal op land</t>
  </si>
  <si>
    <t>Zon-PV op oost-westgevels</t>
  </si>
  <si>
    <t>Zon-PV natuurinclusief regulier op land</t>
  </si>
  <si>
    <t>Zon-PV natuurinclusief vertikaal op land</t>
  </si>
  <si>
    <t>Zon-PV drijvend</t>
  </si>
  <si>
    <t xml:space="preserve">Als u subsidie aanvraagt in de categorie waterstof uit elektrolyse met directe lijn met een wind- of zonnepark, moet u ter onderbouwing een beschrijving van uw productie-installatie voor waterstof en een beschrijving van het wind-of zonnepark waaraan de waterstofproductie-installatie is gekoppeld meesturen. Daarnaast moet u een onderbouwing geven van de jaarlijkse hoeveelheid waterstofproductie. 
</t>
  </si>
  <si>
    <t>U onderbouwt de aangevraagde energieproductie uit de verbeterde slibgisting bij RWZI's. Bij de aanvraag maakt u aannemelijk dat de bestaande biogasproductie per ton slib met minimaal 25% kan worden verhoogd ten opzichte van voor de verbetering. De verbetering betreft 25% ten opzichte van de gemiddelde productie van het jaar voorafgaande aan de aanvraag, of, wanneer de producent minder dan een jaar produceert, ten opzichte van de totale gemiddelde productie tot het moment van de aanvraag. U geeft in een projectbeschrijving aan wat er verandert ten opzichte van de bestaande situatie en voegt hierbij een massa-energiebalans en een processchema toe van de bestaande en de nieuwe situatie. De installatiedelen die verantwoordelijk zijn voor de meerproductie van biogas moeten nieuw zijn. Geef in uw projectbeschrijving aan welke dit zijn.</t>
  </si>
  <si>
    <t>Als u subsidie aanvraagt in de categorie waterkracht moet u ter onderbouwing van de jaarlijks te verwachten energieproductie een waterenergie-opbrengstberekening meesturen.</t>
  </si>
  <si>
    <t xml:space="preserve">U vraagt aan voor de categorie elektroboiler met thermische opslag met een vermogen van minimaal 2 MWth voor gebruik op locatie voor een industriële toepassing, niet zijnde tuinbouw, waarbij sprake is van de uitgestelde levering van warmte door de toepassing van thermische opslag. 
U onderbouwt de aangevraagde warmteproductie uit elektriciteit. U stuurt een processchema van de installatie mee waarmee u inzichtelijk maakt hoe groot de totale warmtevraag is van de warmteafnemers en op welk temperatuurniveau. Daarbij toont u aan dat de warmte van de elektroboiler wordt toegepast in een verwarmingssysteem met een aanvoertemperatuur aan de gebruikerszijde van ten minste 100 ⁰C of in een stoomsysteem. Eventueel vermeldt u, indien er ook andere warmteopwekkers met de elektroboiler warmtezijdig zijn verbonden, welke dat zijn en wat het vermogen daarvan is. Voor de elektrische aansluiting van de elektroboiler geldt dat deze minimaal het nominale vermogen van de elektrische boiler bedraagt. 
Het nominaal elektrisch vermogen van de productie-installatie bedraagt minstens anderhalf keer het nominaal thermisch vermogen van de productie-installatie, waarbij de opslagcapaciteit ten minste 4 MWh per MW thermisch vermogen van de productie-installatie moet bedragen. Het nominaal thermisch vermogen van de productie-installatie bedraagt ten hoogste 50 MWth. </t>
  </si>
  <si>
    <t>Als u warmte gaat leveren aan derden, dient u een onderbouwing te geven van de warmteafzet. Een intentieverklaring of contract voor de warmteafname is een verplicht onderdeel bij uw subsidieaanvraag.</t>
  </si>
  <si>
    <r>
      <t>CO</t>
    </r>
    <r>
      <rPr>
        <b/>
        <vertAlign val="subscript"/>
        <sz val="10"/>
        <color rgb="FF000000"/>
        <rFont val="Arial"/>
        <family val="2"/>
      </rPr>
      <t>2</t>
    </r>
    <r>
      <rPr>
        <b/>
        <sz val="10"/>
        <color rgb="FF000000"/>
        <rFont val="Arial"/>
        <family val="2"/>
      </rPr>
      <t>-afvang en opslag (CCS) 8.000 uur bij afvalverbrandingsinstallaties (AVI's)</t>
    </r>
  </si>
  <si>
    <r>
      <t>CO</t>
    </r>
    <r>
      <rPr>
        <b/>
        <vertAlign val="subscript"/>
        <sz val="10"/>
        <color rgb="FF000000"/>
        <rFont val="Arial"/>
        <family val="2"/>
      </rPr>
      <t>2</t>
    </r>
    <r>
      <rPr>
        <b/>
        <sz val="10"/>
        <color rgb="FF000000"/>
        <rFont val="Arial"/>
        <family val="2"/>
      </rPr>
      <t>-afvang en opslag (CCS) 8.000 uur bij (industriële) ETS-installaties</t>
    </r>
  </si>
  <si>
    <r>
      <t>CO</t>
    </r>
    <r>
      <rPr>
        <vertAlign val="subscript"/>
        <sz val="10"/>
        <color rgb="FF000000"/>
        <rFont val="Arial"/>
        <family val="2"/>
      </rPr>
      <t>2</t>
    </r>
    <r>
      <rPr>
        <sz val="10"/>
        <color rgb="FF000000"/>
        <rFont val="Arial"/>
        <family val="2"/>
      </rPr>
      <t>-afvang en opslag (CCS) 8.000 uur bij afvalverbrandingsinstallaties (AVI's)</t>
    </r>
  </si>
  <si>
    <r>
      <t>CO</t>
    </r>
    <r>
      <rPr>
        <vertAlign val="subscript"/>
        <sz val="10"/>
        <color rgb="FF000000"/>
        <rFont val="Arial"/>
        <family val="2"/>
      </rPr>
      <t>2</t>
    </r>
    <r>
      <rPr>
        <sz val="10"/>
        <color rgb="FF000000"/>
        <rFont val="Arial"/>
        <family val="2"/>
      </rPr>
      <t>-afvang en opslag (CCS) 8.000 uur bij (industriële) ETS-installaties</t>
    </r>
  </si>
  <si>
    <t>Geothermie diep</t>
  </si>
  <si>
    <t>Elektroboiler voortzetting</t>
  </si>
  <si>
    <t>Tekst elektroboiler voortzetting</t>
  </si>
  <si>
    <t>Tekst waterstof vergassing uit afval</t>
  </si>
  <si>
    <t xml:space="preserve">Om voor deze categorie te mogen indienen moet de producent die met een productie-installatie waterstof produceert uit afvalstoffen houder zijn van een vergunning voor het exploiteren van een afvalverwerkingsinstallatie, waarin, ingevolge die vergunning, uitsluitend afvalstoffen of voorbewerkte afvalstoffen mogen worden ingezet die op basis van de minimumstandaarden in het afvalbeheerplan, bedoeld in artikel 10.3 van de Wet milieubeheer, mogen worden verbrand of mogen worden gestort of die zijn geproduceerd uit dergelijke afvalstoffen. U wordt gevraagd een processchema mee te sturen met een massa-energiebalans voor de productie van waterstof door middel van vergassing van afval. </t>
  </si>
  <si>
    <t>Waterstofproductie</t>
  </si>
  <si>
    <t>Voeg een energieopbrengstberekening en een berekening van de jaargemiddelde COP van de warmtepomp toe</t>
  </si>
  <si>
    <t>Voeg een geologisch onderzoek, een energieopbrengstberekening en een berekening van de jaargemiddelde COP van de warmtepomp toe</t>
  </si>
  <si>
    <t>Voeg een energieopbrengstberekening, een berekening van de jaargemiddelde COP van de warmtepomp en een plattegrond van het beoogde leidingtracé toe</t>
  </si>
  <si>
    <t>Tekst Zon-PVT systeem, stadsverwarming</t>
  </si>
  <si>
    <t>Zon-PVT systeem met warmtepomp, stadsverwarming</t>
  </si>
  <si>
    <t xml:space="preserve">Als de productie-installatie deel uitmaakt van een ETS-1 installatie wordt de SDE++-subsidie ook gecorrigeerd voor voordelen die voortvloeien uit het ETS-1 systeem. Op het tabblad Exploitatieberekening zijn de verwachte ETS-1 voordelen en ETS-1 correcties voor de betreffende categorie vooringevuld. </t>
  </si>
  <si>
    <t>Indexatie correctie ETS-1 prijs (%)</t>
  </si>
  <si>
    <t>Voeg een energieopbrengstberekening en een berekening van de COP bij gemiddelde gebruiksomstandigheden van de warmtepomp toe</t>
  </si>
  <si>
    <t xml:space="preserve">Indien u aanvraagt in de categorie elektroboiler voortzetting, moet u aantonen dat de exploitatiekosten van de productie-installatie ertoe leiden dat die voortzetting onrendabel is. Indien u reeds eerder een SDE++ subsidieverlening hebt ontvangen dan dient u een verzoek tot intrekking in te dienen voor deze subsidieverlening.
U onderbouwt de aangevraagde warmteproductie uit elektriciteit. U stuurt een processchema van de installatie mee waarmee u inzichtelijk maakt hoe groot de totale warmtevraag is van de warmteafnemers en op welk temperatuurniveau. Daarbij toont u aan dat de warmte van de elektroboiler wordt toegepast in een verwarmingssysteem met een aanvoertemperatuur aan de gebruikerszijde van ten minste 100 ⁰C in het stookseizoen of in een stoomsysteem (met gebruikerszijde wordt de eerste gebruiker van de warmte bedoeld). Eventueel vermeldt u, indien er ook andere warmteopwekkers met de elektroboiler warmtezijdig zijn verbonden, welke dat zijn en wat het vermogen daarvan is. Voor de elektrische aansluiting van de elektroboiler geldt dat deze minimaal het nominale vermogen van de elektrische boiler bedraagt. </t>
  </si>
  <si>
    <t xml:space="preserve">Aanvullende onderbouwing eigen vermogen </t>
  </si>
  <si>
    <t>Geen vreemd vermogen of leningduur opgegeven</t>
  </si>
  <si>
    <t xml:space="preserve">Voeg een gedetailleerde tekening op schaal waarop de aangevraagde Zon-PV-installatie nauwkeurig is ingetekend en een ‘Verklaring van een constructeur’ toe. </t>
  </si>
  <si>
    <t>Voeg een gedetailleerde tekening op schaal toe waarop de aangevraagde Zonthermie-installatie nauwkeurig is ingetekend en daarnaast, indien de installatie op een dak wordt geplaatst, een ‘Verklaring van een constructeur’.</t>
  </si>
  <si>
    <t>Voeg een energieopbrengstberekening, een berekening van de jaargemiddelde COP van de warmtepomp en 
een gedetailleerde tekening op schaal toe waarop de aangevraagde Zon-PVT-installatie nauwkeurig is ingetekend en daarnaast, indien de installatie op een dak wordt geplaatst, een ‘Verklaring van een constructeur’.</t>
  </si>
  <si>
    <t>Monomestvergisting, gecombineerde opwekking &gt; 110 kW en ≤ 1500 kW</t>
  </si>
  <si>
    <t xml:space="preserve">Monomestvergisting voortzetting, gecombineerde opwekking ≤ 1500 kW </t>
  </si>
  <si>
    <t>Monomestvergisting, warmte &gt; 110 kW en ≤ 1500 kW</t>
  </si>
  <si>
    <t>Monomestvergisting voortzetting, warmte ≤ 1500 kW</t>
  </si>
  <si>
    <t xml:space="preserve">Biomassavergassing inclusief B-Hout </t>
  </si>
  <si>
    <t xml:space="preserve">Biomassavergassing exclusief B-Hout </t>
  </si>
  <si>
    <t>Monomestvergisting, hernieuwbaar gas &gt; 110 kW en ≤ 1500 kW</t>
  </si>
  <si>
    <t>Monomestvergisting voortzetting ≤ 1500 kW, hernieuwbaar gas</t>
  </si>
  <si>
    <t>Installatie op vloeibare biomassa voor stadsverwarming ≥ 0,5 MWth</t>
  </si>
  <si>
    <t>Installatie op vloeibare biomassa voor overige toepassingen ≥ 0,5 MWth</t>
  </si>
  <si>
    <t xml:space="preserve">Grote ketel op B-hout, voortzetting </t>
  </si>
  <si>
    <t>Grote ketel op vaste of vloeibare biomassa ≥ 5 MWth</t>
  </si>
  <si>
    <t>Langetermijnprijs totaal</t>
  </si>
  <si>
    <t>Voorlopig correctiebedrag 2026</t>
  </si>
  <si>
    <t>Zon-PV ≥ 15 kWp en &lt; 1 MWp aansluiting &gt; 3*80 A, gebouwgebonden met dakaanpassing of lichtgewicht panelen (net = 50%)</t>
  </si>
  <si>
    <t>Zon-PV ≥ 1 MWp, gebouwgebonden met dakaanpassing of lichtgewicht panelen (net = 50%)</t>
  </si>
  <si>
    <t xml:space="preserve">Zon-PV ≥ 1 MWp, zonvolgend op land natuurinclusief </t>
  </si>
  <si>
    <t>Zon-PV ≥ 15 kWp en &lt;  1 MWp aansluiting &gt; 3*80 A, op land met bestemming verkeer langs wegen en spoor (net = 50%)</t>
  </si>
  <si>
    <t>Allesvergisting extra faciliteit (ombouw naar hernieuwbaar gas)</t>
  </si>
  <si>
    <t>Monomestvergisting extra faciliteit (ombouw naar hernieuwbaar gas) ≤ 1500 kW</t>
  </si>
  <si>
    <t>RWZI slibgisting extra faciliteit (ombouw naar hernieuwbaar gas)</t>
  </si>
  <si>
    <t>Model haalbaarheidsstudie SDE++ 2026</t>
  </si>
  <si>
    <t>Versie juli 2026</t>
  </si>
  <si>
    <t xml:space="preserve">U vraagt subsidie aan voor een drijvende zon-PV-installatie zonder zonvolgsysteem. U hoeft geen energie-opbrengstberekening toe te voegen. Bij een drijvende zon-PV-installatie wordt de energieopbrengst (kWh/jaar) berekend door het piekvermogen van de installatie (in kWp) te vermenigvuldigen met 855 vollasturen/jaar. Wel wordt u gevraagd om een gedetailleerde tekening op schaal met oriëntatie (richting noorden) waarop de aangevraagde zon-PV-installatie nauwkeurig op de beoogde locatie is ingetekend, toe te voegen. Zijn of komen er op de beoogde locatie meer installaties, dan geeft u dit duidelijk aan. Uit de intekening moet ook de oriëntatie van de installatie blijken. </t>
  </si>
  <si>
    <t>Aquathermie, geen basislast, stadsverwarming (3500 vollasturen)</t>
  </si>
  <si>
    <t>Aquathermie met seizoensopslag, geen basislast, rechtstreekse levering aan gebouw (3500 vollasturen)</t>
  </si>
  <si>
    <t>Restwarmtebenutting (zonder warmtepomp), transportleiding &lt; 0,10 km/MWth</t>
  </si>
  <si>
    <t>Procesgeïntegreerde warmtepomp met aanpassing van bestaand verdampingsproces (8000 uur)</t>
  </si>
  <si>
    <t>Procesgeïntegreerde warmtepomp met aanpassing van bestaand verdampingsproces (5000 uur)</t>
  </si>
  <si>
    <t>Procesgeïntegreerde warmtepomp met aanpassing van bestaand verdampingsproces (3000 uur)</t>
  </si>
  <si>
    <t>Procesgeïntegreerde warmtepomp in een bestaand verdampingsproces (8000 uur)</t>
  </si>
  <si>
    <t>Procesgeïntegreerde warmtepomp in een bestaand verdampingsproces (5000 uur)</t>
  </si>
  <si>
    <t>Procesgeïntegreerde warmtepomp in een bestaand verdampingsproces (3000 uur)</t>
  </si>
  <si>
    <t>Procesgeïntegreerde warmtepomp in een verdampingsproces met laag dauwpunt</t>
  </si>
  <si>
    <t>Tekst warmtepomp procesgeïntegreerd met aanpassing bestaand verdampingsproces</t>
  </si>
  <si>
    <t>Warmtepomp procesgeïntegreerd in bestaand verdampingsproces</t>
  </si>
  <si>
    <t>Warmtepomp procesgeïntegreerd in een verdampingsproces met laag dauwpunt</t>
  </si>
  <si>
    <t>Warmtepomp procesgeïntegreerd met aanpassing van bestaand verdampingsproces</t>
  </si>
  <si>
    <t>Tekst warmtepomp procesgeïntegreerd in bestaand verdampingsproces</t>
  </si>
  <si>
    <t>Tekst warmtepomp procesgeïntegreerd in verdampingsproces met laag dauwpunt</t>
  </si>
  <si>
    <t>Zon-PV natuurinclusief op land met bestemming verkeer langs wegen en spoor</t>
  </si>
  <si>
    <t>Tekst energieopbrengstberekening zon-PV natuurinclusief op land met bestemming verkeer langs wegen en spoor</t>
  </si>
  <si>
    <t xml:space="preserve">U vraagt subsidie aan voor een natuurinclusief grondgebonden zon-PV-installatie zonder zonvolgsysteem. U hoeft geen energie-opbrengstberekening toe te voegen. Bij een grondgebonden zon-PV-installatie zonder zonvolgsysteem wordt de energieopbrengst (kWh/jaar) berekend door het piekvermogen van de installatie (in kWp) te vermenigvuldigen met 855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U kunt u voor de categorie natuurinclusief aanvragen als de vergunning die op grond van de Omgevingswet noodzakelijk is voor de realisatie van de productie-installatie de volgende voorwaarde bevat dat:
a.	er van bovenaf gezien minimaal 25% open ruimte tussen de tafels met zonnepanelen aanwezig is;
b.	er een inrichtingsplan en beheerplan is dat ten doel heeft om verslechtering van de bodemkwaliteit, waterkwaliteit en ecologische kwaliteit gedurende de subsidieperiode te voorkomen; 
c.	de subsidie-ontvanger de effecten van de productie-installatie op de bodemkwaliteit, waterkwaliteit en biodiversiteit monitort en, indien nodig, aanvullende maatregelen neemt om verslechtering van de bodemkwaliteit, waterkwaliteit en ecologische kwaliteit gedurende de subsidieperiode te voorkomen; en 
d.	de subsidie-ontvanger een nulmeting uitvoert om de huidige waarde van de bodemkwaliteit, de waterkwaliteit en de ecologische kwaliteit vast te stellen.
Vanaf de SDE++ 2026 wordt naast bepaalde voorwaarden in de vergunning een alternatieve mogelijkheid voor het aantonen van natuurinclusiviteit aangeboden. Het gaat hierbij om een wetenschappelijk onderbouwd en breed door de sector gedragen keurmerk (zoals EcoCertified) waaruit blijkt dat:
a.	de productie-installatie is ontworpen met als doel nadelige effecten op flora, fauna en biodiversiteit te voorkomen;
b.	er minimale eisen worden gesteld aan lichtinval tussen de fotovoltaïsche zonnepanelen om negatieve effecten voor bodem- en waterkwaliteit zoveel mogelijk te voorkomen; en
c.	er natuurlijke elementen worden geïntegreerd en landschappelijk worden ingepast. 
Tenslotte geldt dat voor de fotovoltaïsche zonnepanelen de CO2-voetafdruk tijdens de productiefase A1 tot en met A3 zoals bedoeld in EN 15804:2012+A2:2019 blijkens een milieuproductverklaring ten hoogste 550 kg per kWp bedraagt.
 </t>
  </si>
  <si>
    <t xml:space="preserve">U vraagt subsidie aan voor een natuurinclusief grondgebonden vertikaal zon-PV-installatie zonder zonvolgsysteem. U hoeft geen energie-opbrengstberekening toe te voegen. Bij een grondgebonden zon-PV-installatie zonder zonvolgsysteem wordt de energieopbrengst (kWh/jaar) berekend door het piekvermogen van de installatie (in kWp) te vermenigvuldigen met 825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U kunt voor de categorie natuurinclusief aanvragen als de vergunning die op grond van de Omgevingswet noodzakelijk is voor de realisatie van de productie-installatie de volgende voorwaarde bevat dat:
a.	er van bovenaf gezien minimaal 25% open ruimte tussen de tafels met zonnepanelen aanwezig is;
b.	er een inrichtingsplan en beheerplan is dat ten doel heeft om verslechtering van de bodemkwaliteit, waterkwaliteit en ecologische kwaliteit gedurende de subsidieperiode te voorkomen; 
c.	de subsidie-ontvanger de effecten van de productie-installatie op de bodemkwaliteit, waterkwaliteit en biodiversiteit monitort en, indien nodig, aanvullende maatregelen neemt om verslechtering van de bodemkwaliteit, waterkwaliteit en ecologische kwaliteit gedurende de subsidieperiode te voorkomen; en 
d.	de subsidie-ontvanger een nulmeting uitvoert om de huidige waarde van de bodemkwaliteit, de waterkwaliteit en de ecologische kwaliteit vast te stellen.
Vanaf de SDE++ 2026 wordt naast bepaalde voorwaarden in de vergunning een alternatieve mogelijkheid voor het aantonen van natuurinclusiviteit aangeboden. Het gaat hierbij om een wetenschappelijk onderbouwd en breed door de sector gedragen keurmerk (zoals EcoCertified) waaruit blijkt dat:
a.	de productie-installatie is ontworpen met als doel nadelige effecten op flora, fauna en biodiversiteit te voorkomen;
b.	er minimale eisen worden gesteld aan lichtinval tussen de fotovoltaïsche zonnepanelen om negatieve effecten voor bodem- en waterkwaliteit zoveel mogelijk te voorkomen; en
c.	er natuurlijke elementen worden geïntegreerd en landschappelijk worden ingepast. 
Tenslotte geldt dat voor de fotovoltaïsche zonnepanelen de CO2-voetafdruk tijdens de productiefase A1 tot en met A3 zoals bedoeld in EN 15804:2012+A2:2019 blijkens een milieuproductverklaring ten hoogste 550 kg per kWp bedraagt.
 </t>
  </si>
  <si>
    <t>U vraagt subsidie aan voor een gebouwgebonden zon-PV-installatie. U hoeft geen energie-opbrengstberekening toe te voegen. Bij een gebouwgebonden zon-PV-installatie wordt de energieopbrengst (kWh/jaar) berekend door het piekvermogen van de installatie (in kWp) te vermenigvuldigen met 840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Bereken het beschikbare dakoppervlak en houd rekening met lichtstraten en klimaatinstallaties die op het dak staan. 
Verder bent u verplicht om het ‘Verklaring van een constructeur’ bij uw aanvraag te voegen (het model vindt u op de website van RVO). Hierin moet een constructeur een verklaring geven over de belastbaarheid van het dak of de gevel volgens het Besluit bouwwerken leefomgeving. Het onderzoek laat u uitvoeren en ondertekenen door een constructeur.  Reden voor het invoeren van deze eis is dat de realisatie van gebouw gebonden projecten achterblijft op de verwachting. Eén van de meest aangegeven redenen hiervoor is dat na het ontvangen van een beschikking het dak alsnog niet geschikt blijkt en de kosten om het dak geschikt te maken te hoog zijn. 
Tenslotte geldt dat voor de fotovoltaïsche zonnepanelen de CO2-voetafdruk tijdens de productiefase A1 tot en met A3 zoals bedoeld in EN 15804:2012+A2:2019 blijkens een milieuproductverklaring ten hoogste 550 kg per kWp bedraagt.</t>
  </si>
  <si>
    <t xml:space="preserve">U hoeft geen energie-opbrengstberekening toe te voegen. Bij een gebouwgebonden zon-PV-installatie wordt de energieopbrengst (kWh/jaar) berekend door het piekvermogen van de installatie (in kWp) te vermenigvuldigen met 840 vollasturen/jaar. 
Omdat u subsidie aanvraagt voor een categorie gebouwgebonden zon-PV-installatie waarbij het dak van een bestaand gebouw constructief moet worden aangepast of een draagconstructie moet worden toegepast die het dak ontlast en waarbij deze constructieve dakaanpassing of draagconstructie noodzakelijk is voor de realisatie van de productie-installatie, danwel bij het gebruik van het dak van een bestaand gebouw gebruik zal worden gemaakt van een productie-installatie met een maximaal gewicht van 10 kilogram per vierkante meter met zonnepanelen bedekt dakoppervlak wordt u  gevraagd toe te lichten welke aanpassing u gaat doen aan het dak om de plaatsing van de zon-PV-installatie mogelijk te maken tegen welke kosten. Of als u lichtgewicht zonnepanelen gaat plaatsen een onderbouwing van de kosten van de lichtgewichtpanelen. Het is belangrijk dat u aannemelijk maakt dat ook bij deze extra investeringskosten het project economisch haalbaar is. 
Daarbij bent u verplicht een 'Verklaring van een constructeur' bij uw aanvraag te voegen (het model vindt u op de website van RVO). In de verklaring vult de constructeur in wat er aan de constructie moet worden aangepast om deze geschikt te maken. 
Verder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Bereken het beschikbare dakoppervlak en houd rekening met lichtstraten en klimaatinstallaties die op het dak staan. 
Tenslotte geldt dat voor de fotovoltaïsche zonnepanelen de CO2-voetafdruk tijdens de productiefase A1 tot en met A3 zoals bedoeld in EN 15804:2012+A2:2019 blijkens een milieuproductverklaring ten hoogste 550 kg per kWp bedraagt.
</t>
  </si>
  <si>
    <t>U vraagt subsidie aan voor een zon-PV-installatie op oost-westgevels. U hoeft geen energie-opbrengstberekening toe te voegen. Bij zon-PV-installatie op oost-westgevels wordt de energieopbrengst (kWh/jaar) berekend door het piekvermogen van de installatie (in kWp) te vermenigvuldigen met 600 vollasturen/jaar. 
Wel wordt u gevraagd om een gedetailleerde tekening op schaal waarop de aangevraagde zon-PV-installatie nauwkeurig op de beoogde locatie is ingetekend, toe te voegen. Op deze tekening moet tevens de oriëntatie Oost – West van de zonnepanelen zijn aangegeven met de eventuele afwijking in aantal graden op het Oosten of het Westen. De afwijking van de zonnepaneeloriëntatie op het Oosten of het Westen mag niet meer dan 30 graden bedragen. Zijn of komen er op de beoogde locatie meer installaties, dan geeft u dit duidelijk aan. Uit de intekening moet naast het beschikbare geveloppervlak ook de oriëntatie van de installatie blijken. Alleen elektriciteit opgewekt door zonnepanelen met een oriëntatie op het oosten of het westen met een afwijking van ten hoogste dertig graden op die oriëntatie komt in aanmerking voor subsidie.
Verder bent u verplicht om de ‘Verklaring van een constructeur’ bij uw aanvraag te voegen (het model vindt u op de website van RVO). Hierin moet een constructeur een verklaring geven over de belastbaarheid van de gevel volgens het Besluit bouwwerken leefomgeving. Het onderzoek laat u uitvoeren en ondertekenen door een constructeur. 
Tenslotte geldt dat voor de fotovoltaïsche zonnepanelen de CO2-voetafdruk tijdens de productiefase A1 tot en met A3 zoals bedoeld in EN 15804:2012+A2:2019 blijkens een milieuproductverklaring ten hoogste 550 kg per kWp bedraagt.</t>
  </si>
  <si>
    <t xml:space="preserve">U vraagt subsidie aan in een categorie natuurinclusief grondgebonden zon-PV met een zonvolgend systeem. Ter onderbouwing van de jaarlijks te verwachten netto elektriciteitsproductie moet u een zonne-energie-opbrengstberekening meesturen. Aan dit onderzoek worden nadere eisen gesteld. Meer informatie vindt u in de 'Handleiding haalbaarheidstudie SDE++'. Daarnaast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U kunt u voor de categorie natuurinclusief aanvragen als de vergunning die op grond van de Omgevingswet noodzakelijk is voor de realisatie van de productie-installatie de volgende voorwaarde bevat dat:
a.	er van bovenaf gezien minimaal 25% open ruimte tussen de tafels met zonnepanelen aanwezig is;
b.	er een inrichtingsplan en beheerplan is dat ten doel heeft om verslechtering van de bodemkwaliteit, waterkwaliteit en ecologische kwaliteit gedurende de subsidieperiode te voorkomen; 
c.	de subsidie-ontvanger de effecten van de productie-installatie op de bodemkwaliteit, waterkwaliteit en biodiversiteit monitort en, indien nodig, aanvullende maatregelen neemt om verslechtering van de bodemkwaliteit, waterkwaliteit en ecologische kwaliteit gedurende de subsidieperiode te voorkomen; en 
d.	de subsidie-ontvanger een nulmeting uitvoert om de huidige waarde van de bodemkwaliteit, de waterkwaliteit en de ecologische kwaliteit vast te stellen.
Vanaf de SDE++ 2026 wordt naast bepaalde voorwaarden in de vergunning een alternatieve mogelijkheid voor het aantonen van natuurinclusiviteit aangeboden. Het gaat hierbij om een wetenschappelijk onderbouwd en breed door de sector gedragen keurmerk (zoals EcoCertified) waaruit blijkt dat:
a.	de productie-installatie is ontworpen met als doel nadelige effecten op flora, fauna en biodiversiteit te voorkomen;
b.	er minimale eisen worden gesteld aan lichtinval tussen de fotovoltaïsche zonnepanelen om negatieve effecten voor bodem- en waterkwaliteit zoveel mogelijk te voorkomen; en
c.	er natuurlijke elementen worden geïntegreerd en landschappelijk worden ingepast. 
Tenslotte geldt dat voor de fotovoltaïsche zonnepanelen de CO2-voetafdruk tijdens de productiefase A1 tot en met A3 zoals bedoeld in EN 15804:2012+A2:2019 blijkens een milieuproductverklaring ten hoogste 550 kg per kWp bedraagt.
 </t>
  </si>
  <si>
    <t xml:space="preserve">U vraagt subsidie aan voor een zon-PV-installatie op een locatie met bestemming verkeer langs wegen en spoor. Dat de zonnepanelen op een locatie met bestemming verkeer langs wegen of spoor worden gerealiseerd moet blijken uit het omgevingsplan, als bedoeld in artikel 2.4. van de Omgevingswet. Daarnaast geldt dat de productie-installatie, voor zover de zonnepanelen op land staan, natuurinclusief wordt gerealiseerd 
U hoeft geen energie-opbrengstberekening toe te voegen. De energieopbrengst (kWh/jaar) wordt berekend door het piekvermogen van de installatie (in kWp) te vermenigvuldigen met 855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U kunt u voor de categorie natuurinclusief aanvragen als de vergunning die op grond van de Omgevingswet noodzakelijk is voor de realisatie van de productie-installatie de volgende voorwaarde bevat dat:
a.	er van bovenaf gezien minimaal 25% open ruimte tussen de tafels met zonnepanelen aanwezig is;
b.	er een inrichtingsplan en beheerplan is dat ten doel heeft om verslechtering van de bodemkwaliteit, waterkwaliteit en ecologische kwaliteit gedurende de subsidieperiode te voorkomen; 
c.	de subsidie-ontvanger de effecten van de productie-installatie op de bodemkwaliteit, waterkwaliteit en biodiversiteit monitort en, indien nodig, aanvullende maatregelen neemt om verslechtering van de bodemkwaliteit, waterkwaliteit en ecologische kwaliteit gedurende de subsidieperiode te voorkomen; en 
d.	de subsidie-ontvanger een nulmeting uitvoert om de huidige waarde van de bodemkwaliteit, de waterkwaliteit en de ecologische kwaliteit vast te stellen.
Vanaf de SDE++ 2026 wordt naast bepaalde voorwaarden in de vergunning een alternatieve mogelijkheid voor het aantonen van natuurinclusiviteit aangeboden. Het gaat hierbij om een wetenschappelijk onderbouwd en breed door de sector gedragen keurmerk (zoals EcoCertified) waaruit blijkt dat:
a.	de productie-installatie is ontworpen met als doel nadelige effecten op flora, fauna en biodiversiteit te voorkomen;
b.	er minimale eisen worden gesteld aan lichtinval tussen de fotovoltaïsche zonnepanelen om negatieve effecten voor bodem- en waterkwaliteit zoveel mogelijk te voorkomen; en
c.	er natuurlijke elementen worden geïntegreerd en landschappelijk worden ingepast. 
Tenslotte geldt dat voor de fotovoltaïsche zonnepanelen de CO2-voetafdruk tijdens de productiefase A1 tot en met A3 zoals bedoeld in EN 15804:2012+A2:2019 blijkens een milieuproductverklaring ten hoogste 550 kg per kWp bedraagt.
 </t>
  </si>
  <si>
    <r>
      <t>CO</t>
    </r>
    <r>
      <rPr>
        <b/>
        <vertAlign val="subscript"/>
        <sz val="10"/>
        <color rgb="FF000000"/>
        <rFont val="Arial"/>
        <family val="2"/>
      </rPr>
      <t>2</t>
    </r>
    <r>
      <rPr>
        <b/>
        <sz val="10"/>
        <color rgb="FF000000"/>
        <rFont val="Arial"/>
        <family val="2"/>
      </rPr>
      <t xml:space="preserve">-afvang en opslag (CCS) 8.000 uur bij biomassaverbranding, biogene procesemissies en uit omgevingslucht </t>
    </r>
  </si>
  <si>
    <r>
      <t>CO</t>
    </r>
    <r>
      <rPr>
        <b/>
        <vertAlign val="subscript"/>
        <sz val="10"/>
        <color rgb="FF000000"/>
        <rFont val="Arial"/>
        <family val="2"/>
      </rPr>
      <t>2</t>
    </r>
    <r>
      <rPr>
        <b/>
        <sz val="10"/>
        <color rgb="FF000000"/>
        <rFont val="Arial"/>
        <family val="2"/>
      </rPr>
      <t>-afvang en opslag (CCS) 4.000 uur bij biomassaverbranding, biogene procesemissies en uit omgevingslucht (combinatie met 4.000 uur CCU mogelijk)</t>
    </r>
  </si>
  <si>
    <r>
      <t>CO</t>
    </r>
    <r>
      <rPr>
        <vertAlign val="subscript"/>
        <sz val="10"/>
        <color rgb="FF000000"/>
        <rFont val="Arial"/>
        <family val="2"/>
      </rPr>
      <t>2</t>
    </r>
    <r>
      <rPr>
        <sz val="10"/>
        <color rgb="FF000000"/>
        <rFont val="Arial"/>
        <family val="2"/>
      </rPr>
      <t>-afvang en opslag (CCS) 4.000 uur bij biomassaverbranding, biogene procesemissies en uit omgevingslucht (combinatie met 4.000 uur CCU mogelijk)</t>
    </r>
  </si>
  <si>
    <r>
      <t>CO</t>
    </r>
    <r>
      <rPr>
        <vertAlign val="subscript"/>
        <sz val="10"/>
        <color rgb="FF000000"/>
        <rFont val="Arial"/>
        <family val="2"/>
      </rPr>
      <t>2</t>
    </r>
    <r>
      <rPr>
        <sz val="10"/>
        <color rgb="FF000000"/>
        <rFont val="Arial"/>
        <family val="2"/>
      </rPr>
      <t>-afvang en opslag (CCS) 8.000 uur bij biomassaverbranding, biogene procesemissies en uit omgevingslucht</t>
    </r>
  </si>
  <si>
    <r>
      <t>CCS - Gedeeltelijke opslag van niet biogene CO</t>
    </r>
    <r>
      <rPr>
        <vertAlign val="subscript"/>
        <sz val="10"/>
        <rFont val="Arial"/>
        <family val="2"/>
      </rPr>
      <t>2</t>
    </r>
    <r>
      <rPr>
        <sz val="10"/>
        <rFont val="Arial"/>
        <family val="2"/>
      </rPr>
      <t>-procesemissie, gasvormig transport (art. 79.1.a.1</t>
    </r>
    <r>
      <rPr>
        <sz val="10"/>
        <rFont val="Calibri"/>
        <family val="2"/>
      </rPr>
      <t>⁰</t>
    </r>
    <r>
      <rPr>
        <sz val="10"/>
        <rFont val="Arial"/>
        <family val="2"/>
      </rPr>
      <t>)</t>
    </r>
  </si>
  <si>
    <r>
      <t>CCS - Gedeeltelijke opslag van niet biogene CO</t>
    </r>
    <r>
      <rPr>
        <vertAlign val="subscript"/>
        <sz val="10"/>
        <rFont val="Arial"/>
        <family val="2"/>
      </rPr>
      <t>2</t>
    </r>
    <r>
      <rPr>
        <sz val="10"/>
        <rFont val="Arial"/>
        <family val="2"/>
      </rPr>
      <t>-procesemissie, vloeibaar transport, nieuwe vervloeiingsinstallatie (art. 79.1.a.2</t>
    </r>
    <r>
      <rPr>
        <sz val="10"/>
        <rFont val="Calibri"/>
        <family val="2"/>
      </rPr>
      <t>⁰</t>
    </r>
    <r>
      <rPr>
        <sz val="10"/>
        <rFont val="Arial"/>
        <family val="2"/>
      </rPr>
      <t>)</t>
    </r>
  </si>
  <si>
    <r>
      <t>CCS - Gedeeltelijke opslag van niet biogene CO</t>
    </r>
    <r>
      <rPr>
        <vertAlign val="subscript"/>
        <sz val="10"/>
        <rFont val="Arial"/>
        <family val="2"/>
      </rPr>
      <t>2</t>
    </r>
    <r>
      <rPr>
        <sz val="10"/>
        <rFont val="Arial"/>
        <family val="2"/>
      </rPr>
      <t>-procesemissie, vloeibaar transport (art. 79.1.a.3</t>
    </r>
    <r>
      <rPr>
        <sz val="10"/>
        <rFont val="Calibri"/>
        <family val="2"/>
      </rPr>
      <t>⁰</t>
    </r>
    <r>
      <rPr>
        <sz val="10"/>
        <rFont val="Arial"/>
        <family val="2"/>
      </rPr>
      <t>)</t>
    </r>
  </si>
  <si>
    <r>
      <t>CCS - Volledige CO</t>
    </r>
    <r>
      <rPr>
        <vertAlign val="subscript"/>
        <sz val="10"/>
        <rFont val="Arial"/>
        <family val="2"/>
      </rPr>
      <t>2</t>
    </r>
    <r>
      <rPr>
        <sz val="10"/>
        <rFont val="Arial"/>
        <family val="2"/>
      </rPr>
      <t>-opslag bij bestaande installaties, gasvormig transport (art. 79.1.b.1</t>
    </r>
    <r>
      <rPr>
        <sz val="10"/>
        <rFont val="Calibri"/>
        <family val="2"/>
      </rPr>
      <t>⁰</t>
    </r>
    <r>
      <rPr>
        <sz val="10"/>
        <rFont val="Arial"/>
        <family val="2"/>
      </rPr>
      <t>)</t>
    </r>
  </si>
  <si>
    <r>
      <t>CCS - Volledige CO</t>
    </r>
    <r>
      <rPr>
        <vertAlign val="subscript"/>
        <sz val="10"/>
        <rFont val="Arial"/>
        <family val="2"/>
      </rPr>
      <t>2</t>
    </r>
    <r>
      <rPr>
        <sz val="10"/>
        <rFont val="Arial"/>
        <family val="2"/>
      </rPr>
      <t>-opslag bij bestaande installaties, vloeibaar transport, nieuwe vervloeiingsinstallatie (art. 79.1.b.2</t>
    </r>
    <r>
      <rPr>
        <sz val="10"/>
        <rFont val="Calibri"/>
        <family val="2"/>
      </rPr>
      <t>⁰</t>
    </r>
    <r>
      <rPr>
        <sz val="10"/>
        <rFont val="Arial"/>
        <family val="2"/>
      </rPr>
      <t xml:space="preserve">) </t>
    </r>
  </si>
  <si>
    <r>
      <t>CCS - Nieuwe pre-combustion zuivering van niet biogene CO</t>
    </r>
    <r>
      <rPr>
        <vertAlign val="subscript"/>
        <sz val="10"/>
        <rFont val="Arial"/>
        <family val="2"/>
      </rPr>
      <t>2</t>
    </r>
    <r>
      <rPr>
        <sz val="10"/>
        <rFont val="Arial"/>
        <family val="2"/>
      </rPr>
      <t>-procesemissie, bestaande installatie, gasvormig transport (art. 79.1.c.1</t>
    </r>
    <r>
      <rPr>
        <sz val="10"/>
        <rFont val="Calibri"/>
        <family val="2"/>
      </rPr>
      <t>⁰</t>
    </r>
    <r>
      <rPr>
        <sz val="10"/>
        <rFont val="Arial"/>
        <family val="2"/>
      </rPr>
      <t>)</t>
    </r>
  </si>
  <si>
    <r>
      <t>CCS - Nieuwe pre-combustion zuivering van niet biogene CO</t>
    </r>
    <r>
      <rPr>
        <vertAlign val="subscript"/>
        <sz val="10"/>
        <rFont val="Arial"/>
        <family val="2"/>
      </rPr>
      <t>2</t>
    </r>
    <r>
      <rPr>
        <sz val="10"/>
        <rFont val="Arial"/>
        <family val="2"/>
      </rPr>
      <t>-procesemissie, bestaande installatie, vloeibaar transport, nieuwe vervloeiingsinstallatie (art. 79.1.c.2⁰)</t>
    </r>
  </si>
  <si>
    <r>
      <t>CCS - Nieuwe pre-combustion CO</t>
    </r>
    <r>
      <rPr>
        <vertAlign val="subscript"/>
        <sz val="10"/>
        <rFont val="Arial"/>
        <family val="2"/>
      </rPr>
      <t>2</t>
    </r>
    <r>
      <rPr>
        <sz val="10"/>
        <rFont val="Arial"/>
        <family val="2"/>
      </rPr>
      <t>-afvang bij nieuwe waterstofproductie uit restgassen voor ondervuring, gasvormig transport (art. 79.1.d.1</t>
    </r>
    <r>
      <rPr>
        <sz val="10"/>
        <rFont val="Calibri"/>
        <family val="2"/>
      </rPr>
      <t>⁰</t>
    </r>
    <r>
      <rPr>
        <sz val="7.5"/>
        <rFont val="Arial"/>
        <family val="2"/>
      </rPr>
      <t>)</t>
    </r>
  </si>
  <si>
    <r>
      <t>CCS - Nieuwe pre-combustion CO</t>
    </r>
    <r>
      <rPr>
        <vertAlign val="subscript"/>
        <sz val="10"/>
        <rFont val="Arial"/>
        <family val="2"/>
      </rPr>
      <t>2</t>
    </r>
    <r>
      <rPr>
        <sz val="10"/>
        <rFont val="Arial"/>
        <family val="2"/>
      </rPr>
      <t>-afvang bij nieuwe waterstofproductie uit restgassen voor ondervuring, vloeibaar transport, nieuwe vervloeiingsinstallatie (art. 79.1.d.2⁰)</t>
    </r>
  </si>
  <si>
    <t>CCS - Nieuwe pre-combustion CO2 afvang bij bestaande waterstofproductie uit restgassen voor ondervuring, gasvormig transport (art. 79.1.e.1⁰)</t>
  </si>
  <si>
    <t>CCS - Nieuwe pre-combustion CO2 afvang bij bestaande waterstofproductie uit restgassen voor ondervuring, vloeibaar transport, nieuwe vervloeiingsinstallatie (art. 79.1.e.2⁰)</t>
  </si>
  <si>
    <r>
      <t>CCS - Nieuwe post-combustion CO</t>
    </r>
    <r>
      <rPr>
        <vertAlign val="subscript"/>
        <sz val="10"/>
        <rFont val="Arial"/>
        <family val="2"/>
      </rPr>
      <t>2</t>
    </r>
    <r>
      <rPr>
        <sz val="10"/>
        <rFont val="Arial"/>
        <family val="2"/>
      </rPr>
      <t>-afvang, bestaande installatie, gasvormig transport (art. 79.1.f.1⁰)</t>
    </r>
  </si>
  <si>
    <r>
      <t>CCS - Nieuwe post-combustion CO</t>
    </r>
    <r>
      <rPr>
        <vertAlign val="subscript"/>
        <sz val="10"/>
        <rFont val="Arial"/>
        <family val="2"/>
      </rPr>
      <t>2</t>
    </r>
    <r>
      <rPr>
        <sz val="10"/>
        <rFont val="Arial"/>
        <family val="2"/>
      </rPr>
      <t xml:space="preserve">-afvang, bestaande installatie, vloeibaar transport, nieuwe vervloeiingsinstallatie(art. 79.1.f.2⁰) </t>
    </r>
  </si>
  <si>
    <r>
      <t>CCS - Nieuwe pre-combustion CO</t>
    </r>
    <r>
      <rPr>
        <vertAlign val="subscript"/>
        <sz val="10"/>
        <rFont val="Arial"/>
        <family val="2"/>
      </rPr>
      <t>2</t>
    </r>
    <r>
      <rPr>
        <sz val="10"/>
        <rFont val="Arial"/>
        <family val="2"/>
      </rPr>
      <t>-zuivering, nieuwe installatie, gasvormig transport (art. 79.1.g.1⁰)</t>
    </r>
  </si>
  <si>
    <r>
      <t>CCS - Nieuwe pre-combustion CO</t>
    </r>
    <r>
      <rPr>
        <vertAlign val="subscript"/>
        <sz val="10"/>
        <rFont val="Arial"/>
        <family val="2"/>
      </rPr>
      <t>2</t>
    </r>
    <r>
      <rPr>
        <sz val="10"/>
        <rFont val="Arial"/>
        <family val="2"/>
      </rPr>
      <t>-zuivering, nieuwe installatie, vloeibaar transport, nieuwe vervloeiingsinstallatie (art. 79.1.g.2⁰)</t>
    </r>
  </si>
  <si>
    <r>
      <t>CCS - Nieuwe post-combustion CO</t>
    </r>
    <r>
      <rPr>
        <vertAlign val="subscript"/>
        <sz val="10"/>
        <rFont val="Arial"/>
        <family val="2"/>
      </rPr>
      <t>2</t>
    </r>
    <r>
      <rPr>
        <sz val="10"/>
        <rFont val="Arial"/>
        <family val="2"/>
      </rPr>
      <t>-afvang, nieuwe installatie, gasvormig transport (art. 79.1.h.1⁰)</t>
    </r>
  </si>
  <si>
    <r>
      <t>CCS - Nieuwe post-combustion CO</t>
    </r>
    <r>
      <rPr>
        <vertAlign val="subscript"/>
        <sz val="10"/>
        <rFont val="Arial"/>
        <family val="2"/>
      </rPr>
      <t>2</t>
    </r>
    <r>
      <rPr>
        <sz val="10"/>
        <rFont val="Arial"/>
        <family val="2"/>
      </rPr>
      <t>-afvang, nieuwe installatie, vloeibaar transport, nieuwe vervloeiingsinstallatie (art. 79.1.h.2⁰)</t>
    </r>
  </si>
  <si>
    <r>
      <t>CCS - Gedeeltelijke CO</t>
    </r>
    <r>
      <rPr>
        <vertAlign val="subscript"/>
        <sz val="10"/>
        <rFont val="Arial"/>
        <family val="2"/>
      </rPr>
      <t>2</t>
    </r>
    <r>
      <rPr>
        <sz val="10"/>
        <rFont val="Arial"/>
        <family val="2"/>
      </rPr>
      <t>-opslag bij bestaande afvalverbrandingsinstallaties, gasvormig transport (art. 79.2.a.1⁰)</t>
    </r>
  </si>
  <si>
    <r>
      <t>CCS - Gedeeltelijke CO</t>
    </r>
    <r>
      <rPr>
        <vertAlign val="subscript"/>
        <sz val="10"/>
        <rFont val="Arial"/>
        <family val="2"/>
      </rPr>
      <t>2</t>
    </r>
    <r>
      <rPr>
        <sz val="10"/>
        <rFont val="Arial"/>
        <family val="2"/>
      </rPr>
      <t>-opslag bij bestaande afvalverbrandingsinstallaties, vloeibaar transport, nieuwe vervloeiingsinstallatie (art. 79.2.a.2⁰)</t>
    </r>
  </si>
  <si>
    <r>
      <t>CCS - Gedeeltelijke CO</t>
    </r>
    <r>
      <rPr>
        <vertAlign val="subscript"/>
        <sz val="10"/>
        <rFont val="Arial"/>
        <family val="2"/>
      </rPr>
      <t>2</t>
    </r>
    <r>
      <rPr>
        <sz val="10"/>
        <rFont val="Arial"/>
        <family val="2"/>
      </rPr>
      <t>-opslag bij bestaande afvalverbrandingsinstallaties, vloeibaar transport (art. 79.2.a.3⁰)</t>
    </r>
  </si>
  <si>
    <r>
      <t>CCS - Nieuwe post-combustion CO</t>
    </r>
    <r>
      <rPr>
        <vertAlign val="subscript"/>
        <sz val="10"/>
        <rFont val="Arial"/>
        <family val="2"/>
      </rPr>
      <t>2</t>
    </r>
    <r>
      <rPr>
        <sz val="10"/>
        <rFont val="Arial"/>
        <family val="2"/>
      </rPr>
      <t>-afvang, bestaande afvalverbrandingsinstallatie, gasvormig transport (art. 79.2.b.1⁰)</t>
    </r>
  </si>
  <si>
    <r>
      <t>CCS - Nieuwe post-combustion CO</t>
    </r>
    <r>
      <rPr>
        <vertAlign val="subscript"/>
        <sz val="10"/>
        <rFont val="Arial"/>
        <family val="2"/>
      </rPr>
      <t>2</t>
    </r>
    <r>
      <rPr>
        <sz val="10"/>
        <rFont val="Arial"/>
        <family val="2"/>
      </rPr>
      <t>-afvang, bestaande afvalverbrandingsinstallatie, vloeibaar transport, nieuwe vervloeiingsinstallatie (art. 79.2.b.2⁰)</t>
    </r>
  </si>
  <si>
    <r>
      <t>CCS - Gedeeltelijke CO</t>
    </r>
    <r>
      <rPr>
        <vertAlign val="subscript"/>
        <sz val="10"/>
        <rFont val="Arial"/>
        <family val="2"/>
      </rPr>
      <t>2</t>
    </r>
    <r>
      <rPr>
        <sz val="10"/>
        <rFont val="Arial"/>
        <family val="2"/>
      </rPr>
      <t>-opslag bij bestaande biomassaverbrandingsinstallatie ≤ 100 MWe of uit omgevingslucht, gasvormig transport (art. 79.3.a.1⁰)</t>
    </r>
  </si>
  <si>
    <r>
      <t>CCS - Gedeeltelijke CO</t>
    </r>
    <r>
      <rPr>
        <vertAlign val="subscript"/>
        <sz val="10"/>
        <rFont val="Arial"/>
        <family val="2"/>
      </rPr>
      <t>2</t>
    </r>
    <r>
      <rPr>
        <sz val="10"/>
        <rFont val="Arial"/>
        <family val="2"/>
      </rPr>
      <t>-opslag bij bestaande biomassaverbrandingsinstallatie ≤ 100 MWe of uit omgevingslucht, vloeibaar transport, nieuwe vervloeiingsinstallatie (art. 79.3.a.2⁰)</t>
    </r>
  </si>
  <si>
    <r>
      <t>CCS - Gedeeltelijke CO</t>
    </r>
    <r>
      <rPr>
        <vertAlign val="subscript"/>
        <sz val="10"/>
        <rFont val="Arial"/>
        <family val="2"/>
      </rPr>
      <t>2</t>
    </r>
    <r>
      <rPr>
        <sz val="10"/>
        <rFont val="Arial"/>
        <family val="2"/>
      </rPr>
      <t>-opslag bij bestaande biomassaverbrandingsinstallatie ≤ 100 MWe of uit omgevingslucht, vloeibaar transport (art. 79.3.a.3⁰)</t>
    </r>
  </si>
  <si>
    <r>
      <t>CCS - Nieuwe post-combustion CO</t>
    </r>
    <r>
      <rPr>
        <vertAlign val="subscript"/>
        <sz val="10"/>
        <rFont val="Arial"/>
        <family val="2"/>
      </rPr>
      <t>2</t>
    </r>
    <r>
      <rPr>
        <sz val="10"/>
        <rFont val="Arial"/>
        <family val="2"/>
      </rPr>
      <t>-afvang, bestaande biomassaverbrandingsinstallatie ≤ 100 MWe, gasvormig transport (art. 79.3.b.1⁰)</t>
    </r>
  </si>
  <si>
    <r>
      <t>CCS - Nieuwe post-combustion CO</t>
    </r>
    <r>
      <rPr>
        <vertAlign val="subscript"/>
        <sz val="10"/>
        <rFont val="Arial"/>
        <family val="2"/>
      </rPr>
      <t>2</t>
    </r>
    <r>
      <rPr>
        <sz val="10"/>
        <rFont val="Arial"/>
        <family val="2"/>
      </rPr>
      <t>-afvang, bestaande biomassaverbrandingsinstallatie ≤ 100 MWe, vloeibaar transport, nieuwe vervloeiingsinstallatie (art. 79.3.b.2⁰)</t>
    </r>
  </si>
  <si>
    <t>CCS - Nieuwe CO2 afvang uit omgevingslucht, gasvormig transport (art. 79.3.c)</t>
  </si>
  <si>
    <r>
      <t>CCS - Gedeeltelijke CO</t>
    </r>
    <r>
      <rPr>
        <vertAlign val="subscript"/>
        <sz val="10"/>
        <rFont val="Arial"/>
        <family val="2"/>
      </rPr>
      <t>2</t>
    </r>
    <r>
      <rPr>
        <sz val="10"/>
        <rFont val="Arial"/>
        <family val="2"/>
      </rPr>
      <t>-opslag biogene procesemissies, gasvormig transport (art. 79.4.a.1⁰)</t>
    </r>
  </si>
  <si>
    <r>
      <t>CCS - Gedeeltelijke CO</t>
    </r>
    <r>
      <rPr>
        <vertAlign val="subscript"/>
        <sz val="10"/>
        <rFont val="Arial"/>
        <family val="2"/>
      </rPr>
      <t>2</t>
    </r>
    <r>
      <rPr>
        <sz val="10"/>
        <rFont val="Arial"/>
        <family val="2"/>
      </rPr>
      <t>-opslag biogene procesemissies, vloeibaar transport, nieuwe vervloeiingsinstallatie (art. 79.4.a.2⁰)</t>
    </r>
  </si>
  <si>
    <r>
      <t>CCS - Gedeeltelijke CO</t>
    </r>
    <r>
      <rPr>
        <vertAlign val="subscript"/>
        <sz val="10"/>
        <rFont val="Arial"/>
        <family val="2"/>
      </rPr>
      <t>2</t>
    </r>
    <r>
      <rPr>
        <sz val="10"/>
        <rFont val="Arial"/>
        <family val="2"/>
      </rPr>
      <t>-opslag biogene procesemissies, vloeibaar transport (art. 79.4.a.3⁰)</t>
    </r>
  </si>
  <si>
    <r>
      <t>CCS - Nieuwe zuivering biogene CO</t>
    </r>
    <r>
      <rPr>
        <vertAlign val="subscript"/>
        <sz val="10"/>
        <rFont val="Arial"/>
        <family val="2"/>
      </rPr>
      <t>2</t>
    </r>
    <r>
      <rPr>
        <sz val="10"/>
        <rFont val="Arial"/>
        <family val="2"/>
      </rPr>
      <t>-emissie, bestaande installatie, gasvormig transport (art. 79.4.b.1⁰)</t>
    </r>
  </si>
  <si>
    <r>
      <t>CCS - Nieuwe zuivering biogene CO</t>
    </r>
    <r>
      <rPr>
        <vertAlign val="subscript"/>
        <sz val="10"/>
        <rFont val="Arial"/>
        <family val="2"/>
      </rPr>
      <t>2</t>
    </r>
    <r>
      <rPr>
        <sz val="10"/>
        <rFont val="Arial"/>
        <family val="2"/>
      </rPr>
      <t>-emissie, bestaande installatie, vloeibaar transport, nieuwe vervloeiingsinstallatie (art. 79.4.b.2⁰)</t>
    </r>
  </si>
  <si>
    <r>
      <t>CCS - Nieuwe zuivering biogene CO</t>
    </r>
    <r>
      <rPr>
        <vertAlign val="subscript"/>
        <sz val="10"/>
        <rFont val="Arial"/>
        <family val="2"/>
      </rPr>
      <t>2</t>
    </r>
    <r>
      <rPr>
        <sz val="10"/>
        <rFont val="Arial"/>
        <family val="2"/>
      </rPr>
      <t>-emissie, nieuwe installatie, gasvormig transport (art. 79.4.c.1⁰)</t>
    </r>
  </si>
  <si>
    <r>
      <t>CCS - Nieuwe zuivering biogene CO</t>
    </r>
    <r>
      <rPr>
        <vertAlign val="subscript"/>
        <sz val="10"/>
        <rFont val="Arial"/>
        <family val="2"/>
      </rPr>
      <t>2</t>
    </r>
    <r>
      <rPr>
        <sz val="10"/>
        <rFont val="Arial"/>
        <family val="2"/>
      </rPr>
      <t>-emissie, nieuwe installatie, vloeibaar transport, nieuwe vervloeiingsinstallatie (art. 79.4.c.2⁰)</t>
    </r>
  </si>
  <si>
    <r>
      <t>CCS - Gedeeltelijke opslag niet biogene CO</t>
    </r>
    <r>
      <rPr>
        <vertAlign val="subscript"/>
        <sz val="10"/>
        <rFont val="Arial"/>
        <family val="2"/>
      </rPr>
      <t>2</t>
    </r>
    <r>
      <rPr>
        <sz val="10"/>
        <rFont val="Arial"/>
        <family val="2"/>
      </rPr>
      <t>-emissie bij bestaande of nieuwe installaties niet-ETS-bedrijf, gasvormig transport (art. 81.a.1⁰)</t>
    </r>
  </si>
  <si>
    <r>
      <t>CCS - Gedeeltelijke opslag niet biogene CO</t>
    </r>
    <r>
      <rPr>
        <vertAlign val="subscript"/>
        <sz val="10"/>
        <rFont val="Arial"/>
        <family val="2"/>
      </rPr>
      <t>2</t>
    </r>
    <r>
      <rPr>
        <sz val="10"/>
        <rFont val="Arial"/>
        <family val="2"/>
      </rPr>
      <t>-emissie bij bestaande of nieuwe installaties niet-ETS-bedrijf, vloeibaar transport, nieuwe vervloeiingsinstallatie (art. 81.a.2⁰)</t>
    </r>
  </si>
  <si>
    <r>
      <t>CCS - Gedeeltelijke opslag niet biogene CO</t>
    </r>
    <r>
      <rPr>
        <vertAlign val="subscript"/>
        <sz val="10"/>
        <rFont val="Arial"/>
        <family val="2"/>
      </rPr>
      <t>2</t>
    </r>
    <r>
      <rPr>
        <sz val="10"/>
        <rFont val="Arial"/>
        <family val="2"/>
      </rPr>
      <t>-emissie bij bestaande of nieuwe installaties niet-ETS-bedrijf, vloeibaar transport (art. 81.a.3⁰)</t>
    </r>
  </si>
  <si>
    <r>
      <t>CCS - Volledige opslag niet biogene CO</t>
    </r>
    <r>
      <rPr>
        <vertAlign val="subscript"/>
        <sz val="10"/>
        <color rgb="FF000000"/>
        <rFont val="Arial"/>
        <family val="2"/>
      </rPr>
      <t>2</t>
    </r>
    <r>
      <rPr>
        <sz val="10"/>
        <color rgb="FF000000"/>
        <rFont val="Arial"/>
        <family val="2"/>
      </rPr>
      <t>-emissie bij bestaande installaties niet-ETS-bedrijf, gasvormig transport (art. 81.b.1⁰)</t>
    </r>
  </si>
  <si>
    <r>
      <t>CCS - Volledige opslag niet biogene CO</t>
    </r>
    <r>
      <rPr>
        <vertAlign val="subscript"/>
        <sz val="10"/>
        <color rgb="FF000000"/>
        <rFont val="Arial"/>
        <family val="2"/>
      </rPr>
      <t>2</t>
    </r>
    <r>
      <rPr>
        <sz val="10"/>
        <color rgb="FF000000"/>
        <rFont val="Arial"/>
        <family val="2"/>
      </rPr>
      <t>-emissie bij bestaande installaties niet-ETS-bedrijf, vloeibaar transport, nieuwe vervloeiingsinstallatie (art. 81.b.2⁰)</t>
    </r>
  </si>
  <si>
    <r>
      <t>CCS - Nieuwe pre-combustion zuivering niet biogene CO</t>
    </r>
    <r>
      <rPr>
        <vertAlign val="subscript"/>
        <sz val="10"/>
        <color rgb="FF000000"/>
        <rFont val="Arial"/>
        <family val="2"/>
      </rPr>
      <t>2</t>
    </r>
    <r>
      <rPr>
        <sz val="10"/>
        <color rgb="FF000000"/>
        <rFont val="Arial"/>
        <family val="2"/>
      </rPr>
      <t>-emissie, bestaande installatie niet-ETS-bedrijf, gasvormig transport (art. 81.c.1⁰)</t>
    </r>
  </si>
  <si>
    <r>
      <t>CCS - Nieuwe pre-combustion zuivering niet biogene CO</t>
    </r>
    <r>
      <rPr>
        <vertAlign val="subscript"/>
        <sz val="10"/>
        <color rgb="FF000000"/>
        <rFont val="Arial"/>
        <family val="2"/>
      </rPr>
      <t>2</t>
    </r>
    <r>
      <rPr>
        <sz val="10"/>
        <color rgb="FF000000"/>
        <rFont val="Arial"/>
        <family val="2"/>
      </rPr>
      <t>-emissie, bestaande installatie niet-ETS-bedrijf, vloeibaar transport, nieuwe vervloeiingsinstallatie (art. 81.c.2⁰)</t>
    </r>
  </si>
  <si>
    <t>CCS - Nieuwe pre-combustion CO2-afvang bij nieuwe waterstofproductie uit restgassen voor ondervuring niet-ETS-bedrijf, gasvormig transport (art. 81.d.1⁰)</t>
  </si>
  <si>
    <t>CCS - Nieuwe pre-combustion CO2-afvang bij nieuwe waterstofproductie uit restgassen voor ondervuring niet-ETS-bedrijf, vloeibaar transport, nieuwe vervloeiingsinstallatie (art. 81.d.2⁰)</t>
  </si>
  <si>
    <t>CCS - Nieuwe pre-combustion CO2-afvang bij bestaande waterstofproductie uit restgassen voor ondervuring niet-ETS-bedrijf, gasvormig transport (art. 81.e.1⁰)</t>
  </si>
  <si>
    <t>CCS - Nieuwe pre-combustion CO2-afvang bij bestaande waterstofproductie uit restgassen voor ondervuring niet-ETS-bedrijf, vloeibaar transport, nieuwe vervloeiingsinstallatie (art. 81.e.2⁰)</t>
  </si>
  <si>
    <r>
      <t>CCS - Nieuwe post-combustion CO</t>
    </r>
    <r>
      <rPr>
        <vertAlign val="subscript"/>
        <sz val="10"/>
        <rFont val="Arial"/>
        <family val="2"/>
      </rPr>
      <t>2</t>
    </r>
    <r>
      <rPr>
        <sz val="10"/>
        <rFont val="Arial"/>
        <family val="2"/>
      </rPr>
      <t>-afvang, bestaande installatie niet-ETS-bedrijf, gasvormig transport (art. 81.f.1⁰)</t>
    </r>
  </si>
  <si>
    <r>
      <t>CCS - Nieuwe post-combustion CO</t>
    </r>
    <r>
      <rPr>
        <vertAlign val="subscript"/>
        <sz val="10"/>
        <rFont val="Arial"/>
        <family val="2"/>
      </rPr>
      <t>2</t>
    </r>
    <r>
      <rPr>
        <sz val="10"/>
        <rFont val="Arial"/>
        <family val="2"/>
      </rPr>
      <t>-afvang, bestaande installatie niet-ETS-bedrijf, vloeibaar transport, nieuwe vervloeiingsinstallatie (art. 81.f.2⁰)</t>
    </r>
  </si>
  <si>
    <r>
      <t>CCS - Nieuwe pre-combustion zuivering niet biogene CO</t>
    </r>
    <r>
      <rPr>
        <vertAlign val="subscript"/>
        <sz val="10"/>
        <color rgb="FF000000"/>
        <rFont val="Arial"/>
        <family val="2"/>
      </rPr>
      <t>2</t>
    </r>
    <r>
      <rPr>
        <sz val="10"/>
        <color rgb="FF000000"/>
        <rFont val="Arial"/>
        <family val="2"/>
      </rPr>
      <t>-emissie, nieuwe installatie niet-ETS-bedrijf, gasvormig transport (art. 81.g.1⁰)</t>
    </r>
  </si>
  <si>
    <r>
      <t>CCS - Nieuwe pre-combustion zuivering niet biogene CO</t>
    </r>
    <r>
      <rPr>
        <vertAlign val="subscript"/>
        <sz val="10"/>
        <color rgb="FF000000"/>
        <rFont val="Arial"/>
        <family val="2"/>
      </rPr>
      <t>2</t>
    </r>
    <r>
      <rPr>
        <sz val="10"/>
        <color rgb="FF000000"/>
        <rFont val="Arial"/>
        <family val="2"/>
      </rPr>
      <t>-emissie, nieuwe installatie niet-ETS-bedrijf, vloeibaar transport, nieuwe vervloeiingsinstallatie (art. 81.g.2⁰)</t>
    </r>
  </si>
  <si>
    <r>
      <t>CCS - Nieuwe post-combustion CO</t>
    </r>
    <r>
      <rPr>
        <vertAlign val="subscript"/>
        <sz val="10"/>
        <rFont val="Arial"/>
        <family val="2"/>
      </rPr>
      <t>2</t>
    </r>
    <r>
      <rPr>
        <sz val="10"/>
        <rFont val="Arial"/>
        <family val="2"/>
      </rPr>
      <t>-afvang, nieuwe installatie niet-ETS-bedrijf, gasvormig transport (art. 81.h.1⁰)</t>
    </r>
  </si>
  <si>
    <r>
      <t>CCS - Nieuwe post-combustion CO</t>
    </r>
    <r>
      <rPr>
        <vertAlign val="subscript"/>
        <sz val="10"/>
        <rFont val="Arial"/>
        <family val="2"/>
      </rPr>
      <t>2</t>
    </r>
    <r>
      <rPr>
        <sz val="10"/>
        <rFont val="Arial"/>
        <family val="2"/>
      </rPr>
      <t>-afvang, nieuwe installatie niet-ETS-bedrijf, vloeibaar transport, nieuwe vervloeiingsinstallatie (art. 81.h.2⁰)</t>
    </r>
  </si>
  <si>
    <r>
      <t>CCU - Nieuwe pre-combustion CO</t>
    </r>
    <r>
      <rPr>
        <vertAlign val="subscript"/>
        <sz val="10"/>
        <rFont val="Arial"/>
        <family val="2"/>
      </rPr>
      <t>2</t>
    </r>
    <r>
      <rPr>
        <sz val="10"/>
        <rFont val="Arial"/>
        <family val="2"/>
      </rPr>
      <t>-zuivering, bestaande of nieuwe installatie, gasvormig transport (art. 83.1.a.1⁰)</t>
    </r>
  </si>
  <si>
    <r>
      <t>CCU - Nieuwe pre-combustion CO</t>
    </r>
    <r>
      <rPr>
        <vertAlign val="subscript"/>
        <sz val="10"/>
        <rFont val="Arial"/>
        <family val="2"/>
      </rPr>
      <t>2</t>
    </r>
    <r>
      <rPr>
        <sz val="10"/>
        <rFont val="Arial"/>
        <family val="2"/>
      </rPr>
      <t>-zuivering, bestaande of nieuwe installatie, gasvormig transport, nieuwe transportleiding (art. 83.1.a.2⁰)</t>
    </r>
  </si>
  <si>
    <r>
      <t>Extra CCU - Bestaande CO</t>
    </r>
    <r>
      <rPr>
        <vertAlign val="subscript"/>
        <sz val="10"/>
        <rFont val="Arial"/>
        <family val="2"/>
      </rPr>
      <t>2</t>
    </r>
    <r>
      <rPr>
        <sz val="10"/>
        <rFont val="Arial"/>
        <family val="2"/>
      </rPr>
      <t>-afvang, bestaande installatie, vloeibaar transport, nieuwe vervloeiingsinstallatie (art. 83.1.b)</t>
    </r>
  </si>
  <si>
    <r>
      <t>CCU - Nieuwe pre-combustion CO</t>
    </r>
    <r>
      <rPr>
        <vertAlign val="subscript"/>
        <sz val="10"/>
        <rFont val="Arial"/>
        <family val="2"/>
      </rPr>
      <t>2</t>
    </r>
    <r>
      <rPr>
        <sz val="10"/>
        <rFont val="Arial"/>
        <family val="2"/>
      </rPr>
      <t>-zuivering, bestaande of nieuwe installatie, vloeibaar transport, nieuwe vervloeiingsinstallatie (art. 83.1.a.3⁰)</t>
    </r>
  </si>
  <si>
    <r>
      <t>CCU - Nieuwe post-combustion CO</t>
    </r>
    <r>
      <rPr>
        <vertAlign val="subscript"/>
        <sz val="10"/>
        <rFont val="Arial"/>
        <family val="2"/>
      </rPr>
      <t>2</t>
    </r>
    <r>
      <rPr>
        <sz val="10"/>
        <rFont val="Arial"/>
        <family val="2"/>
      </rPr>
      <t>-afvang, bestaande installatie, gasvormig transport (art. 83.1.c.1⁰)</t>
    </r>
  </si>
  <si>
    <r>
      <t>CCU - Nieuwe post-combustion CO</t>
    </r>
    <r>
      <rPr>
        <vertAlign val="subscript"/>
        <sz val="10"/>
        <rFont val="Arial"/>
        <family val="2"/>
      </rPr>
      <t>2</t>
    </r>
    <r>
      <rPr>
        <sz val="10"/>
        <rFont val="Arial"/>
        <family val="2"/>
      </rPr>
      <t>-afvang, bestaande installatie, gasvormig transport, nieuwe transportleiding (art. 83.1.c.2⁰)</t>
    </r>
  </si>
  <si>
    <r>
      <t>CCU - Nieuwe post-combustion CO</t>
    </r>
    <r>
      <rPr>
        <vertAlign val="subscript"/>
        <sz val="10"/>
        <rFont val="Arial"/>
        <family val="2"/>
      </rPr>
      <t>2</t>
    </r>
    <r>
      <rPr>
        <sz val="10"/>
        <rFont val="Arial"/>
        <family val="2"/>
      </rPr>
      <t>-afvang, bestaande installatie, vloeibaar transport, nieuwe vervloeiingsinstallatie (art. 83.1.c.3⁰)</t>
    </r>
  </si>
  <si>
    <r>
      <t>CCU - Nieuwe post-combustion CO</t>
    </r>
    <r>
      <rPr>
        <vertAlign val="subscript"/>
        <sz val="10"/>
        <rFont val="Arial"/>
        <family val="2"/>
      </rPr>
      <t>2</t>
    </r>
    <r>
      <rPr>
        <sz val="10"/>
        <rFont val="Arial"/>
        <family val="2"/>
      </rPr>
      <t>-afvang, nieuwe installatie, gasvormig transport (art. 83.1.d.1⁰)</t>
    </r>
  </si>
  <si>
    <r>
      <t>CCU - Nieuwe post-combustion CO</t>
    </r>
    <r>
      <rPr>
        <vertAlign val="subscript"/>
        <sz val="10"/>
        <rFont val="Arial"/>
        <family val="2"/>
      </rPr>
      <t>2</t>
    </r>
    <r>
      <rPr>
        <sz val="10"/>
        <rFont val="Arial"/>
        <family val="2"/>
      </rPr>
      <t>-afvang, nieuwe installatie, gasvormig transport, nieuwe transportleiding (art. 83.1.d.2⁰)</t>
    </r>
  </si>
  <si>
    <r>
      <t>CCU - Nieuwe post-combustion CO</t>
    </r>
    <r>
      <rPr>
        <vertAlign val="subscript"/>
        <sz val="10"/>
        <rFont val="Arial"/>
        <family val="2"/>
      </rPr>
      <t>2</t>
    </r>
    <r>
      <rPr>
        <sz val="10"/>
        <rFont val="Arial"/>
        <family val="2"/>
      </rPr>
      <t>-afvang, nieuwe installatie, vloeibaar transport, nieuwe vervloeiingsinstallatie (art. 83.1.d.3⁰)</t>
    </r>
  </si>
  <si>
    <r>
      <t>CCU - Nieuwe post-combustion CO</t>
    </r>
    <r>
      <rPr>
        <vertAlign val="subscript"/>
        <sz val="10"/>
        <rFont val="Arial"/>
        <family val="2"/>
      </rPr>
      <t>2</t>
    </r>
    <r>
      <rPr>
        <sz val="10"/>
        <rFont val="Arial"/>
        <family val="2"/>
      </rPr>
      <t>-afvang bij bestaande afvalverbrandingsinstallatie of bestaande biomassaverbrandingsinstallatie &gt; 50 MWth, gasvormig transport (art. 83.1.e.1⁰)</t>
    </r>
  </si>
  <si>
    <r>
      <t>CCU - Nieuwe post-combustion CO</t>
    </r>
    <r>
      <rPr>
        <vertAlign val="subscript"/>
        <sz val="10"/>
        <rFont val="Arial"/>
        <family val="2"/>
      </rPr>
      <t>2</t>
    </r>
    <r>
      <rPr>
        <sz val="10"/>
        <rFont val="Arial"/>
        <family val="2"/>
      </rPr>
      <t>-afvang bij bestaande afvalverbrandingsinstallatie of bestaande biomassaverbrandingsinstallatie &gt; 50 MWth, gasvormig transport, nieuwe transportleiding (art. 83.1.e.2⁰)</t>
    </r>
  </si>
  <si>
    <r>
      <t>CCU - Nieuwe post-combustion CO</t>
    </r>
    <r>
      <rPr>
        <vertAlign val="subscript"/>
        <sz val="10"/>
        <rFont val="Arial"/>
        <family val="2"/>
      </rPr>
      <t>2</t>
    </r>
    <r>
      <rPr>
        <sz val="10"/>
        <rFont val="Arial"/>
        <family val="2"/>
      </rPr>
      <t>-afvang bij bestaande afvalverbrandingsinstallatie of bestaande biomassaverbrandingsinstallatie &gt; 50 MWth, vloeibaar transport, nieuwe vervloeiingsinstallatie (art. 83.1.e.3⁰)</t>
    </r>
  </si>
  <si>
    <t>CCU - Nieuwe post-combustion CO₂-afvang bij biomassaverbrandingsinstallatie ≤ 50 MWth, gasvormig (art. 83.1.f.1⁰)</t>
  </si>
  <si>
    <t>CCU - Nieuwe post-combustion CO₂-afvang bij biomassaverbrandingsinstallatie ≤ 50 MWth, vloeibaar, nieuwe vervloeiingsinstallatie (art. 83.1.f.2⁰)</t>
  </si>
  <si>
    <r>
      <t>CCU - CO</t>
    </r>
    <r>
      <rPr>
        <vertAlign val="subscript"/>
        <sz val="10"/>
        <rFont val="Arial"/>
        <family val="2"/>
      </rPr>
      <t>2</t>
    </r>
    <r>
      <rPr>
        <sz val="10"/>
        <rFont val="Arial"/>
        <family val="2"/>
      </rPr>
      <t xml:space="preserve"> afvang uit omgevingslucht voor gebruik in tuinbouwkassen (art. 85.1)</t>
    </r>
  </si>
  <si>
    <t>CCS - Gedeeltelijke CO2-opslag bij bestaande biomassaverbrandingsinstallatie ≤ 100 MWe of uit omgevingslucht, vloeibaar transport, nieuwe vervloeiingsinstallatie, invoedpijplijn ≥ 20 Mton per jaar, gecontracteerde cap. ≤ 35% (art. 79.3.a.4⁰)</t>
  </si>
  <si>
    <t>CCS - Gedeeltelijke CO2-opslag bij bestaande biomassaverbrandingsinstallatie ≤ 100 MWe of uit omgevingslucht, vloeibaar transport, invoedpijplijn ≥ 20 Mton per jaar, gecontracteerde cap. ≤ 35% (art. 79.3.a.5⁰)</t>
  </si>
  <si>
    <t>CCS - Nieuwe post-combustion CO2-afvang, bestaande biomassaverbrandingsinstallatie ≤ 100 MWe of uit omgevingslucht, vloeibaar transport, nieuwe vervloeiingsinstallatie, invoedpijplijn ≥ 20 Mton per jaar, gecontracteerde cap. ≤ 35% (art. 79.3.b.3⁰)</t>
  </si>
  <si>
    <t>CCS - Nieuwe zuivering biogene CO2-emissie, bestaande installatie, vloeibaar transport, nieuwe vervloeiingsinstallatie, invoedpijplijn ≥ 20 Mton per jaar, gecontracteerde cap. ≤ 35% (art. 79.4.b.3⁰)</t>
  </si>
  <si>
    <t>CCS - Nieuwe zuivering biogene CO2-emissie, nieuwe installatie, vloeibaar transport, nieuwe vervloeiingsinstallatie, invoedpijplijn ≥ 20 Mton per jaar, gecontracteerde cap. ≤ 35% (art. 79.4.c.3⁰)</t>
  </si>
  <si>
    <t>CCS - Gedeeltelijke CO2-opslag bij bestaande afvalverbrandingsinstallaties, vloeibaar transport, nieuwe vervloeiingsinstallatie, invoedpijplijn ≥ 20 Mton per jaar, gecontracteerde cap. ≤ 35% (art. 79.2.a.4⁰)</t>
  </si>
  <si>
    <t>CCS - Gedeeltelijke CO2-opslag bij bestaande afvalverbrandingsinstallaties, vloeibaar transport, invoedpijplijn ≥ 20 Mton per jaar, gecontracteerde cap. ≤ 35% (art. 79.2.a.5⁰)</t>
  </si>
  <si>
    <t>CCS - Gedeeltelijke CO2-opslag biogene procesemissies, vloeibaar transport, nieuwe vervloeiingsinstallatie, invoedpijplijn ≥ 20 Mton per jaar, gecontracteerde cap. ≤ 35% (art. 79.4.a.4⁰)</t>
  </si>
  <si>
    <t>CCS - Gedeeltelijke CO2-opslag biogene procesemissies, vloeibaar transport, invoedpijplijn ≥ 20 Mton per jaar, gecontracteerde cap. ≤ 35% (art. 79.4.a.5⁰)</t>
  </si>
  <si>
    <t>CCS - Nieuwe post-combustion CO2-afvang, bestaande afvalverbrandingsinstallatie, vloeibaar transport, nieuwe vervloeiingsinstallatie, invoedpijplijn ≥ 20 Mton per jaar, gecontracteerde cap. ≤ 35% (art. 79.2.b.3⁰)</t>
  </si>
  <si>
    <r>
      <t>CCS - Gedeeltelijke opslag van niet biogene CO</t>
    </r>
    <r>
      <rPr>
        <vertAlign val="subscript"/>
        <sz val="10"/>
        <rFont val="Arial"/>
        <family val="2"/>
      </rPr>
      <t>2</t>
    </r>
    <r>
      <rPr>
        <sz val="10"/>
        <rFont val="Arial"/>
        <family val="2"/>
      </rPr>
      <t>-procesemissie, vloeibaar transport van CO</t>
    </r>
    <r>
      <rPr>
        <vertAlign val="subscript"/>
        <sz val="10"/>
        <rFont val="Arial"/>
        <family val="2"/>
      </rPr>
      <t>2</t>
    </r>
    <r>
      <rPr>
        <sz val="10"/>
        <rFont val="Arial"/>
        <family val="2"/>
      </rPr>
      <t>, nieuwe vervloeiingsinstallatie, invoedpijplijn ≥ 20 Mton per jaar, gecontracteerde cap. ≤ 35% (art. 79.1.a.4</t>
    </r>
    <r>
      <rPr>
        <sz val="10"/>
        <rFont val="Calibri"/>
        <family val="2"/>
      </rPr>
      <t>⁰</t>
    </r>
    <r>
      <rPr>
        <sz val="10"/>
        <rFont val="Arial"/>
        <family val="2"/>
      </rPr>
      <t>)</t>
    </r>
  </si>
  <si>
    <r>
      <t>CCS - Gedeeltelijke opslag van niet biogene CO</t>
    </r>
    <r>
      <rPr>
        <vertAlign val="subscript"/>
        <sz val="10"/>
        <rFont val="Arial"/>
        <family val="2"/>
      </rPr>
      <t>2</t>
    </r>
    <r>
      <rPr>
        <sz val="10"/>
        <rFont val="Arial"/>
        <family val="2"/>
      </rPr>
      <t>-procesemissie, vloeibaar transport van CO</t>
    </r>
    <r>
      <rPr>
        <vertAlign val="subscript"/>
        <sz val="10"/>
        <rFont val="Arial"/>
        <family val="2"/>
      </rPr>
      <t>2</t>
    </r>
    <r>
      <rPr>
        <sz val="10"/>
        <rFont val="Arial"/>
        <family val="2"/>
      </rPr>
      <t>, invoedpijplijn ≥ 20 Mton per jaar, gecontracteerde cap. ≤ 35% (art. 79.1.a.5</t>
    </r>
    <r>
      <rPr>
        <sz val="10"/>
        <rFont val="Calibri"/>
        <family val="2"/>
      </rPr>
      <t>⁰</t>
    </r>
    <r>
      <rPr>
        <sz val="10"/>
        <rFont val="Arial"/>
        <family val="2"/>
      </rPr>
      <t>)</t>
    </r>
  </si>
  <si>
    <r>
      <t>CCS - Volledige CO2 opslag bij bestaande installaties, vloeibaar transport, nieuwe vervloeiingsinstallatie, invoedpijplijn ≥ 20 Mton per jaar, gecontracteerde cap. ≤ 35% (art. 79.1.b.3</t>
    </r>
    <r>
      <rPr>
        <sz val="10"/>
        <rFont val="Calibri"/>
        <family val="2"/>
      </rPr>
      <t>⁰</t>
    </r>
    <r>
      <rPr>
        <sz val="10"/>
        <rFont val="Arial"/>
        <family val="2"/>
      </rPr>
      <t>)</t>
    </r>
  </si>
  <si>
    <t>CCS - Nieuwe pre-combustion zuivering van niet biogene CO2-procesemissie, bestaande installatie, vloeibaar transport, nieuwe vervloeiingsinstallatie, invoedpijplijn ≥ 20 Mton per jaar, gecontracteerde cap. ≤ 35% (art. 79.1.c.3⁰)</t>
  </si>
  <si>
    <r>
      <t>CCS - Nieuwe pre-combustion CO</t>
    </r>
    <r>
      <rPr>
        <vertAlign val="subscript"/>
        <sz val="10"/>
        <rFont val="Arial"/>
        <family val="2"/>
      </rPr>
      <t>2</t>
    </r>
    <r>
      <rPr>
        <sz val="10"/>
        <rFont val="Arial"/>
        <family val="2"/>
      </rPr>
      <t xml:space="preserve"> zuivering, nieuwe installatie, vloeibaar transport, nieuwe vervloeiingsinstallatie, invoedpijplijn ≥ 20 Mton per jaar, gecontracteerde cap. ≤ 35% (art. 79.1.g.3⁰)</t>
    </r>
  </si>
  <si>
    <r>
      <t>CCS - Nieuwe pre-combustion CO</t>
    </r>
    <r>
      <rPr>
        <vertAlign val="subscript"/>
        <sz val="10"/>
        <rFont val="Arial"/>
        <family val="2"/>
      </rPr>
      <t>2</t>
    </r>
    <r>
      <rPr>
        <sz val="10"/>
        <rFont val="Arial"/>
        <family val="2"/>
      </rPr>
      <t xml:space="preserve"> afvang bij nieuwe waterstofproductie uit restgassen voor ondervuring, vloeibaar transport, nieuwe vervloeiingsinstallatie, invoedpijplijn ≥ 20 Mton per jaar, gecontracteerde cap. ≤ 35% (art. 79.1.d.3⁰)</t>
    </r>
  </si>
  <si>
    <t>CCS - Nieuwe pre-combustion CO2 afvang bij bestaande waterstofproductie uit restgassen voor ondervuring, vloeibaar transport, nieuwe vervloeiingsinstallatie, invoedpijplijn ≥ 20 Mton per jaar, gecontracteerde cap. ≤ 35% (art. 79.1.e.3⁰)</t>
  </si>
  <si>
    <t>CCS - Nieuwe post-combustion CO2 afvang, bestaande installatie, vloeibaar transport, nieuwe vervloeiingsinstallatie, invoedpijplijn ≥ 20 Mton per jaar, gecontracteerde cap. ≤ 35% (art. 79.1.f.3⁰)</t>
  </si>
  <si>
    <t>CCS - Nieuwe post-combustion CO2 afvang, nieuwe installatie, vloeibaar transport, nieuwe vervloeiingsinstallatie, invoedpijplijn ≥ 20 Mton per jaar, gecontracteerde cap. ≤ 35% (art. 79.1.h.3⁰)</t>
  </si>
  <si>
    <t>CCS - Gedeeltelijke opslag niet biogene CO2-emissie niet-ETS-bedrijf, vloeibaar transport, nieuwe vervloeiingsinstallatie, invoedpijplijn ≥ 20 Mton per jaar, gecontracteerde cap. ≤ 35% (art. 81.a.4⁰)</t>
  </si>
  <si>
    <t>CCS - Volledige opslag niet biogene CO2-emissie bij bestaande installaties niet-ETS-bedrijf, vloeibaar transport, nieuwe vervloeiingsinstallatie, invoedpijplijn ≥ 20 Mton per jaar, gecontracteerde cap. ≤ 35% (art. 81.b.3⁰)</t>
  </si>
  <si>
    <t>CCS - Nieuwe pre-combustion zuivering niet biogene CO2-emissie, bestaande installatie niet-ETS-bedrijf, vloeibaar transport, nieuwe vervloeiingsinstallatie, invoedpijplijn ≥ 20 Mton per jaar, gecontracteerde cap. ≤ 35% (art. 81.c.3⁰)</t>
  </si>
  <si>
    <t>CCS - Nieuwe pre-combustion zuivering niet biogene CO2-emissie, nieuwe installatie niet-ETS-bedrijf, vloeibaar transport, nieuwe vervloeiingsinstallatie, invoedpijplijn ≥ 20 Mton per jaar, gecontracteerde cap. ≤ 35% (art. 81.g.3⁰)</t>
  </si>
  <si>
    <t>CCS - Nieuwe pre-combustion CO2-afvang bij nieuwe waterstofproductie uit restgassen voor ondervuring niet-ETS-bedrijf, vloeibaar transport, nieuwe vervloeiingsinstallatie, invoedpijplijn ≥ 20 Mton per jaar, gecontracteerde cap. ≤ 35% (art. 81.d.3⁰)</t>
  </si>
  <si>
    <t>CCS - Nieuwe pre-combustion CO2-afvang bij bestaande waterstofproductie uit restgassen voor ondervuring niet-ETS-bedrijf, vloeibaar transport, nieuwe vervloeiingsinstallatie, invoedpijplijn ≥ 20 Mton per jaar, gecontracteerde cap. ≤ 35% (art. 81.e.3⁰)</t>
  </si>
  <si>
    <t>CCS - Nieuwe post-combustion CO2-afvang, bestaande installatie niet-ETS-bedrijf, vloeibaar transport, nieuwe vervloeiingsinstallatie, invoedpijplijn ≥ 20 Mton per jaar, gecontracteerde cap. ≤ 35% (art. 81.f.3⁰)</t>
  </si>
  <si>
    <t>CCS - Nieuwe post-combustion CO2-afvang, nieuwe installatie niet-ETS-bedrijf, vloeibaar transport, nieuwe vervloeiingsinstallatie, invoedpijplijn ≥ 20 Mton per jaar, gecontracteerde cap. ≤ 35% (art. 81.h.3⁰)</t>
  </si>
  <si>
    <t>CCS - Gedeeltelijke opslag niet biogene CO2-emissie niet-ETS-bedrijf, vloeibaar transport, invoedpijplijn ≥ 20 Mton per jaar, gecontracteerde cap. ≤ 35% (art. 81.a.5⁰)</t>
  </si>
  <si>
    <t>Restwarmtebenutting met hogetemperatuur warmtepomp en transportleiding voor stadsverwarming</t>
  </si>
  <si>
    <t>Restwarmte met HT-warmtepomp</t>
  </si>
  <si>
    <t>Diepe geothermie met warmtepomp, geen basislast, verwarming gebouwde omgeving</t>
  </si>
  <si>
    <t>Diepe geothermie met warmtepomp &lt; 12 MWth, basislast, verwarming gebouwde omgeving</t>
  </si>
  <si>
    <t>Diepe geothermie met warmtepomp ≥ 12 MWth, basislast, verwarming gebouwde omgeving</t>
  </si>
  <si>
    <t>Opbrengsten verminderde inkoop of verkoop ETS-1 rechten (€)</t>
  </si>
  <si>
    <t>Indexatie             ETS-1 prijs (%)</t>
  </si>
  <si>
    <t>Verwachte opbrengsten en correcties ETS-2 zie celnotitie C64</t>
  </si>
  <si>
    <t>Tekst restwarmtebenutting met HT-warmtepomp opbrengstberekening</t>
  </si>
  <si>
    <r>
      <t>U onderbouwt de aangevraagde hoeveelheid CO₂ die u gaat afvangen en opslaan. Dit kunt u doen door bijvoorbeeld de specificatie-sheets van de CO₂ -afvanginstallatie en een beschrijving van het proces waarbij de CO₂ vrijkomt en afgevangen wordt toe te voegen. Daarbij geeft u tevens aan of uw project een bestaande of nieuwe afvanginstallatie betreft bij een bestaand of nieuw proces. Daarnaast vermeldt u of er gebruik wordt gemaakt van een nieuwe compressor of vervloeiingsinstallatie. 
Verder voegt u de capaciteitsverklaring(en) van de transport-en opslagpartijen toe waarmee u aantoont dat de afgevangen hoeveelheid CO</t>
    </r>
    <r>
      <rPr>
        <sz val="10"/>
        <rFont val="Calibri"/>
        <family val="2"/>
      </rPr>
      <t>₂</t>
    </r>
    <r>
      <rPr>
        <sz val="10"/>
        <rFont val="Arial"/>
        <family val="2"/>
      </rPr>
      <t xml:space="preserve"> kan worden getransporteerd en opgeslagen, hiervoor is een model beschikbaar op de website van Rijksdienst voor Ondernemend Nederland. </t>
    </r>
  </si>
  <si>
    <t>Als u subsidie aanvraagt in de categorie geothermie moet u ter onderbouwing van de energieopbrengst een geologisch onderzoek overleggen: 
- Aan dit geologisch onderzoek worden nadere eisen gesteld: Het geologisch rapport dient te voldoen aan de eisen van het ‘Model Geologisch Onderzoek SDE+’, het ‘Model Geologisch Onderzoek van de Subsidieregeling Energie en Innovatie Risico’s dekken voor aardwarmte (SEI)’, of het ‘Model Geologisch Onderzoek van de Regeling nationale EZ-subsidies Risico’s dekken voor Aardwarmte (RNES)’. 
- Daarnaast stuurt u een processchema van de gehele productie-installatie mee, met daarin aangegeven de geothermische bron, de warmtepomp en temperaturen en debieten.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Verder voegt u het technische specificatieblad toe van het merk en type van de warmtepomp die u gaat gebruiken.
- Tenslotte geldt dat het warmtevermogen van de warmtepomp tenminste 20% bedraagt van het warmtevermogen van de geothermische bron.</t>
  </si>
  <si>
    <t xml:space="preserve">U onderbouwt de aangevraagde energieproductie uit het zon-PVT met warmtepompsysteem: 
- Dit doet u onder andere door het opstellen van een massa-energiebalans over het jaar: Deze bevat temperaturen en debieten. Dit kunt u doen door bijvoorbeeld de specificatie-sheets van de installatie mee te sturen. Daarnaast stuurt u een processchema van de gehele productie-installatie mee, met daarin aangegeven het zonthermische systeem, de eventuele seizoensopslag voor warmte, de warmtepomp en temperaturen en debieten.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Daarnaast voegt u het technische specificatieblad toe van het merk en type van de warmtepomp die u gaat gebruiken.
- Verder onderbouwt u dat de oppervlakte aan fotovoltaïsch-thermische panelen minimaal 3,0 m² per kWth aan vermogen van de warmtepomp bedraagt en voegt u een gedetailleerde tekening op schaal toe waarop de zonnepanelen nauwkeurig op de beoogde locatie zijn ingetekend. Zijn of komen er op de beoogde locatie meer installaties, dan geeft u dit duidelijk aan. Uit de intekening moet ook de oriëntatie van de installatie blijken. 
- Tenslotte voegt u, in geval de installatie op een gebouw wordt geplaatst, een "Draagkracht dakconstructieberekening" bij de haalbaarheidsstudie.
</t>
  </si>
  <si>
    <r>
      <t>U onderbouwt de aangevraagde energieproductie uit de lucht-water warmtepomp. Dit doet u onder andere door het opstellen van een energiebalans over het jaar. Deze bevat temperaturen en debieten. Dit kunt u doen door bijvoorbeeld de specificatie-sheets van de installatie mee te sturen. Daarnaast stuurt u een processchema van de gehele productie-installatie mee, met daarin aangegeven de lucht-water warmtepomp.  
Aan de lucht-water warmtepomp worden temperatuur- en rendementseisen gesteld:
- De leveringstemperatuur van de warmtepomp bedraagt tenminste 70 ⁰C in het stookseizoen bij -10</t>
    </r>
    <r>
      <rPr>
        <sz val="10"/>
        <rFont val="Calibri"/>
        <family val="2"/>
      </rPr>
      <t>⁰</t>
    </r>
    <r>
      <rPr>
        <sz val="10"/>
        <rFont val="Arial"/>
        <family val="2"/>
      </rPr>
      <t xml:space="preserve"> C buitentemperatuur of lager. Bij hogere buitentemperaturen mag de warmtepomp ook op een lagere aanvoertemperatuur leveren.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Verder voegt u het technische specificatieblad toe van het merk en type van de warmtepomp die u gaat gebruiken.
- De geproduceerde warmte mag enkel worden gebruikt voor de verwarming van bestaande gebouwen in de gebouwde omgeving. </t>
    </r>
  </si>
  <si>
    <t xml:space="preserve">U onderbouwt de aangevraagde energieproductie uit de lucht-water warmtepomp. Dit doet u onder andere door het opstellen van een energiebalans over het jaar. Deze bevat temperaturen en debieten. Dit kunt u doen door bijvoorbeeld de specificatie-sheets van de installatie mee te sturen. Daarnaast stuurt u een processchema van de gehele productie-installatie mee, met daarin aangegeven de lucht-water warmtepomp.  
Aan de lucht-water warmtepomp worden temperatuur- en rendementseisen gesteld:
- De leveringstemperatuur van de warmtepomp bedraagt tenminste 40 ⁰C in het stookseizoen bij -10⁰ C buitentemperatuur of lager. Bij hogere buitentemperaturen mag de warmtepomp ook op een lagere aanvoertemperatuur leveren.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Verder voegt u het technische specificatieblad toe van het merk en type van de warmtepomp die u gaat gebruiken.
- De geproduceerde warmte mag enkel worden gebruikt voor de verwarming van bestaande gebouwen en tuinbouwkassen. </t>
  </si>
  <si>
    <t xml:space="preserve">U onderbouwt de aangevraagde energieproductie uit warmteontrekking aan drinkwater, afvalwater, zeewater of oppervlaktewater:
- Dit doet u onder andere door het opstellen van een massa-energiebalans. Deze bevat temperaturen en debieten. Dit kunt u doen door bijvoorbeeld de specificatie-sheets van de installatie mee te sturen. Bij complexere installaties stuurt u een processchema van de installatie mee.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Verder voegt u het technische specificatieblad toe van het merk en type van de warmtepomp die u gaat gebruiken.
- Tevens toont u aan dat er sprake is van een nieuw warmteoverdrachtsstation. </t>
  </si>
  <si>
    <t xml:space="preserve">U onderbouwt de aangevraagde energieproductie uit warmteontrekking aan drinkwater, afvalwater, zeewater of oppervlaktewater:
- Dit doet u onder andere door het opstellen van een massa-energiebalans. Deze bevat temperaturen en debieten. Dit kunt u doen door bijvoorbeeld de specificatie-sheets van de installatie mee te sturen. Bij complexere installaties stuurt u een processchema van de installatie mee.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Tenslotte voegt u het technische specificatieblad toe van het merk en type van de warmtepomp die u gaat gebruiken.
</t>
  </si>
  <si>
    <t xml:space="preserve">U onderbouwt de hoeveelheid warmte die het elektrisch aangedreven gesloten warmtepompsysteem op jaarbasis gaat leveren:
- U voegt een processchema toe met debieten en temperaturen waaruit blijkt uit welke warmtebron of warmtestroom de warmtepomp de warmte onttrekt, welke warmstroom door de warmtepomp wordt opgewaardeerd en voor welk proces deze warmte benut wordt. 
- Ook geeft u een berekening van de jaargemiddelde COP-waarde van de warmtepomp voor de gebruiksomstandigheden binnen het productieproces waarbij de warmtepomp wordt toegepast, met onderbouwing van de gemiddelde brontemperatuur, gemiddelde bronretour en de gemiddelde aanvoer en retourtemperatuur van het warmtenet/afnemer bij gebruikersomstandigheden. Deze jaargemiddelde COP-waarde van de warmtepomp dient ten minste 2,3 te bedragen.  
- Verder voegt u het technische specificatieblad toe van het merk en type van de warmtepomp die u gaat gebruiken.
- Tenslotte geldt dat de productie-installatie warmte produceert die op dezelfde locatie wordt gebruikt voor een industriële toepassing, niet zijnde tuinbouw, en dat er geen koude wordt geleverd. </t>
  </si>
  <si>
    <t xml:space="preserve">U vraagt aan in de categorie procesgeïntegreerde warmtepomp waarbij warmte wordt hergebruikt in een op het moment van de aanvraag bestaand verdampingsproces door middel van een of meerdere elektrisch aangedreven warmtepompen met een totaal thermisch vermogen van minimaal 500 kWth waarbij de hoeveelheid bespaarde ingaande warmte per hoeveelheid extra opgenomen elektriciteit bij vollast bedrijf bedraagt ten minste 4,5 bedraagt, bepaald op een fictieve gesloten omhulling waarbinnen zich de warmtepomp of warmtepompen en de tot de productie-installatie behorende procesaanpassingen bevinden. De hoeveelheid subsidiabele warmte is voor deze categorie vastgesteld op een factor 5 keer de hoeveelheid extra opgenomen elektriciteit van de warmtepomp.
U onderbouwt welke procesaanpassingen u gaat doen. Daarnaast onderbouwt u de hoeveelheid warmte die het elektrisch aangedreven procesgeintegreerde warmtepompsysteem op jaarbasis gaat leveren:
- U geeft daarbij aan voor welk industrieel proces het warmtepompsysteem wordt toegepast en voegt een processchema toe met temperaturen en debieten. Ook geeft u een berekening van de uitgespaarde hoeveelheid warmte en het extra opgenomen elektrische energie van het warmtepompsysteem. 
- U toont aan dat het geïntegreerde warmtepompsysteem kan voldoen aan de COP-eis van 4,5 (COP = reductie warmtevraag gedeeld door de extra opgenomen elektrische energie) binnen het bestaande verdampingsproces waarbij de warmtepomp wordt toegepast.  
- Verder voegt u het technische specificatieblad toe van het merk en type van de warmtepomp die u gaat gebruiken.
- Tenslotte geldt dat de productie-installatie warmte produceert die op dezelfde locatie wordt gebruikt voor een industriële toepassing, niet zijnde tuinbouw, en dat er geen koude wordt geleverd. </t>
  </si>
  <si>
    <t xml:space="preserve">U vraagt aan in de categorie procesgeïntegreerde warmtepomp waarbij warmte wordt hergebruikt in een op het moment van de aanvraag bestaand verdampingsproces door middel van een of meerdere elektrisch aangedreven warmtepompen met een totaal thermisch vermogen van minimaal 500 kWth waarbij de hoeveelheid bespaarde ingaande warmte per hoeveelheid extra opgenomen elektriciteit bij vollast bedrijf bedraagt ten minste 3,0 bedraagt, bepaald op een fictieve gesloten omhulling waarbinnen zich de warmtepomp of warmtepompen en de tot de productie-installatie behorende procesaanpassingen bevinden. De hoeveelheid subsidiabele warmte is voor deze categorie vastgesteld op een factor 3,5 keer de hoeveelheid extra opgenomen elektriciteit van de warmtepomp. Het bestaande verdampingsproces wordt ten minste aangepast door: 
a) over te stappen van een bedrijfsvoering waarbij de reactor telkens een bepaalde hoeveelheid product verwerkt, waarbij de reactor helemaal geleegd moet worden alvorens te worden gevuld, naar een bedrijfsvoering waarbij voortdurend product wordt toegevoegd en verwijderd, waarbij het verdampingsproces behoudens uitval of pauzes in stationaire toestand plaatsvindt; of 
b) het plaatsen van een nieuw verdampingsvat of een nieuwe verdampingsreactor om de warmtepomp te kunnen integreren; of 
c) het installeren van een nieuwe verdampingskap of een nieuwe warmtewisselaar ten behoeve van het terugwinnen van latente warmte uit de verdampingsinstallatie. 
U onderbouwt welke van de hierboven genoemde procesaanpassingen u gaat doen. Daarnaast onderbouwt u de hoeveelheid warmte die het elektrisch aangedreven procesgeintegreerde warmtepompsysteem op jaarbasis gaat leveren:
- U geeft daarbij aan voor welk industrieel proces het warmtepompsysteem wordt toegepast en voegt een processchema toe met temperaturen en debieten. Ook geeft u een berekening van de uitgespaarde hoeveelheid warmte en het extra opgenomen elektrische energie van het warmtepompsysteem. 
- U toont aan dat het geïntegreerde warmtepompsysteem kan voldoen aan de COP-eis van 3,0 (COP = reductie warmtevraag gedeeld door de extra opgenomen elektrische energie) binnen het bestaande verdampingsproces waarbij de warmtepomp wordt toegepast.  
- Verder voegt u het technische specificatieblad toe van het merk en type van de warmtepomp die u gaat gebruiken.
- Tenslotte geldt dat de productie-installatie warmte produceert die op dezelfde locatie wordt gebruikt voor een industriële toepassing, niet zijnde tuinbouw, en dat er geen koude wordt geleverd. </t>
  </si>
  <si>
    <t xml:space="preserve">U vraagt aan in de categorie procesgeïntegreerde warmtepomp waarbij warmte wordt hergebruikt in een op het moment van de aanvraag bestaand verdampingsproces door middel van een of meerdere elektrisch aangedreven warmtepompen met een totaal thermisch vermogen van minimaal 500 kWth waarbij de hoeveelheid bespaarde ingaande warmte per hoeveelheid extra opgenomen elektriciteit bij vollast bedrijf bedraagt ten minste 2,5 bedraagt, bepaald op een fictieve gesloten omhulling waarbinnen zich de warmtepomp of warmtepompen en de tot de productie-installatie behorende procesaanpassingen bevinden. De hoeveelheid subsidiabele warmte is voor deze categorie vastgesteld op een factor 2,5 keer de hoeveelheid extra opgenomen elektriciteit van de warmtepomp.
U onderbouwt welke procesaanpassingen u gaat doen. Daarnaast onderbouwt u de hoeveelheid warmte die het elektrisch aangedreven procesgeintegreerde warmtepompsysteem op jaarbasis gaat leveren:
- U geeft daarbij aan voor welk industrieel proces het warmtepompsysteem wordt toegepast en voegt een processchema toe met temperaturen en debieten. Ook geeft u een berekening van de uitgespaarde hoeveelheid warmte en het extra opgenomen elektrische energie van het warmtepompsysteem. 
- U toont aan dat het geïntegreerde warmtepompsysteem kan voldoen aan de COP-eis van 2,5 (COP = reductie warmtevraag gedeeld door de extra opgenomen elektrische energie) binnen het bestaande verdampingsproces waarbij de warmtepomp wordt toegepast. 
- Verder voegt u het technische specificatieblad toe van het merk en type van de warmtepomp die u gaat gebruiken.
- Tenslotte geldt dat de productie-installatie warmte produceert die op dezelfde locatie wordt gebruikt voor een industriële toepassing, niet zijnde tuinbouw, en dat er geen koude wordt geleverd. </t>
  </si>
  <si>
    <t>U onderbouwt de hoeveelheid restwarmte die op jaarbasis wordt uitgekoppeld:
- U geeft daarbij aan uit welk productieproces de restwarmte afkomstig is, wat het temperatuurniveau is en wat er in de bestaande situatie met de restwarmte werd gedaan. Daarnaast geeft u aan wat het vermogen is van de restwarmtestroom en voor welke nuttige aanwending en op welk temperatuurniveau de restwarmte die opgewaardeerd wordt met een warmtepomp in de nieuwe situatie krijgt. 
- Ook voegt u een plattegrond toe van het beoogde leidingtracé met warmtepomp van uitkoppeling tot aan de afnemer van de restwarmte. 
- Verder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Tenslotte voegt u het technische specificatieblad toe van het merk en type van de warmtepomp die u gaat gebruiken.</t>
  </si>
  <si>
    <t xml:space="preserve">U onderbouwt de hoeveelheid restwarmte die op jaarbasis wordt uitgekoppeld:
- U geeft daarbij aan uit welk productieproces de restwarmte afkomstig is, wat het temperatuurniveau is en wat er in de bestaande situatie met de restwarmte werd gedaan. Daarnaast geeft u aan wat het vermogen is van de restwarmtestroom en voor welke nuttige aanwending en op welk temperatuurniveau de restwarmte die opgewaardeerd wordt met een warmtepomp in de nieuwe situatie krijgt. 
- Ook voegt u een plattegrond toe van het beoogde leidingtracé met warmtepomp van uitkoppeling tot aan de afnemer van de restwarmte. 
- Verder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Tenslotte voegt u het technische specificatieblad toe van het merk en type van de warmtepomp die u gaat gebruiken.
De warmte wordt opgewaardeerd met een nieuwe warmtepomp op basis van een halogeenvrij koudemiddel, de warmtepomp een nominaal thermisch vermogen van ten minste 500 kWth en een COP-waarde van ten minste 2,5 heeft, transport plaatsvindt met behulp van een transportleiding en waarbij de warmtepomp geschikt is om warmte op een aanvoertemperatuur in het stookseizoen van ten minste 100°C te produceren en waarbij de warmte wordt aangewend voor toepassing in stadsverwarming, waarbij het warmtenet op het moment van de aanvraag een aanvoertemperatuur in het stookseizoen van ten minste 90°C heeft.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</si>
</sst>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00"/>
    <numFmt numFmtId="167" formatCode="0.0000"/>
    <numFmt numFmtId="168" formatCode="0.0%"/>
    <numFmt numFmtId="169" formatCode="_-* #,##0_-;_-* #,##0\-;_-* &quot;-&quot;??_-;_-@_-"/>
    <numFmt numFmtId="170" formatCode="#,##0.0000"/>
  </numFmts>
  <fonts count="56" x14ac:knownFonts="1">
    <font>
      <sz val="11"/>
      <color theme="1"/>
      <name val="Calibri"/>
      <family val="2"/>
      <scheme val="minor"/>
    </font>
    <font>
      <sz val="11"/>
      <color theme="1"/>
      <name val="Calibri"/>
      <family val="2"/>
      <scheme val="minor"/>
    </font>
    <font>
      <u/>
      <sz val="11"/>
      <color theme="10"/>
      <name val="Calibri"/>
      <family val="2"/>
      <scheme val="minor"/>
    </font>
    <font>
      <b/>
      <sz val="28"/>
      <name val="Arial"/>
      <family val="2"/>
    </font>
    <font>
      <b/>
      <sz val="14"/>
      <name val="Arial"/>
      <family val="2"/>
    </font>
    <font>
      <sz val="10"/>
      <name val="Arial"/>
      <family val="2"/>
    </font>
    <font>
      <sz val="10"/>
      <name val="Calibri"/>
      <family val="2"/>
    </font>
    <font>
      <b/>
      <sz val="12"/>
      <color rgb="FFFF0000"/>
      <name val="Arial"/>
      <family val="2"/>
    </font>
    <font>
      <b/>
      <sz val="10"/>
      <name val="Arial"/>
      <family val="2"/>
    </font>
    <font>
      <u/>
      <sz val="10"/>
      <name val="Arial"/>
      <family val="2"/>
    </font>
    <font>
      <b/>
      <i/>
      <sz val="10"/>
      <name val="Arial"/>
      <family val="2"/>
    </font>
    <font>
      <b/>
      <sz val="10"/>
      <color rgb="FFFF0000"/>
      <name val="Arial"/>
      <family val="2"/>
    </font>
    <font>
      <b/>
      <sz val="36"/>
      <name val="Arial"/>
      <family val="2"/>
    </font>
    <font>
      <b/>
      <sz val="16"/>
      <name val="Arial"/>
      <family val="2"/>
    </font>
    <font>
      <sz val="12"/>
      <color theme="1"/>
      <name val="Arial"/>
      <family val="2"/>
    </font>
    <font>
      <sz val="10"/>
      <color rgb="FFFF0000"/>
      <name val="Arial"/>
      <family val="2"/>
    </font>
    <font>
      <b/>
      <sz val="11"/>
      <name val="Arial"/>
      <family val="2"/>
    </font>
    <font>
      <b/>
      <sz val="9"/>
      <color indexed="81"/>
      <name val="Tahoma"/>
      <family val="2"/>
    </font>
    <font>
      <sz val="9"/>
      <color indexed="81"/>
      <name val="Tahoma"/>
      <family val="2"/>
    </font>
    <font>
      <sz val="8"/>
      <color indexed="81"/>
      <name val="Tahoma"/>
      <family val="2"/>
    </font>
    <font>
      <b/>
      <sz val="8"/>
      <color indexed="81"/>
      <name val="Tahoma"/>
      <family val="2"/>
    </font>
    <font>
      <sz val="9"/>
      <name val="Arial"/>
      <family val="2"/>
    </font>
    <font>
      <b/>
      <sz val="9"/>
      <name val="Arial"/>
      <family val="2"/>
    </font>
    <font>
      <b/>
      <sz val="12"/>
      <name val="Arial"/>
      <family val="2"/>
    </font>
    <font>
      <sz val="11"/>
      <name val="Arial"/>
      <family val="2"/>
    </font>
    <font>
      <b/>
      <sz val="20"/>
      <color rgb="FFFF0000"/>
      <name val="Arial"/>
      <family val="2"/>
    </font>
    <font>
      <b/>
      <sz val="14"/>
      <color rgb="FFFF0000"/>
      <name val="Calibri"/>
      <family val="2"/>
    </font>
    <font>
      <b/>
      <u/>
      <sz val="10"/>
      <name val="Arial"/>
      <family val="2"/>
    </font>
    <font>
      <b/>
      <sz val="12"/>
      <color rgb="FFFFC000"/>
      <name val="Arial"/>
      <family val="2"/>
    </font>
    <font>
      <sz val="12"/>
      <color rgb="FFFFC000"/>
      <name val="Arial"/>
      <family val="2"/>
    </font>
    <font>
      <sz val="12"/>
      <name val="Arial"/>
      <family val="2"/>
    </font>
    <font>
      <b/>
      <sz val="10"/>
      <name val="Calibri"/>
      <family val="2"/>
    </font>
    <font>
      <sz val="10"/>
      <color theme="1"/>
      <name val="Arial"/>
      <family val="2"/>
    </font>
    <font>
      <sz val="10"/>
      <color indexed="8"/>
      <name val="Arial"/>
      <family val="2"/>
    </font>
    <font>
      <b/>
      <sz val="10"/>
      <color rgb="FFB7DEE8"/>
      <name val="Arial"/>
      <family val="2"/>
    </font>
    <font>
      <b/>
      <sz val="14"/>
      <color rgb="FFFF0000"/>
      <name val="Arial"/>
      <family val="2"/>
    </font>
    <font>
      <vertAlign val="subscript"/>
      <sz val="9"/>
      <color indexed="81"/>
      <name val="Tahoma"/>
      <family val="2"/>
    </font>
    <font>
      <b/>
      <sz val="26"/>
      <name val="Arial"/>
      <family val="2"/>
    </font>
    <font>
      <i/>
      <sz val="11"/>
      <name val="Arial"/>
      <family val="2"/>
    </font>
    <font>
      <sz val="10"/>
      <color theme="1"/>
      <name val="Calibri"/>
      <family val="2"/>
      <scheme val="minor"/>
    </font>
    <font>
      <sz val="11"/>
      <name val="Calibri"/>
      <family val="2"/>
      <scheme val="minor"/>
    </font>
    <font>
      <b/>
      <sz val="14"/>
      <color theme="1"/>
      <name val="Calibri"/>
      <family val="2"/>
      <scheme val="minor"/>
    </font>
    <font>
      <sz val="8"/>
      <name val="Calibri"/>
      <family val="2"/>
      <scheme val="minor"/>
    </font>
    <font>
      <b/>
      <sz val="14"/>
      <color theme="1"/>
      <name val="Arial"/>
      <family val="2"/>
    </font>
    <font>
      <sz val="7.5"/>
      <name val="Arial"/>
      <family val="2"/>
    </font>
    <font>
      <sz val="5.65"/>
      <name val="Arial"/>
      <family val="2"/>
    </font>
    <font>
      <b/>
      <sz val="10"/>
      <color rgb="FF000000"/>
      <name val="Arial"/>
      <family val="2"/>
    </font>
    <font>
      <b/>
      <vertAlign val="subscript"/>
      <sz val="10"/>
      <color rgb="FF000000"/>
      <name val="Arial"/>
      <family val="2"/>
    </font>
    <font>
      <sz val="10"/>
      <color rgb="FF000000"/>
      <name val="Arial"/>
      <family val="2"/>
    </font>
    <font>
      <b/>
      <sz val="10"/>
      <color theme="1"/>
      <name val="Arial"/>
      <family val="2"/>
    </font>
    <font>
      <b/>
      <vertAlign val="subscript"/>
      <sz val="10"/>
      <color theme="1"/>
      <name val="Arial"/>
      <family val="2"/>
    </font>
    <font>
      <vertAlign val="subscript"/>
      <sz val="10"/>
      <name val="Arial"/>
      <family val="2"/>
    </font>
    <font>
      <vertAlign val="subscript"/>
      <sz val="10"/>
      <color rgb="FF000000"/>
      <name val="Arial"/>
      <family val="2"/>
    </font>
    <font>
      <vertAlign val="subscript"/>
      <sz val="10"/>
      <color theme="1"/>
      <name val="Arial"/>
      <family val="2"/>
    </font>
    <font>
      <sz val="10"/>
      <color rgb="FFB7DEE8"/>
      <name val="Arial"/>
      <family val="2"/>
    </font>
    <font>
      <b/>
      <sz val="11"/>
      <color theme="1"/>
      <name val="Calibri"/>
      <family val="2"/>
      <scheme val="minor"/>
    </font>
  </fonts>
  <fills count="7">
    <fill>
      <patternFill patternType="none"/>
    </fill>
    <fill>
      <patternFill patternType="gray125"/>
    </fill>
    <fill>
      <patternFill patternType="solid">
        <fgColor rgb="FFB7DEE8"/>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FFFFFF"/>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452">
    <xf numFmtId="0" fontId="0" fillId="0" borderId="0" xfId="0"/>
    <xf numFmtId="0" fontId="4" fillId="2" borderId="0" xfId="0" applyFont="1" applyFill="1" applyAlignment="1">
      <alignment horizontal="left" vertical="top" wrapText="1"/>
    </xf>
    <xf numFmtId="0" fontId="0" fillId="2" borderId="0" xfId="0" applyFill="1" applyAlignment="1">
      <alignment horizontal="left" vertical="top" wrapText="1"/>
    </xf>
    <xf numFmtId="0" fontId="5" fillId="2" borderId="0" xfId="0" applyFont="1" applyFill="1" applyAlignment="1">
      <alignment horizontal="left" vertical="top" wrapText="1"/>
    </xf>
    <xf numFmtId="0" fontId="0" fillId="2" borderId="0" xfId="0" applyFill="1"/>
    <xf numFmtId="9" fontId="0" fillId="2" borderId="0" xfId="0" applyNumberFormat="1" applyFill="1"/>
    <xf numFmtId="0" fontId="11" fillId="2" borderId="0" xfId="0" applyFont="1" applyFill="1"/>
    <xf numFmtId="3" fontId="0" fillId="2" borderId="0" xfId="0" applyNumberFormat="1" applyFill="1" applyAlignment="1">
      <alignment horizontal="left"/>
    </xf>
    <xf numFmtId="0" fontId="0" fillId="2" borderId="0" xfId="0" applyFill="1" applyAlignment="1">
      <alignment horizontal="left"/>
    </xf>
    <xf numFmtId="3" fontId="8" fillId="2" borderId="0" xfId="0" applyNumberFormat="1" applyFont="1" applyFill="1" applyAlignment="1">
      <alignment horizontal="right"/>
    </xf>
    <xf numFmtId="3" fontId="5" fillId="3" borderId="5" xfId="0" applyNumberFormat="1" applyFont="1" applyFill="1" applyBorder="1" applyProtection="1">
      <protection locked="0"/>
    </xf>
    <xf numFmtId="164" fontId="11" fillId="2" borderId="0" xfId="0" applyNumberFormat="1" applyFont="1" applyFill="1"/>
    <xf numFmtId="0" fontId="5" fillId="2" borderId="0" xfId="0" applyFont="1" applyFill="1"/>
    <xf numFmtId="49" fontId="0" fillId="2" borderId="0" xfId="0" applyNumberFormat="1" applyFill="1"/>
    <xf numFmtId="3" fontId="0" fillId="2" borderId="0" xfId="0" applyNumberFormat="1" applyFill="1"/>
    <xf numFmtId="49" fontId="5" fillId="2" borderId="0" xfId="0" applyNumberFormat="1" applyFont="1" applyFill="1"/>
    <xf numFmtId="164" fontId="5" fillId="2" borderId="0" xfId="0" applyNumberFormat="1" applyFont="1" applyFill="1"/>
    <xf numFmtId="164" fontId="5" fillId="2" borderId="0" xfId="0" applyNumberFormat="1" applyFont="1" applyFill="1" applyAlignment="1">
      <alignment vertical="top" wrapText="1"/>
    </xf>
    <xf numFmtId="0" fontId="3" fillId="2" borderId="0" xfId="0" applyFont="1" applyFill="1" applyAlignment="1">
      <alignment horizontal="left" vertical="top" wrapText="1"/>
    </xf>
    <xf numFmtId="49" fontId="4" fillId="2" borderId="0" xfId="0" applyNumberFormat="1" applyFont="1" applyFill="1" applyAlignment="1">
      <alignment horizontal="left" vertical="center" wrapText="1"/>
    </xf>
    <xf numFmtId="0" fontId="4" fillId="2" borderId="0" xfId="0" applyFont="1" applyFill="1" applyAlignment="1">
      <alignment horizontal="left" vertical="center" wrapText="1"/>
    </xf>
    <xf numFmtId="49" fontId="2" fillId="2" borderId="0" xfId="2" quotePrefix="1" applyNumberFormat="1" applyFill="1" applyAlignment="1">
      <alignment wrapText="1"/>
    </xf>
    <xf numFmtId="0" fontId="7" fillId="2" borderId="0" xfId="0" applyFont="1" applyFill="1" applyAlignment="1">
      <alignment horizontal="left"/>
    </xf>
    <xf numFmtId="0" fontId="8" fillId="2" borderId="0" xfId="0" applyFont="1" applyFill="1" applyAlignment="1">
      <alignment horizontal="left" vertical="top" wrapText="1"/>
    </xf>
    <xf numFmtId="0" fontId="10" fillId="2" borderId="0" xfId="0" applyFont="1" applyFill="1" applyAlignment="1">
      <alignment horizontal="left" vertical="top" wrapText="1"/>
    </xf>
    <xf numFmtId="0" fontId="11" fillId="2" borderId="0" xfId="0" applyFont="1" applyFill="1" applyAlignment="1">
      <alignment horizontal="left" vertical="top" wrapText="1"/>
    </xf>
    <xf numFmtId="0" fontId="3" fillId="2" borderId="0" xfId="0" applyFont="1" applyFill="1" applyAlignment="1">
      <alignment vertical="center"/>
    </xf>
    <xf numFmtId="0" fontId="12" fillId="2" borderId="0" xfId="0" applyFont="1" applyFill="1"/>
    <xf numFmtId="0" fontId="4" fillId="2" borderId="0" xfId="0" applyFont="1" applyFill="1"/>
    <xf numFmtId="0" fontId="13" fillId="2" borderId="0" xfId="0" applyFont="1" applyFill="1"/>
    <xf numFmtId="0" fontId="8" fillId="2" borderId="0" xfId="0" applyFont="1" applyFill="1"/>
    <xf numFmtId="0" fontId="11" fillId="2" borderId="0" xfId="0" applyFont="1" applyFill="1" applyAlignment="1">
      <alignment vertical="top"/>
    </xf>
    <xf numFmtId="0" fontId="5" fillId="2" borderId="0" xfId="0" applyFont="1" applyFill="1" applyAlignment="1">
      <alignment vertical="top"/>
    </xf>
    <xf numFmtId="0" fontId="7" fillId="2" borderId="0" xfId="0" applyFont="1" applyFill="1" applyAlignment="1">
      <alignment vertical="center"/>
    </xf>
    <xf numFmtId="0" fontId="8" fillId="2" borderId="0" xfId="0" applyFont="1" applyFill="1" applyAlignment="1">
      <alignment vertical="top"/>
    </xf>
    <xf numFmtId="0" fontId="7" fillId="2" borderId="0" xfId="0" applyFont="1" applyFill="1"/>
    <xf numFmtId="0" fontId="4" fillId="2" borderId="0" xfId="0" applyFont="1" applyFill="1" applyAlignment="1">
      <alignment vertical="top"/>
    </xf>
    <xf numFmtId="0" fontId="14" fillId="2" borderId="0" xfId="0" applyFont="1" applyFill="1"/>
    <xf numFmtId="164" fontId="0" fillId="2" borderId="0" xfId="0" applyNumberFormat="1" applyFill="1"/>
    <xf numFmtId="165" fontId="5" fillId="2" borderId="0" xfId="0" applyNumberFormat="1" applyFont="1" applyFill="1"/>
    <xf numFmtId="0" fontId="15" fillId="2" borderId="0" xfId="0" applyFont="1" applyFill="1"/>
    <xf numFmtId="49" fontId="8" fillId="2" borderId="0" xfId="0" applyNumberFormat="1" applyFont="1" applyFill="1"/>
    <xf numFmtId="3" fontId="8" fillId="2" borderId="0" xfId="0" applyNumberFormat="1" applyFont="1" applyFill="1"/>
    <xf numFmtId="164" fontId="8" fillId="2" borderId="0" xfId="0" applyNumberFormat="1" applyFont="1" applyFill="1"/>
    <xf numFmtId="0" fontId="16" fillId="2" borderId="0" xfId="0" applyFont="1" applyFill="1"/>
    <xf numFmtId="9" fontId="5" fillId="2" borderId="0" xfId="0" applyNumberFormat="1" applyFont="1" applyFill="1"/>
    <xf numFmtId="9" fontId="5" fillId="2" borderId="0" xfId="1" applyFont="1" applyFill="1" applyBorder="1" applyProtection="1"/>
    <xf numFmtId="0" fontId="23" fillId="2" borderId="0" xfId="0" applyFont="1" applyFill="1"/>
    <xf numFmtId="166" fontId="5" fillId="2" borderId="0" xfId="0" applyNumberFormat="1" applyFont="1" applyFill="1" applyAlignment="1">
      <alignment horizontal="right"/>
    </xf>
    <xf numFmtId="0" fontId="11" fillId="2" borderId="0" xfId="0" applyFont="1" applyFill="1" applyAlignment="1">
      <alignment horizontal="left"/>
    </xf>
    <xf numFmtId="0" fontId="5" fillId="2" borderId="0" xfId="0" applyFont="1" applyFill="1" applyAlignment="1">
      <alignment horizontal="left"/>
    </xf>
    <xf numFmtId="165" fontId="11" fillId="2" borderId="0" xfId="0" applyNumberFormat="1" applyFont="1" applyFill="1" applyAlignment="1">
      <alignment horizontal="left"/>
    </xf>
    <xf numFmtId="165" fontId="5" fillId="2" borderId="0" xfId="0" applyNumberFormat="1" applyFont="1" applyFill="1" applyAlignment="1">
      <alignment horizontal="right"/>
    </xf>
    <xf numFmtId="3" fontId="5" fillId="2" borderId="0" xfId="0" applyNumberFormat="1" applyFont="1" applyFill="1" applyAlignment="1">
      <alignment horizontal="right"/>
    </xf>
    <xf numFmtId="0" fontId="0" fillId="2" borderId="0" xfId="0" applyFill="1" applyAlignment="1">
      <alignment horizontal="right"/>
    </xf>
    <xf numFmtId="0" fontId="11" fillId="2" borderId="0" xfId="0" applyFont="1" applyFill="1" applyAlignment="1">
      <alignment vertical="top" wrapText="1"/>
    </xf>
    <xf numFmtId="0" fontId="7" fillId="2" borderId="0" xfId="0" applyFont="1" applyFill="1" applyAlignment="1">
      <alignment vertical="top"/>
    </xf>
    <xf numFmtId="3" fontId="5" fillId="2" borderId="0" xfId="0" applyNumberFormat="1" applyFont="1" applyFill="1"/>
    <xf numFmtId="0" fontId="25" fillId="2" borderId="0" xfId="0" applyFont="1" applyFill="1"/>
    <xf numFmtId="0" fontId="26" fillId="2" borderId="0" xfId="0" applyFont="1" applyFill="1"/>
    <xf numFmtId="10" fontId="0" fillId="2" borderId="0" xfId="0" applyNumberFormat="1" applyFill="1"/>
    <xf numFmtId="1" fontId="0" fillId="2" borderId="0" xfId="0" applyNumberFormat="1" applyFill="1"/>
    <xf numFmtId="1" fontId="5" fillId="2" borderId="0" xfId="0" applyNumberFormat="1" applyFont="1" applyFill="1" applyAlignment="1">
      <alignment horizontal="right"/>
    </xf>
    <xf numFmtId="167" fontId="0" fillId="2" borderId="0" xfId="0" applyNumberFormat="1" applyFill="1"/>
    <xf numFmtId="168" fontId="0" fillId="2" borderId="0" xfId="0" applyNumberFormat="1" applyFill="1"/>
    <xf numFmtId="166" fontId="0" fillId="2" borderId="0" xfId="0" applyNumberFormat="1" applyFill="1"/>
    <xf numFmtId="0" fontId="27" fillId="2" borderId="0" xfId="0" applyFont="1" applyFill="1"/>
    <xf numFmtId="168" fontId="5" fillId="2" borderId="0" xfId="0" applyNumberFormat="1" applyFont="1" applyFill="1"/>
    <xf numFmtId="167" fontId="8" fillId="2" borderId="0" xfId="0" applyNumberFormat="1" applyFont="1" applyFill="1"/>
    <xf numFmtId="1" fontId="5" fillId="2" borderId="0" xfId="0" applyNumberFormat="1" applyFont="1" applyFill="1"/>
    <xf numFmtId="1" fontId="5" fillId="2" borderId="0" xfId="0" applyNumberFormat="1" applyFont="1" applyFill="1" applyAlignment="1">
      <alignment horizontal="left"/>
    </xf>
    <xf numFmtId="1" fontId="0" fillId="2" borderId="0" xfId="0" applyNumberFormat="1" applyFill="1" applyAlignment="1">
      <alignment horizontal="left"/>
    </xf>
    <xf numFmtId="0" fontId="23" fillId="2" borderId="0" xfId="0" applyFont="1" applyFill="1" applyAlignment="1">
      <alignment vertical="center"/>
    </xf>
    <xf numFmtId="0" fontId="28" fillId="2" borderId="0" xfId="0" applyFont="1" applyFill="1" applyAlignment="1">
      <alignment vertical="center"/>
    </xf>
    <xf numFmtId="0" fontId="29" fillId="2" borderId="0" xfId="0" applyFont="1" applyFill="1" applyAlignment="1">
      <alignment vertical="center"/>
    </xf>
    <xf numFmtId="10" fontId="23" fillId="2" borderId="0" xfId="0" applyNumberFormat="1" applyFont="1" applyFill="1" applyAlignment="1">
      <alignment vertical="center"/>
    </xf>
    <xf numFmtId="0" fontId="30" fillId="2" borderId="0" xfId="0" applyFont="1" applyFill="1" applyAlignment="1">
      <alignment vertical="center"/>
    </xf>
    <xf numFmtId="3" fontId="30" fillId="2" borderId="0" xfId="0" applyNumberFormat="1" applyFont="1" applyFill="1" applyAlignment="1">
      <alignment vertical="center"/>
    </xf>
    <xf numFmtId="3" fontId="23" fillId="2" borderId="0" xfId="1" applyNumberFormat="1" applyFont="1" applyFill="1" applyBorder="1" applyAlignment="1" applyProtection="1">
      <alignment vertical="center"/>
    </xf>
    <xf numFmtId="10" fontId="23" fillId="2" borderId="0" xfId="0" applyNumberFormat="1" applyFont="1" applyFill="1" applyAlignment="1">
      <alignment horizontal="right" vertical="center"/>
    </xf>
    <xf numFmtId="169" fontId="0" fillId="2" borderId="0" xfId="0" applyNumberFormat="1" applyFill="1"/>
    <xf numFmtId="2" fontId="8" fillId="2" borderId="0" xfId="0" applyNumberFormat="1" applyFont="1" applyFill="1" applyAlignment="1">
      <alignment horizontal="right"/>
    </xf>
    <xf numFmtId="2" fontId="23" fillId="2" borderId="0" xfId="0" applyNumberFormat="1" applyFont="1" applyFill="1" applyAlignment="1">
      <alignment horizontal="right" vertical="center"/>
    </xf>
    <xf numFmtId="0" fontId="0" fillId="2" borderId="13" xfId="0" applyFill="1" applyBorder="1" applyAlignment="1">
      <alignment horizontal="left"/>
    </xf>
    <xf numFmtId="3" fontId="0" fillId="2" borderId="13" xfId="0" applyNumberFormat="1" applyFill="1" applyBorder="1" applyAlignment="1">
      <alignment horizontal="left"/>
    </xf>
    <xf numFmtId="3" fontId="5" fillId="2" borderId="14" xfId="0" applyNumberFormat="1" applyFont="1" applyFill="1" applyBorder="1" applyAlignment="1">
      <alignment horizontal="left"/>
    </xf>
    <xf numFmtId="164" fontId="15" fillId="2" borderId="0" xfId="0" applyNumberFormat="1" applyFont="1" applyFill="1"/>
    <xf numFmtId="0" fontId="11" fillId="2" borderId="0" xfId="0" applyFont="1" applyFill="1" applyAlignment="1">
      <alignment horizontal="left" wrapText="1"/>
    </xf>
    <xf numFmtId="3" fontId="15" fillId="2" borderId="0" xfId="0" applyNumberFormat="1" applyFont="1" applyFill="1" applyAlignment="1">
      <alignment horizontal="right"/>
    </xf>
    <xf numFmtId="170" fontId="5" fillId="2" borderId="0" xfId="0" applyNumberFormat="1" applyFont="1" applyFill="1"/>
    <xf numFmtId="3" fontId="5" fillId="3" borderId="12" xfId="0" applyNumberFormat="1" applyFont="1" applyFill="1" applyBorder="1" applyProtection="1">
      <protection locked="0"/>
    </xf>
    <xf numFmtId="3" fontId="5" fillId="3" borderId="13" xfId="0" applyNumberFormat="1" applyFont="1" applyFill="1" applyBorder="1" applyProtection="1">
      <protection locked="0"/>
    </xf>
    <xf numFmtId="0" fontId="23" fillId="4" borderId="16" xfId="0" applyFont="1" applyFill="1" applyBorder="1" applyAlignment="1">
      <alignment vertical="center"/>
    </xf>
    <xf numFmtId="0" fontId="28" fillId="4" borderId="17" xfId="0" applyFont="1" applyFill="1" applyBorder="1" applyAlignment="1">
      <alignment vertical="center"/>
    </xf>
    <xf numFmtId="0" fontId="29" fillId="4" borderId="17" xfId="0" applyFont="1" applyFill="1" applyBorder="1" applyAlignment="1">
      <alignment vertical="center"/>
    </xf>
    <xf numFmtId="0" fontId="23" fillId="4" borderId="17" xfId="0" applyFont="1" applyFill="1" applyBorder="1" applyAlignment="1">
      <alignment vertical="center"/>
    </xf>
    <xf numFmtId="10" fontId="23" fillId="4" borderId="18" xfId="0" applyNumberFormat="1" applyFont="1" applyFill="1" applyBorder="1" applyAlignment="1">
      <alignment horizontal="right" vertical="center"/>
    </xf>
    <xf numFmtId="0" fontId="8" fillId="4" borderId="17" xfId="0" applyFont="1" applyFill="1" applyBorder="1"/>
    <xf numFmtId="0" fontId="0" fillId="4" borderId="17" xfId="0" applyFill="1" applyBorder="1"/>
    <xf numFmtId="2" fontId="23" fillId="4" borderId="18" xfId="0" applyNumberFormat="1" applyFont="1" applyFill="1" applyBorder="1" applyAlignment="1">
      <alignment horizontal="right" vertical="center"/>
    </xf>
    <xf numFmtId="0" fontId="15" fillId="2" borderId="6" xfId="0" applyFont="1" applyFill="1" applyBorder="1" applyAlignment="1">
      <alignment wrapText="1"/>
    </xf>
    <xf numFmtId="0" fontId="15" fillId="2" borderId="0" xfId="0" applyFont="1" applyFill="1" applyAlignment="1">
      <alignment wrapText="1"/>
    </xf>
    <xf numFmtId="0" fontId="8" fillId="2" borderId="0" xfId="0" applyFont="1" applyFill="1" applyAlignment="1">
      <alignment horizontal="left"/>
    </xf>
    <xf numFmtId="0" fontId="15" fillId="2" borderId="6" xfId="0" applyFont="1" applyFill="1" applyBorder="1"/>
    <xf numFmtId="0" fontId="15" fillId="2" borderId="4" xfId="0" applyFont="1" applyFill="1" applyBorder="1"/>
    <xf numFmtId="0" fontId="15" fillId="2" borderId="5" xfId="0" applyFont="1" applyFill="1" applyBorder="1"/>
    <xf numFmtId="0" fontId="15" fillId="2" borderId="15" xfId="0" applyFont="1" applyFill="1" applyBorder="1"/>
    <xf numFmtId="0" fontId="15" fillId="2" borderId="6" xfId="0" applyFont="1" applyFill="1" applyBorder="1" applyAlignment="1">
      <alignment vertical="top" wrapText="1"/>
    </xf>
    <xf numFmtId="0" fontId="15" fillId="2" borderId="4" xfId="0" applyFont="1" applyFill="1" applyBorder="1" applyAlignment="1">
      <alignment vertical="top"/>
    </xf>
    <xf numFmtId="0" fontId="15" fillId="2" borderId="5" xfId="0" applyFont="1" applyFill="1" applyBorder="1" applyAlignment="1">
      <alignment vertical="top"/>
    </xf>
    <xf numFmtId="164" fontId="15" fillId="2" borderId="5" xfId="0" applyNumberFormat="1" applyFont="1" applyFill="1" applyBorder="1"/>
    <xf numFmtId="166" fontId="15" fillId="2" borderId="5" xfId="0" applyNumberFormat="1" applyFont="1" applyFill="1" applyBorder="1"/>
    <xf numFmtId="3" fontId="15" fillId="2" borderId="5" xfId="0" applyNumberFormat="1" applyFont="1" applyFill="1" applyBorder="1"/>
    <xf numFmtId="3" fontId="15" fillId="2" borderId="15" xfId="0" applyNumberFormat="1" applyFont="1" applyFill="1" applyBorder="1"/>
    <xf numFmtId="0" fontId="8" fillId="0" borderId="0" xfId="0" applyFont="1"/>
    <xf numFmtId="0" fontId="5" fillId="0" borderId="0" xfId="0" applyFont="1"/>
    <xf numFmtId="0" fontId="6" fillId="0" borderId="0" xfId="0" applyFont="1"/>
    <xf numFmtId="0" fontId="5" fillId="0" borderId="0" xfId="0" applyFont="1" applyAlignment="1">
      <alignment horizontal="left"/>
    </xf>
    <xf numFmtId="0" fontId="8" fillId="0" borderId="0" xfId="0" applyFont="1" applyAlignment="1">
      <alignment horizontal="right"/>
    </xf>
    <xf numFmtId="0" fontId="11" fillId="0" borderId="0" xfId="0" applyFont="1"/>
    <xf numFmtId="0" fontId="5" fillId="0" borderId="0" xfId="0" applyFont="1" applyAlignment="1">
      <alignment wrapText="1"/>
    </xf>
    <xf numFmtId="0" fontId="5" fillId="0" borderId="0" xfId="0" applyFont="1" applyAlignment="1">
      <alignment horizontal="right"/>
    </xf>
    <xf numFmtId="0" fontId="5" fillId="0" borderId="0" xfId="0" applyFont="1" applyAlignment="1">
      <alignment horizontal="left" wrapText="1"/>
    </xf>
    <xf numFmtId="0" fontId="5" fillId="0" borderId="0" xfId="0" applyFont="1" applyAlignment="1">
      <alignment vertical="top" wrapText="1"/>
    </xf>
    <xf numFmtId="0" fontId="11" fillId="0" borderId="0" xfId="0" applyFont="1" applyAlignment="1">
      <alignment wrapText="1"/>
    </xf>
    <xf numFmtId="0" fontId="13" fillId="0" borderId="0" xfId="0" applyFont="1"/>
    <xf numFmtId="0" fontId="4" fillId="0" borderId="0" xfId="0" applyFont="1" applyAlignment="1">
      <alignment vertical="top" wrapText="1"/>
    </xf>
    <xf numFmtId="0" fontId="5" fillId="5" borderId="0" xfId="0" applyFont="1" applyFill="1"/>
    <xf numFmtId="0" fontId="5" fillId="5" borderId="0" xfId="0" applyFont="1" applyFill="1" applyAlignment="1">
      <alignment wrapText="1"/>
    </xf>
    <xf numFmtId="0" fontId="8" fillId="0" borderId="0" xfId="0" applyFont="1" applyAlignment="1">
      <alignment vertical="top" wrapText="1"/>
    </xf>
    <xf numFmtId="0" fontId="0" fillId="0" borderId="0" xfId="0" applyAlignment="1">
      <alignment vertical="top" wrapText="1"/>
    </xf>
    <xf numFmtId="0" fontId="15" fillId="0" borderId="0" xfId="0" applyFont="1"/>
    <xf numFmtId="0" fontId="4" fillId="0" borderId="0" xfId="0" applyFont="1"/>
    <xf numFmtId="0" fontId="15" fillId="0" borderId="0" xfId="0" applyFont="1" applyAlignment="1">
      <alignment wrapText="1"/>
    </xf>
    <xf numFmtId="0" fontId="8" fillId="0" borderId="0" xfId="0" applyFont="1" applyAlignment="1" applyProtection="1">
      <alignment vertical="top" wrapText="1"/>
      <protection locked="0"/>
    </xf>
    <xf numFmtId="0" fontId="0" fillId="0" borderId="0" xfId="0" applyAlignment="1">
      <alignment wrapText="1"/>
    </xf>
    <xf numFmtId="0" fontId="6" fillId="0" borderId="0" xfId="0" applyFont="1" applyAlignment="1">
      <alignment wrapText="1"/>
    </xf>
    <xf numFmtId="0" fontId="23" fillId="0" borderId="0" xfId="0" applyFont="1" applyAlignment="1">
      <alignment wrapText="1"/>
    </xf>
    <xf numFmtId="0" fontId="0" fillId="0" borderId="0" xfId="0" applyAlignment="1">
      <alignment vertical="top"/>
    </xf>
    <xf numFmtId="0" fontId="23" fillId="0" borderId="0" xfId="0" applyFont="1"/>
    <xf numFmtId="0" fontId="8" fillId="0" borderId="0" xfId="0" applyFont="1" applyAlignment="1">
      <alignment vertical="top"/>
    </xf>
    <xf numFmtId="0" fontId="5" fillId="0" borderId="0" xfId="0" applyFont="1" applyAlignment="1">
      <alignment vertical="top"/>
    </xf>
    <xf numFmtId="0" fontId="37" fillId="2" borderId="0" xfId="0" applyFont="1" applyFill="1"/>
    <xf numFmtId="10" fontId="8" fillId="2" borderId="0" xfId="0" applyNumberFormat="1" applyFont="1" applyFill="1"/>
    <xf numFmtId="0" fontId="0" fillId="3" borderId="6" xfId="0" applyFill="1" applyBorder="1" applyProtection="1">
      <protection locked="0"/>
    </xf>
    <xf numFmtId="3" fontId="32" fillId="3" borderId="4" xfId="0" applyNumberFormat="1" applyFont="1" applyFill="1" applyBorder="1" applyProtection="1">
      <protection locked="0"/>
    </xf>
    <xf numFmtId="3" fontId="32" fillId="3" borderId="5" xfId="0" applyNumberFormat="1" applyFont="1" applyFill="1" applyBorder="1" applyProtection="1">
      <protection locked="0"/>
    </xf>
    <xf numFmtId="9" fontId="32" fillId="2" borderId="6" xfId="0" applyNumberFormat="1" applyFont="1" applyFill="1" applyBorder="1"/>
    <xf numFmtId="0" fontId="4" fillId="2" borderId="0" xfId="0" applyFont="1" applyFill="1" applyAlignment="1">
      <alignment vertical="center"/>
    </xf>
    <xf numFmtId="0" fontId="21" fillId="2" borderId="0" xfId="0" applyFont="1" applyFill="1"/>
    <xf numFmtId="0" fontId="24" fillId="2" borderId="0" xfId="0" applyFont="1" applyFill="1"/>
    <xf numFmtId="0" fontId="11" fillId="2" borderId="0" xfId="0" applyFont="1" applyFill="1" applyAlignment="1">
      <alignment horizontal="right"/>
    </xf>
    <xf numFmtId="0" fontId="5" fillId="2" borderId="0" xfId="0" applyFont="1" applyFill="1" applyAlignment="1">
      <alignment vertical="center"/>
    </xf>
    <xf numFmtId="0" fontId="0" fillId="2" borderId="12" xfId="0" applyFill="1" applyBorder="1" applyAlignment="1">
      <alignment horizontal="left"/>
    </xf>
    <xf numFmtId="3" fontId="11" fillId="2" borderId="0" xfId="0" applyNumberFormat="1" applyFont="1" applyFill="1"/>
    <xf numFmtId="0" fontId="34" fillId="2" borderId="0" xfId="0" applyFont="1" applyFill="1" applyAlignment="1">
      <alignment horizontal="right"/>
    </xf>
    <xf numFmtId="0" fontId="34" fillId="2" borderId="0" xfId="0" applyFont="1" applyFill="1"/>
    <xf numFmtId="164" fontId="31" fillId="2" borderId="0" xfId="0" applyNumberFormat="1" applyFont="1" applyFill="1"/>
    <xf numFmtId="0" fontId="35" fillId="2" borderId="0" xfId="0" applyFont="1" applyFill="1"/>
    <xf numFmtId="3" fontId="32" fillId="3" borderId="15" xfId="0" applyNumberFormat="1" applyFont="1" applyFill="1" applyBorder="1" applyProtection="1">
      <protection locked="0"/>
    </xf>
    <xf numFmtId="0" fontId="32" fillId="2" borderId="0" xfId="0" applyFont="1" applyFill="1"/>
    <xf numFmtId="3" fontId="32" fillId="2" borderId="5" xfId="0" applyNumberFormat="1" applyFont="1" applyFill="1" applyBorder="1"/>
    <xf numFmtId="3" fontId="32" fillId="2" borderId="15" xfId="0" applyNumberFormat="1" applyFont="1" applyFill="1" applyBorder="1"/>
    <xf numFmtId="3" fontId="32" fillId="2" borderId="0" xfId="0" applyNumberFormat="1" applyFont="1" applyFill="1"/>
    <xf numFmtId="164" fontId="32" fillId="2" borderId="0" xfId="0" applyNumberFormat="1" applyFont="1" applyFill="1"/>
    <xf numFmtId="0" fontId="32" fillId="2" borderId="0" xfId="0" applyFont="1" applyFill="1" applyAlignment="1">
      <alignment wrapText="1"/>
    </xf>
    <xf numFmtId="0" fontId="11" fillId="2" borderId="0" xfId="0" applyFont="1" applyFill="1" applyAlignment="1">
      <alignment vertical="center"/>
    </xf>
    <xf numFmtId="3" fontId="5" fillId="2" borderId="0" xfId="0" applyNumberFormat="1" applyFont="1" applyFill="1" applyAlignment="1">
      <alignment vertical="center"/>
    </xf>
    <xf numFmtId="3" fontId="8" fillId="2" borderId="0" xfId="1" applyNumberFormat="1" applyFont="1" applyFill="1" applyBorder="1" applyAlignment="1" applyProtection="1">
      <alignment vertical="center"/>
    </xf>
    <xf numFmtId="3" fontId="11" fillId="2" borderId="0" xfId="1" applyNumberFormat="1" applyFont="1" applyFill="1" applyBorder="1" applyAlignment="1" applyProtection="1">
      <alignment vertical="center"/>
    </xf>
    <xf numFmtId="169" fontId="32" fillId="2" borderId="0" xfId="0" applyNumberFormat="1" applyFont="1" applyFill="1"/>
    <xf numFmtId="168" fontId="32" fillId="2" borderId="0" xfId="0" applyNumberFormat="1" applyFont="1" applyFill="1"/>
    <xf numFmtId="3" fontId="32" fillId="2" borderId="6" xfId="0" applyNumberFormat="1" applyFont="1" applyFill="1" applyBorder="1"/>
    <xf numFmtId="168" fontId="32" fillId="2" borderId="0" xfId="0" applyNumberFormat="1" applyFont="1" applyFill="1" applyProtection="1">
      <protection locked="0"/>
    </xf>
    <xf numFmtId="167" fontId="32" fillId="2" borderId="0" xfId="0" applyNumberFormat="1" applyFont="1" applyFill="1" applyProtection="1">
      <protection locked="0"/>
    </xf>
    <xf numFmtId="168" fontId="32" fillId="2" borderId="0" xfId="0" applyNumberFormat="1" applyFont="1" applyFill="1" applyAlignment="1" applyProtection="1">
      <alignment wrapText="1"/>
      <protection locked="0"/>
    </xf>
    <xf numFmtId="167" fontId="32" fillId="2" borderId="0" xfId="0" applyNumberFormat="1" applyFont="1" applyFill="1" applyAlignment="1" applyProtection="1">
      <alignment wrapText="1"/>
      <protection locked="0"/>
    </xf>
    <xf numFmtId="10" fontId="32" fillId="3" borderId="6" xfId="0" applyNumberFormat="1" applyFont="1" applyFill="1" applyBorder="1" applyProtection="1">
      <protection locked="0"/>
    </xf>
    <xf numFmtId="3" fontId="32" fillId="2" borderId="6" xfId="0" applyNumberFormat="1" applyFont="1" applyFill="1" applyBorder="1" applyProtection="1">
      <protection locked="0"/>
    </xf>
    <xf numFmtId="3" fontId="32" fillId="3" borderId="7" xfId="0" applyNumberFormat="1" applyFont="1" applyFill="1" applyBorder="1" applyProtection="1">
      <protection locked="0"/>
    </xf>
    <xf numFmtId="3" fontId="32" fillId="3" borderId="8" xfId="0" applyNumberFormat="1" applyFont="1" applyFill="1" applyBorder="1" applyProtection="1">
      <protection locked="0"/>
    </xf>
    <xf numFmtId="3" fontId="32" fillId="3" borderId="10" xfId="0" applyNumberFormat="1" applyFont="1" applyFill="1" applyBorder="1" applyProtection="1">
      <protection locked="0"/>
    </xf>
    <xf numFmtId="3" fontId="32" fillId="3" borderId="0" xfId="0" applyNumberFormat="1" applyFont="1" applyFill="1" applyProtection="1">
      <protection locked="0"/>
    </xf>
    <xf numFmtId="3" fontId="32" fillId="3" borderId="6" xfId="0" applyNumberFormat="1" applyFont="1" applyFill="1" applyBorder="1" applyProtection="1">
      <protection locked="0"/>
    </xf>
    <xf numFmtId="0" fontId="32" fillId="0" borderId="0" xfId="0" applyFont="1"/>
    <xf numFmtId="3" fontId="32" fillId="2" borderId="4" xfId="0" applyNumberFormat="1" applyFont="1" applyFill="1" applyBorder="1"/>
    <xf numFmtId="0" fontId="32" fillId="2" borderId="0" xfId="0" applyFont="1" applyFill="1" applyAlignment="1">
      <alignment horizontal="left"/>
    </xf>
    <xf numFmtId="49" fontId="32" fillId="2" borderId="0" xfId="0" applyNumberFormat="1" applyFont="1" applyFill="1"/>
    <xf numFmtId="1" fontId="0" fillId="3" borderId="6" xfId="0" applyNumberFormat="1" applyFill="1" applyBorder="1" applyProtection="1">
      <protection locked="0"/>
    </xf>
    <xf numFmtId="168" fontId="32" fillId="3" borderId="6" xfId="0" applyNumberFormat="1" applyFont="1" applyFill="1" applyBorder="1" applyProtection="1">
      <protection locked="0"/>
    </xf>
    <xf numFmtId="167" fontId="32" fillId="3" borderId="6" xfId="0" applyNumberFormat="1" applyFont="1" applyFill="1" applyBorder="1" applyProtection="1">
      <protection locked="0"/>
    </xf>
    <xf numFmtId="168" fontId="32" fillId="3" borderId="6" xfId="0" applyNumberFormat="1" applyFont="1" applyFill="1" applyBorder="1" applyAlignment="1" applyProtection="1">
      <alignment wrapText="1"/>
      <protection locked="0"/>
    </xf>
    <xf numFmtId="168" fontId="5" fillId="3" borderId="4" xfId="0" applyNumberFormat="1" applyFont="1" applyFill="1" applyBorder="1" applyProtection="1">
      <protection locked="0"/>
    </xf>
    <xf numFmtId="168" fontId="5" fillId="3" borderId="15" xfId="0" applyNumberFormat="1" applyFont="1" applyFill="1" applyBorder="1" applyProtection="1">
      <protection locked="0"/>
    </xf>
    <xf numFmtId="3" fontId="5" fillId="3" borderId="4" xfId="0" applyNumberFormat="1" applyFont="1" applyFill="1" applyBorder="1" applyProtection="1">
      <protection locked="0"/>
    </xf>
    <xf numFmtId="3" fontId="5" fillId="3" borderId="15" xfId="0" applyNumberFormat="1" applyFont="1" applyFill="1" applyBorder="1" applyProtection="1">
      <protection locked="0"/>
    </xf>
    <xf numFmtId="168" fontId="5" fillId="3" borderId="5" xfId="0" applyNumberFormat="1" applyFont="1" applyFill="1" applyBorder="1" applyProtection="1">
      <protection locked="0"/>
    </xf>
    <xf numFmtId="0" fontId="5" fillId="4" borderId="0" xfId="0" applyFont="1" applyFill="1"/>
    <xf numFmtId="0" fontId="5" fillId="4" borderId="0" xfId="0" applyFont="1" applyFill="1" applyAlignment="1">
      <alignment horizontal="left"/>
    </xf>
    <xf numFmtId="0" fontId="5" fillId="4" borderId="0" xfId="0" applyFont="1" applyFill="1" applyAlignment="1">
      <alignment wrapText="1"/>
    </xf>
    <xf numFmtId="167" fontId="5" fillId="5" borderId="0" xfId="0" applyNumberFormat="1" applyFont="1" applyFill="1"/>
    <xf numFmtId="167" fontId="32" fillId="5" borderId="0" xfId="0" applyNumberFormat="1" applyFont="1" applyFill="1"/>
    <xf numFmtId="167" fontId="0" fillId="5" borderId="0" xfId="0" applyNumberFormat="1" applyFill="1"/>
    <xf numFmtId="0" fontId="8" fillId="5" borderId="0" xfId="0" applyFont="1" applyFill="1"/>
    <xf numFmtId="165" fontId="5" fillId="5" borderId="0" xfId="0" applyNumberFormat="1" applyFont="1" applyFill="1"/>
    <xf numFmtId="0" fontId="4" fillId="5" borderId="0" xfId="0" applyFont="1" applyFill="1" applyAlignment="1">
      <alignment wrapText="1"/>
    </xf>
    <xf numFmtId="165" fontId="8" fillId="5" borderId="0" xfId="0" applyNumberFormat="1" applyFont="1" applyFill="1"/>
    <xf numFmtId="170" fontId="5" fillId="5" borderId="0" xfId="0" applyNumberFormat="1" applyFont="1" applyFill="1"/>
    <xf numFmtId="170" fontId="5" fillId="5" borderId="0" xfId="0" applyNumberFormat="1" applyFont="1" applyFill="1" applyAlignment="1">
      <alignment horizontal="right"/>
    </xf>
    <xf numFmtId="170" fontId="8" fillId="5" borderId="0" xfId="0" applyNumberFormat="1" applyFont="1" applyFill="1"/>
    <xf numFmtId="2" fontId="5" fillId="5" borderId="0" xfId="0" applyNumberFormat="1" applyFont="1" applyFill="1" applyAlignment="1">
      <alignment wrapText="1"/>
    </xf>
    <xf numFmtId="0" fontId="5" fillId="2" borderId="11" xfId="0" applyFont="1" applyFill="1" applyBorder="1"/>
    <xf numFmtId="0" fontId="0" fillId="2" borderId="13" xfId="0" applyFill="1" applyBorder="1"/>
    <xf numFmtId="3" fontId="15" fillId="2" borderId="0" xfId="0" applyNumberFormat="1" applyFont="1" applyFill="1"/>
    <xf numFmtId="165" fontId="0" fillId="2" borderId="0" xfId="0" applyNumberFormat="1" applyFill="1" applyAlignment="1">
      <alignment horizontal="left"/>
    </xf>
    <xf numFmtId="0" fontId="0" fillId="2" borderId="10" xfId="0" applyFill="1" applyBorder="1" applyAlignment="1">
      <alignment horizontal="left"/>
    </xf>
    <xf numFmtId="3" fontId="5" fillId="2" borderId="11" xfId="0" applyNumberFormat="1" applyFont="1" applyFill="1" applyBorder="1" applyAlignment="1">
      <alignment horizontal="left"/>
    </xf>
    <xf numFmtId="170" fontId="15" fillId="2" borderId="0" xfId="0" applyNumberFormat="1" applyFont="1" applyFill="1"/>
    <xf numFmtId="3" fontId="32" fillId="3" borderId="12" xfId="0" applyNumberFormat="1" applyFont="1" applyFill="1" applyBorder="1" applyProtection="1">
      <protection locked="0"/>
    </xf>
    <xf numFmtId="3" fontId="32" fillId="3" borderId="13" xfId="0" applyNumberFormat="1" applyFont="1" applyFill="1" applyBorder="1" applyProtection="1">
      <protection locked="0"/>
    </xf>
    <xf numFmtId="3" fontId="5" fillId="2" borderId="0" xfId="0" applyNumberFormat="1" applyFont="1" applyFill="1" applyProtection="1">
      <protection locked="0"/>
    </xf>
    <xf numFmtId="2" fontId="32" fillId="2" borderId="0" xfId="0" applyNumberFormat="1" applyFont="1" applyFill="1"/>
    <xf numFmtId="2" fontId="5" fillId="0" borderId="0" xfId="0" applyNumberFormat="1" applyFont="1"/>
    <xf numFmtId="0" fontId="41" fillId="0" borderId="0" xfId="0" applyFont="1" applyAlignment="1">
      <alignment wrapText="1"/>
    </xf>
    <xf numFmtId="3" fontId="32" fillId="2" borderId="4" xfId="0" applyNumberFormat="1" applyFont="1" applyFill="1" applyBorder="1" applyProtection="1">
      <protection locked="0"/>
    </xf>
    <xf numFmtId="1" fontId="5" fillId="5" borderId="0" xfId="0" applyNumberFormat="1" applyFont="1" applyFill="1"/>
    <xf numFmtId="3" fontId="5" fillId="5" borderId="0" xfId="0" applyNumberFormat="1" applyFont="1" applyFill="1"/>
    <xf numFmtId="3" fontId="5" fillId="2" borderId="6" xfId="0" applyNumberFormat="1" applyFont="1" applyFill="1" applyBorder="1"/>
    <xf numFmtId="0" fontId="43" fillId="0" borderId="0" xfId="0" applyFont="1" applyAlignment="1">
      <alignment wrapText="1"/>
    </xf>
    <xf numFmtId="170" fontId="5" fillId="0" borderId="0" xfId="0" applyNumberFormat="1" applyFont="1" applyAlignment="1">
      <alignment horizontal="left" vertical="center" wrapText="1"/>
    </xf>
    <xf numFmtId="3" fontId="32" fillId="2" borderId="5" xfId="0" applyNumberFormat="1" applyFont="1" applyFill="1" applyBorder="1" applyProtection="1">
      <protection locked="0"/>
    </xf>
    <xf numFmtId="0" fontId="5" fillId="0" borderId="0" xfId="0" applyFont="1" applyAlignment="1">
      <alignment horizontal="left" vertical="top" wrapText="1"/>
    </xf>
    <xf numFmtId="0" fontId="5" fillId="0" borderId="0" xfId="0" applyFont="1" applyAlignment="1">
      <alignment vertical="center" wrapText="1"/>
    </xf>
    <xf numFmtId="0" fontId="5" fillId="0" borderId="0" xfId="0" applyFont="1" applyAlignment="1">
      <alignment horizontal="left" vertical="center" wrapText="1"/>
    </xf>
    <xf numFmtId="0" fontId="48" fillId="0" borderId="0" xfId="0" applyFont="1" applyAlignment="1">
      <alignment vertical="center" wrapText="1"/>
    </xf>
    <xf numFmtId="0" fontId="32" fillId="0" borderId="0" xfId="0" applyFont="1" applyAlignment="1">
      <alignment vertical="center" wrapText="1"/>
    </xf>
    <xf numFmtId="0" fontId="15" fillId="2" borderId="4" xfId="0" applyFont="1" applyFill="1" applyBorder="1" applyAlignment="1">
      <alignment vertical="top" wrapText="1"/>
    </xf>
    <xf numFmtId="3" fontId="54" fillId="2" borderId="0" xfId="0" applyNumberFormat="1" applyFont="1" applyFill="1" applyProtection="1">
      <protection locked="0"/>
    </xf>
    <xf numFmtId="0" fontId="5" fillId="6" borderId="0" xfId="0" applyFont="1" applyFill="1" applyAlignment="1">
      <alignment vertical="top" wrapText="1"/>
    </xf>
    <xf numFmtId="0" fontId="0" fillId="6" borderId="0" xfId="0" applyFill="1" applyAlignment="1">
      <alignment vertical="top" wrapText="1"/>
    </xf>
    <xf numFmtId="0" fontId="8" fillId="6" borderId="0" xfId="0" applyFont="1" applyFill="1"/>
    <xf numFmtId="0" fontId="8" fillId="6" borderId="0" xfId="0" applyFont="1" applyFill="1" applyAlignment="1">
      <alignment wrapText="1"/>
    </xf>
    <xf numFmtId="0" fontId="6" fillId="5" borderId="0" xfId="0" applyFont="1" applyFill="1"/>
    <xf numFmtId="0" fontId="13" fillId="5" borderId="0" xfId="0" applyFont="1" applyFill="1"/>
    <xf numFmtId="0" fontId="4" fillId="5" borderId="0" xfId="0" applyFont="1" applyFill="1" applyAlignment="1">
      <alignment horizontal="left"/>
    </xf>
    <xf numFmtId="0" fontId="4" fillId="5" borderId="0" xfId="0" applyFont="1" applyFill="1"/>
    <xf numFmtId="170" fontId="8" fillId="5" borderId="0" xfId="0" applyNumberFormat="1" applyFont="1" applyFill="1" applyAlignment="1">
      <alignment horizontal="right"/>
    </xf>
    <xf numFmtId="167" fontId="32" fillId="5" borderId="0" xfId="0" applyNumberFormat="1" applyFont="1" applyFill="1" applyAlignment="1">
      <alignment horizontal="right"/>
    </xf>
    <xf numFmtId="0" fontId="5" fillId="5" borderId="0" xfId="0" applyFont="1" applyFill="1" applyAlignment="1">
      <alignment horizontal="right"/>
    </xf>
    <xf numFmtId="167" fontId="5" fillId="5" borderId="0" xfId="0" applyNumberFormat="1" applyFont="1" applyFill="1" applyAlignment="1">
      <alignment horizontal="right"/>
    </xf>
    <xf numFmtId="0" fontId="5" fillId="4" borderId="0" xfId="0" applyFont="1" applyFill="1" applyAlignment="1">
      <alignment vertical="top" wrapText="1"/>
    </xf>
    <xf numFmtId="0" fontId="49" fillId="5" borderId="0" xfId="0" applyFont="1" applyFill="1" applyAlignment="1">
      <alignment vertical="center"/>
    </xf>
    <xf numFmtId="0" fontId="46" fillId="5" borderId="0" xfId="0" applyFont="1" applyFill="1" applyAlignment="1">
      <alignment vertical="center"/>
    </xf>
    <xf numFmtId="0" fontId="48" fillId="5" borderId="0" xfId="0" applyFont="1" applyFill="1" applyAlignment="1">
      <alignment vertical="center"/>
    </xf>
    <xf numFmtId="167" fontId="32" fillId="2" borderId="0" xfId="0" applyNumberFormat="1" applyFont="1" applyFill="1" applyAlignment="1">
      <alignment wrapText="1"/>
    </xf>
    <xf numFmtId="168" fontId="32" fillId="2" borderId="0" xfId="0" applyNumberFormat="1" applyFont="1" applyFill="1" applyAlignment="1">
      <alignment wrapText="1"/>
    </xf>
    <xf numFmtId="0" fontId="40" fillId="0" borderId="0" xfId="0" applyFont="1" applyAlignment="1">
      <alignment vertical="top" wrapText="1"/>
    </xf>
    <xf numFmtId="0" fontId="11" fillId="2" borderId="0" xfId="0" applyFont="1" applyFill="1" applyAlignment="1">
      <alignment horizontal="left" vertical="center" wrapText="1"/>
    </xf>
    <xf numFmtId="0" fontId="11" fillId="2" borderId="0" xfId="0" applyFont="1" applyFill="1" applyAlignment="1">
      <alignment horizontal="left" vertical="top" wrapText="1"/>
    </xf>
    <xf numFmtId="49" fontId="5" fillId="3" borderId="10" xfId="0" applyNumberFormat="1" applyFont="1" applyFill="1" applyBorder="1" applyProtection="1">
      <protection locked="0"/>
    </xf>
    <xf numFmtId="49" fontId="5" fillId="3" borderId="0" xfId="0" applyNumberFormat="1" applyFont="1" applyFill="1" applyProtection="1">
      <protection locked="0"/>
    </xf>
    <xf numFmtId="49" fontId="5" fillId="3" borderId="11" xfId="0" applyNumberFormat="1" applyFont="1" applyFill="1" applyBorder="1" applyProtection="1">
      <protection locked="0"/>
    </xf>
    <xf numFmtId="0" fontId="5" fillId="3" borderId="1" xfId="0" applyFont="1" applyFill="1" applyBorder="1" applyProtection="1">
      <protection locked="0"/>
    </xf>
    <xf numFmtId="0" fontId="0" fillId="3" borderId="2" xfId="0" applyFill="1" applyBorder="1" applyProtection="1">
      <protection locked="0"/>
    </xf>
    <xf numFmtId="0" fontId="0" fillId="3" borderId="3" xfId="0" applyFill="1" applyBorder="1" applyProtection="1">
      <protection locked="0"/>
    </xf>
    <xf numFmtId="3" fontId="5" fillId="3" borderId="1" xfId="0" applyNumberFormat="1" applyFont="1" applyFill="1" applyBorder="1" applyAlignment="1" applyProtection="1">
      <alignment horizontal="left" vertical="top" wrapText="1"/>
      <protection locked="0"/>
    </xf>
    <xf numFmtId="0" fontId="0" fillId="3" borderId="2" xfId="0" applyFill="1" applyBorder="1" applyAlignment="1" applyProtection="1">
      <alignment vertical="top" wrapText="1"/>
      <protection locked="0"/>
    </xf>
    <xf numFmtId="0" fontId="0" fillId="3" borderId="3" xfId="0" applyFill="1" applyBorder="1" applyAlignment="1" applyProtection="1">
      <alignment vertical="top" wrapText="1"/>
      <protection locked="0"/>
    </xf>
    <xf numFmtId="49" fontId="5" fillId="3" borderId="1" xfId="0" applyNumberFormat="1" applyFont="1" applyFill="1" applyBorder="1" applyAlignment="1" applyProtection="1">
      <alignment vertical="top" wrapText="1"/>
      <protection locked="0"/>
    </xf>
    <xf numFmtId="49" fontId="5" fillId="3" borderId="2" xfId="0" applyNumberFormat="1" applyFont="1" applyFill="1" applyBorder="1" applyAlignment="1" applyProtection="1">
      <alignment vertical="top" wrapText="1"/>
      <protection locked="0"/>
    </xf>
    <xf numFmtId="49" fontId="5" fillId="3" borderId="7" xfId="0" applyNumberFormat="1" applyFont="1" applyFill="1" applyBorder="1" applyProtection="1">
      <protection locked="0"/>
    </xf>
    <xf numFmtId="49" fontId="5" fillId="3" borderId="8" xfId="0" applyNumberFormat="1" applyFont="1" applyFill="1" applyBorder="1" applyProtection="1">
      <protection locked="0"/>
    </xf>
    <xf numFmtId="49" fontId="5" fillId="3" borderId="9" xfId="0" applyNumberFormat="1" applyFont="1" applyFill="1" applyBorder="1" applyProtection="1">
      <protection locked="0"/>
    </xf>
    <xf numFmtId="0" fontId="5" fillId="3" borderId="10" xfId="0" applyFont="1" applyFill="1" applyBorder="1" applyProtection="1">
      <protection locked="0"/>
    </xf>
    <xf numFmtId="0" fontId="5" fillId="3" borderId="0" xfId="0" applyFont="1" applyFill="1" applyProtection="1">
      <protection locked="0"/>
    </xf>
    <xf numFmtId="0" fontId="5" fillId="3" borderId="11" xfId="0" applyFont="1" applyFill="1" applyBorder="1" applyProtection="1">
      <protection locked="0"/>
    </xf>
    <xf numFmtId="49" fontId="0" fillId="3" borderId="0" xfId="0" applyNumberFormat="1" applyFill="1" applyProtection="1">
      <protection locked="0"/>
    </xf>
    <xf numFmtId="49" fontId="0" fillId="3" borderId="11" xfId="0" applyNumberFormat="1" applyFill="1" applyBorder="1" applyProtection="1">
      <protection locked="0"/>
    </xf>
    <xf numFmtId="49" fontId="5" fillId="3" borderId="12" xfId="0" applyNumberFormat="1" applyFont="1" applyFill="1" applyBorder="1" applyProtection="1">
      <protection locked="0"/>
    </xf>
    <xf numFmtId="49" fontId="0" fillId="3" borderId="13" xfId="0" applyNumberFormat="1" applyFill="1" applyBorder="1" applyProtection="1">
      <protection locked="0"/>
    </xf>
    <xf numFmtId="49" fontId="0" fillId="3" borderId="14" xfId="0" applyNumberFormat="1" applyFill="1" applyBorder="1" applyProtection="1">
      <protection locked="0"/>
    </xf>
    <xf numFmtId="0" fontId="4" fillId="2" borderId="0" xfId="0" applyFont="1" applyFill="1"/>
    <xf numFmtId="0" fontId="0" fillId="2" borderId="0" xfId="0" applyFill="1"/>
    <xf numFmtId="49" fontId="5" fillId="3" borderId="1" xfId="0" applyNumberFormat="1" applyFont="1" applyFill="1" applyBorder="1" applyProtection="1">
      <protection locked="0"/>
    </xf>
    <xf numFmtId="49" fontId="0" fillId="3" borderId="2" xfId="0" applyNumberFormat="1" applyFill="1" applyBorder="1" applyProtection="1">
      <protection locked="0"/>
    </xf>
    <xf numFmtId="49" fontId="0" fillId="3" borderId="3" xfId="0" applyNumberFormat="1" applyFill="1" applyBorder="1" applyProtection="1">
      <protection locked="0"/>
    </xf>
    <xf numFmtId="0" fontId="5" fillId="2" borderId="1" xfId="0" applyFont="1" applyFill="1" applyBorder="1"/>
    <xf numFmtId="0" fontId="32" fillId="2" borderId="2" xfId="0" applyFont="1" applyFill="1" applyBorder="1"/>
    <xf numFmtId="0" fontId="32" fillId="2" borderId="3" xfId="0" applyFont="1" applyFill="1" applyBorder="1"/>
    <xf numFmtId="0" fontId="5" fillId="3" borderId="7" xfId="0" applyFont="1" applyFill="1" applyBorder="1" applyProtection="1">
      <protection locked="0"/>
    </xf>
    <xf numFmtId="0" fontId="5" fillId="3" borderId="8" xfId="0" applyFont="1" applyFill="1" applyBorder="1" applyProtection="1">
      <protection locked="0"/>
    </xf>
    <xf numFmtId="0" fontId="5" fillId="3" borderId="9" xfId="0" applyFont="1" applyFill="1" applyBorder="1" applyProtection="1">
      <protection locked="0"/>
    </xf>
    <xf numFmtId="0" fontId="32" fillId="3" borderId="0" xfId="0" applyFont="1" applyFill="1" applyProtection="1">
      <protection locked="0"/>
    </xf>
    <xf numFmtId="0" fontId="32" fillId="3" borderId="11" xfId="0" applyFont="1" applyFill="1" applyBorder="1" applyProtection="1">
      <protection locked="0"/>
    </xf>
    <xf numFmtId="0" fontId="5" fillId="3" borderId="12" xfId="0" applyFont="1" applyFill="1" applyBorder="1" applyProtection="1">
      <protection locked="0"/>
    </xf>
    <xf numFmtId="0" fontId="32" fillId="3" borderId="13" xfId="0" applyFont="1" applyFill="1" applyBorder="1" applyProtection="1">
      <protection locked="0"/>
    </xf>
    <xf numFmtId="0" fontId="32" fillId="3" borderId="14" xfId="0" applyFont="1" applyFill="1" applyBorder="1" applyProtection="1">
      <protection locked="0"/>
    </xf>
    <xf numFmtId="0" fontId="32" fillId="3" borderId="8" xfId="0" applyFont="1" applyFill="1" applyBorder="1" applyProtection="1">
      <protection locked="0"/>
    </xf>
    <xf numFmtId="0" fontId="32" fillId="3" borderId="9" xfId="0" applyFont="1" applyFill="1" applyBorder="1" applyProtection="1">
      <protection locked="0"/>
    </xf>
    <xf numFmtId="0" fontId="5" fillId="3" borderId="1" xfId="0" applyFont="1" applyFill="1" applyBorder="1" applyAlignment="1" applyProtection="1">
      <alignment horizontal="left" vertical="top"/>
      <protection locked="0"/>
    </xf>
    <xf numFmtId="0" fontId="5" fillId="3" borderId="2" xfId="0" applyFont="1" applyFill="1" applyBorder="1" applyAlignment="1" applyProtection="1">
      <alignment horizontal="left" vertical="top"/>
      <protection locked="0"/>
    </xf>
    <xf numFmtId="0" fontId="0" fillId="3" borderId="2" xfId="0" applyFill="1" applyBorder="1" applyAlignment="1" applyProtection="1">
      <alignment horizontal="left" vertical="top"/>
      <protection locked="0"/>
    </xf>
    <xf numFmtId="0" fontId="0" fillId="3" borderId="3" xfId="0" applyFill="1" applyBorder="1" applyAlignment="1" applyProtection="1">
      <alignment horizontal="left" vertical="top"/>
      <protection locked="0"/>
    </xf>
    <xf numFmtId="0" fontId="22" fillId="2" borderId="1" xfId="0" applyFont="1" applyFill="1" applyBorder="1"/>
    <xf numFmtId="0" fontId="21" fillId="2" borderId="2" xfId="0" applyFont="1" applyFill="1" applyBorder="1"/>
    <xf numFmtId="0" fontId="21" fillId="2" borderId="3" xfId="0" applyFont="1" applyFill="1" applyBorder="1"/>
    <xf numFmtId="0" fontId="5" fillId="2" borderId="2" xfId="0" applyFont="1" applyFill="1" applyBorder="1"/>
    <xf numFmtId="0" fontId="5" fillId="2" borderId="3" xfId="0" applyFont="1" applyFill="1" applyBorder="1"/>
    <xf numFmtId="0" fontId="5" fillId="3" borderId="2" xfId="0" applyFont="1" applyFill="1" applyBorder="1" applyProtection="1">
      <protection locked="0"/>
    </xf>
    <xf numFmtId="0" fontId="5" fillId="3" borderId="3" xfId="0" applyFont="1" applyFill="1" applyBorder="1" applyProtection="1">
      <protection locked="0"/>
    </xf>
    <xf numFmtId="0" fontId="5" fillId="2" borderId="0" xfId="0" applyFont="1" applyFill="1"/>
    <xf numFmtId="0" fontId="5" fillId="2" borderId="1" xfId="0" applyFont="1" applyFill="1" applyBorder="1" applyAlignment="1">
      <alignment vertical="top" wrapText="1"/>
    </xf>
    <xf numFmtId="0" fontId="5" fillId="2" borderId="2" xfId="0" applyFont="1" applyFill="1" applyBorder="1" applyAlignment="1">
      <alignment vertical="top" wrapText="1"/>
    </xf>
    <xf numFmtId="0" fontId="5" fillId="2" borderId="3" xfId="0" applyFont="1" applyFill="1" applyBorder="1" applyAlignment="1">
      <alignment vertical="top" wrapText="1"/>
    </xf>
    <xf numFmtId="2" fontId="11" fillId="2" borderId="0" xfId="0" applyNumberFormat="1" applyFont="1" applyFill="1" applyAlignment="1">
      <alignment wrapText="1"/>
    </xf>
    <xf numFmtId="2" fontId="0" fillId="2" borderId="0" xfId="0" applyNumberFormat="1" applyFill="1" applyAlignment="1">
      <alignment wrapText="1"/>
    </xf>
    <xf numFmtId="0" fontId="0" fillId="2" borderId="0" xfId="0" applyFill="1" applyAlignment="1">
      <alignment wrapText="1"/>
    </xf>
    <xf numFmtId="3" fontId="5" fillId="3" borderId="7" xfId="0" applyNumberFormat="1" applyFont="1" applyFill="1" applyBorder="1" applyAlignment="1" applyProtection="1">
      <alignment horizontal="right"/>
      <protection locked="0"/>
    </xf>
    <xf numFmtId="0" fontId="0" fillId="3" borderId="9" xfId="0" applyFill="1" applyBorder="1" applyAlignment="1" applyProtection="1">
      <alignment horizontal="right"/>
      <protection locked="0"/>
    </xf>
    <xf numFmtId="3" fontId="5" fillId="3" borderId="10" xfId="0" applyNumberFormat="1" applyFont="1" applyFill="1" applyBorder="1" applyAlignment="1" applyProtection="1">
      <alignment horizontal="right"/>
      <protection locked="0"/>
    </xf>
    <xf numFmtId="0" fontId="0" fillId="3" borderId="11" xfId="0" applyFill="1" applyBorder="1" applyAlignment="1" applyProtection="1">
      <alignment horizontal="right"/>
      <protection locked="0"/>
    </xf>
    <xf numFmtId="3" fontId="5" fillId="2" borderId="8" xfId="0" applyNumberFormat="1" applyFont="1" applyFill="1" applyBorder="1" applyAlignment="1">
      <alignment horizontal="right"/>
    </xf>
    <xf numFmtId="0" fontId="5" fillId="2" borderId="8" xfId="0" applyFont="1" applyFill="1" applyBorder="1" applyAlignment="1">
      <alignment horizontal="right"/>
    </xf>
    <xf numFmtId="3" fontId="5" fillId="2" borderId="0" xfId="0" applyNumberFormat="1" applyFont="1" applyFill="1" applyAlignment="1">
      <alignment horizontal="right"/>
    </xf>
    <xf numFmtId="0" fontId="0" fillId="2" borderId="0" xfId="0" applyFill="1" applyAlignment="1">
      <alignment horizontal="right"/>
    </xf>
    <xf numFmtId="3" fontId="8" fillId="2" borderId="0" xfId="0" applyNumberFormat="1" applyFont="1" applyFill="1" applyAlignment="1">
      <alignment horizontal="right"/>
    </xf>
    <xf numFmtId="0" fontId="5" fillId="2" borderId="1" xfId="0" applyFont="1"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5" fillId="3" borderId="1" xfId="0" applyFont="1" applyFill="1" applyBorder="1" applyAlignment="1" applyProtection="1">
      <alignment vertical="top" wrapText="1"/>
      <protection locked="0"/>
    </xf>
    <xf numFmtId="0" fontId="5" fillId="3" borderId="2" xfId="0" applyFont="1" applyFill="1" applyBorder="1" applyAlignment="1" applyProtection="1">
      <alignment vertical="top" wrapText="1"/>
      <protection locked="0"/>
    </xf>
    <xf numFmtId="0" fontId="5" fillId="3" borderId="3" xfId="0" applyFont="1" applyFill="1" applyBorder="1" applyAlignment="1" applyProtection="1">
      <alignment vertical="top" wrapText="1"/>
      <protection locked="0"/>
    </xf>
    <xf numFmtId="0" fontId="32" fillId="2" borderId="1" xfId="0" applyFont="1" applyFill="1" applyBorder="1" applyAlignment="1">
      <alignment vertical="top" wrapText="1"/>
    </xf>
    <xf numFmtId="0" fontId="32" fillId="2" borderId="2" xfId="0" applyFont="1" applyFill="1" applyBorder="1" applyAlignment="1">
      <alignment vertical="top" wrapText="1"/>
    </xf>
    <xf numFmtId="0" fontId="32" fillId="2" borderId="3" xfId="0" applyFont="1" applyFill="1" applyBorder="1" applyAlignment="1">
      <alignment vertical="top" wrapText="1"/>
    </xf>
    <xf numFmtId="0" fontId="23" fillId="2" borderId="0" xfId="0" applyFont="1" applyFill="1" applyAlignment="1">
      <alignment wrapText="1"/>
    </xf>
    <xf numFmtId="0" fontId="0" fillId="0" borderId="0" xfId="0" applyAlignment="1">
      <alignment wrapText="1"/>
    </xf>
    <xf numFmtId="0" fontId="5" fillId="2" borderId="7" xfId="0" applyFont="1" applyFill="1" applyBorder="1"/>
    <xf numFmtId="0" fontId="5" fillId="2" borderId="8" xfId="0" applyFont="1" applyFill="1" applyBorder="1"/>
    <xf numFmtId="0" fontId="5" fillId="2" borderId="9" xfId="0" applyFont="1" applyFill="1" applyBorder="1"/>
    <xf numFmtId="0" fontId="5" fillId="2" borderId="10" xfId="0" applyFont="1" applyFill="1" applyBorder="1"/>
    <xf numFmtId="0" fontId="0" fillId="2" borderId="11" xfId="0" applyFill="1" applyBorder="1"/>
    <xf numFmtId="0" fontId="5" fillId="2" borderId="11" xfId="0" applyFont="1" applyFill="1" applyBorder="1"/>
    <xf numFmtId="0" fontId="5" fillId="2" borderId="10" xfId="0" applyFont="1" applyFill="1" applyBorder="1" applyAlignment="1">
      <alignment vertical="center" wrapText="1"/>
    </xf>
    <xf numFmtId="0" fontId="5" fillId="2" borderId="0" xfId="0" applyFont="1" applyFill="1" applyAlignment="1">
      <alignment vertical="center" wrapText="1"/>
    </xf>
    <xf numFmtId="0" fontId="5" fillId="2" borderId="11" xfId="0" applyFont="1" applyFill="1" applyBorder="1" applyAlignment="1">
      <alignment vertical="center" wrapText="1"/>
    </xf>
    <xf numFmtId="3" fontId="5" fillId="2" borderId="10" xfId="0" applyNumberFormat="1" applyFont="1" applyFill="1" applyBorder="1" applyAlignment="1">
      <alignment horizontal="left"/>
    </xf>
    <xf numFmtId="0" fontId="0" fillId="2" borderId="0" xfId="0" applyFill="1" applyAlignment="1">
      <alignment horizontal="left"/>
    </xf>
    <xf numFmtId="165" fontId="0" fillId="2" borderId="13" xfId="0" applyNumberFormat="1" applyFill="1" applyBorder="1" applyAlignment="1">
      <alignment horizontal="left"/>
    </xf>
    <xf numFmtId="49" fontId="5" fillId="3" borderId="13" xfId="0" applyNumberFormat="1" applyFont="1" applyFill="1" applyBorder="1" applyProtection="1">
      <protection locked="0"/>
    </xf>
    <xf numFmtId="49" fontId="5" fillId="3" borderId="14" xfId="0" applyNumberFormat="1" applyFont="1" applyFill="1" applyBorder="1" applyProtection="1">
      <protection locked="0"/>
    </xf>
    <xf numFmtId="0" fontId="5" fillId="2" borderId="13" xfId="0" applyFont="1" applyFill="1" applyBorder="1"/>
    <xf numFmtId="0" fontId="0" fillId="2" borderId="13" xfId="0" applyFill="1" applyBorder="1"/>
    <xf numFmtId="167" fontId="32" fillId="3" borderId="12" xfId="0" applyNumberFormat="1" applyFont="1" applyFill="1" applyBorder="1" applyProtection="1">
      <protection locked="0"/>
    </xf>
    <xf numFmtId="167" fontId="32" fillId="3" borderId="13" xfId="0" applyNumberFormat="1" applyFont="1" applyFill="1" applyBorder="1" applyProtection="1">
      <protection locked="0"/>
    </xf>
    <xf numFmtId="167" fontId="32" fillId="3" borderId="14" xfId="0" applyNumberFormat="1" applyFont="1" applyFill="1" applyBorder="1" applyProtection="1">
      <protection locked="0"/>
    </xf>
    <xf numFmtId="9" fontId="5" fillId="2" borderId="1" xfId="0" applyNumberFormat="1" applyFont="1" applyFill="1" applyBorder="1"/>
    <xf numFmtId="0" fontId="0" fillId="2" borderId="3" xfId="0" applyFill="1" applyBorder="1"/>
    <xf numFmtId="0" fontId="0" fillId="2" borderId="2" xfId="0" applyFill="1" applyBorder="1"/>
    <xf numFmtId="0" fontId="32" fillId="2" borderId="13" xfId="0" applyFont="1" applyFill="1" applyBorder="1"/>
    <xf numFmtId="3" fontId="5" fillId="2" borderId="1" xfId="0" applyNumberFormat="1" applyFont="1" applyFill="1" applyBorder="1"/>
    <xf numFmtId="1" fontId="5" fillId="2" borderId="0" xfId="0" applyNumberFormat="1" applyFont="1" applyFill="1" applyAlignment="1">
      <alignment horizontal="right"/>
    </xf>
    <xf numFmtId="167" fontId="32" fillId="2" borderId="10" xfId="0" applyNumberFormat="1" applyFont="1" applyFill="1" applyBorder="1" applyProtection="1">
      <protection locked="0"/>
    </xf>
    <xf numFmtId="167" fontId="32" fillId="2" borderId="0" xfId="0" applyNumberFormat="1" applyFont="1" applyFill="1" applyProtection="1">
      <protection locked="0"/>
    </xf>
    <xf numFmtId="167" fontId="32" fillId="2" borderId="11" xfId="0" applyNumberFormat="1" applyFont="1" applyFill="1" applyBorder="1" applyProtection="1">
      <protection locked="0"/>
    </xf>
    <xf numFmtId="167" fontId="0" fillId="2" borderId="0" xfId="0" applyNumberFormat="1" applyFill="1" applyProtection="1">
      <protection locked="0"/>
    </xf>
    <xf numFmtId="167" fontId="0" fillId="2" borderId="11" xfId="0" applyNumberFormat="1" applyFill="1" applyBorder="1" applyProtection="1">
      <protection locked="0"/>
    </xf>
    <xf numFmtId="0" fontId="5" fillId="2" borderId="0" xfId="0" applyFont="1" applyFill="1" applyAlignment="1">
      <alignment wrapText="1"/>
    </xf>
    <xf numFmtId="0" fontId="0" fillId="2" borderId="13" xfId="0" applyFill="1" applyBorder="1" applyAlignment="1">
      <alignment wrapText="1"/>
    </xf>
    <xf numFmtId="0" fontId="32" fillId="2" borderId="0" xfId="0" applyFont="1" applyFill="1"/>
    <xf numFmtId="0" fontId="5" fillId="2" borderId="0" xfId="0" applyFont="1" applyFill="1" applyAlignment="1">
      <alignment horizontal="left"/>
    </xf>
    <xf numFmtId="0" fontId="32" fillId="2" borderId="0" xfId="0" applyFont="1" applyFill="1" applyAlignment="1">
      <alignment horizontal="left"/>
    </xf>
    <xf numFmtId="167" fontId="32" fillId="2" borderId="7" xfId="0" applyNumberFormat="1" applyFont="1" applyFill="1" applyBorder="1" applyProtection="1">
      <protection locked="0"/>
    </xf>
    <xf numFmtId="167" fontId="32" fillId="2" borderId="8" xfId="0" applyNumberFormat="1" applyFont="1" applyFill="1" applyBorder="1" applyProtection="1">
      <protection locked="0"/>
    </xf>
    <xf numFmtId="167" fontId="32" fillId="2" borderId="9" xfId="0" applyNumberFormat="1" applyFont="1" applyFill="1" applyBorder="1" applyProtection="1">
      <protection locked="0"/>
    </xf>
    <xf numFmtId="168" fontId="32" fillId="2" borderId="4" xfId="0" applyNumberFormat="1" applyFont="1" applyFill="1" applyBorder="1" applyAlignment="1" applyProtection="1">
      <alignment horizontal="right" vertical="center"/>
      <protection locked="0"/>
    </xf>
    <xf numFmtId="0" fontId="0" fillId="0" borderId="5" xfId="0" applyBorder="1" applyAlignment="1" applyProtection="1">
      <alignment horizontal="right" vertical="center"/>
      <protection locked="0"/>
    </xf>
    <xf numFmtId="168" fontId="5" fillId="2" borderId="0" xfId="0" applyNumberFormat="1" applyFont="1" applyFill="1" applyAlignment="1">
      <alignment wrapText="1"/>
    </xf>
    <xf numFmtId="0" fontId="32" fillId="2" borderId="13" xfId="0" applyFont="1" applyFill="1" applyBorder="1" applyAlignment="1">
      <alignment wrapText="1"/>
    </xf>
    <xf numFmtId="0" fontId="5" fillId="2" borderId="13" xfId="0" applyFont="1" applyFill="1" applyBorder="1" applyAlignment="1">
      <alignment wrapText="1"/>
    </xf>
    <xf numFmtId="167" fontId="32" fillId="3" borderId="1" xfId="0" applyNumberFormat="1" applyFont="1" applyFill="1" applyBorder="1" applyProtection="1">
      <protection locked="0"/>
    </xf>
    <xf numFmtId="167" fontId="32" fillId="3" borderId="2" xfId="0" applyNumberFormat="1" applyFont="1" applyFill="1" applyBorder="1" applyProtection="1">
      <protection locked="0"/>
    </xf>
    <xf numFmtId="167" fontId="32" fillId="3" borderId="3" xfId="0" applyNumberFormat="1" applyFont="1" applyFill="1" applyBorder="1" applyProtection="1">
      <protection locked="0"/>
    </xf>
    <xf numFmtId="0" fontId="15" fillId="2" borderId="0" xfId="0" applyFont="1" applyFill="1" applyAlignment="1">
      <alignment wrapText="1"/>
    </xf>
    <xf numFmtId="0" fontId="32" fillId="2" borderId="0" xfId="0" applyFont="1" applyFill="1" applyAlignment="1">
      <alignment wrapText="1"/>
    </xf>
    <xf numFmtId="167" fontId="32" fillId="3" borderId="1" xfId="0" applyNumberFormat="1" applyFont="1" applyFill="1" applyBorder="1" applyAlignment="1" applyProtection="1">
      <alignment wrapText="1"/>
      <protection locked="0"/>
    </xf>
    <xf numFmtId="167" fontId="32" fillId="3" borderId="2" xfId="0" applyNumberFormat="1" applyFont="1" applyFill="1" applyBorder="1" applyAlignment="1" applyProtection="1">
      <alignment wrapText="1"/>
      <protection locked="0"/>
    </xf>
    <xf numFmtId="167" fontId="32" fillId="3" borderId="3" xfId="0" applyNumberFormat="1" applyFont="1" applyFill="1" applyBorder="1" applyAlignment="1" applyProtection="1">
      <alignment wrapText="1"/>
      <protection locked="0"/>
    </xf>
    <xf numFmtId="3" fontId="15" fillId="2" borderId="0" xfId="0" applyNumberFormat="1" applyFont="1" applyFill="1"/>
    <xf numFmtId="0" fontId="15" fillId="2" borderId="0" xfId="0" applyFont="1" applyFill="1"/>
    <xf numFmtId="167" fontId="5" fillId="2" borderId="0" xfId="0" applyNumberFormat="1" applyFont="1" applyFill="1" applyProtection="1">
      <protection locked="0"/>
    </xf>
    <xf numFmtId="0" fontId="5" fillId="2" borderId="0" xfId="0" applyFont="1" applyFill="1" applyAlignment="1">
      <alignment horizontal="right"/>
    </xf>
    <xf numFmtId="0" fontId="32" fillId="2" borderId="0" xfId="0" applyFont="1" applyFill="1" applyAlignment="1">
      <alignment horizontal="right"/>
    </xf>
    <xf numFmtId="167" fontId="5" fillId="3" borderId="1" xfId="0" applyNumberFormat="1" applyFont="1" applyFill="1" applyBorder="1" applyProtection="1">
      <protection locked="0"/>
    </xf>
    <xf numFmtId="167" fontId="32" fillId="2" borderId="0" xfId="0" applyNumberFormat="1" applyFont="1" applyFill="1" applyAlignment="1" applyProtection="1">
      <alignment wrapText="1"/>
      <protection locked="0"/>
    </xf>
    <xf numFmtId="164" fontId="32" fillId="3" borderId="10" xfId="0" applyNumberFormat="1" applyFont="1" applyFill="1" applyBorder="1" applyProtection="1">
      <protection locked="0"/>
    </xf>
    <xf numFmtId="164" fontId="32" fillId="3" borderId="0" xfId="0" applyNumberFormat="1" applyFont="1" applyFill="1" applyProtection="1">
      <protection locked="0"/>
    </xf>
    <xf numFmtId="164" fontId="32" fillId="3" borderId="11" xfId="0" applyNumberFormat="1" applyFont="1" applyFill="1" applyBorder="1" applyProtection="1">
      <protection locked="0"/>
    </xf>
    <xf numFmtId="164" fontId="5" fillId="3" borderId="7" xfId="0" applyNumberFormat="1" applyFont="1" applyFill="1" applyBorder="1" applyProtection="1">
      <protection locked="0"/>
    </xf>
    <xf numFmtId="164" fontId="5" fillId="3" borderId="8" xfId="0" applyNumberFormat="1" applyFont="1" applyFill="1" applyBorder="1" applyProtection="1">
      <protection locked="0"/>
    </xf>
    <xf numFmtId="164" fontId="5" fillId="3" borderId="9" xfId="0" applyNumberFormat="1" applyFont="1" applyFill="1" applyBorder="1" applyProtection="1">
      <protection locked="0"/>
    </xf>
    <xf numFmtId="164" fontId="5" fillId="3" borderId="12" xfId="0" applyNumberFormat="1" applyFont="1" applyFill="1" applyBorder="1" applyProtection="1">
      <protection locked="0"/>
    </xf>
    <xf numFmtId="164" fontId="5" fillId="3" borderId="10" xfId="0" applyNumberFormat="1" applyFont="1" applyFill="1" applyBorder="1" applyProtection="1">
      <protection locked="0"/>
    </xf>
    <xf numFmtId="164" fontId="5" fillId="3" borderId="0" xfId="0" applyNumberFormat="1" applyFont="1" applyFill="1" applyProtection="1">
      <protection locked="0"/>
    </xf>
    <xf numFmtId="164" fontId="5" fillId="3" borderId="11" xfId="0" applyNumberFormat="1" applyFont="1" applyFill="1" applyBorder="1" applyProtection="1">
      <protection locked="0"/>
    </xf>
    <xf numFmtId="0" fontId="32" fillId="3" borderId="0" xfId="0" applyFont="1" applyFill="1"/>
    <xf numFmtId="0" fontId="32" fillId="3" borderId="11" xfId="0" applyFont="1" applyFill="1" applyBorder="1"/>
    <xf numFmtId="164" fontId="32" fillId="3" borderId="12" xfId="0" applyNumberFormat="1" applyFont="1" applyFill="1" applyBorder="1" applyProtection="1">
      <protection locked="0"/>
    </xf>
    <xf numFmtId="164" fontId="32" fillId="3" borderId="13" xfId="0" applyNumberFormat="1" applyFont="1" applyFill="1" applyBorder="1" applyProtection="1">
      <protection locked="0"/>
    </xf>
    <xf numFmtId="164" fontId="32" fillId="3" borderId="14" xfId="0" applyNumberFormat="1" applyFont="1" applyFill="1" applyBorder="1" applyProtection="1">
      <protection locked="0"/>
    </xf>
    <xf numFmtId="164" fontId="5" fillId="2" borderId="0" xfId="0" applyNumberFormat="1" applyFont="1" applyFill="1" applyAlignment="1">
      <alignment wrapText="1"/>
    </xf>
    <xf numFmtId="164" fontId="5" fillId="2" borderId="13" xfId="0" applyNumberFormat="1" applyFont="1" applyFill="1" applyBorder="1" applyAlignment="1">
      <alignment wrapText="1"/>
    </xf>
    <xf numFmtId="0" fontId="5" fillId="2" borderId="13" xfId="0" applyFont="1" applyFill="1" applyBorder="1" applyAlignment="1">
      <alignment horizontal="left"/>
    </xf>
    <xf numFmtId="3" fontId="5" fillId="3" borderId="7" xfId="0" applyNumberFormat="1" applyFont="1" applyFill="1" applyBorder="1" applyProtection="1">
      <protection locked="0"/>
    </xf>
    <xf numFmtId="3" fontId="5" fillId="3" borderId="8" xfId="0" applyNumberFormat="1" applyFont="1" applyFill="1" applyBorder="1" applyProtection="1">
      <protection locked="0"/>
    </xf>
    <xf numFmtId="3" fontId="5" fillId="3" borderId="9" xfId="0" applyNumberFormat="1" applyFont="1" applyFill="1" applyBorder="1" applyProtection="1">
      <protection locked="0"/>
    </xf>
    <xf numFmtId="3" fontId="5" fillId="3" borderId="10" xfId="0" applyNumberFormat="1" applyFont="1" applyFill="1" applyBorder="1" applyProtection="1">
      <protection locked="0"/>
    </xf>
    <xf numFmtId="3" fontId="5" fillId="3" borderId="0" xfId="0" applyNumberFormat="1" applyFont="1" applyFill="1" applyProtection="1">
      <protection locked="0"/>
    </xf>
    <xf numFmtId="3" fontId="5" fillId="3" borderId="11" xfId="0" applyNumberFormat="1" applyFont="1" applyFill="1" applyBorder="1" applyProtection="1">
      <protection locked="0"/>
    </xf>
    <xf numFmtId="0" fontId="0" fillId="3" borderId="10" xfId="0" applyFill="1" applyBorder="1" applyProtection="1">
      <protection locked="0"/>
    </xf>
    <xf numFmtId="0" fontId="0" fillId="3" borderId="0" xfId="0" applyFill="1" applyProtection="1">
      <protection locked="0"/>
    </xf>
    <xf numFmtId="0" fontId="0" fillId="3" borderId="11" xfId="0" applyFill="1" applyBorder="1" applyProtection="1">
      <protection locked="0"/>
    </xf>
    <xf numFmtId="0" fontId="5" fillId="3" borderId="14" xfId="0" applyFont="1" applyFill="1" applyBorder="1" applyProtection="1">
      <protection locked="0"/>
    </xf>
    <xf numFmtId="3" fontId="5" fillId="3" borderId="12" xfId="0" applyNumberFormat="1" applyFont="1" applyFill="1" applyBorder="1" applyProtection="1">
      <protection locked="0"/>
    </xf>
    <xf numFmtId="3" fontId="5" fillId="3" borderId="13" xfId="0" applyNumberFormat="1" applyFont="1" applyFill="1" applyBorder="1" applyProtection="1">
      <protection locked="0"/>
    </xf>
    <xf numFmtId="3" fontId="5" fillId="3" borderId="14" xfId="0" applyNumberFormat="1" applyFont="1" applyFill="1" applyBorder="1" applyProtection="1">
      <protection locked="0"/>
    </xf>
    <xf numFmtId="0" fontId="5" fillId="0" borderId="1" xfId="0" applyFont="1" applyBorder="1" applyProtection="1">
      <protection locked="0"/>
    </xf>
    <xf numFmtId="0" fontId="5" fillId="0" borderId="3" xfId="0" applyFont="1" applyBorder="1" applyProtection="1">
      <protection locked="0"/>
    </xf>
    <xf numFmtId="0" fontId="5" fillId="3" borderId="7" xfId="0" applyFont="1" applyFill="1" applyBorder="1" applyAlignment="1" applyProtection="1">
      <alignment vertical="top"/>
      <protection locked="0"/>
    </xf>
    <xf numFmtId="0" fontId="5" fillId="3" borderId="8" xfId="0" applyFont="1" applyFill="1" applyBorder="1" applyAlignment="1" applyProtection="1">
      <alignment vertical="top"/>
      <protection locked="0"/>
    </xf>
    <xf numFmtId="0" fontId="5" fillId="3" borderId="9" xfId="0" applyFont="1" applyFill="1" applyBorder="1" applyAlignment="1" applyProtection="1">
      <alignment vertical="top"/>
      <protection locked="0"/>
    </xf>
    <xf numFmtId="0" fontId="5" fillId="3" borderId="10" xfId="0" applyFont="1" applyFill="1" applyBorder="1" applyAlignment="1" applyProtection="1">
      <alignment vertical="top"/>
      <protection locked="0"/>
    </xf>
    <xf numFmtId="0" fontId="5" fillId="3" borderId="0" xfId="0" applyFont="1" applyFill="1" applyAlignment="1" applyProtection="1">
      <alignment vertical="top"/>
      <protection locked="0"/>
    </xf>
    <xf numFmtId="0" fontId="5" fillId="3" borderId="11" xfId="0" applyFont="1" applyFill="1" applyBorder="1" applyAlignment="1" applyProtection="1">
      <alignment vertical="top"/>
      <protection locked="0"/>
    </xf>
    <xf numFmtId="0" fontId="5" fillId="3" borderId="12" xfId="0" applyFont="1" applyFill="1" applyBorder="1" applyAlignment="1" applyProtection="1">
      <alignment vertical="top"/>
      <protection locked="0"/>
    </xf>
    <xf numFmtId="0" fontId="5" fillId="3" borderId="13" xfId="0" applyFont="1" applyFill="1" applyBorder="1" applyAlignment="1" applyProtection="1">
      <alignment vertical="top"/>
      <protection locked="0"/>
    </xf>
    <xf numFmtId="0" fontId="5" fillId="3" borderId="14" xfId="0" applyFont="1" applyFill="1" applyBorder="1" applyAlignment="1" applyProtection="1">
      <alignment vertical="top"/>
      <protection locked="0"/>
    </xf>
    <xf numFmtId="0" fontId="4" fillId="5" borderId="0" xfId="0" applyFont="1" applyFill="1" applyAlignment="1">
      <alignment wrapText="1"/>
    </xf>
    <xf numFmtId="0" fontId="4" fillId="5" borderId="0" xfId="0" applyFont="1" applyFill="1" applyAlignment="1">
      <alignment horizontal="center" wrapText="1"/>
    </xf>
    <xf numFmtId="0" fontId="5" fillId="5" borderId="0" xfId="0" applyFont="1" applyFill="1" applyAlignment="1">
      <alignment horizontal="center" wrapText="1"/>
    </xf>
    <xf numFmtId="0" fontId="4" fillId="5" borderId="0" xfId="0" applyFont="1" applyFill="1" applyAlignment="1">
      <alignment horizontal="center"/>
    </xf>
    <xf numFmtId="0" fontId="5" fillId="5" borderId="0" xfId="0" applyFont="1" applyFill="1" applyAlignment="1">
      <alignment wrapText="1"/>
    </xf>
    <xf numFmtId="0" fontId="5" fillId="0" borderId="0" xfId="0" applyFont="1" applyAlignment="1">
      <alignment vertical="top" wrapText="1"/>
    </xf>
    <xf numFmtId="0" fontId="40" fillId="0" borderId="0" xfId="0" applyFont="1" applyAlignment="1">
      <alignment vertical="top" wrapText="1"/>
    </xf>
    <xf numFmtId="0" fontId="0" fillId="0" borderId="0" xfId="0" applyAlignment="1">
      <alignment vertical="top" wrapText="1"/>
    </xf>
    <xf numFmtId="0" fontId="5" fillId="0" borderId="0" xfId="0" applyFont="1" applyAlignment="1" applyProtection="1">
      <alignment vertical="top" wrapText="1"/>
      <protection locked="0"/>
    </xf>
    <xf numFmtId="0" fontId="5" fillId="6" borderId="0" xfId="0" applyFont="1" applyFill="1" applyAlignment="1">
      <alignment vertical="top" wrapText="1"/>
    </xf>
    <xf numFmtId="0" fontId="8" fillId="0" borderId="0" xfId="0" applyFont="1" applyAlignment="1">
      <alignment vertical="top" wrapText="1"/>
    </xf>
    <xf numFmtId="0" fontId="39" fillId="0" borderId="0" xfId="0" applyFont="1" applyAlignment="1">
      <alignment vertical="top" wrapText="1"/>
    </xf>
    <xf numFmtId="0" fontId="55" fillId="0" borderId="0" xfId="0" applyFont="1" applyAlignment="1">
      <alignment vertical="top" wrapText="1"/>
    </xf>
    <xf numFmtId="0" fontId="38" fillId="2" borderId="0" xfId="0" applyFont="1" applyFill="1" applyAlignment="1">
      <alignment vertical="top" wrapText="1"/>
    </xf>
    <xf numFmtId="0" fontId="38" fillId="2" borderId="0" xfId="0" applyFont="1" applyFill="1" applyAlignment="1">
      <alignment wrapText="1"/>
    </xf>
  </cellXfs>
  <cellStyles count="3">
    <cellStyle name="Hyperlink" xfId="2" builtinId="8"/>
    <cellStyle name="Procent" xfId="1" builtinId="5"/>
    <cellStyle name="Standaard" xfId="0" builtinId="0"/>
  </cellStyles>
  <dxfs count="285">
    <dxf>
      <border>
        <right style="thin">
          <color auto="1"/>
        </right>
        <vertical/>
        <horizontal/>
      </border>
    </dxf>
    <dxf>
      <font>
        <color theme="1"/>
      </font>
      <border>
        <bottom style="thin">
          <color auto="1"/>
        </bottom>
        <vertical/>
        <horizontal/>
      </border>
    </dxf>
    <dxf>
      <fill>
        <patternFill>
          <bgColor theme="0"/>
        </patternFill>
      </fill>
    </dxf>
    <dxf>
      <border>
        <right style="thin">
          <color auto="1"/>
        </right>
        <vertical/>
        <horizontal/>
      </border>
    </dxf>
    <dxf>
      <fill>
        <patternFill>
          <bgColor theme="0"/>
        </patternFill>
      </fill>
    </dxf>
    <dxf>
      <fill>
        <patternFill>
          <bgColor theme="0"/>
        </patternFill>
      </fill>
    </dxf>
    <dxf>
      <border>
        <top style="thin">
          <color auto="1"/>
        </top>
        <vertical/>
        <horizontal/>
      </border>
    </dxf>
    <dxf>
      <border>
        <right style="thin">
          <color auto="1"/>
        </right>
        <vertical/>
        <horizontal/>
      </border>
    </dxf>
    <dxf>
      <border>
        <bottom style="thin">
          <color auto="1"/>
        </bottom>
        <vertical/>
        <horizontal/>
      </border>
    </dxf>
    <dxf>
      <border>
        <right style="thin">
          <color auto="1"/>
        </right>
        <vertical/>
        <horizontal/>
      </border>
    </dxf>
    <dxf>
      <fill>
        <patternFill>
          <bgColor theme="0"/>
        </patternFill>
      </fill>
    </dxf>
    <dxf>
      <border>
        <right style="thin">
          <color auto="1"/>
        </right>
        <vertical/>
        <horizontal/>
      </border>
    </dxf>
    <dxf>
      <fill>
        <patternFill>
          <bgColor theme="0"/>
        </patternFill>
      </fill>
    </dxf>
    <dxf>
      <border>
        <top style="thin">
          <color auto="1"/>
        </top>
        <vertical/>
        <horizontal/>
      </border>
    </dxf>
    <dxf>
      <border>
        <right style="thin">
          <color auto="1"/>
        </right>
        <bottom/>
        <vertical/>
        <horizontal/>
      </border>
    </dxf>
    <dxf>
      <font>
        <color theme="1"/>
      </font>
      <border>
        <bottom style="thin">
          <color auto="1"/>
        </bottom>
        <vertical/>
        <horizontal/>
      </border>
    </dxf>
    <dxf>
      <fill>
        <patternFill>
          <bgColor theme="0"/>
        </patternFill>
      </fill>
    </dxf>
    <dxf>
      <fill>
        <patternFill>
          <bgColor theme="0"/>
        </patternFill>
      </fill>
    </dxf>
    <dxf>
      <border>
        <right style="thin">
          <color auto="1"/>
        </right>
        <vertical/>
        <horizontal/>
      </border>
    </dxf>
    <dxf>
      <border>
        <right style="thin">
          <color auto="1"/>
        </right>
        <vertical/>
        <horizontal/>
      </border>
    </dxf>
    <dxf>
      <border>
        <top style="thin">
          <color auto="1"/>
        </top>
        <vertical/>
        <horizontal/>
      </border>
    </dxf>
    <dxf>
      <fill>
        <patternFill>
          <bgColor theme="0"/>
        </patternFill>
      </fill>
    </dxf>
    <dxf>
      <border>
        <right style="thin">
          <color auto="1"/>
        </right>
        <vertical/>
        <horizontal/>
      </border>
    </dxf>
    <dxf>
      <border>
        <bottom style="thin">
          <color auto="1"/>
        </bottom>
        <vertical/>
        <horizontal/>
      </border>
    </dxf>
    <dxf>
      <fill>
        <patternFill>
          <bgColor theme="0"/>
        </patternFill>
      </fill>
    </dxf>
    <dxf>
      <fill>
        <patternFill>
          <bgColor theme="0"/>
        </patternFill>
      </fill>
    </dxf>
    <dxf>
      <border>
        <top style="thin">
          <color auto="1"/>
        </top>
        <vertical/>
        <horizontal/>
      </border>
    </dxf>
    <dxf>
      <border>
        <right style="thin">
          <color auto="1"/>
        </right>
        <vertical/>
        <horizontal/>
      </border>
    </dxf>
    <dxf>
      <font>
        <color theme="1"/>
      </font>
      <border>
        <bottom style="thin">
          <color auto="1"/>
        </bottom>
        <vertical/>
        <horizontal/>
      </border>
    </dxf>
    <dxf>
      <font>
        <color theme="1"/>
      </font>
      <border>
        <right style="thin">
          <color auto="1"/>
        </right>
        <vertical/>
        <horizontal/>
      </border>
    </dxf>
    <dxf>
      <fill>
        <patternFill>
          <bgColor theme="0"/>
        </patternFill>
      </fill>
    </dxf>
    <dxf>
      <border>
        <right style="thin">
          <color auto="1"/>
        </right>
        <vertical/>
        <horizontal/>
      </border>
    </dxf>
    <dxf>
      <fill>
        <patternFill>
          <bgColor theme="0"/>
        </patternFill>
      </fill>
    </dxf>
    <dxf>
      <border>
        <top style="thin">
          <color auto="1"/>
        </top>
        <vertical/>
        <horizontal/>
      </border>
    </dxf>
    <dxf>
      <fill>
        <patternFill>
          <bgColor theme="0"/>
        </patternFill>
      </fill>
    </dxf>
    <dxf>
      <border>
        <right style="thin">
          <color auto="1"/>
        </right>
        <vertical/>
        <horizontal/>
      </border>
    </dxf>
    <dxf>
      <border>
        <right style="thin">
          <color auto="1"/>
        </right>
        <vertical/>
        <horizontal/>
      </border>
    </dxf>
    <dxf>
      <fill>
        <patternFill>
          <bgColor theme="0"/>
        </patternFill>
      </fill>
    </dxf>
    <dxf>
      <border>
        <bottom style="thin">
          <color auto="1"/>
        </bottom>
        <vertical/>
        <horizontal/>
      </border>
    </dxf>
    <dxf>
      <border>
        <right style="thin">
          <color auto="1"/>
        </right>
        <vertical/>
        <horizontal/>
      </border>
    </dxf>
    <dxf>
      <fill>
        <patternFill>
          <bgColor theme="0"/>
        </patternFill>
      </fill>
    </dxf>
    <dxf>
      <border>
        <top style="thin">
          <color auto="1"/>
        </top>
        <vertical/>
        <horizontal/>
      </border>
    </dxf>
    <dxf>
      <border>
        <right style="thin">
          <color auto="1"/>
        </right>
        <vertical/>
        <horizontal/>
      </border>
    </dxf>
    <dxf>
      <font>
        <color theme="1"/>
      </font>
      <border>
        <bottom style="thin">
          <color auto="1"/>
        </bottom>
        <vertical/>
        <horizontal/>
      </border>
    </dxf>
    <dxf>
      <fill>
        <patternFill>
          <bgColor theme="0"/>
        </patternFill>
      </fill>
    </dxf>
    <dxf>
      <border>
        <right style="thin">
          <color auto="1"/>
        </right>
        <vertical/>
        <horizontal/>
      </border>
    </dxf>
    <dxf>
      <fill>
        <patternFill>
          <bgColor theme="0"/>
        </patternFill>
      </fill>
    </dxf>
    <dxf>
      <border>
        <right style="thin">
          <color auto="1"/>
        </right>
        <vertical/>
        <horizontal/>
      </border>
    </dxf>
    <dxf>
      <border>
        <top style="thin">
          <color auto="1"/>
        </top>
        <vertical/>
        <horizontal/>
      </border>
    </dxf>
    <dxf>
      <fill>
        <patternFill>
          <bgColor theme="0"/>
        </patternFill>
      </fill>
    </dxf>
    <dxf>
      <border>
        <right style="thin">
          <color auto="1"/>
        </right>
        <vertical/>
        <horizontal/>
      </border>
    </dxf>
    <dxf>
      <fill>
        <patternFill>
          <bgColor theme="0"/>
        </patternFill>
      </fill>
    </dxf>
    <dxf>
      <border>
        <bottom style="thin">
          <color auto="1"/>
        </bottom>
        <vertical/>
        <horizontal/>
      </border>
    </dxf>
    <dxf>
      <border>
        <right style="thin">
          <color auto="1"/>
        </right>
        <vertical/>
        <horizontal/>
      </border>
    </dxf>
    <dxf>
      <border>
        <top style="thin">
          <color auto="1"/>
        </top>
        <vertical/>
        <horizontal/>
      </border>
    </dxf>
    <dxf>
      <fill>
        <patternFill>
          <bgColor theme="0"/>
        </patternFill>
      </fill>
    </dxf>
    <dxf>
      <fill>
        <patternFill>
          <bgColor theme="0"/>
        </patternFill>
      </fill>
    </dxf>
    <dxf>
      <font>
        <color theme="1"/>
      </font>
      <border>
        <bottom style="thin">
          <color auto="1"/>
        </bottom>
        <vertical/>
        <horizontal/>
      </border>
    </dxf>
    <dxf>
      <border>
        <right style="thin">
          <color auto="1"/>
        </right>
        <vertical/>
        <horizontal/>
      </border>
    </dxf>
    <dxf>
      <fill>
        <patternFill>
          <bgColor theme="0"/>
        </patternFill>
      </fill>
    </dxf>
    <dxf>
      <border>
        <right style="thin">
          <color auto="1"/>
        </right>
        <vertical/>
        <horizontal/>
      </border>
    </dxf>
    <dxf>
      <border>
        <right style="thin">
          <color auto="1"/>
        </right>
        <vertical/>
        <horizontal/>
      </border>
    </dxf>
    <dxf>
      <fill>
        <patternFill>
          <bgColor theme="0"/>
        </patternFill>
      </fill>
    </dxf>
    <dxf>
      <border>
        <top style="thin">
          <color auto="1"/>
        </top>
      </border>
    </dxf>
    <dxf>
      <border>
        <right style="thin">
          <color auto="1"/>
        </right>
        <bottom/>
        <vertical/>
        <horizontal/>
      </border>
    </dxf>
    <dxf>
      <border>
        <bottom style="thin">
          <color auto="1"/>
        </bottom>
        <vertical/>
        <horizontal/>
      </border>
    </dxf>
    <dxf>
      <fill>
        <patternFill>
          <bgColor theme="0"/>
        </patternFill>
      </fill>
    </dxf>
    <dxf>
      <border>
        <right style="thin">
          <color auto="1"/>
        </right>
        <vertical/>
        <horizontal/>
      </border>
    </dxf>
    <dxf>
      <border>
        <top style="thin">
          <color auto="1"/>
        </top>
        <vertical/>
        <horizontal/>
      </border>
    </dxf>
    <dxf>
      <fill>
        <patternFill>
          <bgColor theme="0"/>
        </patternFill>
      </fill>
    </dxf>
    <dxf>
      <fill>
        <patternFill>
          <bgColor theme="0"/>
        </patternFill>
      </fill>
    </dxf>
    <dxf>
      <border>
        <right style="thin">
          <color auto="1"/>
        </right>
        <vertical/>
        <horizontal/>
      </border>
    </dxf>
    <dxf>
      <font>
        <color theme="1"/>
      </font>
      <border>
        <bottom style="thin">
          <color auto="1"/>
        </bottom>
        <vertical/>
        <horizontal/>
      </border>
    </dxf>
    <dxf>
      <border>
        <right style="thin">
          <color auto="1"/>
        </right>
        <vertical/>
        <horizontal/>
      </border>
    </dxf>
    <dxf>
      <fill>
        <patternFill>
          <bgColor theme="0"/>
        </patternFill>
      </fill>
    </dxf>
    <dxf>
      <border>
        <top style="thin">
          <color auto="1"/>
        </top>
        <bottom/>
        <vertical/>
        <horizontal/>
      </border>
    </dxf>
    <dxf>
      <fill>
        <patternFill>
          <bgColor theme="0"/>
        </patternFill>
      </fill>
    </dxf>
    <dxf>
      <border>
        <right style="thin">
          <color auto="1"/>
        </right>
        <vertical/>
        <horizontal/>
      </border>
    </dxf>
    <dxf>
      <border>
        <bottom style="thin">
          <color auto="1"/>
        </bottom>
        <vertical/>
        <horizontal/>
      </border>
    </dxf>
    <dxf>
      <fill>
        <patternFill>
          <bgColor theme="0"/>
        </patternFill>
      </fill>
    </dxf>
    <dxf>
      <border>
        <right style="thin">
          <color auto="1"/>
        </right>
        <vertical/>
        <horizontal/>
      </border>
    </dxf>
    <dxf>
      <border>
        <top style="thin">
          <color auto="1"/>
        </top>
        <vertical/>
        <horizontal/>
      </border>
    </dxf>
    <dxf>
      <fill>
        <patternFill>
          <bgColor theme="0"/>
        </patternFill>
      </fill>
    </dxf>
    <dxf>
      <border>
        <right style="thin">
          <color auto="1"/>
        </right>
        <vertical/>
        <horizontal/>
      </border>
    </dxf>
    <dxf>
      <fill>
        <patternFill>
          <bgColor theme="0"/>
        </patternFill>
      </fill>
    </dxf>
    <dxf>
      <border>
        <right style="thin">
          <color auto="1"/>
        </right>
        <vertical/>
        <horizontal/>
      </border>
    </dxf>
    <dxf>
      <font>
        <color theme="1"/>
      </font>
      <border>
        <bottom style="thin">
          <color auto="1"/>
        </bottom>
        <vertical/>
        <horizontal/>
      </border>
    </dxf>
    <dxf>
      <fill>
        <patternFill>
          <bgColor theme="0"/>
        </patternFill>
      </fill>
    </dxf>
    <dxf>
      <border>
        <right style="thin">
          <color auto="1"/>
        </right>
        <vertical/>
        <horizontal/>
      </border>
    </dxf>
    <dxf>
      <fill>
        <patternFill>
          <bgColor theme="0"/>
        </patternFill>
      </fill>
    </dxf>
    <dxf>
      <border>
        <top style="thin">
          <color auto="1"/>
        </top>
        <vertical/>
        <horizontal/>
      </border>
    </dxf>
    <dxf>
      <border>
        <right style="thin">
          <color auto="1"/>
        </right>
        <vertical/>
        <horizontal/>
      </border>
    </dxf>
    <dxf>
      <border>
        <right style="thin">
          <color auto="1"/>
        </right>
        <vertical/>
        <horizontal/>
      </border>
    </dxf>
    <dxf>
      <fill>
        <patternFill>
          <bgColor theme="0"/>
        </patternFill>
      </fill>
    </dxf>
    <dxf>
      <border>
        <bottom style="thin">
          <color auto="1"/>
        </bottom>
        <vertical/>
        <horizontal/>
      </border>
    </dxf>
    <dxf>
      <fill>
        <patternFill>
          <bgColor theme="0"/>
        </patternFill>
      </fill>
    </dxf>
    <dxf>
      <border>
        <right style="thin">
          <color auto="1"/>
        </right>
        <vertical/>
        <horizontal/>
      </border>
    </dxf>
    <dxf>
      <border>
        <top style="thin">
          <color auto="1"/>
        </top>
        <vertical/>
        <horizontal/>
      </border>
    </dxf>
    <dxf>
      <fill>
        <patternFill>
          <bgColor theme="0"/>
        </patternFill>
      </fill>
    </dxf>
    <dxf>
      <font>
        <color theme="1"/>
      </font>
      <border>
        <top/>
        <bottom style="thin">
          <color auto="1"/>
        </bottom>
        <vertical/>
        <horizontal/>
      </border>
    </dxf>
    <dxf>
      <border>
        <right style="thin">
          <color auto="1"/>
        </right>
        <vertical/>
        <horizontal/>
      </border>
    </dxf>
    <dxf>
      <fill>
        <patternFill>
          <bgColor theme="0"/>
        </patternFill>
      </fill>
    </dxf>
    <dxf>
      <border>
        <right style="thin">
          <color auto="1"/>
        </right>
        <vertical/>
        <horizontal/>
      </border>
    </dxf>
    <dxf>
      <fill>
        <patternFill>
          <bgColor theme="0"/>
        </patternFill>
      </fill>
    </dxf>
    <dxf>
      <border>
        <right style="thin">
          <color auto="1"/>
        </right>
        <vertical/>
        <horizontal/>
      </border>
    </dxf>
    <dxf>
      <border>
        <top style="thin">
          <color auto="1"/>
        </top>
      </border>
    </dxf>
    <dxf>
      <border>
        <right style="thin">
          <color auto="1"/>
        </right>
        <vertical/>
        <horizontal/>
      </border>
    </dxf>
    <dxf>
      <fill>
        <patternFill>
          <bgColor theme="0"/>
        </patternFill>
      </fill>
    </dxf>
    <dxf>
      <border>
        <bottom style="thin">
          <color auto="1"/>
        </bottom>
        <vertical/>
        <horizontal/>
      </border>
    </dxf>
    <dxf>
      <border>
        <right style="thin">
          <color auto="1"/>
        </right>
        <vertical/>
        <horizontal/>
      </border>
    </dxf>
    <dxf>
      <fill>
        <patternFill>
          <bgColor theme="0"/>
        </patternFill>
      </fill>
    </dxf>
    <dxf>
      <border>
        <top style="thin">
          <color auto="1"/>
        </top>
        <vertical/>
        <horizontal/>
      </border>
    </dxf>
    <dxf>
      <border>
        <right style="thin">
          <color auto="1"/>
        </right>
      </border>
    </dxf>
    <dxf>
      <fill>
        <patternFill>
          <bgColor theme="0"/>
        </patternFill>
      </fill>
    </dxf>
    <dxf>
      <font>
        <color theme="1"/>
      </font>
      <border>
        <bottom style="thin">
          <color auto="1"/>
        </bottom>
      </border>
    </dxf>
    <dxf>
      <fill>
        <patternFill>
          <bgColor theme="0"/>
        </patternFill>
      </fill>
    </dxf>
    <dxf>
      <border>
        <right style="thin">
          <color auto="1"/>
        </right>
        <vertical/>
        <horizontal/>
      </border>
    </dxf>
    <dxf>
      <border>
        <right style="thin">
          <color auto="1"/>
        </right>
        <vertical/>
        <horizontal/>
      </border>
    </dxf>
    <dxf>
      <fill>
        <patternFill>
          <bgColor theme="0"/>
        </patternFill>
      </fill>
    </dxf>
    <dxf>
      <border>
        <top style="thin">
          <color auto="1"/>
        </top>
        <vertical/>
        <horizontal/>
      </border>
    </dxf>
    <dxf>
      <border>
        <right style="thin">
          <color auto="1"/>
        </right>
        <vertical/>
        <horizontal/>
      </border>
    </dxf>
    <dxf>
      <border>
        <bottom style="thin">
          <color auto="1"/>
        </bottom>
        <vertical/>
        <horizontal/>
      </border>
    </dxf>
    <dxf>
      <fill>
        <patternFill>
          <bgColor theme="0"/>
        </patternFill>
      </fill>
      <border>
        <bottom/>
        <vertical/>
        <horizontal/>
      </border>
    </dxf>
    <dxf>
      <border>
        <right style="thin">
          <color auto="1"/>
        </right>
        <vertical/>
        <horizontal/>
      </border>
    </dxf>
    <dxf>
      <fill>
        <patternFill>
          <bgColor theme="0"/>
        </patternFill>
      </fill>
    </dxf>
    <dxf>
      <border>
        <top style="thin">
          <color auto="1"/>
        </top>
        <vertical/>
        <horizontal/>
      </border>
    </dxf>
    <dxf>
      <font>
        <color theme="1"/>
      </font>
      <border>
        <bottom style="thin">
          <color auto="1"/>
        </bottom>
        <vertical/>
        <horizontal/>
      </border>
    </dxf>
    <dxf>
      <fill>
        <patternFill>
          <bgColor theme="0"/>
        </patternFill>
      </fill>
    </dxf>
    <dxf>
      <border>
        <right style="thin">
          <color auto="1"/>
        </right>
        <vertical/>
        <horizontal/>
      </border>
    </dxf>
    <dxf>
      <fill>
        <patternFill>
          <bgColor theme="0"/>
        </patternFill>
      </fill>
    </dxf>
    <dxf>
      <border>
        <right style="thin">
          <color auto="1"/>
        </right>
        <vertical/>
        <horizontal/>
      </border>
    </dxf>
    <dxf>
      <border>
        <top style="thin">
          <color auto="1"/>
        </top>
        <vertical/>
        <horizontal/>
      </border>
    </dxf>
    <dxf>
      <fill>
        <patternFill>
          <bgColor theme="0"/>
        </patternFill>
      </fill>
    </dxf>
    <dxf>
      <border>
        <right style="thin">
          <color auto="1"/>
        </right>
        <vertical/>
        <horizontal/>
      </border>
    </dxf>
    <dxf>
      <fill>
        <patternFill>
          <bgColor theme="0"/>
        </patternFill>
      </fill>
    </dxf>
    <dxf>
      <border>
        <top/>
        <bottom style="thin">
          <color auto="1"/>
        </bottom>
        <vertical/>
        <horizontal/>
      </border>
    </dxf>
    <dxf>
      <fill>
        <patternFill>
          <bgColor theme="0"/>
        </patternFill>
      </fill>
    </dxf>
    <dxf>
      <border>
        <top style="thin">
          <color auto="1"/>
        </top>
        <vertical/>
        <horizontal/>
      </border>
    </dxf>
    <dxf>
      <border>
        <right style="thin">
          <color auto="1"/>
        </right>
        <vertical/>
        <horizontal/>
      </border>
    </dxf>
    <dxf>
      <font>
        <color theme="1"/>
      </font>
      <border>
        <bottom style="thin">
          <color auto="1"/>
        </bottom>
        <vertical/>
        <horizontal/>
      </border>
    </dxf>
    <dxf>
      <fill>
        <patternFill>
          <bgColor theme="0"/>
        </patternFill>
      </fill>
    </dxf>
    <dxf>
      <border>
        <right style="thin">
          <color auto="1"/>
        </right>
        <vertical/>
        <horizontal/>
      </border>
    </dxf>
    <dxf>
      <fill>
        <patternFill>
          <bgColor theme="0"/>
        </patternFill>
      </fill>
    </dxf>
    <dxf>
      <fill>
        <patternFill>
          <bgColor theme="0"/>
        </patternFill>
      </fill>
    </dxf>
    <dxf>
      <border>
        <right style="thin">
          <color auto="1"/>
        </right>
        <vertical/>
        <horizontal/>
      </border>
    </dxf>
    <dxf>
      <border>
        <right style="thin">
          <color auto="1"/>
        </right>
        <vertical/>
        <horizontal/>
      </border>
    </dxf>
    <dxf>
      <fill>
        <patternFill>
          <bgColor theme="0"/>
        </patternFill>
      </fill>
    </dxf>
    <dxf>
      <border>
        <top style="thin">
          <color auto="1"/>
        </top>
        <vertical/>
        <horizontal/>
      </border>
    </dxf>
    <dxf>
      <fill>
        <patternFill>
          <bgColor theme="0"/>
        </patternFill>
      </fill>
    </dxf>
    <dxf>
      <border>
        <right style="thin">
          <color auto="1"/>
        </right>
        <vertical/>
        <horizontal/>
      </border>
    </dxf>
    <dxf>
      <border>
        <bottom style="thin">
          <color auto="1"/>
        </bottom>
        <vertical/>
        <horizontal/>
      </border>
    </dxf>
    <dxf>
      <border>
        <top style="thin">
          <color auto="1"/>
        </top>
        <vertical/>
        <horizontal/>
      </border>
    </dxf>
    <dxf>
      <fill>
        <patternFill>
          <bgColor theme="0"/>
        </patternFill>
      </fill>
    </dxf>
    <dxf>
      <border>
        <right style="thin">
          <color auto="1"/>
        </right>
        <vertical/>
        <horizontal/>
      </border>
    </dxf>
    <dxf>
      <font>
        <color theme="1"/>
      </font>
      <fill>
        <patternFill>
          <bgColor theme="0"/>
        </patternFill>
      </fill>
      <border>
        <left/>
        <right/>
        <top/>
        <bottom/>
      </border>
    </dxf>
    <dxf>
      <border>
        <right style="thin">
          <color auto="1"/>
        </right>
        <vertical/>
        <horizontal/>
      </border>
    </dxf>
    <dxf>
      <border>
        <bottom style="thin">
          <color auto="1"/>
        </bottom>
        <vertical/>
        <horizontal/>
      </border>
    </dxf>
    <dxf>
      <fill>
        <patternFill>
          <bgColor theme="0"/>
        </patternFill>
      </fill>
    </dxf>
    <dxf>
      <border>
        <right style="thin">
          <color auto="1"/>
        </right>
        <vertical/>
        <horizontal/>
      </border>
    </dxf>
    <dxf>
      <border>
        <right style="thin">
          <color auto="1"/>
        </right>
        <vertical/>
        <horizontal/>
      </border>
    </dxf>
    <dxf>
      <fill>
        <patternFill>
          <bgColor rgb="FFB7DEE8"/>
        </patternFill>
      </fill>
      <border>
        <left/>
        <right/>
        <top style="thin">
          <color indexed="64"/>
        </top>
        <bottom/>
      </border>
    </dxf>
    <dxf>
      <fill>
        <patternFill>
          <bgColor theme="0"/>
        </patternFill>
      </fill>
    </dxf>
    <dxf>
      <border>
        <right style="thin">
          <color auto="1"/>
        </right>
        <vertical/>
        <horizontal/>
      </border>
    </dxf>
    <dxf>
      <border>
        <bottom style="thin">
          <color auto="1"/>
        </bottom>
        <vertical/>
        <horizontal/>
      </border>
    </dxf>
    <dxf>
      <fill>
        <patternFill>
          <bgColor theme="0"/>
        </patternFill>
      </fill>
    </dxf>
    <dxf>
      <border>
        <right style="thin">
          <color auto="1"/>
        </right>
        <vertical/>
        <horizontal/>
      </border>
    </dxf>
    <dxf>
      <fill>
        <patternFill>
          <bgColor theme="0"/>
        </patternFill>
      </fill>
    </dxf>
    <dxf>
      <border>
        <top style="thin">
          <color auto="1"/>
        </top>
        <vertical/>
        <horizontal/>
      </border>
    </dxf>
    <dxf>
      <border>
        <right style="thin">
          <color auto="1"/>
        </right>
        <vertical/>
        <horizontal/>
      </border>
    </dxf>
    <dxf>
      <font>
        <color theme="1"/>
      </font>
      <fill>
        <patternFill>
          <bgColor theme="0"/>
        </patternFill>
      </fill>
      <border>
        <bottom style="thin">
          <color auto="1"/>
        </bottom>
        <vertical/>
        <horizontal/>
      </border>
    </dxf>
    <dxf>
      <border>
        <right style="thin">
          <color auto="1"/>
        </right>
        <vertical/>
        <horizontal/>
      </border>
    </dxf>
    <dxf>
      <font>
        <color theme="1"/>
      </font>
      <fill>
        <patternFill>
          <bgColor theme="0"/>
        </patternFill>
      </fill>
    </dxf>
    <dxf>
      <border>
        <right style="thin">
          <color auto="1"/>
        </right>
        <vertical/>
        <horizontal/>
      </border>
    </dxf>
    <dxf>
      <font>
        <color theme="1"/>
      </font>
      <fill>
        <patternFill>
          <bgColor theme="0"/>
        </patternFill>
      </fill>
      <border>
        <top style="thin">
          <color auto="1"/>
        </top>
        <vertical/>
        <horizontal/>
      </border>
    </dxf>
    <dxf>
      <font>
        <color theme="1"/>
      </font>
      <fill>
        <patternFill>
          <bgColor theme="0"/>
        </patternFill>
      </fill>
      <border>
        <bottom style="thin">
          <color auto="1"/>
        </bottom>
        <vertical/>
        <horizontal/>
      </border>
    </dxf>
    <dxf>
      <border>
        <right style="thin">
          <color auto="1"/>
        </right>
        <vertical/>
        <horizontal/>
      </border>
    </dxf>
    <dxf>
      <border>
        <right style="thin">
          <color auto="1"/>
        </right>
        <vertical/>
        <horizontal/>
      </border>
    </dxf>
    <dxf>
      <font>
        <color theme="1"/>
      </font>
      <fill>
        <patternFill>
          <bgColor theme="0"/>
        </patternFill>
      </fill>
      <border>
        <top style="thin">
          <color auto="1"/>
        </top>
        <vertical/>
        <horizontal/>
      </border>
    </dxf>
    <dxf>
      <font>
        <color theme="1"/>
      </font>
      <fill>
        <patternFill>
          <bgColor theme="0"/>
        </patternFill>
      </fill>
      <border>
        <bottom style="thin">
          <color auto="1"/>
        </bottom>
        <vertical/>
        <horizontal/>
      </border>
    </dxf>
    <dxf>
      <font>
        <color theme="1"/>
      </font>
      <fill>
        <patternFill>
          <bgColor theme="0"/>
        </patternFill>
      </fill>
    </dxf>
    <dxf>
      <border>
        <right style="thin">
          <color auto="1"/>
        </right>
        <vertical/>
        <horizontal/>
      </border>
    </dxf>
    <dxf>
      <font>
        <color theme="1"/>
      </font>
      <fill>
        <patternFill>
          <bgColor theme="0"/>
        </patternFill>
      </fill>
      <border>
        <top style="thin">
          <color auto="1"/>
        </top>
        <vertical/>
        <horizontal/>
      </border>
    </dxf>
    <dxf>
      <font>
        <color theme="1"/>
      </font>
      <fill>
        <patternFill>
          <bgColor theme="0"/>
        </patternFill>
      </fill>
      <border>
        <bottom style="thin">
          <color auto="1"/>
        </bottom>
        <vertical/>
        <horizontal/>
      </border>
    </dxf>
    <dxf>
      <border>
        <right style="thin">
          <color auto="1"/>
        </right>
        <vertical/>
        <horizontal/>
      </border>
    </dxf>
    <dxf>
      <font>
        <color theme="1"/>
      </font>
      <fill>
        <patternFill>
          <bgColor theme="0"/>
        </patternFill>
      </fill>
      <border>
        <top style="thin">
          <color auto="1"/>
        </top>
        <vertical/>
        <horizontal/>
      </border>
    </dxf>
    <dxf>
      <font>
        <color theme="1"/>
      </font>
      <fill>
        <patternFill>
          <bgColor theme="0"/>
        </patternFill>
      </fill>
      <border>
        <top/>
        <bottom style="thin">
          <color auto="1"/>
        </bottom>
        <vertical/>
        <horizontal/>
      </border>
    </dxf>
    <dxf>
      <font>
        <color theme="1"/>
      </font>
      <fill>
        <patternFill>
          <bgColor theme="0"/>
        </patternFill>
      </fill>
    </dxf>
    <dxf>
      <border>
        <right style="thin">
          <color auto="1"/>
        </right>
        <vertical/>
        <horizontal/>
      </border>
    </dxf>
    <dxf>
      <font>
        <color theme="1"/>
      </font>
      <fill>
        <patternFill>
          <bgColor theme="0"/>
        </patternFill>
      </fill>
      <border>
        <top style="thin">
          <color auto="1"/>
        </top>
        <vertical/>
        <horizontal/>
      </border>
    </dxf>
    <dxf>
      <font>
        <color theme="1"/>
      </font>
      <fill>
        <patternFill>
          <bgColor theme="0"/>
        </patternFill>
      </fill>
      <border>
        <bottom style="thin">
          <color auto="1"/>
        </bottom>
        <vertical/>
        <horizontal/>
      </border>
    </dxf>
    <dxf>
      <border>
        <right style="thin">
          <color auto="1"/>
        </right>
        <vertical/>
        <horizontal/>
      </border>
    </dxf>
    <dxf>
      <font>
        <color auto="1"/>
      </font>
      <fill>
        <patternFill>
          <bgColor theme="0"/>
        </patternFill>
      </fill>
      <border>
        <top style="thin">
          <color auto="1"/>
        </top>
        <vertical/>
        <horizontal/>
      </border>
    </dxf>
    <dxf>
      <border>
        <right style="thin">
          <color auto="1"/>
        </right>
        <vertical/>
        <horizontal/>
      </border>
    </dxf>
    <dxf>
      <border>
        <right style="thin">
          <color auto="1"/>
        </right>
        <vertical/>
        <horizontal/>
      </border>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theme="0"/>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border>
        <left style="thin">
          <color indexed="64"/>
        </left>
        <right style="thin">
          <color indexed="64"/>
        </right>
        <top style="thin">
          <color indexed="64"/>
        </top>
      </border>
    </dxf>
    <dxf>
      <border>
        <left style="thin">
          <color indexed="64"/>
        </left>
        <right style="thin">
          <color indexed="64"/>
        </right>
        <top style="thin">
          <color indexed="64"/>
        </top>
      </border>
    </dxf>
    <dxf>
      <fill>
        <patternFill>
          <bgColor rgb="FFB7DEE8"/>
        </patternFill>
      </fill>
    </dxf>
    <dxf>
      <fill>
        <patternFill>
          <bgColor rgb="FFB7DEE8"/>
        </patternFill>
      </fill>
    </dxf>
    <dxf>
      <fill>
        <patternFill>
          <bgColor theme="0"/>
        </patternFill>
      </fill>
    </dxf>
    <dxf>
      <fill>
        <patternFill>
          <bgColor rgb="FFB7DEE8"/>
        </patternFill>
      </fill>
    </dxf>
    <dxf>
      <border>
        <left style="thin">
          <color indexed="64"/>
        </left>
        <right style="thin">
          <color indexed="64"/>
        </right>
        <top/>
        <bottom style="thin">
          <color indexed="64"/>
        </bottom>
      </border>
    </dxf>
    <dxf>
      <fill>
        <patternFill>
          <bgColor rgb="FFB7DEE8"/>
        </patternFill>
      </fill>
    </dxf>
    <dxf>
      <fill>
        <patternFill>
          <bgColor rgb="FFB7DEE8"/>
        </patternFill>
      </fill>
    </dxf>
    <dxf>
      <border>
        <left style="thin">
          <color auto="1"/>
        </left>
        <right style="thin">
          <color auto="1"/>
        </right>
        <bottom style="thin">
          <color auto="1"/>
        </bottom>
        <vertical/>
        <horizontal/>
      </border>
    </dxf>
    <dxf>
      <fill>
        <patternFill>
          <bgColor theme="0"/>
        </patternFill>
      </fill>
    </dxf>
    <dxf>
      <border>
        <left style="thin">
          <color indexed="64"/>
        </left>
        <right style="thin">
          <color indexed="64"/>
        </right>
        <top/>
        <bottom style="thin">
          <color indexed="64"/>
        </bottom>
      </border>
    </dxf>
    <dxf>
      <fill>
        <patternFill>
          <bgColor rgb="FFB7DEE8"/>
        </patternFill>
      </fill>
    </dxf>
    <dxf>
      <fill>
        <patternFill>
          <bgColor rgb="FFB7DEE8"/>
        </patternFill>
      </fill>
    </dxf>
    <dxf>
      <fill>
        <patternFill>
          <bgColor rgb="FFB7DEE8"/>
        </patternFill>
      </fill>
    </dxf>
    <dxf>
      <fill>
        <patternFill patternType="solid">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
      <fill>
        <patternFill>
          <bgColor rgb="FFB7DEE8"/>
        </patternFill>
      </fill>
    </dxf>
  </dxfs>
  <tableStyles count="0" defaultTableStyle="TableStyleMedium2" defaultPivotStyle="PivotStyleLight16"/>
  <colors>
    <mruColors>
      <color rgb="FFB7DEE8"/>
      <color rgb="FFFFC000"/>
      <color rgb="FFFFFFFF"/>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List" dx="22" fmlaLink="Hulpblad_overig!$B$17" fmlaRange="Hulpblad_overig!$A$14:$A$16" sel="1" val="0"/>
</file>

<file path=xl/ctrlProps/ctrlProp10.xml><?xml version="1.0" encoding="utf-8"?>
<formControlPr xmlns="http://schemas.microsoft.com/office/spreadsheetml/2009/9/main" objectType="List" dx="22" fmlaLink="Hulpblad_overig!$C$39" fmlaRange="Hulpblad_overig!$C$34:$C$35" sel="1" val="0"/>
</file>

<file path=xl/ctrlProps/ctrlProp11.xml><?xml version="1.0" encoding="utf-8"?>
<formControlPr xmlns="http://schemas.microsoft.com/office/spreadsheetml/2009/9/main" objectType="List" dx="22" fmlaLink="Hulpblad_overig!$B$11" fmlaRange="Hulpblad_overig!$D$34:$D$35" sel="1" val="0"/>
</file>

<file path=xl/ctrlProps/ctrlProp12.xml><?xml version="1.0" encoding="utf-8"?>
<formControlPr xmlns="http://schemas.microsoft.com/office/spreadsheetml/2009/9/main" objectType="List" dx="22" fmlaLink="Hulpblad_overig!$A$32" fmlaRange="Hulpblad_overig!$A$30:$A$31" sel="1" val="0"/>
</file>

<file path=xl/ctrlProps/ctrlProp2.xml><?xml version="1.0" encoding="utf-8"?>
<formControlPr xmlns="http://schemas.microsoft.com/office/spreadsheetml/2009/9/main" objectType="List" dx="22" fmlaLink="Hulpblad_overig!$B$22" fmlaRange="Hulpblad_overig!$B$19:$BB$20" sel="2" val="0"/>
</file>

<file path=xl/ctrlProps/ctrlProp3.xml><?xml version="1.0" encoding="utf-8"?>
<formControlPr xmlns="http://schemas.microsoft.com/office/spreadsheetml/2009/9/main" objectType="List" dx="22" fmlaLink="Hulpblad_overig!$B$4" fmlaRange="Hulpblad_overig!$A$34:$A$35" sel="1" val="0"/>
</file>

<file path=xl/ctrlProps/ctrlProp4.xml><?xml version="1.0" encoding="utf-8"?>
<formControlPr xmlns="http://schemas.microsoft.com/office/spreadsheetml/2009/9/main" objectType="List" dx="22" fmlaLink="Hulpblad_overig!$B$8" fmlaRange="Hulpblad_overig!$A$7:$A$8" sel="1" val="0"/>
</file>

<file path=xl/ctrlProps/ctrlProp5.xml><?xml version="1.0" encoding="utf-8"?>
<formControlPr xmlns="http://schemas.microsoft.com/office/spreadsheetml/2009/9/main" objectType="List" dx="22" fmlaLink="Hulpblad_overig!$B$237" fmlaRange="Hulpblad_overig!$B$234:$B$236" sel="1" val="0"/>
</file>

<file path=xl/ctrlProps/ctrlProp6.xml><?xml version="1.0" encoding="utf-8"?>
<formControlPr xmlns="http://schemas.microsoft.com/office/spreadsheetml/2009/9/main" objectType="List" dx="22" fmlaLink="Hulpblad_categorieën_parameters!$B$7" fmlaRange="Hulpblad_categorieën_parameters!$B$2:$B$6" sel="1" val="0"/>
</file>

<file path=xl/ctrlProps/ctrlProp7.xml><?xml version="1.0" encoding="utf-8"?>
<formControlPr xmlns="http://schemas.microsoft.com/office/spreadsheetml/2009/9/main" objectType="List" dx="22" fmlaLink="Hulpblad_categorieën_parameters!$C$29" fmlaRange="Hulpblad_categorieën_parameters!$C$16:$C$28" sel="2" val="0"/>
</file>

<file path=xl/ctrlProps/ctrlProp8.xml><?xml version="1.0" encoding="utf-8"?>
<formControlPr xmlns="http://schemas.microsoft.com/office/spreadsheetml/2009/9/main" objectType="List" dx="22" fmlaLink="Hulpblad_categorieën_parameters!$C$82" fmlaRange="Hulpblad_categorieën_parameters!$C$60:$C$81" sel="1" val="0"/>
</file>

<file path=xl/ctrlProps/ctrlProp9.xml><?xml version="1.0" encoding="utf-8"?>
<formControlPr xmlns="http://schemas.microsoft.com/office/spreadsheetml/2009/9/main" objectType="List" dx="22" fmlaLink="Hulpblad_overig!$B$39" fmlaRange="Hulpblad_overig!$B$34:$B$35"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3867151</xdr:colOff>
      <xdr:row>0</xdr:row>
      <xdr:rowOff>0</xdr:rowOff>
    </xdr:from>
    <xdr:to>
      <xdr:col>0</xdr:col>
      <xdr:colOff>6762751</xdr:colOff>
      <xdr:row>0</xdr:row>
      <xdr:rowOff>1478604</xdr:rowOff>
    </xdr:to>
    <xdr:pic>
      <xdr:nvPicPr>
        <xdr:cNvPr id="2" name="Afbeelding 1" descr="logo rijksdienst voor ondernemend nederland">
          <a:extLst>
            <a:ext uri="{FF2B5EF4-FFF2-40B4-BE49-F238E27FC236}">
              <a16:creationId xmlns:a16="http://schemas.microsoft.com/office/drawing/2014/main" id="{C495A515-D5B4-9BCB-1810-74260D182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67151" y="0"/>
          <a:ext cx="2895600" cy="1478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14</xdr:row>
          <xdr:rowOff>31750</xdr:rowOff>
        </xdr:from>
        <xdr:to>
          <xdr:col>5</xdr:col>
          <xdr:colOff>25400</xdr:colOff>
          <xdr:row>16</xdr:row>
          <xdr:rowOff>146050</xdr:rowOff>
        </xdr:to>
        <xdr:sp macro="" textlink="">
          <xdr:nvSpPr>
            <xdr:cNvPr id="2049" name="List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698500</xdr:colOff>
          <xdr:row>51</xdr:row>
          <xdr:rowOff>50800</xdr:rowOff>
        </xdr:from>
        <xdr:to>
          <xdr:col>7</xdr:col>
          <xdr:colOff>25400</xdr:colOff>
          <xdr:row>53</xdr:row>
          <xdr:rowOff>31750</xdr:rowOff>
        </xdr:to>
        <xdr:sp macro="" textlink="">
          <xdr:nvSpPr>
            <xdr:cNvPr id="2050" name="List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1365250</xdr:colOff>
          <xdr:row>7</xdr:row>
          <xdr:rowOff>31750</xdr:rowOff>
        </xdr:from>
        <xdr:to>
          <xdr:col>5</xdr:col>
          <xdr:colOff>0</xdr:colOff>
          <xdr:row>7</xdr:row>
          <xdr:rowOff>330200</xdr:rowOff>
        </xdr:to>
        <xdr:sp macro="" textlink="">
          <xdr:nvSpPr>
            <xdr:cNvPr id="2051" name="List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1358900</xdr:colOff>
          <xdr:row>8</xdr:row>
          <xdr:rowOff>31750</xdr:rowOff>
        </xdr:from>
        <xdr:to>
          <xdr:col>5</xdr:col>
          <xdr:colOff>0</xdr:colOff>
          <xdr:row>8</xdr:row>
          <xdr:rowOff>330200</xdr:rowOff>
        </xdr:to>
        <xdr:sp macro="" textlink="">
          <xdr:nvSpPr>
            <xdr:cNvPr id="2052" name="List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3683000</xdr:colOff>
          <xdr:row>28</xdr:row>
          <xdr:rowOff>31750</xdr:rowOff>
        </xdr:from>
        <xdr:to>
          <xdr:col>5</xdr:col>
          <xdr:colOff>12700</xdr:colOff>
          <xdr:row>29</xdr:row>
          <xdr:rowOff>298450</xdr:rowOff>
        </xdr:to>
        <xdr:sp macro="" textlink="">
          <xdr:nvSpPr>
            <xdr:cNvPr id="3073" name="List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38100</xdr:rowOff>
        </xdr:from>
        <xdr:to>
          <xdr:col>5</xdr:col>
          <xdr:colOff>0</xdr:colOff>
          <xdr:row>7</xdr:row>
          <xdr:rowOff>800100</xdr:rowOff>
        </xdr:to>
        <xdr:sp macro="" textlink="">
          <xdr:nvSpPr>
            <xdr:cNvPr id="3074" name="List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12700</xdr:colOff>
          <xdr:row>8</xdr:row>
          <xdr:rowOff>50800</xdr:rowOff>
        </xdr:from>
        <xdr:to>
          <xdr:col>5</xdr:col>
          <xdr:colOff>0</xdr:colOff>
          <xdr:row>8</xdr:row>
          <xdr:rowOff>1778000</xdr:rowOff>
        </xdr:to>
        <xdr:sp macro="" textlink="">
          <xdr:nvSpPr>
            <xdr:cNvPr id="3075" name="List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12700</xdr:colOff>
          <xdr:row>9</xdr:row>
          <xdr:rowOff>25400</xdr:rowOff>
        </xdr:from>
        <xdr:to>
          <xdr:col>5</xdr:col>
          <xdr:colOff>12700</xdr:colOff>
          <xdr:row>9</xdr:row>
          <xdr:rowOff>2908300</xdr:rowOff>
        </xdr:to>
        <xdr:sp macro="" textlink="">
          <xdr:nvSpPr>
            <xdr:cNvPr id="3076" name="List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69850</xdr:colOff>
          <xdr:row>39</xdr:row>
          <xdr:rowOff>260350</xdr:rowOff>
        </xdr:from>
        <xdr:to>
          <xdr:col>5</xdr:col>
          <xdr:colOff>12700</xdr:colOff>
          <xdr:row>40</xdr:row>
          <xdr:rowOff>304800</xdr:rowOff>
        </xdr:to>
        <xdr:sp macro="" textlink="">
          <xdr:nvSpPr>
            <xdr:cNvPr id="3077" name="List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63500</xdr:colOff>
          <xdr:row>45</xdr:row>
          <xdr:rowOff>101600</xdr:rowOff>
        </xdr:from>
        <xdr:to>
          <xdr:col>5</xdr:col>
          <xdr:colOff>0</xdr:colOff>
          <xdr:row>45</xdr:row>
          <xdr:rowOff>393700</xdr:rowOff>
        </xdr:to>
        <xdr:sp macro="" textlink="">
          <xdr:nvSpPr>
            <xdr:cNvPr id="3078" name="List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3708400</xdr:colOff>
          <xdr:row>13</xdr:row>
          <xdr:rowOff>25400</xdr:rowOff>
        </xdr:from>
        <xdr:to>
          <xdr:col>3</xdr:col>
          <xdr:colOff>558800</xdr:colOff>
          <xdr:row>14</xdr:row>
          <xdr:rowOff>146050</xdr:rowOff>
        </xdr:to>
        <xdr:sp macro="" textlink="">
          <xdr:nvSpPr>
            <xdr:cNvPr id="3079" name="List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25400</xdr:colOff>
          <xdr:row>32</xdr:row>
          <xdr:rowOff>152400</xdr:rowOff>
        </xdr:from>
        <xdr:to>
          <xdr:col>10</xdr:col>
          <xdr:colOff>12700</xdr:colOff>
          <xdr:row>34</xdr:row>
          <xdr:rowOff>127000</xdr:rowOff>
        </xdr:to>
        <xdr:sp macro="" textlink="">
          <xdr:nvSpPr>
            <xdr:cNvPr id="4097" name="List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rvo.nl/subsidies-financiering/sde/aanvragen/downloads" TargetMode="External"/></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7.xml"/><Relationship Id="rId11" Type="http://schemas.openxmlformats.org/officeDocument/2006/relationships/comments" Target="../comments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ctrlProp" Target="../ctrlProps/ctrlProp1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F04D3-B234-46C3-A498-46CC0E2CA5A8}">
  <dimension ref="A1:WVI34"/>
  <sheetViews>
    <sheetView tabSelected="1" zoomScaleNormal="100" workbookViewId="0">
      <selection activeCell="B34" sqref="B34"/>
    </sheetView>
  </sheetViews>
  <sheetFormatPr defaultColWidth="0" defaultRowHeight="14.5" zeroHeight="1" x14ac:dyDescent="0.35"/>
  <cols>
    <col min="1" max="1" width="123.81640625" style="2" customWidth="1"/>
    <col min="2" max="2" width="9.1796875" style="2" customWidth="1"/>
    <col min="3" max="256" width="9.1796875" style="2" hidden="1"/>
    <col min="257" max="257" width="123.81640625" style="2" hidden="1"/>
    <col min="258" max="512" width="9.1796875" style="2" hidden="1"/>
    <col min="513" max="513" width="123.81640625" style="2" hidden="1"/>
    <col min="514" max="768" width="9.1796875" style="2" hidden="1"/>
    <col min="769" max="769" width="123.81640625" style="2" hidden="1"/>
    <col min="770" max="1024" width="9.1796875" style="2" hidden="1"/>
    <col min="1025" max="1025" width="123.81640625" style="2" hidden="1"/>
    <col min="1026" max="1280" width="9.1796875" style="2" hidden="1"/>
    <col min="1281" max="1281" width="123.81640625" style="2" hidden="1"/>
    <col min="1282" max="1536" width="9.1796875" style="2" hidden="1"/>
    <col min="1537" max="1537" width="123.81640625" style="2" hidden="1"/>
    <col min="1538" max="1792" width="9.1796875" style="2" hidden="1"/>
    <col min="1793" max="1793" width="123.81640625" style="2" hidden="1"/>
    <col min="1794" max="2048" width="9.1796875" style="2" hidden="1"/>
    <col min="2049" max="2049" width="123.81640625" style="2" hidden="1"/>
    <col min="2050" max="2304" width="9.1796875" style="2" hidden="1"/>
    <col min="2305" max="2305" width="123.81640625" style="2" hidden="1"/>
    <col min="2306" max="2560" width="9.1796875" style="2" hidden="1"/>
    <col min="2561" max="2561" width="123.81640625" style="2" hidden="1"/>
    <col min="2562" max="2816" width="9.1796875" style="2" hidden="1"/>
    <col min="2817" max="2817" width="123.81640625" style="2" hidden="1"/>
    <col min="2818" max="3072" width="9.1796875" style="2" hidden="1"/>
    <col min="3073" max="3073" width="123.81640625" style="2" hidden="1"/>
    <col min="3074" max="3328" width="9.1796875" style="2" hidden="1"/>
    <col min="3329" max="3329" width="123.81640625" style="2" hidden="1"/>
    <col min="3330" max="3584" width="9.1796875" style="2" hidden="1"/>
    <col min="3585" max="3585" width="123.81640625" style="2" hidden="1"/>
    <col min="3586" max="3840" width="9.1796875" style="2" hidden="1"/>
    <col min="3841" max="3841" width="123.81640625" style="2" hidden="1"/>
    <col min="3842" max="4096" width="9.1796875" style="2" hidden="1"/>
    <col min="4097" max="4097" width="123.81640625" style="2" hidden="1"/>
    <col min="4098" max="4352" width="9.1796875" style="2" hidden="1"/>
    <col min="4353" max="4353" width="123.81640625" style="2" hidden="1"/>
    <col min="4354" max="4608" width="9.1796875" style="2" hidden="1"/>
    <col min="4609" max="4609" width="123.81640625" style="2" hidden="1"/>
    <col min="4610" max="4864" width="9.1796875" style="2" hidden="1"/>
    <col min="4865" max="4865" width="123.81640625" style="2" hidden="1"/>
    <col min="4866" max="5120" width="9.1796875" style="2" hidden="1"/>
    <col min="5121" max="5121" width="123.81640625" style="2" hidden="1"/>
    <col min="5122" max="5376" width="9.1796875" style="2" hidden="1"/>
    <col min="5377" max="5377" width="123.81640625" style="2" hidden="1"/>
    <col min="5378" max="5632" width="9.1796875" style="2" hidden="1"/>
    <col min="5633" max="5633" width="123.81640625" style="2" hidden="1"/>
    <col min="5634" max="5888" width="9.1796875" style="2" hidden="1"/>
    <col min="5889" max="5889" width="123.81640625" style="2" hidden="1"/>
    <col min="5890" max="6144" width="9.1796875" style="2" hidden="1"/>
    <col min="6145" max="6145" width="123.81640625" style="2" hidden="1"/>
    <col min="6146" max="6400" width="9.1796875" style="2" hidden="1"/>
    <col min="6401" max="6401" width="123.81640625" style="2" hidden="1"/>
    <col min="6402" max="6656" width="9.1796875" style="2" hidden="1"/>
    <col min="6657" max="6657" width="123.81640625" style="2" hidden="1"/>
    <col min="6658" max="6912" width="9.1796875" style="2" hidden="1"/>
    <col min="6913" max="6913" width="123.81640625" style="2" hidden="1"/>
    <col min="6914" max="7168" width="9.1796875" style="2" hidden="1"/>
    <col min="7169" max="7169" width="123.81640625" style="2" hidden="1"/>
    <col min="7170" max="7424" width="9.1796875" style="2" hidden="1"/>
    <col min="7425" max="7425" width="123.81640625" style="2" hidden="1"/>
    <col min="7426" max="7680" width="9.1796875" style="2" hidden="1"/>
    <col min="7681" max="7681" width="123.81640625" style="2" hidden="1"/>
    <col min="7682" max="7936" width="9.1796875" style="2" hidden="1"/>
    <col min="7937" max="7937" width="123.81640625" style="2" hidden="1"/>
    <col min="7938" max="8192" width="9.1796875" style="2" hidden="1"/>
    <col min="8193" max="8193" width="123.81640625" style="2" hidden="1"/>
    <col min="8194" max="8448" width="9.1796875" style="2" hidden="1"/>
    <col min="8449" max="8449" width="123.81640625" style="2" hidden="1"/>
    <col min="8450" max="8704" width="9.1796875" style="2" hidden="1"/>
    <col min="8705" max="8705" width="123.81640625" style="2" hidden="1"/>
    <col min="8706" max="8960" width="9.1796875" style="2" hidden="1"/>
    <col min="8961" max="8961" width="123.81640625" style="2" hidden="1"/>
    <col min="8962" max="9216" width="9.1796875" style="2" hidden="1"/>
    <col min="9217" max="9217" width="123.81640625" style="2" hidden="1"/>
    <col min="9218" max="9472" width="9.1796875" style="2" hidden="1"/>
    <col min="9473" max="9473" width="123.81640625" style="2" hidden="1"/>
    <col min="9474" max="9728" width="9.1796875" style="2" hidden="1"/>
    <col min="9729" max="9729" width="123.81640625" style="2" hidden="1"/>
    <col min="9730" max="9984" width="9.1796875" style="2" hidden="1"/>
    <col min="9985" max="9985" width="123.81640625" style="2" hidden="1"/>
    <col min="9986" max="10240" width="9.1796875" style="2" hidden="1"/>
    <col min="10241" max="10241" width="123.81640625" style="2" hidden="1"/>
    <col min="10242" max="10496" width="9.1796875" style="2" hidden="1"/>
    <col min="10497" max="10497" width="123.81640625" style="2" hidden="1"/>
    <col min="10498" max="10752" width="9.1796875" style="2" hidden="1"/>
    <col min="10753" max="10753" width="123.81640625" style="2" hidden="1"/>
    <col min="10754" max="11008" width="9.1796875" style="2" hidden="1"/>
    <col min="11009" max="11009" width="123.81640625" style="2" hidden="1"/>
    <col min="11010" max="11264" width="9.1796875" style="2" hidden="1"/>
    <col min="11265" max="11265" width="123.81640625" style="2" hidden="1"/>
    <col min="11266" max="11520" width="9.1796875" style="2" hidden="1"/>
    <col min="11521" max="11521" width="123.81640625" style="2" hidden="1"/>
    <col min="11522" max="11776" width="9.1796875" style="2" hidden="1"/>
    <col min="11777" max="11777" width="123.81640625" style="2" hidden="1"/>
    <col min="11778" max="12032" width="9.1796875" style="2" hidden="1"/>
    <col min="12033" max="12033" width="123.81640625" style="2" hidden="1"/>
    <col min="12034" max="12288" width="9.1796875" style="2" hidden="1"/>
    <col min="12289" max="12289" width="123.81640625" style="2" hidden="1"/>
    <col min="12290" max="12544" width="9.1796875" style="2" hidden="1"/>
    <col min="12545" max="12545" width="123.81640625" style="2" hidden="1"/>
    <col min="12546" max="12800" width="9.1796875" style="2" hidden="1"/>
    <col min="12801" max="12801" width="123.81640625" style="2" hidden="1"/>
    <col min="12802" max="13056" width="9.1796875" style="2" hidden="1"/>
    <col min="13057" max="13057" width="123.81640625" style="2" hidden="1"/>
    <col min="13058" max="13312" width="9.1796875" style="2" hidden="1"/>
    <col min="13313" max="13313" width="123.81640625" style="2" hidden="1"/>
    <col min="13314" max="13568" width="9.1796875" style="2" hidden="1"/>
    <col min="13569" max="13569" width="123.81640625" style="2" hidden="1"/>
    <col min="13570" max="13824" width="9.1796875" style="2" hidden="1"/>
    <col min="13825" max="13825" width="123.81640625" style="2" hidden="1"/>
    <col min="13826" max="14080" width="9.1796875" style="2" hidden="1"/>
    <col min="14081" max="14081" width="123.81640625" style="2" hidden="1"/>
    <col min="14082" max="14336" width="9.1796875" style="2" hidden="1"/>
    <col min="14337" max="14337" width="123.81640625" style="2" hidden="1"/>
    <col min="14338" max="14592" width="9.1796875" style="2" hidden="1"/>
    <col min="14593" max="14593" width="123.81640625" style="2" hidden="1"/>
    <col min="14594" max="14848" width="9.1796875" style="2" hidden="1"/>
    <col min="14849" max="14849" width="123.81640625" style="2" hidden="1"/>
    <col min="14850" max="15104" width="9.1796875" style="2" hidden="1"/>
    <col min="15105" max="15105" width="123.81640625" style="2" hidden="1"/>
    <col min="15106" max="15360" width="9.1796875" style="2" hidden="1"/>
    <col min="15361" max="15361" width="123.81640625" style="2" hidden="1"/>
    <col min="15362" max="15616" width="9.1796875" style="2" hidden="1"/>
    <col min="15617" max="15617" width="123.81640625" style="2" hidden="1"/>
    <col min="15618" max="15872" width="9.1796875" style="2" hidden="1"/>
    <col min="15873" max="15873" width="123.81640625" style="2" hidden="1"/>
    <col min="15874" max="16128" width="9.1796875" style="2" hidden="1"/>
    <col min="16129" max="16129" width="123.81640625" style="2" hidden="1"/>
    <col min="16130" max="16384" width="9.1796875" style="2" hidden="1"/>
  </cols>
  <sheetData>
    <row r="1" spans="1:2" ht="135" customHeight="1" x14ac:dyDescent="0.35"/>
    <row r="2" spans="1:2" ht="35" x14ac:dyDescent="0.35">
      <c r="A2" s="18" t="s">
        <v>558</v>
      </c>
    </row>
    <row r="3" spans="1:2" ht="36" customHeight="1" x14ac:dyDescent="0.35">
      <c r="A3" s="19" t="s">
        <v>559</v>
      </c>
    </row>
    <row r="4" spans="1:2" ht="22" customHeight="1" x14ac:dyDescent="0.35">
      <c r="A4" s="20" t="s">
        <v>0</v>
      </c>
    </row>
    <row r="5" spans="1:2" ht="43.25" customHeight="1" x14ac:dyDescent="0.35">
      <c r="A5" s="3" t="s">
        <v>501</v>
      </c>
    </row>
    <row r="6" spans="1:2" ht="14.25" customHeight="1" x14ac:dyDescent="0.35">
      <c r="A6" s="21" t="s">
        <v>1</v>
      </c>
      <c r="B6" s="22"/>
    </row>
    <row r="7" spans="1:2" ht="25" x14ac:dyDescent="0.35">
      <c r="A7" s="3" t="s">
        <v>2</v>
      </c>
    </row>
    <row r="8" spans="1:2" ht="33.75" customHeight="1" x14ac:dyDescent="0.35">
      <c r="A8" s="20" t="s">
        <v>3</v>
      </c>
    </row>
    <row r="9" spans="1:2" ht="45" customHeight="1" x14ac:dyDescent="0.35">
      <c r="A9" s="3" t="s">
        <v>4</v>
      </c>
    </row>
    <row r="10" spans="1:2" ht="27" customHeight="1" x14ac:dyDescent="0.35">
      <c r="A10" s="20" t="s">
        <v>5</v>
      </c>
    </row>
    <row r="11" spans="1:2" x14ac:dyDescent="0.35">
      <c r="A11" s="23" t="s">
        <v>6</v>
      </c>
    </row>
    <row r="12" spans="1:2" ht="25" x14ac:dyDescent="0.35">
      <c r="A12" s="3" t="s">
        <v>7</v>
      </c>
    </row>
    <row r="13" spans="1:2" s="4" customFormat="1" x14ac:dyDescent="0.35">
      <c r="A13" s="12"/>
    </row>
    <row r="14" spans="1:2" x14ac:dyDescent="0.35">
      <c r="A14" s="23" t="s">
        <v>8</v>
      </c>
    </row>
    <row r="15" spans="1:2" ht="37.5" x14ac:dyDescent="0.35">
      <c r="A15" s="3" t="s">
        <v>9</v>
      </c>
    </row>
    <row r="16" spans="1:2" x14ac:dyDescent="0.35">
      <c r="A16" s="3"/>
    </row>
    <row r="17" spans="1:5" x14ac:dyDescent="0.35">
      <c r="A17" s="23" t="s">
        <v>10</v>
      </c>
    </row>
    <row r="18" spans="1:5" ht="37.5" x14ac:dyDescent="0.35">
      <c r="A18" s="3" t="s">
        <v>11</v>
      </c>
    </row>
    <row r="19" spans="1:5" x14ac:dyDescent="0.35">
      <c r="A19" s="23"/>
    </row>
    <row r="20" spans="1:5" x14ac:dyDescent="0.35">
      <c r="A20" s="24" t="s">
        <v>12</v>
      </c>
      <c r="B20" s="3"/>
      <c r="C20" s="3"/>
      <c r="D20" s="3"/>
      <c r="E20" s="3"/>
    </row>
    <row r="21" spans="1:5" ht="25" x14ac:dyDescent="0.35">
      <c r="A21" s="3" t="s">
        <v>13</v>
      </c>
      <c r="B21" s="3"/>
      <c r="C21" s="3"/>
      <c r="D21" s="3"/>
      <c r="E21" s="3"/>
    </row>
    <row r="22" spans="1:5" x14ac:dyDescent="0.35">
      <c r="A22" s="3" t="s">
        <v>14</v>
      </c>
      <c r="B22" s="3"/>
      <c r="C22" s="3"/>
      <c r="D22" s="3"/>
      <c r="E22" s="3"/>
    </row>
    <row r="23" spans="1:5" x14ac:dyDescent="0.35">
      <c r="A23" s="3" t="s">
        <v>15</v>
      </c>
      <c r="B23" s="3"/>
      <c r="C23" s="3"/>
      <c r="D23" s="3"/>
      <c r="E23" s="3"/>
    </row>
    <row r="24" spans="1:5" ht="11.25" customHeight="1" x14ac:dyDescent="0.35"/>
    <row r="25" spans="1:5" ht="22" customHeight="1" x14ac:dyDescent="0.35">
      <c r="A25" s="1" t="s">
        <v>16</v>
      </c>
    </row>
    <row r="26" spans="1:5" ht="25" x14ac:dyDescent="0.35">
      <c r="A26" s="3" t="s">
        <v>17</v>
      </c>
    </row>
    <row r="27" spans="1:5" ht="34.5" customHeight="1" x14ac:dyDescent="0.35">
      <c r="A27" s="3" t="s">
        <v>18</v>
      </c>
    </row>
    <row r="28" spans="1:5" ht="22" customHeight="1" x14ac:dyDescent="0.35">
      <c r="A28" s="20" t="s">
        <v>19</v>
      </c>
    </row>
    <row r="29" spans="1:5" ht="25" x14ac:dyDescent="0.35">
      <c r="A29" s="3" t="s">
        <v>20</v>
      </c>
    </row>
    <row r="30" spans="1:5" x14ac:dyDescent="0.35"/>
    <row r="31" spans="1:5" x14ac:dyDescent="0.35"/>
    <row r="32" spans="1:5" x14ac:dyDescent="0.35"/>
    <row r="33" spans="1:1" x14ac:dyDescent="0.35">
      <c r="A33" s="25"/>
    </row>
    <row r="34" spans="1:1" x14ac:dyDescent="0.35"/>
  </sheetData>
  <sheetProtection algorithmName="SHA-512" hashValue="GUQ7Ru+2m6k3rNBExXARy55pyCQSOKwtEmssdPLXpukrmOTFKI2vQJJb5iNS+n3V9L8rANVlNjGuZY/GsAPkrw==" saltValue="BSjafsqbRcd7NnvUG6lFZQ==" spinCount="100000" sheet="1" objects="1" scenarios="1"/>
  <hyperlinks>
    <hyperlink ref="A6" r:id="rId1" xr:uid="{EB37CBA0-F96C-489F-AB87-860672FDF22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437A-E80A-413F-AD3A-A8C2B333BB16}">
  <dimension ref="A1:WWE104"/>
  <sheetViews>
    <sheetView zoomScaleNormal="100" workbookViewId="0">
      <selection activeCell="A105" sqref="A105:XFD1048576"/>
    </sheetView>
  </sheetViews>
  <sheetFormatPr defaultColWidth="0" defaultRowHeight="14.5" zeroHeight="1" x14ac:dyDescent="0.35"/>
  <cols>
    <col min="1" max="1" width="38" style="4" customWidth="1"/>
    <col min="2" max="3" width="8.81640625" style="4" customWidth="1"/>
    <col min="4" max="4" width="23.1796875" style="4" customWidth="1"/>
    <col min="5" max="5" width="40.453125" style="4" customWidth="1"/>
    <col min="6" max="6" width="10.54296875" style="4" customWidth="1"/>
    <col min="7" max="7" width="14" style="4" customWidth="1"/>
    <col min="8" max="8" width="125" style="4" customWidth="1"/>
    <col min="9" max="9" width="11.81640625" style="4" customWidth="1"/>
    <col min="10" max="22" width="11.81640625" style="4" hidden="1"/>
    <col min="23" max="23" width="10.1796875" style="4" hidden="1"/>
    <col min="24" max="256" width="8.81640625" style="4" hidden="1"/>
    <col min="257" max="257" width="38" style="4" hidden="1"/>
    <col min="258" max="259" width="8.81640625" style="4" hidden="1"/>
    <col min="260" max="260" width="23.1796875" style="4" hidden="1"/>
    <col min="261" max="261" width="40.453125" style="4" hidden="1"/>
    <col min="262" max="262" width="10.54296875" style="4" hidden="1"/>
    <col min="263" max="263" width="14" style="4" hidden="1"/>
    <col min="264" max="264" width="125" style="4" hidden="1"/>
    <col min="265" max="278" width="11.81640625" style="4" hidden="1"/>
    <col min="279" max="279" width="10.1796875" style="4" hidden="1"/>
    <col min="280" max="512" width="8.81640625" style="4" hidden="1"/>
    <col min="513" max="513" width="38" style="4" hidden="1"/>
    <col min="514" max="515" width="8.81640625" style="4" hidden="1"/>
    <col min="516" max="516" width="23.1796875" style="4" hidden="1"/>
    <col min="517" max="517" width="40.453125" style="4" hidden="1"/>
    <col min="518" max="518" width="10.54296875" style="4" hidden="1"/>
    <col min="519" max="519" width="14" style="4" hidden="1"/>
    <col min="520" max="520" width="125" style="4" hidden="1"/>
    <col min="521" max="534" width="11.81640625" style="4" hidden="1"/>
    <col min="535" max="535" width="10.1796875" style="4" hidden="1"/>
    <col min="536" max="768" width="8.81640625" style="4" hidden="1"/>
    <col min="769" max="769" width="38" style="4" hidden="1"/>
    <col min="770" max="771" width="8.81640625" style="4" hidden="1"/>
    <col min="772" max="772" width="23.1796875" style="4" hidden="1"/>
    <col min="773" max="773" width="40.453125" style="4" hidden="1"/>
    <col min="774" max="774" width="10.54296875" style="4" hidden="1"/>
    <col min="775" max="775" width="14" style="4" hidden="1"/>
    <col min="776" max="776" width="125" style="4" hidden="1"/>
    <col min="777" max="790" width="11.81640625" style="4" hidden="1"/>
    <col min="791" max="791" width="10.1796875" style="4" hidden="1"/>
    <col min="792" max="1024" width="8.81640625" style="4" hidden="1"/>
    <col min="1025" max="1025" width="38" style="4" hidden="1"/>
    <col min="1026" max="1027" width="8.81640625" style="4" hidden="1"/>
    <col min="1028" max="1028" width="23.1796875" style="4" hidden="1"/>
    <col min="1029" max="1029" width="40.453125" style="4" hidden="1"/>
    <col min="1030" max="1030" width="10.54296875" style="4" hidden="1"/>
    <col min="1031" max="1031" width="14" style="4" hidden="1"/>
    <col min="1032" max="1032" width="125" style="4" hidden="1"/>
    <col min="1033" max="1046" width="11.81640625" style="4" hidden="1"/>
    <col min="1047" max="1047" width="10.1796875" style="4" hidden="1"/>
    <col min="1048" max="1280" width="8.81640625" style="4" hidden="1"/>
    <col min="1281" max="1281" width="38" style="4" hidden="1"/>
    <col min="1282" max="1283" width="8.81640625" style="4" hidden="1"/>
    <col min="1284" max="1284" width="23.1796875" style="4" hidden="1"/>
    <col min="1285" max="1285" width="40.453125" style="4" hidden="1"/>
    <col min="1286" max="1286" width="10.54296875" style="4" hidden="1"/>
    <col min="1287" max="1287" width="14" style="4" hidden="1"/>
    <col min="1288" max="1288" width="125" style="4" hidden="1"/>
    <col min="1289" max="1302" width="11.81640625" style="4" hidden="1"/>
    <col min="1303" max="1303" width="10.1796875" style="4" hidden="1"/>
    <col min="1304" max="1536" width="8.81640625" style="4" hidden="1"/>
    <col min="1537" max="1537" width="38" style="4" hidden="1"/>
    <col min="1538" max="1539" width="8.81640625" style="4" hidden="1"/>
    <col min="1540" max="1540" width="23.1796875" style="4" hidden="1"/>
    <col min="1541" max="1541" width="40.453125" style="4" hidden="1"/>
    <col min="1542" max="1542" width="10.54296875" style="4" hidden="1"/>
    <col min="1543" max="1543" width="14" style="4" hidden="1"/>
    <col min="1544" max="1544" width="125" style="4" hidden="1"/>
    <col min="1545" max="1558" width="11.81640625" style="4" hidden="1"/>
    <col min="1559" max="1559" width="10.1796875" style="4" hidden="1"/>
    <col min="1560" max="1792" width="8.81640625" style="4" hidden="1"/>
    <col min="1793" max="1793" width="38" style="4" hidden="1"/>
    <col min="1794" max="1795" width="8.81640625" style="4" hidden="1"/>
    <col min="1796" max="1796" width="23.1796875" style="4" hidden="1"/>
    <col min="1797" max="1797" width="40.453125" style="4" hidden="1"/>
    <col min="1798" max="1798" width="10.54296875" style="4" hidden="1"/>
    <col min="1799" max="1799" width="14" style="4" hidden="1"/>
    <col min="1800" max="1800" width="125" style="4" hidden="1"/>
    <col min="1801" max="1814" width="11.81640625" style="4" hidden="1"/>
    <col min="1815" max="1815" width="10.1796875" style="4" hidden="1"/>
    <col min="1816" max="2048" width="8.81640625" style="4" hidden="1"/>
    <col min="2049" max="2049" width="38" style="4" hidden="1"/>
    <col min="2050" max="2051" width="8.81640625" style="4" hidden="1"/>
    <col min="2052" max="2052" width="23.1796875" style="4" hidden="1"/>
    <col min="2053" max="2053" width="40.453125" style="4" hidden="1"/>
    <col min="2054" max="2054" width="10.54296875" style="4" hidden="1"/>
    <col min="2055" max="2055" width="14" style="4" hidden="1"/>
    <col min="2056" max="2056" width="125" style="4" hidden="1"/>
    <col min="2057" max="2070" width="11.81640625" style="4" hidden="1"/>
    <col min="2071" max="2071" width="10.1796875" style="4" hidden="1"/>
    <col min="2072" max="2304" width="8.81640625" style="4" hidden="1"/>
    <col min="2305" max="2305" width="38" style="4" hidden="1"/>
    <col min="2306" max="2307" width="8.81640625" style="4" hidden="1"/>
    <col min="2308" max="2308" width="23.1796875" style="4" hidden="1"/>
    <col min="2309" max="2309" width="40.453125" style="4" hidden="1"/>
    <col min="2310" max="2310" width="10.54296875" style="4" hidden="1"/>
    <col min="2311" max="2311" width="14" style="4" hidden="1"/>
    <col min="2312" max="2312" width="125" style="4" hidden="1"/>
    <col min="2313" max="2326" width="11.81640625" style="4" hidden="1"/>
    <col min="2327" max="2327" width="10.1796875" style="4" hidden="1"/>
    <col min="2328" max="2560" width="8.81640625" style="4" hidden="1"/>
    <col min="2561" max="2561" width="38" style="4" hidden="1"/>
    <col min="2562" max="2563" width="8.81640625" style="4" hidden="1"/>
    <col min="2564" max="2564" width="23.1796875" style="4" hidden="1"/>
    <col min="2565" max="2565" width="40.453125" style="4" hidden="1"/>
    <col min="2566" max="2566" width="10.54296875" style="4" hidden="1"/>
    <col min="2567" max="2567" width="14" style="4" hidden="1"/>
    <col min="2568" max="2568" width="125" style="4" hidden="1"/>
    <col min="2569" max="2582" width="11.81640625" style="4" hidden="1"/>
    <col min="2583" max="2583" width="10.1796875" style="4" hidden="1"/>
    <col min="2584" max="2816" width="8.81640625" style="4" hidden="1"/>
    <col min="2817" max="2817" width="38" style="4" hidden="1"/>
    <col min="2818" max="2819" width="8.81640625" style="4" hidden="1"/>
    <col min="2820" max="2820" width="23.1796875" style="4" hidden="1"/>
    <col min="2821" max="2821" width="40.453125" style="4" hidden="1"/>
    <col min="2822" max="2822" width="10.54296875" style="4" hidden="1"/>
    <col min="2823" max="2823" width="14" style="4" hidden="1"/>
    <col min="2824" max="2824" width="125" style="4" hidden="1"/>
    <col min="2825" max="2838" width="11.81640625" style="4" hidden="1"/>
    <col min="2839" max="2839" width="10.1796875" style="4" hidden="1"/>
    <col min="2840" max="3072" width="8.81640625" style="4" hidden="1"/>
    <col min="3073" max="3073" width="38" style="4" hidden="1"/>
    <col min="3074" max="3075" width="8.81640625" style="4" hidden="1"/>
    <col min="3076" max="3076" width="23.1796875" style="4" hidden="1"/>
    <col min="3077" max="3077" width="40.453125" style="4" hidden="1"/>
    <col min="3078" max="3078" width="10.54296875" style="4" hidden="1"/>
    <col min="3079" max="3079" width="14" style="4" hidden="1"/>
    <col min="3080" max="3080" width="125" style="4" hidden="1"/>
    <col min="3081" max="3094" width="11.81640625" style="4" hidden="1"/>
    <col min="3095" max="3095" width="10.1796875" style="4" hidden="1"/>
    <col min="3096" max="3328" width="8.81640625" style="4" hidden="1"/>
    <col min="3329" max="3329" width="38" style="4" hidden="1"/>
    <col min="3330" max="3331" width="8.81640625" style="4" hidden="1"/>
    <col min="3332" max="3332" width="23.1796875" style="4" hidden="1"/>
    <col min="3333" max="3333" width="40.453125" style="4" hidden="1"/>
    <col min="3334" max="3334" width="10.54296875" style="4" hidden="1"/>
    <col min="3335" max="3335" width="14" style="4" hidden="1"/>
    <col min="3336" max="3336" width="125" style="4" hidden="1"/>
    <col min="3337" max="3350" width="11.81640625" style="4" hidden="1"/>
    <col min="3351" max="3351" width="10.1796875" style="4" hidden="1"/>
    <col min="3352" max="3584" width="8.81640625" style="4" hidden="1"/>
    <col min="3585" max="3585" width="38" style="4" hidden="1"/>
    <col min="3586" max="3587" width="8.81640625" style="4" hidden="1"/>
    <col min="3588" max="3588" width="23.1796875" style="4" hidden="1"/>
    <col min="3589" max="3589" width="40.453125" style="4" hidden="1"/>
    <col min="3590" max="3590" width="10.54296875" style="4" hidden="1"/>
    <col min="3591" max="3591" width="14" style="4" hidden="1"/>
    <col min="3592" max="3592" width="125" style="4" hidden="1"/>
    <col min="3593" max="3606" width="11.81640625" style="4" hidden="1"/>
    <col min="3607" max="3607" width="10.1796875" style="4" hidden="1"/>
    <col min="3608" max="3840" width="8.81640625" style="4" hidden="1"/>
    <col min="3841" max="3841" width="38" style="4" hidden="1"/>
    <col min="3842" max="3843" width="8.81640625" style="4" hidden="1"/>
    <col min="3844" max="3844" width="23.1796875" style="4" hidden="1"/>
    <col min="3845" max="3845" width="40.453125" style="4" hidden="1"/>
    <col min="3846" max="3846" width="10.54296875" style="4" hidden="1"/>
    <col min="3847" max="3847" width="14" style="4" hidden="1"/>
    <col min="3848" max="3848" width="125" style="4" hidden="1"/>
    <col min="3849" max="3862" width="11.81640625" style="4" hidden="1"/>
    <col min="3863" max="3863" width="10.1796875" style="4" hidden="1"/>
    <col min="3864" max="4096" width="8.81640625" style="4" hidden="1"/>
    <col min="4097" max="4097" width="38" style="4" hidden="1"/>
    <col min="4098" max="4099" width="8.81640625" style="4" hidden="1"/>
    <col min="4100" max="4100" width="23.1796875" style="4" hidden="1"/>
    <col min="4101" max="4101" width="40.453125" style="4" hidden="1"/>
    <col min="4102" max="4102" width="10.54296875" style="4" hidden="1"/>
    <col min="4103" max="4103" width="14" style="4" hidden="1"/>
    <col min="4104" max="4104" width="125" style="4" hidden="1"/>
    <col min="4105" max="4118" width="11.81640625" style="4" hidden="1"/>
    <col min="4119" max="4119" width="10.1796875" style="4" hidden="1"/>
    <col min="4120" max="4352" width="8.81640625" style="4" hidden="1"/>
    <col min="4353" max="4353" width="38" style="4" hidden="1"/>
    <col min="4354" max="4355" width="8.81640625" style="4" hidden="1"/>
    <col min="4356" max="4356" width="23.1796875" style="4" hidden="1"/>
    <col min="4357" max="4357" width="40.453125" style="4" hidden="1"/>
    <col min="4358" max="4358" width="10.54296875" style="4" hidden="1"/>
    <col min="4359" max="4359" width="14" style="4" hidden="1"/>
    <col min="4360" max="4360" width="125" style="4" hidden="1"/>
    <col min="4361" max="4374" width="11.81640625" style="4" hidden="1"/>
    <col min="4375" max="4375" width="10.1796875" style="4" hidden="1"/>
    <col min="4376" max="4608" width="8.81640625" style="4" hidden="1"/>
    <col min="4609" max="4609" width="38" style="4" hidden="1"/>
    <col min="4610" max="4611" width="8.81640625" style="4" hidden="1"/>
    <col min="4612" max="4612" width="23.1796875" style="4" hidden="1"/>
    <col min="4613" max="4613" width="40.453125" style="4" hidden="1"/>
    <col min="4614" max="4614" width="10.54296875" style="4" hidden="1"/>
    <col min="4615" max="4615" width="14" style="4" hidden="1"/>
    <col min="4616" max="4616" width="125" style="4" hidden="1"/>
    <col min="4617" max="4630" width="11.81640625" style="4" hidden="1"/>
    <col min="4631" max="4631" width="10.1796875" style="4" hidden="1"/>
    <col min="4632" max="4864" width="8.81640625" style="4" hidden="1"/>
    <col min="4865" max="4865" width="38" style="4" hidden="1"/>
    <col min="4866" max="4867" width="8.81640625" style="4" hidden="1"/>
    <col min="4868" max="4868" width="23.1796875" style="4" hidden="1"/>
    <col min="4869" max="4869" width="40.453125" style="4" hidden="1"/>
    <col min="4870" max="4870" width="10.54296875" style="4" hidden="1"/>
    <col min="4871" max="4871" width="14" style="4" hidden="1"/>
    <col min="4872" max="4872" width="125" style="4" hidden="1"/>
    <col min="4873" max="4886" width="11.81640625" style="4" hidden="1"/>
    <col min="4887" max="4887" width="10.1796875" style="4" hidden="1"/>
    <col min="4888" max="5120" width="8.81640625" style="4" hidden="1"/>
    <col min="5121" max="5121" width="38" style="4" hidden="1"/>
    <col min="5122" max="5123" width="8.81640625" style="4" hidden="1"/>
    <col min="5124" max="5124" width="23.1796875" style="4" hidden="1"/>
    <col min="5125" max="5125" width="40.453125" style="4" hidden="1"/>
    <col min="5126" max="5126" width="10.54296875" style="4" hidden="1"/>
    <col min="5127" max="5127" width="14" style="4" hidden="1"/>
    <col min="5128" max="5128" width="125" style="4" hidden="1"/>
    <col min="5129" max="5142" width="11.81640625" style="4" hidden="1"/>
    <col min="5143" max="5143" width="10.1796875" style="4" hidden="1"/>
    <col min="5144" max="5376" width="8.81640625" style="4" hidden="1"/>
    <col min="5377" max="5377" width="38" style="4" hidden="1"/>
    <col min="5378" max="5379" width="8.81640625" style="4" hidden="1"/>
    <col min="5380" max="5380" width="23.1796875" style="4" hidden="1"/>
    <col min="5381" max="5381" width="40.453125" style="4" hidden="1"/>
    <col min="5382" max="5382" width="10.54296875" style="4" hidden="1"/>
    <col min="5383" max="5383" width="14" style="4" hidden="1"/>
    <col min="5384" max="5384" width="125" style="4" hidden="1"/>
    <col min="5385" max="5398" width="11.81640625" style="4" hidden="1"/>
    <col min="5399" max="5399" width="10.1796875" style="4" hidden="1"/>
    <col min="5400" max="5632" width="8.81640625" style="4" hidden="1"/>
    <col min="5633" max="5633" width="38" style="4" hidden="1"/>
    <col min="5634" max="5635" width="8.81640625" style="4" hidden="1"/>
    <col min="5636" max="5636" width="23.1796875" style="4" hidden="1"/>
    <col min="5637" max="5637" width="40.453125" style="4" hidden="1"/>
    <col min="5638" max="5638" width="10.54296875" style="4" hidden="1"/>
    <col min="5639" max="5639" width="14" style="4" hidden="1"/>
    <col min="5640" max="5640" width="125" style="4" hidden="1"/>
    <col min="5641" max="5654" width="11.81640625" style="4" hidden="1"/>
    <col min="5655" max="5655" width="10.1796875" style="4" hidden="1"/>
    <col min="5656" max="5888" width="8.81640625" style="4" hidden="1"/>
    <col min="5889" max="5889" width="38" style="4" hidden="1"/>
    <col min="5890" max="5891" width="8.81640625" style="4" hidden="1"/>
    <col min="5892" max="5892" width="23.1796875" style="4" hidden="1"/>
    <col min="5893" max="5893" width="40.453125" style="4" hidden="1"/>
    <col min="5894" max="5894" width="10.54296875" style="4" hidden="1"/>
    <col min="5895" max="5895" width="14" style="4" hidden="1"/>
    <col min="5896" max="5896" width="125" style="4" hidden="1"/>
    <col min="5897" max="5910" width="11.81640625" style="4" hidden="1"/>
    <col min="5911" max="5911" width="10.1796875" style="4" hidden="1"/>
    <col min="5912" max="6144" width="8.81640625" style="4" hidden="1"/>
    <col min="6145" max="6145" width="38" style="4" hidden="1"/>
    <col min="6146" max="6147" width="8.81640625" style="4" hidden="1"/>
    <col min="6148" max="6148" width="23.1796875" style="4" hidden="1"/>
    <col min="6149" max="6149" width="40.453125" style="4" hidden="1"/>
    <col min="6150" max="6150" width="10.54296875" style="4" hidden="1"/>
    <col min="6151" max="6151" width="14" style="4" hidden="1"/>
    <col min="6152" max="6152" width="125" style="4" hidden="1"/>
    <col min="6153" max="6166" width="11.81640625" style="4" hidden="1"/>
    <col min="6167" max="6167" width="10.1796875" style="4" hidden="1"/>
    <col min="6168" max="6400" width="8.81640625" style="4" hidden="1"/>
    <col min="6401" max="6401" width="38" style="4" hidden="1"/>
    <col min="6402" max="6403" width="8.81640625" style="4" hidden="1"/>
    <col min="6404" max="6404" width="23.1796875" style="4" hidden="1"/>
    <col min="6405" max="6405" width="40.453125" style="4" hidden="1"/>
    <col min="6406" max="6406" width="10.54296875" style="4" hidden="1"/>
    <col min="6407" max="6407" width="14" style="4" hidden="1"/>
    <col min="6408" max="6408" width="125" style="4" hidden="1"/>
    <col min="6409" max="6422" width="11.81640625" style="4" hidden="1"/>
    <col min="6423" max="6423" width="10.1796875" style="4" hidden="1"/>
    <col min="6424" max="6656" width="8.81640625" style="4" hidden="1"/>
    <col min="6657" max="6657" width="38" style="4" hidden="1"/>
    <col min="6658" max="6659" width="8.81640625" style="4" hidden="1"/>
    <col min="6660" max="6660" width="23.1796875" style="4" hidden="1"/>
    <col min="6661" max="6661" width="40.453125" style="4" hidden="1"/>
    <col min="6662" max="6662" width="10.54296875" style="4" hidden="1"/>
    <col min="6663" max="6663" width="14" style="4" hidden="1"/>
    <col min="6664" max="6664" width="125" style="4" hidden="1"/>
    <col min="6665" max="6678" width="11.81640625" style="4" hidden="1"/>
    <col min="6679" max="6679" width="10.1796875" style="4" hidden="1"/>
    <col min="6680" max="6912" width="8.81640625" style="4" hidden="1"/>
    <col min="6913" max="6913" width="38" style="4" hidden="1"/>
    <col min="6914" max="6915" width="8.81640625" style="4" hidden="1"/>
    <col min="6916" max="6916" width="23.1796875" style="4" hidden="1"/>
    <col min="6917" max="6917" width="40.453125" style="4" hidden="1"/>
    <col min="6918" max="6918" width="10.54296875" style="4" hidden="1"/>
    <col min="6919" max="6919" width="14" style="4" hidden="1"/>
    <col min="6920" max="6920" width="125" style="4" hidden="1"/>
    <col min="6921" max="6934" width="11.81640625" style="4" hidden="1"/>
    <col min="6935" max="6935" width="10.1796875" style="4" hidden="1"/>
    <col min="6936" max="7168" width="8.81640625" style="4" hidden="1"/>
    <col min="7169" max="7169" width="38" style="4" hidden="1"/>
    <col min="7170" max="7171" width="8.81640625" style="4" hidden="1"/>
    <col min="7172" max="7172" width="23.1796875" style="4" hidden="1"/>
    <col min="7173" max="7173" width="40.453125" style="4" hidden="1"/>
    <col min="7174" max="7174" width="10.54296875" style="4" hidden="1"/>
    <col min="7175" max="7175" width="14" style="4" hidden="1"/>
    <col min="7176" max="7176" width="125" style="4" hidden="1"/>
    <col min="7177" max="7190" width="11.81640625" style="4" hidden="1"/>
    <col min="7191" max="7191" width="10.1796875" style="4" hidden="1"/>
    <col min="7192" max="7424" width="8.81640625" style="4" hidden="1"/>
    <col min="7425" max="7425" width="38" style="4" hidden="1"/>
    <col min="7426" max="7427" width="8.81640625" style="4" hidden="1"/>
    <col min="7428" max="7428" width="23.1796875" style="4" hidden="1"/>
    <col min="7429" max="7429" width="40.453125" style="4" hidden="1"/>
    <col min="7430" max="7430" width="10.54296875" style="4" hidden="1"/>
    <col min="7431" max="7431" width="14" style="4" hidden="1"/>
    <col min="7432" max="7432" width="125" style="4" hidden="1"/>
    <col min="7433" max="7446" width="11.81640625" style="4" hidden="1"/>
    <col min="7447" max="7447" width="10.1796875" style="4" hidden="1"/>
    <col min="7448" max="7680" width="8.81640625" style="4" hidden="1"/>
    <col min="7681" max="7681" width="38" style="4" hidden="1"/>
    <col min="7682" max="7683" width="8.81640625" style="4" hidden="1"/>
    <col min="7684" max="7684" width="23.1796875" style="4" hidden="1"/>
    <col min="7685" max="7685" width="40.453125" style="4" hidden="1"/>
    <col min="7686" max="7686" width="10.54296875" style="4" hidden="1"/>
    <col min="7687" max="7687" width="14" style="4" hidden="1"/>
    <col min="7688" max="7688" width="125" style="4" hidden="1"/>
    <col min="7689" max="7702" width="11.81640625" style="4" hidden="1"/>
    <col min="7703" max="7703" width="10.1796875" style="4" hidden="1"/>
    <col min="7704" max="7936" width="8.81640625" style="4" hidden="1"/>
    <col min="7937" max="7937" width="38" style="4" hidden="1"/>
    <col min="7938" max="7939" width="8.81640625" style="4" hidden="1"/>
    <col min="7940" max="7940" width="23.1796875" style="4" hidden="1"/>
    <col min="7941" max="7941" width="40.453125" style="4" hidden="1"/>
    <col min="7942" max="7942" width="10.54296875" style="4" hidden="1"/>
    <col min="7943" max="7943" width="14" style="4" hidden="1"/>
    <col min="7944" max="7944" width="125" style="4" hidden="1"/>
    <col min="7945" max="7958" width="11.81640625" style="4" hidden="1"/>
    <col min="7959" max="7959" width="10.1796875" style="4" hidden="1"/>
    <col min="7960" max="8192" width="8.81640625" style="4" hidden="1"/>
    <col min="8193" max="8193" width="38" style="4" hidden="1"/>
    <col min="8194" max="8195" width="8.81640625" style="4" hidden="1"/>
    <col min="8196" max="8196" width="23.1796875" style="4" hidden="1"/>
    <col min="8197" max="8197" width="40.453125" style="4" hidden="1"/>
    <col min="8198" max="8198" width="10.54296875" style="4" hidden="1"/>
    <col min="8199" max="8199" width="14" style="4" hidden="1"/>
    <col min="8200" max="8200" width="125" style="4" hidden="1"/>
    <col min="8201" max="8214" width="11.81640625" style="4" hidden="1"/>
    <col min="8215" max="8215" width="10.1796875" style="4" hidden="1"/>
    <col min="8216" max="8448" width="8.81640625" style="4" hidden="1"/>
    <col min="8449" max="8449" width="38" style="4" hidden="1"/>
    <col min="8450" max="8451" width="8.81640625" style="4" hidden="1"/>
    <col min="8452" max="8452" width="23.1796875" style="4" hidden="1"/>
    <col min="8453" max="8453" width="40.453125" style="4" hidden="1"/>
    <col min="8454" max="8454" width="10.54296875" style="4" hidden="1"/>
    <col min="8455" max="8455" width="14" style="4" hidden="1"/>
    <col min="8456" max="8456" width="125" style="4" hidden="1"/>
    <col min="8457" max="8470" width="11.81640625" style="4" hidden="1"/>
    <col min="8471" max="8471" width="10.1796875" style="4" hidden="1"/>
    <col min="8472" max="8704" width="8.81640625" style="4" hidden="1"/>
    <col min="8705" max="8705" width="38" style="4" hidden="1"/>
    <col min="8706" max="8707" width="8.81640625" style="4" hidden="1"/>
    <col min="8708" max="8708" width="23.1796875" style="4" hidden="1"/>
    <col min="8709" max="8709" width="40.453125" style="4" hidden="1"/>
    <col min="8710" max="8710" width="10.54296875" style="4" hidden="1"/>
    <col min="8711" max="8711" width="14" style="4" hidden="1"/>
    <col min="8712" max="8712" width="125" style="4" hidden="1"/>
    <col min="8713" max="8726" width="11.81640625" style="4" hidden="1"/>
    <col min="8727" max="8727" width="10.1796875" style="4" hidden="1"/>
    <col min="8728" max="8960" width="8.81640625" style="4" hidden="1"/>
    <col min="8961" max="8961" width="38" style="4" hidden="1"/>
    <col min="8962" max="8963" width="8.81640625" style="4" hidden="1"/>
    <col min="8964" max="8964" width="23.1796875" style="4" hidden="1"/>
    <col min="8965" max="8965" width="40.453125" style="4" hidden="1"/>
    <col min="8966" max="8966" width="10.54296875" style="4" hidden="1"/>
    <col min="8967" max="8967" width="14" style="4" hidden="1"/>
    <col min="8968" max="8968" width="125" style="4" hidden="1"/>
    <col min="8969" max="8982" width="11.81640625" style="4" hidden="1"/>
    <col min="8983" max="8983" width="10.1796875" style="4" hidden="1"/>
    <col min="8984" max="9216" width="8.81640625" style="4" hidden="1"/>
    <col min="9217" max="9217" width="38" style="4" hidden="1"/>
    <col min="9218" max="9219" width="8.81640625" style="4" hidden="1"/>
    <col min="9220" max="9220" width="23.1796875" style="4" hidden="1"/>
    <col min="9221" max="9221" width="40.453125" style="4" hidden="1"/>
    <col min="9222" max="9222" width="10.54296875" style="4" hidden="1"/>
    <col min="9223" max="9223" width="14" style="4" hidden="1"/>
    <col min="9224" max="9224" width="125" style="4" hidden="1"/>
    <col min="9225" max="9238" width="11.81640625" style="4" hidden="1"/>
    <col min="9239" max="9239" width="10.1796875" style="4" hidden="1"/>
    <col min="9240" max="9472" width="8.81640625" style="4" hidden="1"/>
    <col min="9473" max="9473" width="38" style="4" hidden="1"/>
    <col min="9474" max="9475" width="8.81640625" style="4" hidden="1"/>
    <col min="9476" max="9476" width="23.1796875" style="4" hidden="1"/>
    <col min="9477" max="9477" width="40.453125" style="4" hidden="1"/>
    <col min="9478" max="9478" width="10.54296875" style="4" hidden="1"/>
    <col min="9479" max="9479" width="14" style="4" hidden="1"/>
    <col min="9480" max="9480" width="125" style="4" hidden="1"/>
    <col min="9481" max="9494" width="11.81640625" style="4" hidden="1"/>
    <col min="9495" max="9495" width="10.1796875" style="4" hidden="1"/>
    <col min="9496" max="9728" width="8.81640625" style="4" hidden="1"/>
    <col min="9729" max="9729" width="38" style="4" hidden="1"/>
    <col min="9730" max="9731" width="8.81640625" style="4" hidden="1"/>
    <col min="9732" max="9732" width="23.1796875" style="4" hidden="1"/>
    <col min="9733" max="9733" width="40.453125" style="4" hidden="1"/>
    <col min="9734" max="9734" width="10.54296875" style="4" hidden="1"/>
    <col min="9735" max="9735" width="14" style="4" hidden="1"/>
    <col min="9736" max="9736" width="125" style="4" hidden="1"/>
    <col min="9737" max="9750" width="11.81640625" style="4" hidden="1"/>
    <col min="9751" max="9751" width="10.1796875" style="4" hidden="1"/>
    <col min="9752" max="9984" width="8.81640625" style="4" hidden="1"/>
    <col min="9985" max="9985" width="38" style="4" hidden="1"/>
    <col min="9986" max="9987" width="8.81640625" style="4" hidden="1"/>
    <col min="9988" max="9988" width="23.1796875" style="4" hidden="1"/>
    <col min="9989" max="9989" width="40.453125" style="4" hidden="1"/>
    <col min="9990" max="9990" width="10.54296875" style="4" hidden="1"/>
    <col min="9991" max="9991" width="14" style="4" hidden="1"/>
    <col min="9992" max="9992" width="125" style="4" hidden="1"/>
    <col min="9993" max="10006" width="11.81640625" style="4" hidden="1"/>
    <col min="10007" max="10007" width="10.1796875" style="4" hidden="1"/>
    <col min="10008" max="10240" width="8.81640625" style="4" hidden="1"/>
    <col min="10241" max="10241" width="38" style="4" hidden="1"/>
    <col min="10242" max="10243" width="8.81640625" style="4" hidden="1"/>
    <col min="10244" max="10244" width="23.1796875" style="4" hidden="1"/>
    <col min="10245" max="10245" width="40.453125" style="4" hidden="1"/>
    <col min="10246" max="10246" width="10.54296875" style="4" hidden="1"/>
    <col min="10247" max="10247" width="14" style="4" hidden="1"/>
    <col min="10248" max="10248" width="125" style="4" hidden="1"/>
    <col min="10249" max="10262" width="11.81640625" style="4" hidden="1"/>
    <col min="10263" max="10263" width="10.1796875" style="4" hidden="1"/>
    <col min="10264" max="10496" width="8.81640625" style="4" hidden="1"/>
    <col min="10497" max="10497" width="38" style="4" hidden="1"/>
    <col min="10498" max="10499" width="8.81640625" style="4" hidden="1"/>
    <col min="10500" max="10500" width="23.1796875" style="4" hidden="1"/>
    <col min="10501" max="10501" width="40.453125" style="4" hidden="1"/>
    <col min="10502" max="10502" width="10.54296875" style="4" hidden="1"/>
    <col min="10503" max="10503" width="14" style="4" hidden="1"/>
    <col min="10504" max="10504" width="125" style="4" hidden="1"/>
    <col min="10505" max="10518" width="11.81640625" style="4" hidden="1"/>
    <col min="10519" max="10519" width="10.1796875" style="4" hidden="1"/>
    <col min="10520" max="10752" width="8.81640625" style="4" hidden="1"/>
    <col min="10753" max="10753" width="38" style="4" hidden="1"/>
    <col min="10754" max="10755" width="8.81640625" style="4" hidden="1"/>
    <col min="10756" max="10756" width="23.1796875" style="4" hidden="1"/>
    <col min="10757" max="10757" width="40.453125" style="4" hidden="1"/>
    <col min="10758" max="10758" width="10.54296875" style="4" hidden="1"/>
    <col min="10759" max="10759" width="14" style="4" hidden="1"/>
    <col min="10760" max="10760" width="125" style="4" hidden="1"/>
    <col min="10761" max="10774" width="11.81640625" style="4" hidden="1"/>
    <col min="10775" max="10775" width="10.1796875" style="4" hidden="1"/>
    <col min="10776" max="11008" width="8.81640625" style="4" hidden="1"/>
    <col min="11009" max="11009" width="38" style="4" hidden="1"/>
    <col min="11010" max="11011" width="8.81640625" style="4" hidden="1"/>
    <col min="11012" max="11012" width="23.1796875" style="4" hidden="1"/>
    <col min="11013" max="11013" width="40.453125" style="4" hidden="1"/>
    <col min="11014" max="11014" width="10.54296875" style="4" hidden="1"/>
    <col min="11015" max="11015" width="14" style="4" hidden="1"/>
    <col min="11016" max="11016" width="125" style="4" hidden="1"/>
    <col min="11017" max="11030" width="11.81640625" style="4" hidden="1"/>
    <col min="11031" max="11031" width="10.1796875" style="4" hidden="1"/>
    <col min="11032" max="11264" width="8.81640625" style="4" hidden="1"/>
    <col min="11265" max="11265" width="38" style="4" hidden="1"/>
    <col min="11266" max="11267" width="8.81640625" style="4" hidden="1"/>
    <col min="11268" max="11268" width="23.1796875" style="4" hidden="1"/>
    <col min="11269" max="11269" width="40.453125" style="4" hidden="1"/>
    <col min="11270" max="11270" width="10.54296875" style="4" hidden="1"/>
    <col min="11271" max="11271" width="14" style="4" hidden="1"/>
    <col min="11272" max="11272" width="125" style="4" hidden="1"/>
    <col min="11273" max="11286" width="11.81640625" style="4" hidden="1"/>
    <col min="11287" max="11287" width="10.1796875" style="4" hidden="1"/>
    <col min="11288" max="11520" width="8.81640625" style="4" hidden="1"/>
    <col min="11521" max="11521" width="38" style="4" hidden="1"/>
    <col min="11522" max="11523" width="8.81640625" style="4" hidden="1"/>
    <col min="11524" max="11524" width="23.1796875" style="4" hidden="1"/>
    <col min="11525" max="11525" width="40.453125" style="4" hidden="1"/>
    <col min="11526" max="11526" width="10.54296875" style="4" hidden="1"/>
    <col min="11527" max="11527" width="14" style="4" hidden="1"/>
    <col min="11528" max="11528" width="125" style="4" hidden="1"/>
    <col min="11529" max="11542" width="11.81640625" style="4" hidden="1"/>
    <col min="11543" max="11543" width="10.1796875" style="4" hidden="1"/>
    <col min="11544" max="11776" width="8.81640625" style="4" hidden="1"/>
    <col min="11777" max="11777" width="38" style="4" hidden="1"/>
    <col min="11778" max="11779" width="8.81640625" style="4" hidden="1"/>
    <col min="11780" max="11780" width="23.1796875" style="4" hidden="1"/>
    <col min="11781" max="11781" width="40.453125" style="4" hidden="1"/>
    <col min="11782" max="11782" width="10.54296875" style="4" hidden="1"/>
    <col min="11783" max="11783" width="14" style="4" hidden="1"/>
    <col min="11784" max="11784" width="125" style="4" hidden="1"/>
    <col min="11785" max="11798" width="11.81640625" style="4" hidden="1"/>
    <col min="11799" max="11799" width="10.1796875" style="4" hidden="1"/>
    <col min="11800" max="12032" width="8.81640625" style="4" hidden="1"/>
    <col min="12033" max="12033" width="38" style="4" hidden="1"/>
    <col min="12034" max="12035" width="8.81640625" style="4" hidden="1"/>
    <col min="12036" max="12036" width="23.1796875" style="4" hidden="1"/>
    <col min="12037" max="12037" width="40.453125" style="4" hidden="1"/>
    <col min="12038" max="12038" width="10.54296875" style="4" hidden="1"/>
    <col min="12039" max="12039" width="14" style="4" hidden="1"/>
    <col min="12040" max="12040" width="125" style="4" hidden="1"/>
    <col min="12041" max="12054" width="11.81640625" style="4" hidden="1"/>
    <col min="12055" max="12055" width="10.1796875" style="4" hidden="1"/>
    <col min="12056" max="12288" width="8.81640625" style="4" hidden="1"/>
    <col min="12289" max="12289" width="38" style="4" hidden="1"/>
    <col min="12290" max="12291" width="8.81640625" style="4" hidden="1"/>
    <col min="12292" max="12292" width="23.1796875" style="4" hidden="1"/>
    <col min="12293" max="12293" width="40.453125" style="4" hidden="1"/>
    <col min="12294" max="12294" width="10.54296875" style="4" hidden="1"/>
    <col min="12295" max="12295" width="14" style="4" hidden="1"/>
    <col min="12296" max="12296" width="125" style="4" hidden="1"/>
    <col min="12297" max="12310" width="11.81640625" style="4" hidden="1"/>
    <col min="12311" max="12311" width="10.1796875" style="4" hidden="1"/>
    <col min="12312" max="12544" width="8.81640625" style="4" hidden="1"/>
    <col min="12545" max="12545" width="38" style="4" hidden="1"/>
    <col min="12546" max="12547" width="8.81640625" style="4" hidden="1"/>
    <col min="12548" max="12548" width="23.1796875" style="4" hidden="1"/>
    <col min="12549" max="12549" width="40.453125" style="4" hidden="1"/>
    <col min="12550" max="12550" width="10.54296875" style="4" hidden="1"/>
    <col min="12551" max="12551" width="14" style="4" hidden="1"/>
    <col min="12552" max="12552" width="125" style="4" hidden="1"/>
    <col min="12553" max="12566" width="11.81640625" style="4" hidden="1"/>
    <col min="12567" max="12567" width="10.1796875" style="4" hidden="1"/>
    <col min="12568" max="12800" width="8.81640625" style="4" hidden="1"/>
    <col min="12801" max="12801" width="38" style="4" hidden="1"/>
    <col min="12802" max="12803" width="8.81640625" style="4" hidden="1"/>
    <col min="12804" max="12804" width="23.1796875" style="4" hidden="1"/>
    <col min="12805" max="12805" width="40.453125" style="4" hidden="1"/>
    <col min="12806" max="12806" width="10.54296875" style="4" hidden="1"/>
    <col min="12807" max="12807" width="14" style="4" hidden="1"/>
    <col min="12808" max="12808" width="125" style="4" hidden="1"/>
    <col min="12809" max="12822" width="11.81640625" style="4" hidden="1"/>
    <col min="12823" max="12823" width="10.1796875" style="4" hidden="1"/>
    <col min="12824" max="13056" width="8.81640625" style="4" hidden="1"/>
    <col min="13057" max="13057" width="38" style="4" hidden="1"/>
    <col min="13058" max="13059" width="8.81640625" style="4" hidden="1"/>
    <col min="13060" max="13060" width="23.1796875" style="4" hidden="1"/>
    <col min="13061" max="13061" width="40.453125" style="4" hidden="1"/>
    <col min="13062" max="13062" width="10.54296875" style="4" hidden="1"/>
    <col min="13063" max="13063" width="14" style="4" hidden="1"/>
    <col min="13064" max="13064" width="125" style="4" hidden="1"/>
    <col min="13065" max="13078" width="11.81640625" style="4" hidden="1"/>
    <col min="13079" max="13079" width="10.1796875" style="4" hidden="1"/>
    <col min="13080" max="13312" width="8.81640625" style="4" hidden="1"/>
    <col min="13313" max="13313" width="38" style="4" hidden="1"/>
    <col min="13314" max="13315" width="8.81640625" style="4" hidden="1"/>
    <col min="13316" max="13316" width="23.1796875" style="4" hidden="1"/>
    <col min="13317" max="13317" width="40.453125" style="4" hidden="1"/>
    <col min="13318" max="13318" width="10.54296875" style="4" hidden="1"/>
    <col min="13319" max="13319" width="14" style="4" hidden="1"/>
    <col min="13320" max="13320" width="125" style="4" hidden="1"/>
    <col min="13321" max="13334" width="11.81640625" style="4" hidden="1"/>
    <col min="13335" max="13335" width="10.1796875" style="4" hidden="1"/>
    <col min="13336" max="13568" width="8.81640625" style="4" hidden="1"/>
    <col min="13569" max="13569" width="38" style="4" hidden="1"/>
    <col min="13570" max="13571" width="8.81640625" style="4" hidden="1"/>
    <col min="13572" max="13572" width="23.1796875" style="4" hidden="1"/>
    <col min="13573" max="13573" width="40.453125" style="4" hidden="1"/>
    <col min="13574" max="13574" width="10.54296875" style="4" hidden="1"/>
    <col min="13575" max="13575" width="14" style="4" hidden="1"/>
    <col min="13576" max="13576" width="125" style="4" hidden="1"/>
    <col min="13577" max="13590" width="11.81640625" style="4" hidden="1"/>
    <col min="13591" max="13591" width="10.1796875" style="4" hidden="1"/>
    <col min="13592" max="13824" width="8.81640625" style="4" hidden="1"/>
    <col min="13825" max="13825" width="38" style="4" hidden="1"/>
    <col min="13826" max="13827" width="8.81640625" style="4" hidden="1"/>
    <col min="13828" max="13828" width="23.1796875" style="4" hidden="1"/>
    <col min="13829" max="13829" width="40.453125" style="4" hidden="1"/>
    <col min="13830" max="13830" width="10.54296875" style="4" hidden="1"/>
    <col min="13831" max="13831" width="14" style="4" hidden="1"/>
    <col min="13832" max="13832" width="125" style="4" hidden="1"/>
    <col min="13833" max="13846" width="11.81640625" style="4" hidden="1"/>
    <col min="13847" max="13847" width="10.1796875" style="4" hidden="1"/>
    <col min="13848" max="14080" width="8.81640625" style="4" hidden="1"/>
    <col min="14081" max="14081" width="38" style="4" hidden="1"/>
    <col min="14082" max="14083" width="8.81640625" style="4" hidden="1"/>
    <col min="14084" max="14084" width="23.1796875" style="4" hidden="1"/>
    <col min="14085" max="14085" width="40.453125" style="4" hidden="1"/>
    <col min="14086" max="14086" width="10.54296875" style="4" hidden="1"/>
    <col min="14087" max="14087" width="14" style="4" hidden="1"/>
    <col min="14088" max="14088" width="125" style="4" hidden="1"/>
    <col min="14089" max="14102" width="11.81640625" style="4" hidden="1"/>
    <col min="14103" max="14103" width="10.1796875" style="4" hidden="1"/>
    <col min="14104" max="14336" width="8.81640625" style="4" hidden="1"/>
    <col min="14337" max="14337" width="38" style="4" hidden="1"/>
    <col min="14338" max="14339" width="8.81640625" style="4" hidden="1"/>
    <col min="14340" max="14340" width="23.1796875" style="4" hidden="1"/>
    <col min="14341" max="14341" width="40.453125" style="4" hidden="1"/>
    <col min="14342" max="14342" width="10.54296875" style="4" hidden="1"/>
    <col min="14343" max="14343" width="14" style="4" hidden="1"/>
    <col min="14344" max="14344" width="125" style="4" hidden="1"/>
    <col min="14345" max="14358" width="11.81640625" style="4" hidden="1"/>
    <col min="14359" max="14359" width="10.1796875" style="4" hidden="1"/>
    <col min="14360" max="14592" width="8.81640625" style="4" hidden="1"/>
    <col min="14593" max="14593" width="38" style="4" hidden="1"/>
    <col min="14594" max="14595" width="8.81640625" style="4" hidden="1"/>
    <col min="14596" max="14596" width="23.1796875" style="4" hidden="1"/>
    <col min="14597" max="14597" width="40.453125" style="4" hidden="1"/>
    <col min="14598" max="14598" width="10.54296875" style="4" hidden="1"/>
    <col min="14599" max="14599" width="14" style="4" hidden="1"/>
    <col min="14600" max="14600" width="125" style="4" hidden="1"/>
    <col min="14601" max="14614" width="11.81640625" style="4" hidden="1"/>
    <col min="14615" max="14615" width="10.1796875" style="4" hidden="1"/>
    <col min="14616" max="14848" width="8.81640625" style="4" hidden="1"/>
    <col min="14849" max="14849" width="38" style="4" hidden="1"/>
    <col min="14850" max="14851" width="8.81640625" style="4" hidden="1"/>
    <col min="14852" max="14852" width="23.1796875" style="4" hidden="1"/>
    <col min="14853" max="14853" width="40.453125" style="4" hidden="1"/>
    <col min="14854" max="14854" width="10.54296875" style="4" hidden="1"/>
    <col min="14855" max="14855" width="14" style="4" hidden="1"/>
    <col min="14856" max="14856" width="125" style="4" hidden="1"/>
    <col min="14857" max="14870" width="11.81640625" style="4" hidden="1"/>
    <col min="14871" max="14871" width="10.1796875" style="4" hidden="1"/>
    <col min="14872" max="15104" width="8.81640625" style="4" hidden="1"/>
    <col min="15105" max="15105" width="38" style="4" hidden="1"/>
    <col min="15106" max="15107" width="8.81640625" style="4" hidden="1"/>
    <col min="15108" max="15108" width="23.1796875" style="4" hidden="1"/>
    <col min="15109" max="15109" width="40.453125" style="4" hidden="1"/>
    <col min="15110" max="15110" width="10.54296875" style="4" hidden="1"/>
    <col min="15111" max="15111" width="14" style="4" hidden="1"/>
    <col min="15112" max="15112" width="125" style="4" hidden="1"/>
    <col min="15113" max="15126" width="11.81640625" style="4" hidden="1"/>
    <col min="15127" max="15127" width="10.1796875" style="4" hidden="1"/>
    <col min="15128" max="15360" width="8.81640625" style="4" hidden="1"/>
    <col min="15361" max="15361" width="38" style="4" hidden="1"/>
    <col min="15362" max="15363" width="8.81640625" style="4" hidden="1"/>
    <col min="15364" max="15364" width="23.1796875" style="4" hidden="1"/>
    <col min="15365" max="15365" width="40.453125" style="4" hidden="1"/>
    <col min="15366" max="15366" width="10.54296875" style="4" hidden="1"/>
    <col min="15367" max="15367" width="14" style="4" hidden="1"/>
    <col min="15368" max="15368" width="125" style="4" hidden="1"/>
    <col min="15369" max="15382" width="11.81640625" style="4" hidden="1"/>
    <col min="15383" max="15383" width="10.1796875" style="4" hidden="1"/>
    <col min="15384" max="15616" width="8.81640625" style="4" hidden="1"/>
    <col min="15617" max="15617" width="38" style="4" hidden="1"/>
    <col min="15618" max="15619" width="8.81640625" style="4" hidden="1"/>
    <col min="15620" max="15620" width="23.1796875" style="4" hidden="1"/>
    <col min="15621" max="15621" width="40.453125" style="4" hidden="1"/>
    <col min="15622" max="15622" width="10.54296875" style="4" hidden="1"/>
    <col min="15623" max="15623" width="14" style="4" hidden="1"/>
    <col min="15624" max="15624" width="125" style="4" hidden="1"/>
    <col min="15625" max="15638" width="11.81640625" style="4" hidden="1"/>
    <col min="15639" max="15639" width="10.1796875" style="4" hidden="1"/>
    <col min="15640" max="15872" width="8.81640625" style="4" hidden="1"/>
    <col min="15873" max="15873" width="38" style="4" hidden="1"/>
    <col min="15874" max="15875" width="8.81640625" style="4" hidden="1"/>
    <col min="15876" max="15876" width="23.1796875" style="4" hidden="1"/>
    <col min="15877" max="15877" width="40.453125" style="4" hidden="1"/>
    <col min="15878" max="15878" width="10.54296875" style="4" hidden="1"/>
    <col min="15879" max="15879" width="14" style="4" hidden="1"/>
    <col min="15880" max="15880" width="125" style="4" hidden="1"/>
    <col min="15881" max="15894" width="11.81640625" style="4" hidden="1"/>
    <col min="15895" max="15895" width="10.1796875" style="4" hidden="1"/>
    <col min="15896" max="16128" width="8.81640625" style="4" hidden="1"/>
    <col min="16129" max="16129" width="38" style="4" hidden="1"/>
    <col min="16130" max="16131" width="8.81640625" style="4" hidden="1"/>
    <col min="16132" max="16132" width="23.1796875" style="4" hidden="1"/>
    <col min="16133" max="16133" width="40.453125" style="4" hidden="1"/>
    <col min="16134" max="16134" width="10.54296875" style="4" hidden="1"/>
    <col min="16135" max="16135" width="14" style="4" hidden="1"/>
    <col min="16136" max="16136" width="125" style="4" hidden="1"/>
    <col min="16137" max="16150" width="11.81640625" style="4" hidden="1"/>
    <col min="16151" max="16151" width="10.1796875" style="4" hidden="1"/>
    <col min="16152" max="16384" width="8.81640625" style="4" hidden="1"/>
  </cols>
  <sheetData>
    <row r="1" spans="1:9" ht="45" x14ac:dyDescent="0.9">
      <c r="A1" s="26" t="str">
        <f>Invulinstructie_disclaimer!A2</f>
        <v>Model haalbaarheidsstudie SDE++ 2026</v>
      </c>
      <c r="I1" s="27"/>
    </row>
    <row r="2" spans="1:9" ht="11.25" customHeight="1" x14ac:dyDescent="0.9">
      <c r="A2" s="26"/>
      <c r="I2" s="27"/>
    </row>
    <row r="3" spans="1:9" ht="20.149999999999999" customHeight="1" x14ac:dyDescent="0.4">
      <c r="A3" s="28" t="s">
        <v>21</v>
      </c>
      <c r="F3" s="28"/>
      <c r="I3" s="29"/>
    </row>
    <row r="4" spans="1:9" ht="20.149999999999999" customHeight="1" x14ac:dyDescent="0.4">
      <c r="A4" s="29"/>
      <c r="I4" s="29"/>
    </row>
    <row r="5" spans="1:9" ht="18" x14ac:dyDescent="0.4">
      <c r="A5" s="28" t="s">
        <v>22</v>
      </c>
      <c r="E5" s="12"/>
    </row>
    <row r="6" spans="1:9" ht="18" x14ac:dyDescent="0.4">
      <c r="A6" s="28"/>
      <c r="E6" s="12"/>
    </row>
    <row r="7" spans="1:9" ht="12.75" customHeight="1" x14ac:dyDescent="0.35">
      <c r="A7" s="30" t="s">
        <v>23</v>
      </c>
      <c r="B7" s="262"/>
      <c r="C7" s="263"/>
      <c r="D7" s="263"/>
      <c r="E7" s="264"/>
      <c r="F7" s="31"/>
    </row>
    <row r="8" spans="1:9" ht="35.25" customHeight="1" x14ac:dyDescent="0.35">
      <c r="A8" s="32" t="s">
        <v>24</v>
      </c>
      <c r="H8" s="33" t="str">
        <f>IF(Hulpblad_overig!B4=2,"Wanneer u geen producent bent, kan aan u geen subsidie worden verleend","Voeg voor een sterkere haalbaarheidsstudie een juridisch organogram (UBO-overzicht) toe")</f>
        <v>Voeg voor een sterkere haalbaarheidsstudie een juridisch organogram (UBO-overzicht) toe</v>
      </c>
    </row>
    <row r="9" spans="1:9" ht="26.25" customHeight="1" x14ac:dyDescent="0.35">
      <c r="A9" s="34" t="s">
        <v>25</v>
      </c>
      <c r="F9" s="35"/>
    </row>
    <row r="10" spans="1:9" ht="18" customHeight="1" x14ac:dyDescent="0.35">
      <c r="A10" s="36" t="str">
        <f>IF(Hulpblad_overig!B8=2,"U maakt gebruik van balansfinanciering","U maakt gebruik van projectfinanciering, u kunt regels 11 t/m 13 overslaan")</f>
        <v>U maakt gebruik van projectfinanciering, u kunt regels 11 t/m 13 overslaan</v>
      </c>
      <c r="F10" s="37"/>
    </row>
    <row r="11" spans="1:9" ht="12.75" customHeight="1" x14ac:dyDescent="0.35">
      <c r="A11" s="32" t="str">
        <f>IF(Hulpblad_overig!B8=2,"Wat is het eigen vermogen (€)?","Niet van toepassing")</f>
        <v>Niet van toepassing</v>
      </c>
      <c r="E11" s="145">
        <v>0</v>
      </c>
      <c r="F11" s="37"/>
    </row>
    <row r="12" spans="1:9" ht="12.75" customHeight="1" x14ac:dyDescent="0.35">
      <c r="A12" s="32" t="str">
        <f>IF(Hulpblad_overig!B8=2,"Wat is het rentedragende gefinancierde vermogen (€)?","Niet van toepassing")</f>
        <v>Niet van toepassing</v>
      </c>
      <c r="E12" s="146">
        <v>0</v>
      </c>
      <c r="F12" s="37"/>
    </row>
    <row r="13" spans="1:9" ht="12.75" customHeight="1" x14ac:dyDescent="0.35">
      <c r="A13" s="32" t="str">
        <f>IF(Hulpblad_overig!B8=2,"Berekend percentage eigen vermogen voor SDE++ aanvragen (%)","Niet van toepassing")</f>
        <v>Niet van toepassing</v>
      </c>
      <c r="E13" s="147">
        <f>IF(Hulpblad_overig!B8=1,0,E11/(E11+E12))</f>
        <v>0</v>
      </c>
      <c r="F13" s="37"/>
      <c r="H13" s="6" t="str">
        <f>IF(AND(Hulpblad_overig!B8=2,E13&lt;20%),"U maakt gebruik van balansfinanciering met minder dan 20% eigen vermogen. Voeg intentieverklaringen toe van beoogde financiers voor het totaal benodigde vreemd vermogen","")</f>
        <v/>
      </c>
    </row>
    <row r="14" spans="1:9" ht="12.75" customHeight="1" x14ac:dyDescent="0.35">
      <c r="A14" s="32"/>
      <c r="E14" s="5"/>
      <c r="F14" s="37"/>
    </row>
    <row r="15" spans="1:9" ht="12.75" customHeight="1" x14ac:dyDescent="0.35">
      <c r="A15" s="32"/>
      <c r="E15" s="5"/>
      <c r="F15" s="37"/>
      <c r="H15" s="257" t="str">
        <f>IF(Hulpblad_overig!B17=1,"Voeg de meest recente (concept) jaarrekening van de aanvrager toe.",IF(Hulpblad_overig!B17=2,"Voeg een bedrijfsbalans met resultatenrekening toe",IF(Hulpblad_overig!B17=3,"Voeg een openingsbalans toe","")))</f>
        <v>Voeg de meest recente (concept) jaarrekening van de aanvrager toe.</v>
      </c>
    </row>
    <row r="16" spans="1:9" ht="12.75" customHeight="1" x14ac:dyDescent="0.35">
      <c r="A16" s="12" t="s">
        <v>26</v>
      </c>
      <c r="E16" s="5"/>
      <c r="F16" s="37"/>
      <c r="H16" s="257"/>
    </row>
    <row r="17" spans="1:22" ht="12.75" customHeight="1" x14ac:dyDescent="0.35">
      <c r="A17" s="32"/>
      <c r="E17" s="5"/>
      <c r="F17" s="37"/>
      <c r="H17" s="258" t="str">
        <f>IF(Hulpblad_overig!B17=1,"Indien de onderneming deel uitmaakt van een groter verband (zoals een holding), voeg dan in aanvulling op de jaarrekening van de aanvrager zelf, de meest recente geconsolideerde (concept) jaarrekening toe (optioneel voor een sterkere haalbaarheidstudie).","")</f>
        <v>Indien de onderneming deel uitmaakt van een groter verband (zoals een holding), voeg dan in aanvulling op de jaarrekening van de aanvrager zelf, de meest recente geconsolideerde (concept) jaarrekening toe (optioneel voor een sterkere haalbaarheidstudie).</v>
      </c>
    </row>
    <row r="18" spans="1:22" ht="12.75" customHeight="1" x14ac:dyDescent="0.4">
      <c r="A18" s="28"/>
      <c r="H18" s="258"/>
    </row>
    <row r="19" spans="1:22" ht="12.75" customHeight="1" x14ac:dyDescent="0.35">
      <c r="A19" s="32" t="s">
        <v>27</v>
      </c>
      <c r="C19" s="13"/>
      <c r="D19" s="38"/>
      <c r="E19" s="144">
        <v>1</v>
      </c>
    </row>
    <row r="20" spans="1:22" ht="12.75" customHeight="1" x14ac:dyDescent="0.35">
      <c r="A20" s="32"/>
      <c r="C20" s="13"/>
      <c r="D20" s="38"/>
    </row>
    <row r="21" spans="1:22" ht="18" customHeight="1" x14ac:dyDescent="0.4">
      <c r="A21" s="28" t="s">
        <v>28</v>
      </c>
      <c r="B21" s="7"/>
      <c r="C21" s="8"/>
      <c r="D21" s="9"/>
      <c r="E21" s="39"/>
      <c r="F21" s="30"/>
      <c r="G21" s="40"/>
    </row>
    <row r="22" spans="1:22" ht="163.5" customHeight="1" x14ac:dyDescent="0.35">
      <c r="A22" s="12"/>
      <c r="B22" s="265"/>
      <c r="C22" s="266"/>
      <c r="D22" s="266"/>
      <c r="E22" s="266"/>
      <c r="F22" s="266"/>
      <c r="G22" s="267"/>
    </row>
    <row r="23" spans="1:22" ht="19.5" customHeight="1" x14ac:dyDescent="0.35">
      <c r="C23" s="13"/>
      <c r="D23" s="38"/>
      <c r="E23" s="38"/>
    </row>
    <row r="24" spans="1:22" ht="18" customHeight="1" x14ac:dyDescent="0.4">
      <c r="A24" s="28" t="s">
        <v>29</v>
      </c>
      <c r="C24" s="13"/>
      <c r="D24" s="38"/>
      <c r="E24" s="38"/>
    </row>
    <row r="25" spans="1:22" ht="163.5" customHeight="1" x14ac:dyDescent="0.35">
      <c r="A25" s="30"/>
      <c r="B25" s="268"/>
      <c r="C25" s="269"/>
      <c r="D25" s="269"/>
      <c r="E25" s="269"/>
      <c r="F25" s="263"/>
      <c r="G25" s="264"/>
    </row>
    <row r="26" spans="1:22" x14ac:dyDescent="0.35">
      <c r="A26" s="30"/>
      <c r="C26" s="13"/>
      <c r="D26" s="38"/>
      <c r="E26" s="38"/>
    </row>
    <row r="27" spans="1:22" x14ac:dyDescent="0.35"/>
    <row r="28" spans="1:22" ht="18" x14ac:dyDescent="0.4">
      <c r="A28" s="28" t="s">
        <v>30</v>
      </c>
    </row>
    <row r="29" spans="1:22" x14ac:dyDescent="0.35">
      <c r="A29" s="12" t="s">
        <v>31</v>
      </c>
    </row>
    <row r="30" spans="1:22" ht="12.75" customHeight="1" x14ac:dyDescent="0.35">
      <c r="B30" s="270"/>
      <c r="C30" s="271"/>
      <c r="D30" s="271"/>
      <c r="E30" s="272"/>
      <c r="G30" s="145">
        <v>0</v>
      </c>
      <c r="H30" s="11" t="str">
        <f>IF(G30&gt;0,"Voeg eventueel offerte(s) toe voor "&amp;B30&amp;"","")</f>
        <v/>
      </c>
      <c r="I30" s="38"/>
      <c r="J30" s="38"/>
      <c r="K30" s="38"/>
      <c r="L30" s="38"/>
      <c r="M30" s="38"/>
      <c r="N30" s="38"/>
      <c r="O30" s="38"/>
      <c r="P30" s="38"/>
      <c r="Q30" s="38"/>
      <c r="R30" s="38"/>
      <c r="S30" s="38"/>
      <c r="T30" s="38"/>
      <c r="U30" s="38"/>
      <c r="V30" s="38"/>
    </row>
    <row r="31" spans="1:22" ht="12.75" customHeight="1" x14ac:dyDescent="0.35">
      <c r="B31" s="259"/>
      <c r="C31" s="260"/>
      <c r="D31" s="260"/>
      <c r="E31" s="261"/>
      <c r="G31" s="10">
        <v>0</v>
      </c>
      <c r="H31" s="11" t="str">
        <f t="shared" ref="H31:H39" si="0">IF(G31&gt;0,"Voeg eventueel offerte(s) toe voor "&amp;B31&amp;"","")</f>
        <v/>
      </c>
      <c r="I31" s="38"/>
      <c r="J31" s="38"/>
      <c r="K31" s="38"/>
      <c r="L31" s="38"/>
      <c r="M31" s="38"/>
      <c r="N31" s="38"/>
      <c r="O31" s="38"/>
      <c r="P31" s="38"/>
      <c r="Q31" s="38"/>
      <c r="R31" s="38"/>
      <c r="S31" s="38"/>
      <c r="T31" s="38"/>
      <c r="U31" s="38"/>
      <c r="V31" s="38"/>
    </row>
    <row r="32" spans="1:22" ht="12.75" customHeight="1" x14ac:dyDescent="0.35">
      <c r="B32" s="259"/>
      <c r="C32" s="260"/>
      <c r="D32" s="260"/>
      <c r="E32" s="261"/>
      <c r="G32" s="10">
        <v>0</v>
      </c>
      <c r="H32" s="11" t="str">
        <f t="shared" si="0"/>
        <v/>
      </c>
      <c r="I32" s="38"/>
      <c r="J32" s="38"/>
      <c r="K32" s="38"/>
      <c r="L32" s="38"/>
      <c r="M32" s="38"/>
      <c r="N32" s="38"/>
      <c r="O32" s="38"/>
      <c r="P32" s="38"/>
      <c r="Q32" s="38"/>
      <c r="R32" s="38"/>
      <c r="S32" s="38"/>
      <c r="T32" s="38"/>
      <c r="U32" s="38"/>
      <c r="V32" s="38"/>
    </row>
    <row r="33" spans="1:23" ht="12.75" customHeight="1" x14ac:dyDescent="0.35">
      <c r="B33" s="259"/>
      <c r="C33" s="260"/>
      <c r="D33" s="260"/>
      <c r="E33" s="261"/>
      <c r="G33" s="10">
        <v>0</v>
      </c>
      <c r="H33" s="11" t="str">
        <f t="shared" si="0"/>
        <v/>
      </c>
      <c r="I33" s="38"/>
      <c r="J33" s="38"/>
      <c r="K33" s="38"/>
      <c r="L33" s="38"/>
      <c r="M33" s="38"/>
      <c r="N33" s="38"/>
      <c r="O33" s="38"/>
      <c r="P33" s="38"/>
      <c r="Q33" s="38"/>
      <c r="R33" s="38"/>
      <c r="S33" s="38"/>
      <c r="T33" s="38"/>
      <c r="U33" s="38"/>
      <c r="V33" s="38"/>
    </row>
    <row r="34" spans="1:23" ht="12.75" customHeight="1" x14ac:dyDescent="0.35">
      <c r="B34" s="259"/>
      <c r="C34" s="260"/>
      <c r="D34" s="260"/>
      <c r="E34" s="261"/>
      <c r="G34" s="10">
        <v>0</v>
      </c>
      <c r="H34" s="11" t="str">
        <f t="shared" si="0"/>
        <v/>
      </c>
      <c r="I34" s="38"/>
      <c r="J34" s="38"/>
      <c r="K34" s="38"/>
      <c r="L34" s="38"/>
      <c r="M34" s="38"/>
      <c r="N34" s="38"/>
      <c r="O34" s="38"/>
      <c r="P34" s="38"/>
      <c r="Q34" s="38"/>
      <c r="R34" s="38"/>
      <c r="S34" s="38"/>
      <c r="T34" s="38"/>
      <c r="U34" s="38"/>
      <c r="V34" s="38"/>
    </row>
    <row r="35" spans="1:23" ht="12.75" customHeight="1" x14ac:dyDescent="0.35">
      <c r="B35" s="259"/>
      <c r="C35" s="276"/>
      <c r="D35" s="276"/>
      <c r="E35" s="277"/>
      <c r="G35" s="146">
        <v>0</v>
      </c>
      <c r="H35" s="11" t="str">
        <f t="shared" si="0"/>
        <v/>
      </c>
      <c r="I35" s="38"/>
      <c r="J35" s="38"/>
      <c r="K35" s="38"/>
      <c r="L35" s="38"/>
      <c r="M35" s="38"/>
      <c r="N35" s="38"/>
      <c r="O35" s="38"/>
      <c r="P35" s="38"/>
      <c r="Q35" s="38"/>
      <c r="R35" s="38"/>
      <c r="S35" s="38"/>
      <c r="T35" s="38"/>
      <c r="U35" s="38"/>
      <c r="V35" s="38"/>
    </row>
    <row r="36" spans="1:23" ht="12.75" customHeight="1" x14ac:dyDescent="0.35">
      <c r="B36" s="259"/>
      <c r="C36" s="276"/>
      <c r="D36" s="276"/>
      <c r="E36" s="277"/>
      <c r="G36" s="146">
        <v>0</v>
      </c>
      <c r="H36" s="11" t="str">
        <f t="shared" si="0"/>
        <v/>
      </c>
      <c r="I36" s="38"/>
      <c r="J36" s="38"/>
      <c r="K36" s="38"/>
      <c r="L36" s="38"/>
      <c r="M36" s="38"/>
      <c r="N36" s="38"/>
      <c r="O36" s="38"/>
      <c r="P36" s="38"/>
      <c r="Q36" s="38"/>
      <c r="R36" s="38"/>
      <c r="S36" s="38"/>
      <c r="T36" s="38"/>
      <c r="U36" s="38"/>
      <c r="V36" s="38"/>
    </row>
    <row r="37" spans="1:23" ht="12.75" customHeight="1" x14ac:dyDescent="0.35">
      <c r="B37" s="259"/>
      <c r="C37" s="276"/>
      <c r="D37" s="276"/>
      <c r="E37" s="277"/>
      <c r="G37" s="146">
        <v>0</v>
      </c>
      <c r="H37" s="11" t="str">
        <f t="shared" si="0"/>
        <v/>
      </c>
      <c r="I37" s="38"/>
      <c r="J37" s="38"/>
      <c r="K37" s="38"/>
      <c r="L37" s="38"/>
      <c r="M37" s="38"/>
      <c r="N37" s="38"/>
      <c r="O37" s="38"/>
      <c r="P37" s="38"/>
      <c r="Q37" s="38"/>
      <c r="R37" s="38"/>
      <c r="S37" s="38"/>
      <c r="T37" s="38"/>
      <c r="U37" s="38"/>
      <c r="V37" s="38"/>
    </row>
    <row r="38" spans="1:23" ht="12.75" customHeight="1" x14ac:dyDescent="0.35">
      <c r="B38" s="259"/>
      <c r="C38" s="276"/>
      <c r="D38" s="276"/>
      <c r="E38" s="277"/>
      <c r="G38" s="146">
        <v>0</v>
      </c>
      <c r="H38" s="11" t="str">
        <f t="shared" si="0"/>
        <v/>
      </c>
      <c r="I38" s="38"/>
      <c r="J38" s="38"/>
      <c r="K38" s="38"/>
      <c r="L38" s="38"/>
      <c r="M38" s="38"/>
      <c r="N38" s="38"/>
      <c r="O38" s="38"/>
      <c r="P38" s="38"/>
      <c r="Q38" s="38"/>
      <c r="R38" s="38"/>
      <c r="S38" s="38"/>
      <c r="T38" s="38"/>
      <c r="U38" s="38"/>
      <c r="V38" s="38"/>
    </row>
    <row r="39" spans="1:23" ht="12.75" customHeight="1" x14ac:dyDescent="0.35">
      <c r="A39" s="12"/>
      <c r="B39" s="278"/>
      <c r="C39" s="279"/>
      <c r="D39" s="279"/>
      <c r="E39" s="280"/>
      <c r="G39" s="159">
        <v>0</v>
      </c>
      <c r="H39" s="11" t="str">
        <f t="shared" si="0"/>
        <v/>
      </c>
      <c r="I39" s="38"/>
      <c r="J39" s="38"/>
      <c r="K39" s="38"/>
      <c r="L39" s="38"/>
      <c r="M39" s="38"/>
      <c r="N39" s="38"/>
      <c r="O39" s="38"/>
      <c r="P39" s="38"/>
      <c r="Q39" s="38"/>
      <c r="R39" s="38"/>
      <c r="S39" s="38"/>
      <c r="T39" s="38"/>
      <c r="U39" s="38"/>
      <c r="V39" s="38"/>
    </row>
    <row r="40" spans="1:23" ht="12.75" customHeight="1" x14ac:dyDescent="0.35">
      <c r="A40" s="12" t="s">
        <v>32</v>
      </c>
      <c r="B40" s="41"/>
      <c r="C40" s="41"/>
      <c r="D40" s="41"/>
      <c r="E40" s="41"/>
      <c r="G40" s="42">
        <f>SUM(G30:G39)</f>
        <v>0</v>
      </c>
      <c r="H40" s="11" t="str">
        <f>IF(G40&gt;30000000,"Voeg eventueel een liquiditeitsbegroting toe (planning wanneer u welke bedragen in het project gaat inbrengen)","")</f>
        <v/>
      </c>
      <c r="I40" s="43"/>
      <c r="J40" s="43"/>
      <c r="K40" s="43"/>
      <c r="L40" s="43"/>
      <c r="M40" s="43"/>
      <c r="N40" s="43"/>
      <c r="O40" s="43"/>
      <c r="P40" s="43"/>
      <c r="Q40" s="43"/>
      <c r="R40" s="43"/>
      <c r="S40" s="43"/>
      <c r="T40" s="43"/>
      <c r="U40" s="43"/>
      <c r="V40" s="43"/>
    </row>
    <row r="41" spans="1:23" ht="12.75" customHeight="1" x14ac:dyDescent="0.35"/>
    <row r="42" spans="1:23" ht="18" x14ac:dyDescent="0.4">
      <c r="A42" s="28" t="s">
        <v>33</v>
      </c>
    </row>
    <row r="43" spans="1:23" ht="12.75" customHeight="1" x14ac:dyDescent="0.35">
      <c r="A43" s="12" t="str">
        <f>IF(Hulpblad_overig!B8=2,"Eigen vermogen (€)","Niet van toepassing")</f>
        <v>Niet van toepassing</v>
      </c>
      <c r="G43" s="185">
        <f>IF(Hulpblad_overig!B8=2,G40*E13,0)</f>
        <v>0</v>
      </c>
    </row>
    <row r="44" spans="1:23" ht="12.75" customHeight="1" x14ac:dyDescent="0.35">
      <c r="A44" s="12" t="str">
        <f>IF(Hulpblad_overig!B8=2,"Rentedragende financiering (€)","Niet van toepassing")</f>
        <v>Niet van toepassing</v>
      </c>
      <c r="G44" s="162">
        <f>IF(Hulpblad_overig!B8=2,G40-G43,0)</f>
        <v>0</v>
      </c>
    </row>
    <row r="45" spans="1:23" x14ac:dyDescent="0.35">
      <c r="A45" s="12"/>
    </row>
    <row r="46" spans="1:23" s="30" customFormat="1" ht="13" x14ac:dyDescent="0.3">
      <c r="G46" s="42"/>
      <c r="H46" s="43"/>
      <c r="I46" s="43"/>
      <c r="J46" s="43"/>
      <c r="K46" s="43"/>
      <c r="L46" s="43"/>
      <c r="M46" s="43"/>
      <c r="N46" s="43"/>
      <c r="O46" s="43"/>
      <c r="P46" s="43"/>
      <c r="Q46" s="43"/>
      <c r="R46" s="43"/>
      <c r="S46" s="43"/>
      <c r="T46" s="43"/>
      <c r="U46" s="43"/>
      <c r="V46" s="43"/>
      <c r="W46" s="43"/>
    </row>
    <row r="47" spans="1:23" s="30" customFormat="1" ht="18" x14ac:dyDescent="0.4">
      <c r="A47" s="281" t="str">
        <f>IF(Hulpblad_overig!B8=2,"U maakt gebruik van balansfinanciering, u kunt regels 49 t/m 98 overslaan","Invulblok voor projectfinanciering")</f>
        <v>Invulblok voor projectfinanciering</v>
      </c>
      <c r="B47" s="281"/>
      <c r="C47" s="282"/>
      <c r="D47" s="282"/>
      <c r="E47" s="282"/>
      <c r="G47" s="42"/>
      <c r="H47" s="43"/>
      <c r="I47" s="43"/>
      <c r="J47" s="43"/>
      <c r="K47" s="43"/>
      <c r="L47" s="43"/>
      <c r="M47" s="43"/>
      <c r="N47" s="43"/>
      <c r="O47" s="43"/>
      <c r="P47" s="43"/>
      <c r="Q47" s="43"/>
      <c r="R47" s="43"/>
      <c r="S47" s="43"/>
      <c r="T47" s="43"/>
      <c r="U47" s="43"/>
      <c r="V47" s="43"/>
      <c r="W47" s="43"/>
    </row>
    <row r="48" spans="1:23" s="30" customFormat="1" ht="18" x14ac:dyDescent="0.4">
      <c r="A48" s="28"/>
      <c r="B48" s="4"/>
      <c r="C48" s="4"/>
      <c r="D48" s="4"/>
      <c r="E48" s="4"/>
      <c r="G48" s="42"/>
      <c r="H48" s="43"/>
      <c r="I48" s="43"/>
      <c r="J48" s="43"/>
      <c r="K48" s="43"/>
      <c r="L48" s="43"/>
      <c r="M48" s="43"/>
      <c r="N48" s="43"/>
      <c r="O48" s="43"/>
      <c r="P48" s="43"/>
      <c r="Q48" s="43"/>
      <c r="R48" s="43"/>
      <c r="S48" s="43"/>
      <c r="T48" s="43"/>
      <c r="U48" s="43"/>
      <c r="V48" s="43"/>
      <c r="W48" s="43"/>
    </row>
    <row r="49" spans="1:23" s="30" customFormat="1" x14ac:dyDescent="0.35">
      <c r="A49" s="44" t="str">
        <f>IF(Hulpblad_overig!B8=1,"Eigen vermogen","Niet van toepassing")</f>
        <v>Eigen vermogen</v>
      </c>
      <c r="B49" s="4"/>
      <c r="C49" s="4"/>
      <c r="D49" s="4"/>
      <c r="E49" s="4"/>
      <c r="G49" s="42"/>
      <c r="H49" s="43"/>
      <c r="I49" s="43"/>
      <c r="J49" s="43"/>
      <c r="K49" s="43"/>
      <c r="L49" s="43"/>
      <c r="M49" s="43"/>
      <c r="N49" s="43"/>
      <c r="O49" s="43"/>
      <c r="P49" s="43"/>
      <c r="Q49" s="43"/>
      <c r="R49" s="43"/>
      <c r="S49" s="43"/>
      <c r="T49" s="43"/>
      <c r="U49" s="43"/>
      <c r="V49" s="43"/>
      <c r="W49" s="43"/>
    </row>
    <row r="50" spans="1:23" s="30" customFormat="1" ht="12.75" customHeight="1" x14ac:dyDescent="0.35">
      <c r="A50" s="12" t="str">
        <f>IF(Hulpblad_overig!B8=1,"Geef hier eventueel aangevraagde investeringssubsidie op:","Niet van toepassing")</f>
        <v>Geef hier eventueel aangevraagde investeringssubsidie op:</v>
      </c>
      <c r="B50" s="4"/>
      <c r="C50" s="4"/>
      <c r="D50" s="4"/>
      <c r="E50" s="14"/>
      <c r="G50" s="12"/>
      <c r="H50" s="12"/>
      <c r="I50" s="43"/>
      <c r="J50" s="43"/>
      <c r="K50" s="43"/>
      <c r="L50" s="43"/>
      <c r="M50" s="43"/>
      <c r="N50" s="43"/>
      <c r="O50" s="43"/>
      <c r="P50" s="43"/>
      <c r="Q50" s="43"/>
      <c r="R50" s="43"/>
      <c r="S50" s="43"/>
      <c r="T50" s="43"/>
      <c r="U50" s="43"/>
      <c r="V50" s="43"/>
      <c r="W50" s="43"/>
    </row>
    <row r="51" spans="1:23" ht="12.75" customHeight="1" x14ac:dyDescent="0.35">
      <c r="A51" s="160" t="s">
        <v>382</v>
      </c>
      <c r="B51" s="283"/>
      <c r="C51" s="284"/>
      <c r="D51" s="284"/>
      <c r="E51" s="285"/>
      <c r="G51" s="183">
        <v>0</v>
      </c>
      <c r="H51" s="11" t="str">
        <f>IF(AND(G51&gt;0,B51=""),"U moet nog de naam van de subsidieregeling invullen","")</f>
        <v/>
      </c>
      <c r="I51" s="38"/>
      <c r="J51" s="38"/>
      <c r="K51" s="38"/>
      <c r="L51" s="38"/>
      <c r="M51" s="38"/>
      <c r="N51" s="38"/>
      <c r="O51" s="38"/>
      <c r="P51" s="38"/>
      <c r="Q51" s="38"/>
      <c r="R51" s="38"/>
      <c r="S51" s="38"/>
      <c r="T51" s="38"/>
      <c r="U51" s="38"/>
      <c r="V51" s="38"/>
    </row>
    <row r="52" spans="1:23" ht="12.75" customHeight="1" x14ac:dyDescent="0.35">
      <c r="B52" s="12" t="str">
        <f>IF(Hulpblad_overig!B8=1,"Is deze investeringssubsidie reeds verleend? (ja/nee)","Niet van toepassing")</f>
        <v>Is deze investeringssubsidie reeds verleend? (ja/nee)</v>
      </c>
      <c r="C52" s="13"/>
      <c r="D52" s="13"/>
      <c r="E52" s="13"/>
      <c r="G52" s="163"/>
      <c r="H52" s="43"/>
      <c r="I52" s="38"/>
      <c r="J52" s="38"/>
      <c r="K52" s="38"/>
      <c r="L52" s="38"/>
      <c r="M52" s="38"/>
      <c r="N52" s="38"/>
      <c r="O52" s="38"/>
      <c r="P52" s="38"/>
      <c r="Q52" s="38"/>
      <c r="R52" s="38"/>
      <c r="S52" s="38"/>
      <c r="T52" s="38"/>
      <c r="U52" s="38"/>
      <c r="V52" s="38"/>
    </row>
    <row r="53" spans="1:23" ht="12.75" customHeight="1" x14ac:dyDescent="0.35">
      <c r="B53" s="15"/>
      <c r="C53" s="13"/>
      <c r="D53" s="13"/>
      <c r="E53" s="13"/>
      <c r="F53" s="8"/>
      <c r="G53" s="186"/>
      <c r="H53" s="43"/>
      <c r="I53" s="38"/>
      <c r="J53" s="38"/>
      <c r="K53" s="38"/>
      <c r="L53" s="38"/>
      <c r="M53" s="38"/>
      <c r="N53" s="38"/>
      <c r="O53" s="38"/>
      <c r="P53" s="38"/>
      <c r="Q53" s="38"/>
      <c r="R53" s="38"/>
      <c r="S53" s="38"/>
      <c r="T53" s="38"/>
      <c r="U53" s="38"/>
      <c r="V53" s="38"/>
    </row>
    <row r="54" spans="1:23" s="30" customFormat="1" ht="17.25" customHeight="1" x14ac:dyDescent="0.35">
      <c r="A54" s="44" t="str">
        <f>IF(Hulpblad_overig!B8=1,"Nadere toelichting/omschrijving eigenvermogen","Niet van toepassing")</f>
        <v>Nadere toelichting/omschrijving eigenvermogen</v>
      </c>
      <c r="B54" s="4"/>
      <c r="C54" s="4"/>
      <c r="D54" s="4"/>
      <c r="E54" s="14"/>
      <c r="G54" s="12"/>
      <c r="H54" s="12"/>
      <c r="I54" s="43"/>
      <c r="J54" s="43"/>
      <c r="K54" s="43"/>
      <c r="L54" s="43"/>
      <c r="M54" s="43"/>
      <c r="N54" s="43"/>
      <c r="O54" s="43"/>
      <c r="P54" s="43"/>
      <c r="Q54" s="43"/>
      <c r="R54" s="43"/>
      <c r="S54" s="43"/>
      <c r="T54" s="43"/>
      <c r="U54" s="43"/>
      <c r="V54" s="43"/>
      <c r="W54" s="43"/>
    </row>
    <row r="55" spans="1:23" s="30" customFormat="1" ht="12.75" customHeight="1" x14ac:dyDescent="0.35">
      <c r="A55" s="12" t="str">
        <f>IF(Hulpblad_overig!B8=1,"Inbreng van eigen vermogen van de aanvrager zelf (€)","Niet van toepassing")</f>
        <v>Inbreng van eigen vermogen van de aanvrager zelf (€)</v>
      </c>
      <c r="B55" s="4"/>
      <c r="C55" s="4"/>
      <c r="D55" s="4"/>
      <c r="E55" s="14"/>
      <c r="G55" s="183">
        <v>0</v>
      </c>
      <c r="H55" s="11"/>
      <c r="I55" s="43"/>
      <c r="J55" s="43"/>
      <c r="K55" s="43"/>
      <c r="L55" s="43"/>
      <c r="M55" s="43"/>
      <c r="N55" s="43"/>
      <c r="O55" s="43"/>
      <c r="P55" s="43"/>
      <c r="Q55" s="43"/>
      <c r="R55" s="43"/>
      <c r="S55" s="43"/>
      <c r="T55" s="43"/>
      <c r="U55" s="43"/>
      <c r="V55" s="43"/>
      <c r="W55" s="43"/>
    </row>
    <row r="56" spans="1:23" s="30" customFormat="1" ht="12.75" customHeight="1" x14ac:dyDescent="0.3">
      <c r="A56" s="12" t="str">
        <f>IF(Hulpblad_overig!B8=1,"Verleende investeringssubsidie (€)","Niet van toepassing")</f>
        <v>Verleende investeringssubsidie (€)</v>
      </c>
      <c r="B56" s="286" t="str">
        <f>IF(OR(Hulpblad_overig!B22=2,B51=""),"",B51)</f>
        <v/>
      </c>
      <c r="C56" s="287"/>
      <c r="D56" s="287"/>
      <c r="E56" s="288"/>
      <c r="G56" s="172">
        <f>IF(Hulpblad_overig!B22=1,G51,0)</f>
        <v>0</v>
      </c>
      <c r="H56" s="11" t="str">
        <f>IF(G56&gt;0,"Voeg de subsidiebeschikking "&amp;B56&amp;" toe","")</f>
        <v/>
      </c>
      <c r="I56" s="43"/>
      <c r="J56" s="43"/>
      <c r="K56" s="43"/>
      <c r="L56" s="43"/>
      <c r="M56" s="43"/>
      <c r="N56" s="43"/>
      <c r="O56" s="43"/>
      <c r="P56" s="43"/>
      <c r="Q56" s="43"/>
      <c r="R56" s="43"/>
      <c r="S56" s="43"/>
      <c r="T56" s="43"/>
      <c r="U56" s="43"/>
      <c r="V56" s="43"/>
      <c r="W56" s="43"/>
    </row>
    <row r="57" spans="1:23" s="30" customFormat="1" ht="12.75" customHeight="1" x14ac:dyDescent="0.3">
      <c r="A57" s="12"/>
      <c r="B57" s="187"/>
      <c r="C57" s="160"/>
      <c r="D57" s="160"/>
      <c r="E57" s="160"/>
      <c r="G57" s="163"/>
      <c r="H57" s="16"/>
      <c r="I57" s="43"/>
      <c r="J57" s="43"/>
      <c r="K57" s="43"/>
      <c r="L57" s="43"/>
      <c r="M57" s="43"/>
      <c r="N57" s="43"/>
      <c r="O57" s="43"/>
      <c r="P57" s="43"/>
      <c r="Q57" s="43"/>
      <c r="R57" s="43"/>
      <c r="S57" s="43"/>
      <c r="T57" s="43"/>
      <c r="U57" s="43"/>
      <c r="V57" s="43"/>
      <c r="W57" s="43"/>
    </row>
    <row r="58" spans="1:23" s="30" customFormat="1" ht="12.75" customHeight="1" x14ac:dyDescent="0.3">
      <c r="A58" s="12" t="str">
        <f>IF(Hulpblad_overig!B8=1,"Inbreng vermogen middels crowdfunding of participaties (€) (indien van toepassing)","Niet van toepassing")</f>
        <v>Inbreng vermogen middels crowdfunding of participaties (€) (indien van toepassing)</v>
      </c>
      <c r="B58" s="187"/>
      <c r="C58" s="160"/>
      <c r="D58" s="160"/>
      <c r="E58" s="160"/>
      <c r="G58" s="178">
        <v>0</v>
      </c>
      <c r="H58" s="6" t="str">
        <f>IF(G58&gt;0,"Voeg bijlage toe met een beschrijving of prospectus voor het crowdfunding- of participatieproject waaruit blijkt dat u dit vermogen kunt inbrengen","")</f>
        <v/>
      </c>
      <c r="I58" s="43"/>
      <c r="J58" s="43"/>
      <c r="K58" s="43"/>
      <c r="L58" s="43"/>
      <c r="M58" s="43"/>
      <c r="N58" s="43"/>
      <c r="O58" s="43"/>
      <c r="P58" s="43"/>
      <c r="Q58" s="43"/>
      <c r="R58" s="43"/>
      <c r="S58" s="43"/>
      <c r="T58" s="43"/>
      <c r="U58" s="43"/>
      <c r="V58" s="43"/>
      <c r="W58" s="43"/>
    </row>
    <row r="59" spans="1:23" s="30" customFormat="1" ht="12.75" customHeight="1" x14ac:dyDescent="0.3">
      <c r="A59" s="12"/>
      <c r="B59" s="187"/>
      <c r="C59" s="160"/>
      <c r="D59" s="160"/>
      <c r="E59" s="160"/>
      <c r="G59" s="163"/>
      <c r="H59" s="17"/>
      <c r="I59" s="43"/>
      <c r="J59" s="43"/>
      <c r="K59" s="43"/>
      <c r="L59" s="43"/>
      <c r="M59" s="43"/>
      <c r="N59" s="43"/>
      <c r="O59" s="43"/>
      <c r="P59" s="43"/>
      <c r="Q59" s="43"/>
      <c r="R59" s="43"/>
      <c r="S59" s="43"/>
      <c r="T59" s="43"/>
      <c r="U59" s="43"/>
      <c r="V59" s="43"/>
      <c r="W59" s="43"/>
    </row>
    <row r="60" spans="1:23" s="30" customFormat="1" ht="12.75" customHeight="1" x14ac:dyDescent="0.3">
      <c r="A60" s="12" t="str">
        <f>IF(Hulpblad_overig!B8=1,"Namen overige eigenvermogenverschaffers en inbreng (€) (indien van toepassing)","Niet van toepassing")</f>
        <v>Namen overige eigenvermogenverschaffers en inbreng (€) (indien van toepassing)</v>
      </c>
      <c r="B60" s="160"/>
      <c r="C60" s="160"/>
      <c r="D60" s="160"/>
      <c r="E60" s="163"/>
      <c r="G60" s="42"/>
      <c r="H60" s="16"/>
      <c r="I60" s="43"/>
      <c r="J60" s="43"/>
      <c r="K60" s="43"/>
      <c r="L60" s="43"/>
      <c r="M60" s="43"/>
      <c r="N60" s="43"/>
      <c r="O60" s="43"/>
      <c r="P60" s="43"/>
      <c r="Q60" s="43"/>
      <c r="R60" s="43"/>
      <c r="S60" s="43"/>
      <c r="T60" s="43"/>
      <c r="U60" s="43"/>
      <c r="V60" s="43"/>
      <c r="W60" s="43"/>
    </row>
    <row r="61" spans="1:23" s="30" customFormat="1" ht="12.75" customHeight="1" x14ac:dyDescent="0.3">
      <c r="A61" s="12"/>
      <c r="B61" s="289"/>
      <c r="C61" s="290"/>
      <c r="D61" s="290"/>
      <c r="E61" s="291"/>
      <c r="F61" s="160"/>
      <c r="G61" s="145">
        <v>0</v>
      </c>
      <c r="H61" s="11" t="str">
        <f t="shared" ref="H61:H70" si="1">IF(G61&gt;0,"Voeg contract toe en eventueel jaarrekening of bedrijfsbalans van " &amp;B61&amp;"","")</f>
        <v/>
      </c>
      <c r="I61" s="43"/>
      <c r="J61" s="43"/>
      <c r="K61" s="43"/>
      <c r="L61" s="43"/>
      <c r="M61" s="43"/>
      <c r="N61" s="43"/>
      <c r="O61" s="43"/>
      <c r="P61" s="43"/>
      <c r="Q61" s="43"/>
      <c r="R61" s="43"/>
      <c r="S61" s="43"/>
      <c r="T61" s="43"/>
      <c r="U61" s="43"/>
      <c r="V61" s="43"/>
      <c r="W61" s="43"/>
    </row>
    <row r="62" spans="1:23" s="30" customFormat="1" ht="12.75" customHeight="1" x14ac:dyDescent="0.3">
      <c r="A62" s="12"/>
      <c r="B62" s="273"/>
      <c r="C62" s="274"/>
      <c r="D62" s="274"/>
      <c r="E62" s="275"/>
      <c r="F62" s="160"/>
      <c r="G62" s="10">
        <v>0</v>
      </c>
      <c r="H62" s="11" t="str">
        <f t="shared" si="1"/>
        <v/>
      </c>
      <c r="I62" s="43"/>
      <c r="J62" s="43"/>
      <c r="K62" s="43"/>
      <c r="L62" s="43"/>
      <c r="M62" s="43"/>
      <c r="N62" s="43"/>
      <c r="O62" s="43"/>
      <c r="P62" s="43"/>
      <c r="Q62" s="43"/>
      <c r="R62" s="43"/>
      <c r="S62" s="43"/>
      <c r="T62" s="43"/>
      <c r="U62" s="43"/>
      <c r="V62" s="43"/>
      <c r="W62" s="43"/>
    </row>
    <row r="63" spans="1:23" s="30" customFormat="1" ht="12.75" customHeight="1" x14ac:dyDescent="0.3">
      <c r="A63" s="12"/>
      <c r="B63" s="273"/>
      <c r="C63" s="274"/>
      <c r="D63" s="274"/>
      <c r="E63" s="275"/>
      <c r="F63" s="160"/>
      <c r="G63" s="10">
        <v>0</v>
      </c>
      <c r="H63" s="11" t="str">
        <f t="shared" si="1"/>
        <v/>
      </c>
      <c r="I63" s="43"/>
      <c r="J63" s="43"/>
      <c r="K63" s="43"/>
      <c r="L63" s="43"/>
      <c r="M63" s="43"/>
      <c r="N63" s="43"/>
      <c r="O63" s="43"/>
      <c r="P63" s="43"/>
      <c r="Q63" s="43"/>
      <c r="R63" s="43"/>
      <c r="S63" s="43"/>
      <c r="T63" s="43"/>
      <c r="U63" s="43"/>
      <c r="V63" s="43"/>
      <c r="W63" s="43"/>
    </row>
    <row r="64" spans="1:23" s="30" customFormat="1" ht="12.75" customHeight="1" x14ac:dyDescent="0.3">
      <c r="A64" s="12"/>
      <c r="B64" s="273"/>
      <c r="C64" s="274"/>
      <c r="D64" s="274"/>
      <c r="E64" s="275"/>
      <c r="F64" s="160"/>
      <c r="G64" s="10">
        <v>0</v>
      </c>
      <c r="H64" s="11" t="str">
        <f t="shared" si="1"/>
        <v/>
      </c>
      <c r="I64" s="43"/>
      <c r="J64" s="43"/>
      <c r="K64" s="43"/>
      <c r="L64" s="43"/>
      <c r="M64" s="43"/>
      <c r="N64" s="43"/>
      <c r="O64" s="43"/>
      <c r="P64" s="43"/>
      <c r="Q64" s="43"/>
      <c r="R64" s="43"/>
      <c r="S64" s="43"/>
      <c r="T64" s="43"/>
      <c r="U64" s="43"/>
      <c r="V64" s="43"/>
      <c r="W64" s="43"/>
    </row>
    <row r="65" spans="1:23" s="30" customFormat="1" ht="12.75" customHeight="1" x14ac:dyDescent="0.3">
      <c r="A65" s="12"/>
      <c r="B65" s="273"/>
      <c r="C65" s="274"/>
      <c r="D65" s="274"/>
      <c r="E65" s="275"/>
      <c r="F65" s="160"/>
      <c r="G65" s="10">
        <v>0</v>
      </c>
      <c r="H65" s="11" t="str">
        <f t="shared" si="1"/>
        <v/>
      </c>
      <c r="I65" s="43"/>
      <c r="J65" s="43"/>
      <c r="K65" s="43"/>
      <c r="L65" s="43"/>
      <c r="M65" s="43"/>
      <c r="N65" s="43"/>
      <c r="O65" s="43"/>
      <c r="P65" s="43"/>
      <c r="Q65" s="43"/>
      <c r="R65" s="43"/>
      <c r="S65" s="43"/>
      <c r="T65" s="43"/>
      <c r="U65" s="43"/>
      <c r="V65" s="43"/>
      <c r="W65" s="43"/>
    </row>
    <row r="66" spans="1:23" s="30" customFormat="1" ht="12.75" customHeight="1" x14ac:dyDescent="0.3">
      <c r="A66" s="12"/>
      <c r="B66" s="273"/>
      <c r="C66" s="292"/>
      <c r="D66" s="292"/>
      <c r="E66" s="293"/>
      <c r="F66" s="160"/>
      <c r="G66" s="146">
        <v>0</v>
      </c>
      <c r="H66" s="11" t="str">
        <f t="shared" si="1"/>
        <v/>
      </c>
      <c r="I66" s="43"/>
      <c r="J66" s="43"/>
      <c r="K66" s="43"/>
      <c r="L66" s="43"/>
      <c r="M66" s="43"/>
      <c r="N66" s="43"/>
      <c r="O66" s="43"/>
      <c r="P66" s="43"/>
      <c r="Q66" s="43"/>
      <c r="R66" s="43"/>
      <c r="S66" s="43"/>
      <c r="T66" s="43"/>
      <c r="U66" s="43"/>
      <c r="V66" s="43"/>
      <c r="W66" s="43"/>
    </row>
    <row r="67" spans="1:23" s="30" customFormat="1" ht="12.75" customHeight="1" x14ac:dyDescent="0.3">
      <c r="A67" s="12"/>
      <c r="B67" s="273"/>
      <c r="C67" s="292"/>
      <c r="D67" s="292"/>
      <c r="E67" s="293"/>
      <c r="F67" s="160"/>
      <c r="G67" s="146">
        <v>0</v>
      </c>
      <c r="H67" s="11" t="str">
        <f t="shared" si="1"/>
        <v/>
      </c>
      <c r="I67" s="43"/>
      <c r="J67" s="43"/>
      <c r="K67" s="43"/>
      <c r="L67" s="43"/>
      <c r="M67" s="43"/>
      <c r="N67" s="43"/>
      <c r="O67" s="43"/>
      <c r="P67" s="43"/>
      <c r="Q67" s="43"/>
      <c r="R67" s="43"/>
      <c r="S67" s="43"/>
      <c r="T67" s="43"/>
      <c r="U67" s="43"/>
      <c r="V67" s="43"/>
      <c r="W67" s="43"/>
    </row>
    <row r="68" spans="1:23" s="30" customFormat="1" ht="12.75" customHeight="1" x14ac:dyDescent="0.3">
      <c r="A68" s="12"/>
      <c r="B68" s="273"/>
      <c r="C68" s="292"/>
      <c r="D68" s="292"/>
      <c r="E68" s="293"/>
      <c r="F68" s="160"/>
      <c r="G68" s="146">
        <v>0</v>
      </c>
      <c r="H68" s="11" t="str">
        <f t="shared" si="1"/>
        <v/>
      </c>
      <c r="I68" s="43"/>
      <c r="J68" s="43"/>
      <c r="K68" s="43"/>
      <c r="L68" s="43"/>
      <c r="M68" s="43"/>
      <c r="N68" s="43"/>
      <c r="O68" s="43"/>
      <c r="P68" s="43"/>
      <c r="Q68" s="43"/>
      <c r="R68" s="43"/>
      <c r="S68" s="43"/>
      <c r="T68" s="43"/>
      <c r="U68" s="43"/>
      <c r="V68" s="43"/>
      <c r="W68" s="43"/>
    </row>
    <row r="69" spans="1:23" s="30" customFormat="1" ht="12.75" customHeight="1" x14ac:dyDescent="0.3">
      <c r="A69" s="12"/>
      <c r="B69" s="273"/>
      <c r="C69" s="292"/>
      <c r="D69" s="292"/>
      <c r="E69" s="293"/>
      <c r="F69" s="160"/>
      <c r="G69" s="146">
        <v>0</v>
      </c>
      <c r="H69" s="11" t="str">
        <f t="shared" si="1"/>
        <v/>
      </c>
      <c r="I69" s="43"/>
      <c r="J69" s="43"/>
      <c r="K69" s="43"/>
      <c r="L69" s="43"/>
      <c r="M69" s="43"/>
      <c r="N69" s="43"/>
      <c r="O69" s="43"/>
      <c r="P69" s="43"/>
      <c r="Q69" s="43"/>
      <c r="R69" s="43"/>
      <c r="S69" s="43"/>
      <c r="T69" s="43"/>
      <c r="U69" s="43"/>
      <c r="V69" s="43"/>
      <c r="W69" s="43"/>
    </row>
    <row r="70" spans="1:23" s="30" customFormat="1" ht="12.75" customHeight="1" x14ac:dyDescent="0.3">
      <c r="A70" s="12"/>
      <c r="B70" s="294"/>
      <c r="C70" s="295"/>
      <c r="D70" s="295"/>
      <c r="E70" s="296"/>
      <c r="F70" s="160"/>
      <c r="G70" s="159">
        <v>0</v>
      </c>
      <c r="H70" s="11" t="str">
        <f t="shared" si="1"/>
        <v/>
      </c>
      <c r="I70" s="43"/>
      <c r="J70" s="43"/>
      <c r="K70" s="43"/>
      <c r="L70" s="43"/>
      <c r="M70" s="43"/>
      <c r="N70" s="43"/>
      <c r="O70" s="43"/>
      <c r="P70" s="43"/>
      <c r="Q70" s="43"/>
      <c r="R70" s="43"/>
      <c r="S70" s="43"/>
      <c r="T70" s="43"/>
      <c r="U70" s="43"/>
      <c r="V70" s="43"/>
      <c r="W70" s="43"/>
    </row>
    <row r="71" spans="1:23" s="30" customFormat="1" ht="12.75" customHeight="1" x14ac:dyDescent="0.3">
      <c r="A71" s="12" t="str">
        <f>IF(Hulpblad_overig!B8=1,"Namen verschaffers achtergestelde leningen en hoogte lening (€)","Niet van toepassing")</f>
        <v>Namen verschaffers achtergestelde leningen en hoogte lening (€)</v>
      </c>
      <c r="B71" s="12"/>
      <c r="C71" s="160"/>
      <c r="D71" s="160"/>
      <c r="E71" s="160"/>
      <c r="F71" s="160"/>
      <c r="G71" s="163"/>
      <c r="H71" s="16"/>
      <c r="I71" s="43"/>
      <c r="J71" s="43"/>
      <c r="K71" s="43"/>
      <c r="L71" s="43"/>
      <c r="M71" s="43"/>
      <c r="N71" s="43"/>
      <c r="O71" s="43"/>
      <c r="P71" s="43"/>
      <c r="Q71" s="43"/>
      <c r="R71" s="43"/>
      <c r="S71" s="43"/>
      <c r="T71" s="43"/>
      <c r="U71" s="43"/>
      <c r="V71" s="43"/>
      <c r="W71" s="43"/>
    </row>
    <row r="72" spans="1:23" s="30" customFormat="1" ht="12.75" customHeight="1" x14ac:dyDescent="0.3">
      <c r="A72" s="12"/>
      <c r="B72" s="289"/>
      <c r="C72" s="297"/>
      <c r="D72" s="297"/>
      <c r="E72" s="298"/>
      <c r="F72" s="160"/>
      <c r="G72" s="145">
        <v>0</v>
      </c>
      <c r="H72" s="11" t="str">
        <f>IF(G72&gt;0,"Voeg contract achtergestelde lening toe van " &amp;B72&amp;"","")</f>
        <v/>
      </c>
      <c r="I72" s="43"/>
      <c r="J72" s="43"/>
      <c r="K72" s="43"/>
      <c r="L72" s="43"/>
      <c r="M72" s="43"/>
      <c r="N72" s="43"/>
      <c r="O72" s="43"/>
      <c r="P72" s="43"/>
      <c r="Q72" s="43"/>
      <c r="R72" s="43"/>
      <c r="S72" s="43"/>
      <c r="T72" s="43"/>
      <c r="U72" s="43"/>
      <c r="V72" s="43"/>
      <c r="W72" s="43"/>
    </row>
    <row r="73" spans="1:23" s="30" customFormat="1" ht="12.75" customHeight="1" x14ac:dyDescent="0.3">
      <c r="A73" s="12"/>
      <c r="B73" s="273"/>
      <c r="C73" s="292"/>
      <c r="D73" s="292"/>
      <c r="E73" s="293"/>
      <c r="F73" s="160"/>
      <c r="G73" s="146">
        <v>0</v>
      </c>
      <c r="H73" s="11" t="str">
        <f>IF(G73&gt;0,"Voeg contract achtergestelde lening toe van " &amp;B73&amp;"","")</f>
        <v/>
      </c>
      <c r="I73" s="43"/>
      <c r="J73" s="43"/>
      <c r="K73" s="43"/>
      <c r="L73" s="43"/>
      <c r="M73" s="43"/>
      <c r="N73" s="43"/>
      <c r="O73" s="43"/>
      <c r="P73" s="43"/>
      <c r="Q73" s="43"/>
      <c r="R73" s="43"/>
      <c r="S73" s="43"/>
      <c r="T73" s="43"/>
      <c r="U73" s="43"/>
      <c r="V73" s="43"/>
      <c r="W73" s="43"/>
    </row>
    <row r="74" spans="1:23" s="30" customFormat="1" ht="12.75" customHeight="1" x14ac:dyDescent="0.3">
      <c r="A74" s="12"/>
      <c r="B74" s="273"/>
      <c r="C74" s="292"/>
      <c r="D74" s="292"/>
      <c r="E74" s="293"/>
      <c r="F74" s="160"/>
      <c r="G74" s="146">
        <v>0</v>
      </c>
      <c r="H74" s="11" t="str">
        <f>IF(G74&gt;0,"Voeg contract achtergestelde lening toe van " &amp;B74&amp;"","")</f>
        <v/>
      </c>
      <c r="I74" s="43"/>
      <c r="J74" s="43"/>
      <c r="K74" s="43"/>
      <c r="L74" s="43"/>
      <c r="M74" s="43"/>
      <c r="N74" s="43"/>
      <c r="O74" s="43"/>
      <c r="P74" s="43"/>
      <c r="Q74" s="43"/>
      <c r="R74" s="43"/>
      <c r="S74" s="43"/>
      <c r="T74" s="43"/>
      <c r="U74" s="43"/>
      <c r="V74" s="43"/>
      <c r="W74" s="43"/>
    </row>
    <row r="75" spans="1:23" s="30" customFormat="1" ht="12.75" customHeight="1" x14ac:dyDescent="0.3">
      <c r="A75" s="12"/>
      <c r="B75" s="273"/>
      <c r="C75" s="292"/>
      <c r="D75" s="292"/>
      <c r="E75" s="293"/>
      <c r="F75" s="160"/>
      <c r="G75" s="146">
        <v>0</v>
      </c>
      <c r="H75" s="11" t="str">
        <f>IF(G75&gt;0,"Voeg contract achtergestelde lening toe van " &amp;B75&amp;"","")</f>
        <v/>
      </c>
      <c r="I75" s="43"/>
      <c r="J75" s="43"/>
      <c r="K75" s="43"/>
      <c r="L75" s="43"/>
      <c r="M75" s="43"/>
      <c r="N75" s="43"/>
      <c r="O75" s="43"/>
      <c r="P75" s="43"/>
      <c r="Q75" s="43"/>
      <c r="R75" s="43"/>
      <c r="S75" s="43"/>
      <c r="T75" s="43"/>
      <c r="U75" s="43"/>
      <c r="V75" s="43"/>
      <c r="W75" s="43"/>
    </row>
    <row r="76" spans="1:23" s="30" customFormat="1" ht="12.75" customHeight="1" x14ac:dyDescent="0.3">
      <c r="A76" s="12"/>
      <c r="B76" s="294"/>
      <c r="C76" s="295"/>
      <c r="D76" s="295"/>
      <c r="E76" s="296"/>
      <c r="F76" s="160"/>
      <c r="G76" s="159">
        <v>0</v>
      </c>
      <c r="H76" s="11" t="str">
        <f>IF(G76&gt;0,"Voeg contract achtergestelde lening toe van " &amp;B76&amp;"","")</f>
        <v/>
      </c>
      <c r="I76" s="43"/>
      <c r="J76" s="43"/>
      <c r="K76" s="43"/>
      <c r="L76" s="43"/>
      <c r="M76" s="43"/>
      <c r="N76" s="43"/>
      <c r="O76" s="43"/>
      <c r="P76" s="43"/>
      <c r="Q76" s="43"/>
      <c r="R76" s="43"/>
      <c r="S76" s="43"/>
      <c r="T76" s="43"/>
      <c r="U76" s="43"/>
      <c r="V76" s="43"/>
      <c r="W76" s="43"/>
    </row>
    <row r="77" spans="1:23" s="30" customFormat="1" ht="12.75" customHeight="1" x14ac:dyDescent="0.3">
      <c r="A77" s="30" t="str">
        <f>IF(Hulpblad_overig!B8=1,"Totale inbreng van eigen vermogen (€)","Niet van toepassing")</f>
        <v>Totale inbreng van eigen vermogen (€)</v>
      </c>
      <c r="F77" s="160"/>
      <c r="G77" s="42">
        <f>SUM(G55:G76)</f>
        <v>0</v>
      </c>
      <c r="H77" s="11"/>
      <c r="I77" s="43"/>
      <c r="J77" s="43"/>
      <c r="K77" s="43"/>
      <c r="L77" s="43"/>
      <c r="M77" s="43"/>
      <c r="N77" s="43"/>
      <c r="O77" s="43"/>
      <c r="P77" s="43"/>
      <c r="Q77" s="43"/>
      <c r="R77" s="43"/>
      <c r="S77" s="43"/>
      <c r="T77" s="43"/>
      <c r="U77" s="43"/>
      <c r="V77" s="43"/>
      <c r="W77" s="43"/>
    </row>
    <row r="78" spans="1:23" s="30" customFormat="1" ht="12.75" customHeight="1" x14ac:dyDescent="0.3">
      <c r="A78" s="12" t="str">
        <f>IF(Hulpblad_overig!B8=1,"Eigen vermogen in te brengen in dit project of projecten (%)","Niet van toepassing")</f>
        <v>Eigen vermogen in te brengen in dit project of projecten (%)</v>
      </c>
      <c r="B78" s="160"/>
      <c r="C78" s="160"/>
      <c r="D78" s="160"/>
      <c r="G78" s="45" t="e">
        <f>IF(Hulpblad_overig!B8=2,0,G77/G40)</f>
        <v>#DIV/0!</v>
      </c>
      <c r="H78" s="11" t="str">
        <f>IFERROR(IF(AND(Hulpblad_overig!B8=1,$G$78&lt;20%),"U brengt minder dan 20% eigen vermogen in. Voeg intentieverklaringen toe van beoogde financiers voor het totaal benodigde vreemd vermogen",""),"Percentage kan niet worden berekend. Er zijn nog geen investeringskosten ingevuld!")</f>
        <v>Percentage kan niet worden berekend. Er zijn nog geen investeringskosten ingevuld!</v>
      </c>
      <c r="I78" s="43"/>
      <c r="J78" s="43"/>
      <c r="K78" s="43"/>
      <c r="L78" s="43"/>
      <c r="M78" s="43"/>
      <c r="N78" s="43"/>
      <c r="O78" s="43"/>
      <c r="P78" s="43"/>
      <c r="Q78" s="43"/>
      <c r="R78" s="43"/>
      <c r="S78" s="43"/>
      <c r="T78" s="43"/>
      <c r="U78" s="43"/>
      <c r="V78" s="43"/>
      <c r="W78" s="43"/>
    </row>
    <row r="79" spans="1:23" s="30" customFormat="1" ht="12.75" customHeight="1" x14ac:dyDescent="0.3">
      <c r="F79" s="160"/>
      <c r="G79" s="42"/>
      <c r="H79" s="11"/>
      <c r="I79" s="43"/>
      <c r="J79" s="43"/>
      <c r="K79" s="43"/>
      <c r="L79" s="43"/>
      <c r="M79" s="43"/>
      <c r="N79" s="43"/>
      <c r="O79" s="43"/>
      <c r="P79" s="43"/>
      <c r="Q79" s="43"/>
      <c r="R79" s="43"/>
      <c r="S79" s="43"/>
      <c r="T79" s="43"/>
      <c r="U79" s="43"/>
      <c r="V79" s="43"/>
      <c r="W79" s="43"/>
    </row>
    <row r="80" spans="1:23" s="30" customFormat="1" ht="12.75" customHeight="1" x14ac:dyDescent="0.3">
      <c r="G80" s="42"/>
      <c r="H80" s="43"/>
      <c r="I80" s="43"/>
      <c r="J80" s="43"/>
      <c r="K80" s="43"/>
      <c r="L80" s="43"/>
      <c r="M80" s="43"/>
      <c r="N80" s="43"/>
      <c r="O80" s="43"/>
      <c r="P80" s="43"/>
      <c r="Q80" s="43"/>
      <c r="R80" s="43"/>
      <c r="S80" s="43"/>
      <c r="T80" s="43"/>
      <c r="U80" s="43"/>
      <c r="V80" s="43"/>
      <c r="W80" s="43"/>
    </row>
    <row r="81" spans="1:23" s="30" customFormat="1" ht="12.75" customHeight="1" x14ac:dyDescent="0.3">
      <c r="A81" s="30" t="str">
        <f>IF(Hulpblad_overig!B8=1,"Vreemd vermogen of lease","Niet van toepassing")</f>
        <v>Vreemd vermogen of lease</v>
      </c>
      <c r="G81" s="42"/>
      <c r="H81" s="43"/>
      <c r="I81" s="43"/>
      <c r="J81" s="43"/>
      <c r="K81" s="43"/>
      <c r="L81" s="43"/>
      <c r="M81" s="43"/>
      <c r="N81" s="43"/>
      <c r="O81" s="43"/>
      <c r="P81" s="43"/>
      <c r="Q81" s="43"/>
      <c r="R81" s="43"/>
      <c r="S81" s="43"/>
      <c r="T81" s="43"/>
      <c r="U81" s="43"/>
      <c r="V81" s="43"/>
      <c r="W81" s="43"/>
    </row>
    <row r="82" spans="1:23" s="160" customFormat="1" ht="12.75" customHeight="1" x14ac:dyDescent="0.25"/>
    <row r="83" spans="1:23" s="30" customFormat="1" ht="12.75" customHeight="1" x14ac:dyDescent="0.3">
      <c r="A83" s="12" t="str">
        <f>IF(Hulpblad_overig!B8=1,"Namen beoogde financiers (eventueel leasemaatschappij) en hoogte lening (€) (indien van toepassing)","Niet van toepassing")</f>
        <v>Namen beoogde financiers (eventueel leasemaatschappij) en hoogte lening (€) (indien van toepassing)</v>
      </c>
      <c r="B83" s="160"/>
      <c r="C83" s="160"/>
      <c r="D83" s="160"/>
      <c r="E83" s="163"/>
      <c r="G83" s="42"/>
      <c r="H83" s="43"/>
      <c r="I83" s="43"/>
      <c r="J83" s="43"/>
      <c r="K83" s="43"/>
      <c r="L83" s="43"/>
      <c r="M83" s="43"/>
      <c r="N83" s="43"/>
      <c r="O83" s="43"/>
      <c r="P83" s="43"/>
      <c r="Q83" s="43"/>
      <c r="R83" s="43"/>
      <c r="S83" s="43"/>
      <c r="T83" s="43"/>
      <c r="U83" s="43"/>
      <c r="V83" s="43"/>
      <c r="W83" s="43"/>
    </row>
    <row r="84" spans="1:23" s="30" customFormat="1" ht="12.75" customHeight="1" x14ac:dyDescent="0.3">
      <c r="A84" s="12"/>
      <c r="B84" s="289"/>
      <c r="C84" s="290"/>
      <c r="D84" s="290"/>
      <c r="E84" s="291"/>
      <c r="G84" s="145">
        <v>0</v>
      </c>
      <c r="H84" s="11" t="str">
        <f t="shared" ref="H84:H93" si="2">IFERROR(IF(AND(G84&gt;0,$G$78&gt;20%),
"Voeg eventueel contract, offerte of intentieverklaring toe van "&amp;B84&amp;"",
IF(AND($G$78&lt;20%,G84&gt;0),"Voeg contract, offerte of intentieverklaring toe van "&amp;B84&amp;"","")),"")</f>
        <v/>
      </c>
      <c r="I84" s="43"/>
      <c r="J84" s="43"/>
      <c r="K84" s="43"/>
      <c r="L84" s="43"/>
      <c r="M84" s="43"/>
      <c r="N84" s="43"/>
      <c r="O84" s="43"/>
      <c r="P84" s="43"/>
      <c r="Q84" s="43"/>
      <c r="R84" s="43"/>
      <c r="S84" s="43"/>
      <c r="T84" s="43"/>
      <c r="U84" s="43"/>
      <c r="V84" s="43"/>
      <c r="W84" s="43"/>
    </row>
    <row r="85" spans="1:23" s="30" customFormat="1" ht="12.75" customHeight="1" x14ac:dyDescent="0.3">
      <c r="A85" s="12"/>
      <c r="B85" s="273"/>
      <c r="C85" s="274"/>
      <c r="D85" s="274"/>
      <c r="E85" s="275"/>
      <c r="G85" s="10">
        <v>0</v>
      </c>
      <c r="H85" s="11" t="str">
        <f t="shared" si="2"/>
        <v/>
      </c>
      <c r="I85" s="43"/>
      <c r="J85" s="43"/>
      <c r="K85" s="43"/>
      <c r="L85" s="43"/>
      <c r="M85" s="43"/>
      <c r="N85" s="43"/>
      <c r="O85" s="43"/>
      <c r="P85" s="43"/>
      <c r="Q85" s="43"/>
      <c r="R85" s="43"/>
      <c r="S85" s="43"/>
      <c r="T85" s="43"/>
      <c r="U85" s="43"/>
      <c r="V85" s="43"/>
      <c r="W85" s="43"/>
    </row>
    <row r="86" spans="1:23" s="30" customFormat="1" ht="12.75" customHeight="1" x14ac:dyDescent="0.3">
      <c r="A86" s="12"/>
      <c r="B86" s="273"/>
      <c r="C86" s="274"/>
      <c r="D86" s="274"/>
      <c r="E86" s="275"/>
      <c r="G86" s="10">
        <v>0</v>
      </c>
      <c r="H86" s="11" t="str">
        <f t="shared" si="2"/>
        <v/>
      </c>
      <c r="I86" s="43"/>
      <c r="J86" s="43"/>
      <c r="K86" s="43"/>
      <c r="L86" s="43"/>
      <c r="M86" s="43"/>
      <c r="N86" s="43"/>
      <c r="O86" s="43"/>
      <c r="P86" s="43"/>
      <c r="Q86" s="43"/>
      <c r="R86" s="43"/>
      <c r="S86" s="43"/>
      <c r="T86" s="43"/>
      <c r="U86" s="43"/>
      <c r="V86" s="43"/>
      <c r="W86" s="43"/>
    </row>
    <row r="87" spans="1:23" s="30" customFormat="1" ht="12.75" customHeight="1" x14ac:dyDescent="0.3">
      <c r="A87" s="12"/>
      <c r="B87" s="273"/>
      <c r="C87" s="274"/>
      <c r="D87" s="274"/>
      <c r="E87" s="275"/>
      <c r="G87" s="10">
        <v>0</v>
      </c>
      <c r="H87" s="11" t="str">
        <f t="shared" si="2"/>
        <v/>
      </c>
      <c r="I87" s="43"/>
      <c r="J87" s="43"/>
      <c r="K87" s="43"/>
      <c r="L87" s="43"/>
      <c r="M87" s="43"/>
      <c r="N87" s="43"/>
      <c r="O87" s="43"/>
      <c r="P87" s="43"/>
      <c r="Q87" s="43"/>
      <c r="R87" s="43"/>
      <c r="S87" s="43"/>
      <c r="T87" s="43"/>
      <c r="U87" s="43"/>
      <c r="V87" s="43"/>
      <c r="W87" s="43"/>
    </row>
    <row r="88" spans="1:23" s="30" customFormat="1" ht="12.75" customHeight="1" x14ac:dyDescent="0.3">
      <c r="A88" s="12"/>
      <c r="B88" s="273"/>
      <c r="C88" s="274"/>
      <c r="D88" s="274"/>
      <c r="E88" s="275"/>
      <c r="G88" s="10">
        <v>0</v>
      </c>
      <c r="H88" s="11" t="str">
        <f t="shared" si="2"/>
        <v/>
      </c>
      <c r="I88" s="43"/>
      <c r="J88" s="43"/>
      <c r="K88" s="43"/>
      <c r="L88" s="43"/>
      <c r="M88" s="43"/>
      <c r="N88" s="43"/>
      <c r="O88" s="43"/>
      <c r="P88" s="43"/>
      <c r="Q88" s="43"/>
      <c r="R88" s="43"/>
      <c r="S88" s="43"/>
      <c r="T88" s="43"/>
      <c r="U88" s="43"/>
      <c r="V88" s="43"/>
      <c r="W88" s="43"/>
    </row>
    <row r="89" spans="1:23" s="30" customFormat="1" ht="12.75" customHeight="1" x14ac:dyDescent="0.3">
      <c r="A89" s="12"/>
      <c r="B89" s="273"/>
      <c r="C89" s="292"/>
      <c r="D89" s="292"/>
      <c r="E89" s="293"/>
      <c r="G89" s="146">
        <v>0</v>
      </c>
      <c r="H89" s="11" t="str">
        <f t="shared" si="2"/>
        <v/>
      </c>
      <c r="I89" s="43"/>
      <c r="J89" s="43"/>
      <c r="K89" s="43"/>
      <c r="L89" s="43"/>
      <c r="M89" s="43"/>
      <c r="N89" s="43"/>
      <c r="O89" s="43"/>
      <c r="P89" s="43"/>
      <c r="Q89" s="43"/>
      <c r="R89" s="43"/>
      <c r="S89" s="43"/>
      <c r="T89" s="43"/>
      <c r="U89" s="43"/>
      <c r="V89" s="43"/>
      <c r="W89" s="43"/>
    </row>
    <row r="90" spans="1:23" s="30" customFormat="1" ht="12.75" customHeight="1" x14ac:dyDescent="0.3">
      <c r="A90" s="12"/>
      <c r="B90" s="273"/>
      <c r="C90" s="292"/>
      <c r="D90" s="292"/>
      <c r="E90" s="293"/>
      <c r="G90" s="146">
        <v>0</v>
      </c>
      <c r="H90" s="11" t="str">
        <f t="shared" si="2"/>
        <v/>
      </c>
      <c r="I90" s="43"/>
      <c r="J90" s="43"/>
      <c r="K90" s="43"/>
      <c r="L90" s="43"/>
      <c r="M90" s="43"/>
      <c r="N90" s="43"/>
      <c r="O90" s="43"/>
      <c r="P90" s="43"/>
      <c r="Q90" s="43"/>
      <c r="R90" s="43"/>
      <c r="S90" s="43"/>
      <c r="T90" s="43"/>
      <c r="U90" s="43"/>
      <c r="V90" s="43"/>
      <c r="W90" s="43"/>
    </row>
    <row r="91" spans="1:23" s="30" customFormat="1" ht="12.75" customHeight="1" x14ac:dyDescent="0.3">
      <c r="A91" s="12"/>
      <c r="B91" s="273"/>
      <c r="C91" s="292"/>
      <c r="D91" s="292"/>
      <c r="E91" s="293"/>
      <c r="G91" s="146">
        <v>0</v>
      </c>
      <c r="H91" s="11" t="str">
        <f t="shared" si="2"/>
        <v/>
      </c>
      <c r="I91" s="43"/>
      <c r="J91" s="43"/>
      <c r="K91" s="43"/>
      <c r="L91" s="43"/>
      <c r="M91" s="43"/>
      <c r="N91" s="43"/>
      <c r="O91" s="43"/>
      <c r="P91" s="43"/>
      <c r="Q91" s="43"/>
      <c r="R91" s="43"/>
      <c r="S91" s="43"/>
      <c r="T91" s="43"/>
      <c r="U91" s="43"/>
      <c r="V91" s="43"/>
      <c r="W91" s="43"/>
    </row>
    <row r="92" spans="1:23" s="30" customFormat="1" ht="12.75" customHeight="1" x14ac:dyDescent="0.3">
      <c r="A92" s="12"/>
      <c r="B92" s="273"/>
      <c r="C92" s="292"/>
      <c r="D92" s="292"/>
      <c r="E92" s="293"/>
      <c r="G92" s="146">
        <v>0</v>
      </c>
      <c r="H92" s="11" t="str">
        <f t="shared" si="2"/>
        <v/>
      </c>
      <c r="I92" s="43"/>
      <c r="J92" s="43"/>
      <c r="K92" s="43"/>
      <c r="L92" s="43"/>
      <c r="M92" s="43"/>
      <c r="N92" s="43"/>
      <c r="O92" s="43"/>
      <c r="P92" s="43"/>
      <c r="Q92" s="43"/>
      <c r="R92" s="43"/>
      <c r="S92" s="43"/>
      <c r="T92" s="43"/>
      <c r="U92" s="43"/>
      <c r="V92" s="43"/>
      <c r="W92" s="43"/>
    </row>
    <row r="93" spans="1:23" s="160" customFormat="1" ht="12.75" customHeight="1" x14ac:dyDescent="0.3">
      <c r="B93" s="294"/>
      <c r="C93" s="295"/>
      <c r="D93" s="295"/>
      <c r="E93" s="296"/>
      <c r="G93" s="159">
        <v>0</v>
      </c>
      <c r="H93" s="11" t="str">
        <f t="shared" si="2"/>
        <v/>
      </c>
      <c r="I93" s="164"/>
      <c r="J93" s="164"/>
      <c r="K93" s="164"/>
      <c r="L93" s="164"/>
      <c r="M93" s="164"/>
      <c r="N93" s="164"/>
      <c r="O93" s="164"/>
      <c r="P93" s="164"/>
      <c r="Q93" s="164"/>
      <c r="R93" s="164"/>
      <c r="S93" s="164"/>
      <c r="T93" s="164"/>
      <c r="U93" s="164"/>
      <c r="V93" s="164"/>
    </row>
    <row r="94" spans="1:23" s="160" customFormat="1" ht="12.75" customHeight="1" x14ac:dyDescent="0.3">
      <c r="A94" s="30" t="str">
        <f>IF(Hulpblad_overig!B8=1,"Totaal van het gespecificeerde vreemd vermogen","Niet van toepassing")</f>
        <v>Totaal van het gespecificeerde vreemd vermogen</v>
      </c>
      <c r="G94" s="42">
        <f>SUM(G84:G93)</f>
        <v>0</v>
      </c>
      <c r="H94" s="11"/>
    </row>
    <row r="95" spans="1:23" s="160" customFormat="1" ht="12.75" customHeight="1" x14ac:dyDescent="0.3">
      <c r="A95" s="30" t="str">
        <f>IF(Hulpblad_overig!B8=1,"Ongespecificeerde rest van het vreemd vermogen","Niet van toepassing")</f>
        <v>Ongespecificeerde rest van het vreemd vermogen</v>
      </c>
      <c r="G95" s="42">
        <f>IF(Hulpblad_overig!B8=1,G40-G77-G94,0)</f>
        <v>0</v>
      </c>
      <c r="H95" s="11" t="str">
        <f>IFERROR(IF(Hulpblad_overig!B8=1,IF($G$78&lt;20%,"U brengt minder dan 20% eigen vermogen in. Ongespecificeerde rest moet nul zijn",""),""),"Er zijn nog geen investeringskosten ingevuld!")</f>
        <v>Er zijn nog geen investeringskosten ingevuld!</v>
      </c>
    </row>
    <row r="96" spans="1:23" s="160" customFormat="1" ht="12.75" customHeight="1" x14ac:dyDescent="0.3">
      <c r="G96" s="42"/>
      <c r="H96" s="11"/>
    </row>
    <row r="97" spans="1:23" s="30" customFormat="1" ht="12.75" customHeight="1" x14ac:dyDescent="0.3">
      <c r="A97" s="12" t="str">
        <f>IF(Hulpblad_overig!B8=1,"Vreemd vermogen (%)","Niet van toepassing")</f>
        <v>Vreemd vermogen (%)</v>
      </c>
      <c r="B97" s="160"/>
      <c r="C97" s="160"/>
      <c r="D97" s="160"/>
      <c r="G97" s="46" t="e">
        <f>(G94+G95)/G40</f>
        <v>#DIV/0!</v>
      </c>
      <c r="H97" s="43"/>
      <c r="I97" s="43"/>
      <c r="J97" s="43"/>
      <c r="K97" s="43"/>
      <c r="L97" s="43"/>
      <c r="M97" s="43"/>
      <c r="N97" s="43"/>
      <c r="O97" s="43"/>
      <c r="P97" s="43"/>
      <c r="Q97" s="43"/>
      <c r="R97" s="43"/>
      <c r="S97" s="43"/>
      <c r="T97" s="43"/>
      <c r="U97" s="43"/>
      <c r="V97" s="43"/>
      <c r="W97" s="43"/>
    </row>
    <row r="98" spans="1:23" s="30" customFormat="1" ht="12.75" customHeight="1" x14ac:dyDescent="0.3">
      <c r="A98" s="12" t="str">
        <f>IF(Hulpblad_overig!B8=1,"Totaal vreemd vermogen (€)","Niet van toepassing")</f>
        <v>Totaal vreemd vermogen (€)</v>
      </c>
      <c r="B98" s="160"/>
      <c r="C98" s="160"/>
      <c r="D98" s="160"/>
      <c r="G98" s="163" t="e">
        <f>G40*G97</f>
        <v>#DIV/0!</v>
      </c>
      <c r="H98" s="43"/>
      <c r="I98" s="43"/>
      <c r="J98" s="43"/>
      <c r="K98" s="43"/>
      <c r="L98" s="43"/>
      <c r="M98" s="43"/>
      <c r="N98" s="43"/>
      <c r="O98" s="43"/>
      <c r="P98" s="43"/>
      <c r="Q98" s="43"/>
      <c r="R98" s="43"/>
      <c r="S98" s="43"/>
      <c r="T98" s="43"/>
      <c r="U98" s="43"/>
      <c r="V98" s="43"/>
      <c r="W98" s="43"/>
    </row>
    <row r="99" spans="1:23" s="160" customFormat="1" ht="12.75" customHeight="1" x14ac:dyDescent="0.3">
      <c r="G99" s="42"/>
      <c r="H99" s="11"/>
    </row>
    <row r="100" spans="1:23" s="160" customFormat="1" ht="12.75" customHeight="1" x14ac:dyDescent="0.3">
      <c r="A100" s="30" t="s">
        <v>34</v>
      </c>
    </row>
    <row r="101" spans="1:23" ht="137.25" customHeight="1" x14ac:dyDescent="0.35">
      <c r="A101" s="299"/>
      <c r="B101" s="300"/>
      <c r="C101" s="300"/>
      <c r="D101" s="300"/>
      <c r="E101" s="300"/>
      <c r="F101" s="301"/>
      <c r="G101" s="302"/>
    </row>
    <row r="102" spans="1:23" x14ac:dyDescent="0.35"/>
    <row r="103" spans="1:23" x14ac:dyDescent="0.35"/>
    <row r="104" spans="1:23" x14ac:dyDescent="0.35"/>
  </sheetData>
  <sheetProtection algorithmName="SHA-512" hashValue="5T00r7/pZh8ymvkkfZGDAQyarYDmoXi8d3TJPBlH6Xa95xqhfiMatJilLy6+75t4qDrInVYMK2Q7ZWbLlKXdFA==" saltValue="bNoPA4iEESN0uDzZ5BM0bg==" spinCount="100000" sheet="1" objects="1" scenarios="1" insertRows="0"/>
  <mergeCells count="44">
    <mergeCell ref="A101:G101"/>
    <mergeCell ref="B76:E76"/>
    <mergeCell ref="B84:E84"/>
    <mergeCell ref="B85:E85"/>
    <mergeCell ref="B86:E86"/>
    <mergeCell ref="B87:E87"/>
    <mergeCell ref="B88:E88"/>
    <mergeCell ref="B89:E89"/>
    <mergeCell ref="B90:E90"/>
    <mergeCell ref="B91:E91"/>
    <mergeCell ref="B92:E92"/>
    <mergeCell ref="B93:E93"/>
    <mergeCell ref="B75:E75"/>
    <mergeCell ref="B63:E63"/>
    <mergeCell ref="B64:E64"/>
    <mergeCell ref="B65:E65"/>
    <mergeCell ref="B66:E66"/>
    <mergeCell ref="B67:E67"/>
    <mergeCell ref="B68:E68"/>
    <mergeCell ref="B69:E69"/>
    <mergeCell ref="B70:E70"/>
    <mergeCell ref="B72:E72"/>
    <mergeCell ref="B73:E73"/>
    <mergeCell ref="B74:E74"/>
    <mergeCell ref="B62:E62"/>
    <mergeCell ref="B33:E33"/>
    <mergeCell ref="B34:E34"/>
    <mergeCell ref="B35:E35"/>
    <mergeCell ref="B36:E36"/>
    <mergeCell ref="B37:E37"/>
    <mergeCell ref="B38:E38"/>
    <mergeCell ref="B39:E39"/>
    <mergeCell ref="A47:E47"/>
    <mergeCell ref="B51:E51"/>
    <mergeCell ref="B56:E56"/>
    <mergeCell ref="B61:E61"/>
    <mergeCell ref="H15:H16"/>
    <mergeCell ref="H17:H18"/>
    <mergeCell ref="B32:E32"/>
    <mergeCell ref="B7:E7"/>
    <mergeCell ref="B22:G22"/>
    <mergeCell ref="B25:G25"/>
    <mergeCell ref="B30:E30"/>
    <mergeCell ref="B31:E31"/>
  </mergeCells>
  <conditionalFormatting sqref="B51:E51">
    <cfRule type="expression" dxfId="284" priority="61" stopIfTrue="1">
      <formula>A10="U maakt gebruik van balansfinanciering"</formula>
    </cfRule>
  </conditionalFormatting>
  <conditionalFormatting sqref="B61:E61">
    <cfRule type="expression" dxfId="283" priority="57" stopIfTrue="1">
      <formula>A10="U maakt gebruik van balansfinanciering"</formula>
    </cfRule>
  </conditionalFormatting>
  <conditionalFormatting sqref="B62:E62">
    <cfRule type="expression" dxfId="282" priority="54" stopIfTrue="1">
      <formula>A10="U maakt gebruik van balansfinanciering"</formula>
    </cfRule>
  </conditionalFormatting>
  <conditionalFormatting sqref="B63:E63">
    <cfRule type="expression" dxfId="281" priority="53" stopIfTrue="1">
      <formula>A10="U maakt gebruik van balansfinanciering"</formula>
    </cfRule>
  </conditionalFormatting>
  <conditionalFormatting sqref="B64:E64">
    <cfRule type="expression" dxfId="280" priority="52" stopIfTrue="1">
      <formula>A10="U maakt gebruik van balansfinanciering"</formula>
    </cfRule>
  </conditionalFormatting>
  <conditionalFormatting sqref="B65:E65">
    <cfRule type="expression" dxfId="279" priority="51" stopIfTrue="1">
      <formula>A10="U maakt gebruik van balansfinanciering"</formula>
    </cfRule>
  </conditionalFormatting>
  <conditionalFormatting sqref="B66:E66">
    <cfRule type="expression" dxfId="278" priority="50" stopIfTrue="1">
      <formula>A10="U maakt gebruik van balansfinanciering"</formula>
    </cfRule>
  </conditionalFormatting>
  <conditionalFormatting sqref="B67:E67">
    <cfRule type="expression" dxfId="277" priority="49" stopIfTrue="1">
      <formula>A10="U maakt gebruik van balansfinanciering"</formula>
    </cfRule>
  </conditionalFormatting>
  <conditionalFormatting sqref="B68:E68">
    <cfRule type="expression" dxfId="276" priority="48" stopIfTrue="1">
      <formula>A10="U maakt gebruik van balansfinanciering"</formula>
    </cfRule>
  </conditionalFormatting>
  <conditionalFormatting sqref="B69:E69">
    <cfRule type="expression" dxfId="275" priority="47" stopIfTrue="1">
      <formula>A10="U maakt gebruik van balansfinanciering"</formula>
    </cfRule>
  </conditionalFormatting>
  <conditionalFormatting sqref="B70:E70">
    <cfRule type="expression" dxfId="274" priority="46" stopIfTrue="1">
      <formula>A10="U maakt gebruik van balansfinanciering"</formula>
    </cfRule>
  </conditionalFormatting>
  <conditionalFormatting sqref="B72:E72">
    <cfRule type="expression" dxfId="273" priority="35" stopIfTrue="1">
      <formula>A10="U maakt gebruik van balansfinanciering"</formula>
    </cfRule>
  </conditionalFormatting>
  <conditionalFormatting sqref="B73:E73">
    <cfRule type="expression" dxfId="272" priority="34" stopIfTrue="1">
      <formula>A10="U maakt gebruik van balansfinanciering"</formula>
    </cfRule>
  </conditionalFormatting>
  <conditionalFormatting sqref="B74:E74">
    <cfRule type="expression" dxfId="271" priority="33" stopIfTrue="1">
      <formula>A10="U maakt gebruik van balansfinanciering"</formula>
    </cfRule>
  </conditionalFormatting>
  <conditionalFormatting sqref="B75:E75">
    <cfRule type="expression" dxfId="270" priority="32" stopIfTrue="1">
      <formula>A10="U maakt gebruik van balansfinanciering"</formula>
    </cfRule>
  </conditionalFormatting>
  <conditionalFormatting sqref="B76:E76">
    <cfRule type="expression" dxfId="269" priority="31" stopIfTrue="1">
      <formula>A10="U maakt gebruik van balansfinanciering"</formula>
    </cfRule>
  </conditionalFormatting>
  <conditionalFormatting sqref="B84:E84">
    <cfRule type="expression" dxfId="268" priority="24" stopIfTrue="1">
      <formula>A10="U maakt gebruik van balansfinanciering"</formula>
    </cfRule>
  </conditionalFormatting>
  <conditionalFormatting sqref="B85:E85">
    <cfRule type="expression" dxfId="267" priority="23" stopIfTrue="1">
      <formula>A10="U maakt gebruik van balansfinanciering"</formula>
    </cfRule>
  </conditionalFormatting>
  <conditionalFormatting sqref="B86:E86">
    <cfRule type="expression" dxfId="266" priority="22" stopIfTrue="1">
      <formula>A10="U maakt gebruik van balansfinanciering"</formula>
    </cfRule>
  </conditionalFormatting>
  <conditionalFormatting sqref="B87:E87">
    <cfRule type="expression" dxfId="265" priority="21" stopIfTrue="1">
      <formula>A10="U maakt gebruik van balansfinanciering"</formula>
    </cfRule>
  </conditionalFormatting>
  <conditionalFormatting sqref="B88:E88">
    <cfRule type="expression" dxfId="264" priority="20" stopIfTrue="1">
      <formula>A10="U maakt gebruik van balansfinanciering"</formula>
    </cfRule>
  </conditionalFormatting>
  <conditionalFormatting sqref="B89:E89">
    <cfRule type="expression" dxfId="263" priority="19" stopIfTrue="1">
      <formula>A10="U maakt gebruik van balansfinanciering"</formula>
    </cfRule>
  </conditionalFormatting>
  <conditionalFormatting sqref="B90:E90">
    <cfRule type="expression" dxfId="262" priority="18" stopIfTrue="1">
      <formula>A10="U maakt gebruik van balansfinanciering"</formula>
    </cfRule>
  </conditionalFormatting>
  <conditionalFormatting sqref="B91:E91">
    <cfRule type="expression" dxfId="261" priority="17" stopIfTrue="1">
      <formula>A10="U maakt gebruik van balansfinanciering"</formula>
    </cfRule>
  </conditionalFormatting>
  <conditionalFormatting sqref="B92:E92">
    <cfRule type="expression" priority="16" stopIfTrue="1">
      <formula>A10="U maakt gebruik van balansfinanciering"</formula>
    </cfRule>
    <cfRule type="expression" dxfId="260" priority="15" stopIfTrue="1">
      <formula>A10="U maakt gebruik van balansfinanciering"</formula>
    </cfRule>
  </conditionalFormatting>
  <conditionalFormatting sqref="B93:E93">
    <cfRule type="expression" dxfId="259" priority="14" stopIfTrue="1">
      <formula>A10="U maakt gebruik van balansfinanciering"</formula>
    </cfRule>
  </conditionalFormatting>
  <conditionalFormatting sqref="E11">
    <cfRule type="expression" dxfId="258" priority="56" stopIfTrue="1">
      <formula>A10="U maakt gebruik van projectfinanciering, u kunt regel 11 t/m 13 overslaan"</formula>
    </cfRule>
  </conditionalFormatting>
  <conditionalFormatting sqref="E11:E12">
    <cfRule type="expression" dxfId="257" priority="1">
      <formula>A11="Niet van toepassing"</formula>
    </cfRule>
  </conditionalFormatting>
  <conditionalFormatting sqref="E12">
    <cfRule type="expression" dxfId="256" priority="55" stopIfTrue="1">
      <formula>A10="U maakt gebruik van projectfinanciering, u kunt regel 11 t/m 13 overslaan"</formula>
    </cfRule>
  </conditionalFormatting>
  <conditionalFormatting sqref="G51">
    <cfRule type="expression" dxfId="255" priority="60" stopIfTrue="1">
      <formula>A10="U maakt gebruik van balansfinanciering"</formula>
    </cfRule>
  </conditionalFormatting>
  <conditionalFormatting sqref="G55">
    <cfRule type="expression" dxfId="254" priority="59" stopIfTrue="1">
      <formula>A10="U maakt gebruik van balansfinanciering"</formula>
    </cfRule>
  </conditionalFormatting>
  <conditionalFormatting sqref="G58">
    <cfRule type="expression" dxfId="253" priority="58" stopIfTrue="1">
      <formula>A10="U maakt gebruik van balansfinanciering"</formula>
    </cfRule>
  </conditionalFormatting>
  <conditionalFormatting sqref="G61">
    <cfRule type="expression" dxfId="252" priority="45" stopIfTrue="1">
      <formula>A10="U maakt gebruik van balansfinanciering"</formula>
    </cfRule>
  </conditionalFormatting>
  <conditionalFormatting sqref="G62">
    <cfRule type="expression" dxfId="251" priority="44" stopIfTrue="1">
      <formula>A10="U maakt gebruik van balansfinanciering"</formula>
    </cfRule>
  </conditionalFormatting>
  <conditionalFormatting sqref="G63">
    <cfRule type="expression" dxfId="250" priority="43" stopIfTrue="1">
      <formula>A10="U maakt gebruik van balansfinanciering"</formula>
    </cfRule>
  </conditionalFormatting>
  <conditionalFormatting sqref="G64">
    <cfRule type="expression" dxfId="249" priority="42" stopIfTrue="1">
      <formula>A10="U maakt gebruik van balansfinanciering"</formula>
    </cfRule>
  </conditionalFormatting>
  <conditionalFormatting sqref="G65">
    <cfRule type="expression" dxfId="248" priority="41" stopIfTrue="1">
      <formula>A10="U maakt gebruik van balansfinanciering"</formula>
    </cfRule>
  </conditionalFormatting>
  <conditionalFormatting sqref="G66">
    <cfRule type="expression" dxfId="247" priority="40" stopIfTrue="1">
      <formula>A10="U maakt gebruik van balansfinanciering"</formula>
    </cfRule>
  </conditionalFormatting>
  <conditionalFormatting sqref="G67">
    <cfRule type="expression" dxfId="246" priority="39" stopIfTrue="1">
      <formula>A10="U maakt gebruik van balansfinanciering"</formula>
    </cfRule>
  </conditionalFormatting>
  <conditionalFormatting sqref="G68">
    <cfRule type="expression" dxfId="245" priority="38" stopIfTrue="1">
      <formula>A10="U maakt gebruik van balansfinanciering"</formula>
    </cfRule>
  </conditionalFormatting>
  <conditionalFormatting sqref="G69">
    <cfRule type="expression" dxfId="244" priority="37" stopIfTrue="1">
      <formula>A10="U maakt gebruik van balansfinanciering"</formula>
    </cfRule>
  </conditionalFormatting>
  <conditionalFormatting sqref="G70">
    <cfRule type="expression" dxfId="243" priority="36" stopIfTrue="1">
      <formula>A10="U maakt gebruik van balansfinanciering"</formula>
    </cfRule>
  </conditionalFormatting>
  <conditionalFormatting sqref="G72">
    <cfRule type="expression" dxfId="242" priority="30" stopIfTrue="1">
      <formula>A10="U maakt gebruik van balansfinanciering"</formula>
    </cfRule>
  </conditionalFormatting>
  <conditionalFormatting sqref="G73">
    <cfRule type="expression" priority="29" stopIfTrue="1">
      <formula>A10="U maakt gebruik van balansfinanciering"</formula>
    </cfRule>
    <cfRule type="expression" dxfId="241" priority="28" stopIfTrue="1">
      <formula>A10="U maakt gebruik van balansfinanciering"</formula>
    </cfRule>
  </conditionalFormatting>
  <conditionalFormatting sqref="G74">
    <cfRule type="expression" dxfId="240" priority="27" stopIfTrue="1">
      <formula>A10="U maakt gebruik van balansfinanciering"</formula>
    </cfRule>
  </conditionalFormatting>
  <conditionalFormatting sqref="G75">
    <cfRule type="expression" dxfId="239" priority="26" stopIfTrue="1">
      <formula>A10="U maakt gebruik van balansfinanciering"</formula>
    </cfRule>
  </conditionalFormatting>
  <conditionalFormatting sqref="G76">
    <cfRule type="expression" dxfId="238" priority="25" stopIfTrue="1">
      <formula>A10="U maakt gebruik van balansfinanciering"</formula>
    </cfRule>
  </conditionalFormatting>
  <conditionalFormatting sqref="G84">
    <cfRule type="expression" dxfId="237" priority="13" stopIfTrue="1">
      <formula>A10="U maakt gebruik van balansfinanciering"</formula>
    </cfRule>
  </conditionalFormatting>
  <conditionalFormatting sqref="G85">
    <cfRule type="expression" dxfId="236" priority="12" stopIfTrue="1">
      <formula>A10="U maakt gebruik van balansfinanciering"</formula>
    </cfRule>
  </conditionalFormatting>
  <conditionalFormatting sqref="G86">
    <cfRule type="expression" dxfId="235" priority="11" stopIfTrue="1">
      <formula>A10="U maakt gebruik van balansfinanciering"</formula>
    </cfRule>
  </conditionalFormatting>
  <conditionalFormatting sqref="G87">
    <cfRule type="expression" dxfId="234" priority="10" stopIfTrue="1">
      <formula>A10="U maakt gebruik van balansfinanciering"</formula>
    </cfRule>
  </conditionalFormatting>
  <conditionalFormatting sqref="G88">
    <cfRule type="expression" dxfId="233" priority="9" stopIfTrue="1">
      <formula>A10="U maakt gebruik van balansfinanciering"</formula>
    </cfRule>
  </conditionalFormatting>
  <conditionalFormatting sqref="G89">
    <cfRule type="expression" dxfId="232" priority="8" stopIfTrue="1">
      <formula>A10="U maakt gebruik van balansfinanciering"</formula>
    </cfRule>
  </conditionalFormatting>
  <conditionalFormatting sqref="G90">
    <cfRule type="expression" dxfId="231" priority="7" stopIfTrue="1">
      <formula>A10="U maakt gebruik van balansfinanciering"</formula>
    </cfRule>
  </conditionalFormatting>
  <conditionalFormatting sqref="G91">
    <cfRule type="expression" dxfId="230" priority="6" stopIfTrue="1">
      <formula>A10="U maakt gebruik van balansfinanciering"</formula>
    </cfRule>
  </conditionalFormatting>
  <conditionalFormatting sqref="G92">
    <cfRule type="expression" dxfId="229" priority="5" stopIfTrue="1">
      <formula>A10="U maakt gebruik van balansfinanciering"</formula>
    </cfRule>
  </conditionalFormatting>
  <conditionalFormatting sqref="G93">
    <cfRule type="expression" dxfId="228" priority="3" stopIfTrue="1">
      <formula>A10="U maakt gebruik van balansfinanciering"</formula>
    </cfRule>
    <cfRule type="expression" priority="4" stopIfTrue="1">
      <formula>A10="U maakt gebruik van balansfinanciering"</formula>
    </cfRule>
  </conditionalFormatting>
  <pageMargins left="0.7" right="0.7" top="0.75" bottom="0.75" header="0.3" footer="0.3"/>
  <pageSetup paperSize="9" orientation="portrait" r:id="rId1"/>
  <ignoredErrors>
    <ignoredError sqref="G97:G98 H13 E13"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List Box 1">
              <controlPr defaultSize="0" autoLine="0" autoPict="0">
                <anchor moveWithCells="1" sizeWithCells="1">
                  <from>
                    <xdr:col>4</xdr:col>
                    <xdr:colOff>0</xdr:colOff>
                    <xdr:row>14</xdr:row>
                    <xdr:rowOff>31750</xdr:rowOff>
                  </from>
                  <to>
                    <xdr:col>5</xdr:col>
                    <xdr:colOff>25400</xdr:colOff>
                    <xdr:row>16</xdr:row>
                    <xdr:rowOff>146050</xdr:rowOff>
                  </to>
                </anchor>
              </controlPr>
            </control>
          </mc:Choice>
        </mc:AlternateContent>
        <mc:AlternateContent xmlns:mc="http://schemas.openxmlformats.org/markup-compatibility/2006">
          <mc:Choice Requires="x14">
            <control shapeId="2050" r:id="rId5" name="List Box 2">
              <controlPr defaultSize="0" autoLine="0" autoPict="0">
                <anchor moveWithCells="1" sizeWithCells="1">
                  <from>
                    <xdr:col>5</xdr:col>
                    <xdr:colOff>698500</xdr:colOff>
                    <xdr:row>51</xdr:row>
                    <xdr:rowOff>50800</xdr:rowOff>
                  </from>
                  <to>
                    <xdr:col>7</xdr:col>
                    <xdr:colOff>25400</xdr:colOff>
                    <xdr:row>53</xdr:row>
                    <xdr:rowOff>31750</xdr:rowOff>
                  </to>
                </anchor>
              </controlPr>
            </control>
          </mc:Choice>
        </mc:AlternateContent>
        <mc:AlternateContent xmlns:mc="http://schemas.openxmlformats.org/markup-compatibility/2006">
          <mc:Choice Requires="x14">
            <control shapeId="2051" r:id="rId6" name="List Box 3">
              <controlPr defaultSize="0" autoLine="0" autoPict="0">
                <anchor moveWithCells="1" sizeWithCells="1">
                  <from>
                    <xdr:col>4</xdr:col>
                    <xdr:colOff>1365250</xdr:colOff>
                    <xdr:row>7</xdr:row>
                    <xdr:rowOff>31750</xdr:rowOff>
                  </from>
                  <to>
                    <xdr:col>5</xdr:col>
                    <xdr:colOff>0</xdr:colOff>
                    <xdr:row>7</xdr:row>
                    <xdr:rowOff>330200</xdr:rowOff>
                  </to>
                </anchor>
              </controlPr>
            </control>
          </mc:Choice>
        </mc:AlternateContent>
        <mc:AlternateContent xmlns:mc="http://schemas.openxmlformats.org/markup-compatibility/2006">
          <mc:Choice Requires="x14">
            <control shapeId="2052" r:id="rId7" name="List Box 4">
              <controlPr defaultSize="0" autoLine="0" autoPict="0">
                <anchor moveWithCells="1" sizeWithCells="1">
                  <from>
                    <xdr:col>4</xdr:col>
                    <xdr:colOff>1358900</xdr:colOff>
                    <xdr:row>8</xdr:row>
                    <xdr:rowOff>31750</xdr:rowOff>
                  </from>
                  <to>
                    <xdr:col>5</xdr:col>
                    <xdr:colOff>0</xdr:colOff>
                    <xdr:row>8</xdr:row>
                    <xdr:rowOff>330200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C2FF5-AF27-41AE-9954-F12D4355F81A}">
  <dimension ref="A1:WVX158"/>
  <sheetViews>
    <sheetView zoomScaleNormal="100" workbookViewId="0">
      <selection activeCell="A50" sqref="A50:XFD1048576"/>
    </sheetView>
  </sheetViews>
  <sheetFormatPr defaultColWidth="0" defaultRowHeight="14.5" zeroHeight="1" x14ac:dyDescent="0.35"/>
  <cols>
    <col min="1" max="1" width="55.81640625" style="4" customWidth="1"/>
    <col min="2" max="3" width="8.81640625" style="30" customWidth="1"/>
    <col min="4" max="4" width="10.81640625" style="4" customWidth="1"/>
    <col min="5" max="5" width="140.81640625" style="4" customWidth="1"/>
    <col min="6" max="6" width="76.54296875" style="4" customWidth="1"/>
    <col min="7" max="7" width="14" style="4" hidden="1"/>
    <col min="8" max="14" width="12.81640625" style="4" hidden="1"/>
    <col min="15" max="15" width="13.81640625" style="4" hidden="1"/>
    <col min="16" max="16" width="12.453125" style="4" hidden="1"/>
    <col min="17" max="256" width="8.81640625" style="4" hidden="1"/>
    <col min="257" max="257" width="55.81640625" style="4" hidden="1"/>
    <col min="258" max="259" width="8.81640625" style="4" hidden="1"/>
    <col min="260" max="260" width="10.81640625" style="4" hidden="1"/>
    <col min="261" max="261" width="110.1796875" style="4" hidden="1"/>
    <col min="262" max="262" width="76.54296875" style="4" hidden="1"/>
    <col min="263" max="263" width="14" style="4" hidden="1"/>
    <col min="264" max="270" width="12.81640625" style="4" hidden="1"/>
    <col min="271" max="271" width="13.81640625" style="4" hidden="1"/>
    <col min="272" max="272" width="12.453125" style="4" hidden="1"/>
    <col min="273" max="512" width="8.81640625" style="4" hidden="1"/>
    <col min="513" max="513" width="55.81640625" style="4" hidden="1"/>
    <col min="514" max="515" width="8.81640625" style="4" hidden="1"/>
    <col min="516" max="516" width="10.81640625" style="4" hidden="1"/>
    <col min="517" max="517" width="110.1796875" style="4" hidden="1"/>
    <col min="518" max="518" width="76.54296875" style="4" hidden="1"/>
    <col min="519" max="519" width="14" style="4" hidden="1"/>
    <col min="520" max="526" width="12.81640625" style="4" hidden="1"/>
    <col min="527" max="527" width="13.81640625" style="4" hidden="1"/>
    <col min="528" max="528" width="12.453125" style="4" hidden="1"/>
    <col min="529" max="768" width="8.81640625" style="4" hidden="1"/>
    <col min="769" max="769" width="55.81640625" style="4" hidden="1"/>
    <col min="770" max="771" width="8.81640625" style="4" hidden="1"/>
    <col min="772" max="772" width="10.81640625" style="4" hidden="1"/>
    <col min="773" max="773" width="110.1796875" style="4" hidden="1"/>
    <col min="774" max="774" width="76.54296875" style="4" hidden="1"/>
    <col min="775" max="775" width="14" style="4" hidden="1"/>
    <col min="776" max="782" width="12.81640625" style="4" hidden="1"/>
    <col min="783" max="783" width="13.81640625" style="4" hidden="1"/>
    <col min="784" max="784" width="12.453125" style="4" hidden="1"/>
    <col min="785" max="1024" width="8.81640625" style="4" hidden="1"/>
    <col min="1025" max="1025" width="55.81640625" style="4" hidden="1"/>
    <col min="1026" max="1027" width="8.81640625" style="4" hidden="1"/>
    <col min="1028" max="1028" width="10.81640625" style="4" hidden="1"/>
    <col min="1029" max="1029" width="110.1796875" style="4" hidden="1"/>
    <col min="1030" max="1030" width="76.54296875" style="4" hidden="1"/>
    <col min="1031" max="1031" width="14" style="4" hidden="1"/>
    <col min="1032" max="1038" width="12.81640625" style="4" hidden="1"/>
    <col min="1039" max="1039" width="13.81640625" style="4" hidden="1"/>
    <col min="1040" max="1040" width="12.453125" style="4" hidden="1"/>
    <col min="1041" max="1280" width="8.81640625" style="4" hidden="1"/>
    <col min="1281" max="1281" width="55.81640625" style="4" hidden="1"/>
    <col min="1282" max="1283" width="8.81640625" style="4" hidden="1"/>
    <col min="1284" max="1284" width="10.81640625" style="4" hidden="1"/>
    <col min="1285" max="1285" width="110.1796875" style="4" hidden="1"/>
    <col min="1286" max="1286" width="76.54296875" style="4" hidden="1"/>
    <col min="1287" max="1287" width="14" style="4" hidden="1"/>
    <col min="1288" max="1294" width="12.81640625" style="4" hidden="1"/>
    <col min="1295" max="1295" width="13.81640625" style="4" hidden="1"/>
    <col min="1296" max="1296" width="12.453125" style="4" hidden="1"/>
    <col min="1297" max="1536" width="8.81640625" style="4" hidden="1"/>
    <col min="1537" max="1537" width="55.81640625" style="4" hidden="1"/>
    <col min="1538" max="1539" width="8.81640625" style="4" hidden="1"/>
    <col min="1540" max="1540" width="10.81640625" style="4" hidden="1"/>
    <col min="1541" max="1541" width="110.1796875" style="4" hidden="1"/>
    <col min="1542" max="1542" width="76.54296875" style="4" hidden="1"/>
    <col min="1543" max="1543" width="14" style="4" hidden="1"/>
    <col min="1544" max="1550" width="12.81640625" style="4" hidden="1"/>
    <col min="1551" max="1551" width="13.81640625" style="4" hidden="1"/>
    <col min="1552" max="1552" width="12.453125" style="4" hidden="1"/>
    <col min="1553" max="1792" width="8.81640625" style="4" hidden="1"/>
    <col min="1793" max="1793" width="55.81640625" style="4" hidden="1"/>
    <col min="1794" max="1795" width="8.81640625" style="4" hidden="1"/>
    <col min="1796" max="1796" width="10.81640625" style="4" hidden="1"/>
    <col min="1797" max="1797" width="110.1796875" style="4" hidden="1"/>
    <col min="1798" max="1798" width="76.54296875" style="4" hidden="1"/>
    <col min="1799" max="1799" width="14" style="4" hidden="1"/>
    <col min="1800" max="1806" width="12.81640625" style="4" hidden="1"/>
    <col min="1807" max="1807" width="13.81640625" style="4" hidden="1"/>
    <col min="1808" max="1808" width="12.453125" style="4" hidden="1"/>
    <col min="1809" max="2048" width="8.81640625" style="4" hidden="1"/>
    <col min="2049" max="2049" width="55.81640625" style="4" hidden="1"/>
    <col min="2050" max="2051" width="8.81640625" style="4" hidden="1"/>
    <col min="2052" max="2052" width="10.81640625" style="4" hidden="1"/>
    <col min="2053" max="2053" width="110.1796875" style="4" hidden="1"/>
    <col min="2054" max="2054" width="76.54296875" style="4" hidden="1"/>
    <col min="2055" max="2055" width="14" style="4" hidden="1"/>
    <col min="2056" max="2062" width="12.81640625" style="4" hidden="1"/>
    <col min="2063" max="2063" width="13.81640625" style="4" hidden="1"/>
    <col min="2064" max="2064" width="12.453125" style="4" hidden="1"/>
    <col min="2065" max="2304" width="8.81640625" style="4" hidden="1"/>
    <col min="2305" max="2305" width="55.81640625" style="4" hidden="1"/>
    <col min="2306" max="2307" width="8.81640625" style="4" hidden="1"/>
    <col min="2308" max="2308" width="10.81640625" style="4" hidden="1"/>
    <col min="2309" max="2309" width="110.1796875" style="4" hidden="1"/>
    <col min="2310" max="2310" width="76.54296875" style="4" hidden="1"/>
    <col min="2311" max="2311" width="14" style="4" hidden="1"/>
    <col min="2312" max="2318" width="12.81640625" style="4" hidden="1"/>
    <col min="2319" max="2319" width="13.81640625" style="4" hidden="1"/>
    <col min="2320" max="2320" width="12.453125" style="4" hidden="1"/>
    <col min="2321" max="2560" width="8.81640625" style="4" hidden="1"/>
    <col min="2561" max="2561" width="55.81640625" style="4" hidden="1"/>
    <col min="2562" max="2563" width="8.81640625" style="4" hidden="1"/>
    <col min="2564" max="2564" width="10.81640625" style="4" hidden="1"/>
    <col min="2565" max="2565" width="110.1796875" style="4" hidden="1"/>
    <col min="2566" max="2566" width="76.54296875" style="4" hidden="1"/>
    <col min="2567" max="2567" width="14" style="4" hidden="1"/>
    <col min="2568" max="2574" width="12.81640625" style="4" hidden="1"/>
    <col min="2575" max="2575" width="13.81640625" style="4" hidden="1"/>
    <col min="2576" max="2576" width="12.453125" style="4" hidden="1"/>
    <col min="2577" max="2816" width="8.81640625" style="4" hidden="1"/>
    <col min="2817" max="2817" width="55.81640625" style="4" hidden="1"/>
    <col min="2818" max="2819" width="8.81640625" style="4" hidden="1"/>
    <col min="2820" max="2820" width="10.81640625" style="4" hidden="1"/>
    <col min="2821" max="2821" width="110.1796875" style="4" hidden="1"/>
    <col min="2822" max="2822" width="76.54296875" style="4" hidden="1"/>
    <col min="2823" max="2823" width="14" style="4" hidden="1"/>
    <col min="2824" max="2830" width="12.81640625" style="4" hidden="1"/>
    <col min="2831" max="2831" width="13.81640625" style="4" hidden="1"/>
    <col min="2832" max="2832" width="12.453125" style="4" hidden="1"/>
    <col min="2833" max="3072" width="8.81640625" style="4" hidden="1"/>
    <col min="3073" max="3073" width="55.81640625" style="4" hidden="1"/>
    <col min="3074" max="3075" width="8.81640625" style="4" hidden="1"/>
    <col min="3076" max="3076" width="10.81640625" style="4" hidden="1"/>
    <col min="3077" max="3077" width="110.1796875" style="4" hidden="1"/>
    <col min="3078" max="3078" width="76.54296875" style="4" hidden="1"/>
    <col min="3079" max="3079" width="14" style="4" hidden="1"/>
    <col min="3080" max="3086" width="12.81640625" style="4" hidden="1"/>
    <col min="3087" max="3087" width="13.81640625" style="4" hidden="1"/>
    <col min="3088" max="3088" width="12.453125" style="4" hidden="1"/>
    <col min="3089" max="3328" width="8.81640625" style="4" hidden="1"/>
    <col min="3329" max="3329" width="55.81640625" style="4" hidden="1"/>
    <col min="3330" max="3331" width="8.81640625" style="4" hidden="1"/>
    <col min="3332" max="3332" width="10.81640625" style="4" hidden="1"/>
    <col min="3333" max="3333" width="110.1796875" style="4" hidden="1"/>
    <col min="3334" max="3334" width="76.54296875" style="4" hidden="1"/>
    <col min="3335" max="3335" width="14" style="4" hidden="1"/>
    <col min="3336" max="3342" width="12.81640625" style="4" hidden="1"/>
    <col min="3343" max="3343" width="13.81640625" style="4" hidden="1"/>
    <col min="3344" max="3344" width="12.453125" style="4" hidden="1"/>
    <col min="3345" max="3584" width="8.81640625" style="4" hidden="1"/>
    <col min="3585" max="3585" width="55.81640625" style="4" hidden="1"/>
    <col min="3586" max="3587" width="8.81640625" style="4" hidden="1"/>
    <col min="3588" max="3588" width="10.81640625" style="4" hidden="1"/>
    <col min="3589" max="3589" width="110.1796875" style="4" hidden="1"/>
    <col min="3590" max="3590" width="76.54296875" style="4" hidden="1"/>
    <col min="3591" max="3591" width="14" style="4" hidden="1"/>
    <col min="3592" max="3598" width="12.81640625" style="4" hidden="1"/>
    <col min="3599" max="3599" width="13.81640625" style="4" hidden="1"/>
    <col min="3600" max="3600" width="12.453125" style="4" hidden="1"/>
    <col min="3601" max="3840" width="8.81640625" style="4" hidden="1"/>
    <col min="3841" max="3841" width="55.81640625" style="4" hidden="1"/>
    <col min="3842" max="3843" width="8.81640625" style="4" hidden="1"/>
    <col min="3844" max="3844" width="10.81640625" style="4" hidden="1"/>
    <col min="3845" max="3845" width="110.1796875" style="4" hidden="1"/>
    <col min="3846" max="3846" width="76.54296875" style="4" hidden="1"/>
    <col min="3847" max="3847" width="14" style="4" hidden="1"/>
    <col min="3848" max="3854" width="12.81640625" style="4" hidden="1"/>
    <col min="3855" max="3855" width="13.81640625" style="4" hidden="1"/>
    <col min="3856" max="3856" width="12.453125" style="4" hidden="1"/>
    <col min="3857" max="4096" width="8.81640625" style="4" hidden="1"/>
    <col min="4097" max="4097" width="55.81640625" style="4" hidden="1"/>
    <col min="4098" max="4099" width="8.81640625" style="4" hidden="1"/>
    <col min="4100" max="4100" width="10.81640625" style="4" hidden="1"/>
    <col min="4101" max="4101" width="110.1796875" style="4" hidden="1"/>
    <col min="4102" max="4102" width="76.54296875" style="4" hidden="1"/>
    <col min="4103" max="4103" width="14" style="4" hidden="1"/>
    <col min="4104" max="4110" width="12.81640625" style="4" hidden="1"/>
    <col min="4111" max="4111" width="13.81640625" style="4" hidden="1"/>
    <col min="4112" max="4112" width="12.453125" style="4" hidden="1"/>
    <col min="4113" max="4352" width="8.81640625" style="4" hidden="1"/>
    <col min="4353" max="4353" width="55.81640625" style="4" hidden="1"/>
    <col min="4354" max="4355" width="8.81640625" style="4" hidden="1"/>
    <col min="4356" max="4356" width="10.81640625" style="4" hidden="1"/>
    <col min="4357" max="4357" width="110.1796875" style="4" hidden="1"/>
    <col min="4358" max="4358" width="76.54296875" style="4" hidden="1"/>
    <col min="4359" max="4359" width="14" style="4" hidden="1"/>
    <col min="4360" max="4366" width="12.81640625" style="4" hidden="1"/>
    <col min="4367" max="4367" width="13.81640625" style="4" hidden="1"/>
    <col min="4368" max="4368" width="12.453125" style="4" hidden="1"/>
    <col min="4369" max="4608" width="8.81640625" style="4" hidden="1"/>
    <col min="4609" max="4609" width="55.81640625" style="4" hidden="1"/>
    <col min="4610" max="4611" width="8.81640625" style="4" hidden="1"/>
    <col min="4612" max="4612" width="10.81640625" style="4" hidden="1"/>
    <col min="4613" max="4613" width="110.1796875" style="4" hidden="1"/>
    <col min="4614" max="4614" width="76.54296875" style="4" hidden="1"/>
    <col min="4615" max="4615" width="14" style="4" hidden="1"/>
    <col min="4616" max="4622" width="12.81640625" style="4" hidden="1"/>
    <col min="4623" max="4623" width="13.81640625" style="4" hidden="1"/>
    <col min="4624" max="4624" width="12.453125" style="4" hidden="1"/>
    <col min="4625" max="4864" width="8.81640625" style="4" hidden="1"/>
    <col min="4865" max="4865" width="55.81640625" style="4" hidden="1"/>
    <col min="4866" max="4867" width="8.81640625" style="4" hidden="1"/>
    <col min="4868" max="4868" width="10.81640625" style="4" hidden="1"/>
    <col min="4869" max="4869" width="110.1796875" style="4" hidden="1"/>
    <col min="4870" max="4870" width="76.54296875" style="4" hidden="1"/>
    <col min="4871" max="4871" width="14" style="4" hidden="1"/>
    <col min="4872" max="4878" width="12.81640625" style="4" hidden="1"/>
    <col min="4879" max="4879" width="13.81640625" style="4" hidden="1"/>
    <col min="4880" max="4880" width="12.453125" style="4" hidden="1"/>
    <col min="4881" max="5120" width="8.81640625" style="4" hidden="1"/>
    <col min="5121" max="5121" width="55.81640625" style="4" hidden="1"/>
    <col min="5122" max="5123" width="8.81640625" style="4" hidden="1"/>
    <col min="5124" max="5124" width="10.81640625" style="4" hidden="1"/>
    <col min="5125" max="5125" width="110.1796875" style="4" hidden="1"/>
    <col min="5126" max="5126" width="76.54296875" style="4" hidden="1"/>
    <col min="5127" max="5127" width="14" style="4" hidden="1"/>
    <col min="5128" max="5134" width="12.81640625" style="4" hidden="1"/>
    <col min="5135" max="5135" width="13.81640625" style="4" hidden="1"/>
    <col min="5136" max="5136" width="12.453125" style="4" hidden="1"/>
    <col min="5137" max="5376" width="8.81640625" style="4" hidden="1"/>
    <col min="5377" max="5377" width="55.81640625" style="4" hidden="1"/>
    <col min="5378" max="5379" width="8.81640625" style="4" hidden="1"/>
    <col min="5380" max="5380" width="10.81640625" style="4" hidden="1"/>
    <col min="5381" max="5381" width="110.1796875" style="4" hidden="1"/>
    <col min="5382" max="5382" width="76.54296875" style="4" hidden="1"/>
    <col min="5383" max="5383" width="14" style="4" hidden="1"/>
    <col min="5384" max="5390" width="12.81640625" style="4" hidden="1"/>
    <col min="5391" max="5391" width="13.81640625" style="4" hidden="1"/>
    <col min="5392" max="5392" width="12.453125" style="4" hidden="1"/>
    <col min="5393" max="5632" width="8.81640625" style="4" hidden="1"/>
    <col min="5633" max="5633" width="55.81640625" style="4" hidden="1"/>
    <col min="5634" max="5635" width="8.81640625" style="4" hidden="1"/>
    <col min="5636" max="5636" width="10.81640625" style="4" hidden="1"/>
    <col min="5637" max="5637" width="110.1796875" style="4" hidden="1"/>
    <col min="5638" max="5638" width="76.54296875" style="4" hidden="1"/>
    <col min="5639" max="5639" width="14" style="4" hidden="1"/>
    <col min="5640" max="5646" width="12.81640625" style="4" hidden="1"/>
    <col min="5647" max="5647" width="13.81640625" style="4" hidden="1"/>
    <col min="5648" max="5648" width="12.453125" style="4" hidden="1"/>
    <col min="5649" max="5888" width="8.81640625" style="4" hidden="1"/>
    <col min="5889" max="5889" width="55.81640625" style="4" hidden="1"/>
    <col min="5890" max="5891" width="8.81640625" style="4" hidden="1"/>
    <col min="5892" max="5892" width="10.81640625" style="4" hidden="1"/>
    <col min="5893" max="5893" width="110.1796875" style="4" hidden="1"/>
    <col min="5894" max="5894" width="76.54296875" style="4" hidden="1"/>
    <col min="5895" max="5895" width="14" style="4" hidden="1"/>
    <col min="5896" max="5902" width="12.81640625" style="4" hidden="1"/>
    <col min="5903" max="5903" width="13.81640625" style="4" hidden="1"/>
    <col min="5904" max="5904" width="12.453125" style="4" hidden="1"/>
    <col min="5905" max="6144" width="8.81640625" style="4" hidden="1"/>
    <col min="6145" max="6145" width="55.81640625" style="4" hidden="1"/>
    <col min="6146" max="6147" width="8.81640625" style="4" hidden="1"/>
    <col min="6148" max="6148" width="10.81640625" style="4" hidden="1"/>
    <col min="6149" max="6149" width="110.1796875" style="4" hidden="1"/>
    <col min="6150" max="6150" width="76.54296875" style="4" hidden="1"/>
    <col min="6151" max="6151" width="14" style="4" hidden="1"/>
    <col min="6152" max="6158" width="12.81640625" style="4" hidden="1"/>
    <col min="6159" max="6159" width="13.81640625" style="4" hidden="1"/>
    <col min="6160" max="6160" width="12.453125" style="4" hidden="1"/>
    <col min="6161" max="6400" width="8.81640625" style="4" hidden="1"/>
    <col min="6401" max="6401" width="55.81640625" style="4" hidden="1"/>
    <col min="6402" max="6403" width="8.81640625" style="4" hidden="1"/>
    <col min="6404" max="6404" width="10.81640625" style="4" hidden="1"/>
    <col min="6405" max="6405" width="110.1796875" style="4" hidden="1"/>
    <col min="6406" max="6406" width="76.54296875" style="4" hidden="1"/>
    <col min="6407" max="6407" width="14" style="4" hidden="1"/>
    <col min="6408" max="6414" width="12.81640625" style="4" hidden="1"/>
    <col min="6415" max="6415" width="13.81640625" style="4" hidden="1"/>
    <col min="6416" max="6416" width="12.453125" style="4" hidden="1"/>
    <col min="6417" max="6656" width="8.81640625" style="4" hidden="1"/>
    <col min="6657" max="6657" width="55.81640625" style="4" hidden="1"/>
    <col min="6658" max="6659" width="8.81640625" style="4" hidden="1"/>
    <col min="6660" max="6660" width="10.81640625" style="4" hidden="1"/>
    <col min="6661" max="6661" width="110.1796875" style="4" hidden="1"/>
    <col min="6662" max="6662" width="76.54296875" style="4" hidden="1"/>
    <col min="6663" max="6663" width="14" style="4" hidden="1"/>
    <col min="6664" max="6670" width="12.81640625" style="4" hidden="1"/>
    <col min="6671" max="6671" width="13.81640625" style="4" hidden="1"/>
    <col min="6672" max="6672" width="12.453125" style="4" hidden="1"/>
    <col min="6673" max="6912" width="8.81640625" style="4" hidden="1"/>
    <col min="6913" max="6913" width="55.81640625" style="4" hidden="1"/>
    <col min="6914" max="6915" width="8.81640625" style="4" hidden="1"/>
    <col min="6916" max="6916" width="10.81640625" style="4" hidden="1"/>
    <col min="6917" max="6917" width="110.1796875" style="4" hidden="1"/>
    <col min="6918" max="6918" width="76.54296875" style="4" hidden="1"/>
    <col min="6919" max="6919" width="14" style="4" hidden="1"/>
    <col min="6920" max="6926" width="12.81640625" style="4" hidden="1"/>
    <col min="6927" max="6927" width="13.81640625" style="4" hidden="1"/>
    <col min="6928" max="6928" width="12.453125" style="4" hidden="1"/>
    <col min="6929" max="7168" width="8.81640625" style="4" hidden="1"/>
    <col min="7169" max="7169" width="55.81640625" style="4" hidden="1"/>
    <col min="7170" max="7171" width="8.81640625" style="4" hidden="1"/>
    <col min="7172" max="7172" width="10.81640625" style="4" hidden="1"/>
    <col min="7173" max="7173" width="110.1796875" style="4" hidden="1"/>
    <col min="7174" max="7174" width="76.54296875" style="4" hidden="1"/>
    <col min="7175" max="7175" width="14" style="4" hidden="1"/>
    <col min="7176" max="7182" width="12.81640625" style="4" hidden="1"/>
    <col min="7183" max="7183" width="13.81640625" style="4" hidden="1"/>
    <col min="7184" max="7184" width="12.453125" style="4" hidden="1"/>
    <col min="7185" max="7424" width="8.81640625" style="4" hidden="1"/>
    <col min="7425" max="7425" width="55.81640625" style="4" hidden="1"/>
    <col min="7426" max="7427" width="8.81640625" style="4" hidden="1"/>
    <col min="7428" max="7428" width="10.81640625" style="4" hidden="1"/>
    <col min="7429" max="7429" width="110.1796875" style="4" hidden="1"/>
    <col min="7430" max="7430" width="76.54296875" style="4" hidden="1"/>
    <col min="7431" max="7431" width="14" style="4" hidden="1"/>
    <col min="7432" max="7438" width="12.81640625" style="4" hidden="1"/>
    <col min="7439" max="7439" width="13.81640625" style="4" hidden="1"/>
    <col min="7440" max="7440" width="12.453125" style="4" hidden="1"/>
    <col min="7441" max="7680" width="8.81640625" style="4" hidden="1"/>
    <col min="7681" max="7681" width="55.81640625" style="4" hidden="1"/>
    <col min="7682" max="7683" width="8.81640625" style="4" hidden="1"/>
    <col min="7684" max="7684" width="10.81640625" style="4" hidden="1"/>
    <col min="7685" max="7685" width="110.1796875" style="4" hidden="1"/>
    <col min="7686" max="7686" width="76.54296875" style="4" hidden="1"/>
    <col min="7687" max="7687" width="14" style="4" hidden="1"/>
    <col min="7688" max="7694" width="12.81640625" style="4" hidden="1"/>
    <col min="7695" max="7695" width="13.81640625" style="4" hidden="1"/>
    <col min="7696" max="7696" width="12.453125" style="4" hidden="1"/>
    <col min="7697" max="7936" width="8.81640625" style="4" hidden="1"/>
    <col min="7937" max="7937" width="55.81640625" style="4" hidden="1"/>
    <col min="7938" max="7939" width="8.81640625" style="4" hidden="1"/>
    <col min="7940" max="7940" width="10.81640625" style="4" hidden="1"/>
    <col min="7941" max="7941" width="110.1796875" style="4" hidden="1"/>
    <col min="7942" max="7942" width="76.54296875" style="4" hidden="1"/>
    <col min="7943" max="7943" width="14" style="4" hidden="1"/>
    <col min="7944" max="7950" width="12.81640625" style="4" hidden="1"/>
    <col min="7951" max="7951" width="13.81640625" style="4" hidden="1"/>
    <col min="7952" max="7952" width="12.453125" style="4" hidden="1"/>
    <col min="7953" max="8192" width="8.81640625" style="4" hidden="1"/>
    <col min="8193" max="8193" width="55.81640625" style="4" hidden="1"/>
    <col min="8194" max="8195" width="8.81640625" style="4" hidden="1"/>
    <col min="8196" max="8196" width="10.81640625" style="4" hidden="1"/>
    <col min="8197" max="8197" width="110.1796875" style="4" hidden="1"/>
    <col min="8198" max="8198" width="76.54296875" style="4" hidden="1"/>
    <col min="8199" max="8199" width="14" style="4" hidden="1"/>
    <col min="8200" max="8206" width="12.81640625" style="4" hidden="1"/>
    <col min="8207" max="8207" width="13.81640625" style="4" hidden="1"/>
    <col min="8208" max="8208" width="12.453125" style="4" hidden="1"/>
    <col min="8209" max="8448" width="8.81640625" style="4" hidden="1"/>
    <col min="8449" max="8449" width="55.81640625" style="4" hidden="1"/>
    <col min="8450" max="8451" width="8.81640625" style="4" hidden="1"/>
    <col min="8452" max="8452" width="10.81640625" style="4" hidden="1"/>
    <col min="8453" max="8453" width="110.1796875" style="4" hidden="1"/>
    <col min="8454" max="8454" width="76.54296875" style="4" hidden="1"/>
    <col min="8455" max="8455" width="14" style="4" hidden="1"/>
    <col min="8456" max="8462" width="12.81640625" style="4" hidden="1"/>
    <col min="8463" max="8463" width="13.81640625" style="4" hidden="1"/>
    <col min="8464" max="8464" width="12.453125" style="4" hidden="1"/>
    <col min="8465" max="8704" width="8.81640625" style="4" hidden="1"/>
    <col min="8705" max="8705" width="55.81640625" style="4" hidden="1"/>
    <col min="8706" max="8707" width="8.81640625" style="4" hidden="1"/>
    <col min="8708" max="8708" width="10.81640625" style="4" hidden="1"/>
    <col min="8709" max="8709" width="110.1796875" style="4" hidden="1"/>
    <col min="8710" max="8710" width="76.54296875" style="4" hidden="1"/>
    <col min="8711" max="8711" width="14" style="4" hidden="1"/>
    <col min="8712" max="8718" width="12.81640625" style="4" hidden="1"/>
    <col min="8719" max="8719" width="13.81640625" style="4" hidden="1"/>
    <col min="8720" max="8720" width="12.453125" style="4" hidden="1"/>
    <col min="8721" max="8960" width="8.81640625" style="4" hidden="1"/>
    <col min="8961" max="8961" width="55.81640625" style="4" hidden="1"/>
    <col min="8962" max="8963" width="8.81640625" style="4" hidden="1"/>
    <col min="8964" max="8964" width="10.81640625" style="4" hidden="1"/>
    <col min="8965" max="8965" width="110.1796875" style="4" hidden="1"/>
    <col min="8966" max="8966" width="76.54296875" style="4" hidden="1"/>
    <col min="8967" max="8967" width="14" style="4" hidden="1"/>
    <col min="8968" max="8974" width="12.81640625" style="4" hidden="1"/>
    <col min="8975" max="8975" width="13.81640625" style="4" hidden="1"/>
    <col min="8976" max="8976" width="12.453125" style="4" hidden="1"/>
    <col min="8977" max="9216" width="8.81640625" style="4" hidden="1"/>
    <col min="9217" max="9217" width="55.81640625" style="4" hidden="1"/>
    <col min="9218" max="9219" width="8.81640625" style="4" hidden="1"/>
    <col min="9220" max="9220" width="10.81640625" style="4" hidden="1"/>
    <col min="9221" max="9221" width="110.1796875" style="4" hidden="1"/>
    <col min="9222" max="9222" width="76.54296875" style="4" hidden="1"/>
    <col min="9223" max="9223" width="14" style="4" hidden="1"/>
    <col min="9224" max="9230" width="12.81640625" style="4" hidden="1"/>
    <col min="9231" max="9231" width="13.81640625" style="4" hidden="1"/>
    <col min="9232" max="9232" width="12.453125" style="4" hidden="1"/>
    <col min="9233" max="9472" width="8.81640625" style="4" hidden="1"/>
    <col min="9473" max="9473" width="55.81640625" style="4" hidden="1"/>
    <col min="9474" max="9475" width="8.81640625" style="4" hidden="1"/>
    <col min="9476" max="9476" width="10.81640625" style="4" hidden="1"/>
    <col min="9477" max="9477" width="110.1796875" style="4" hidden="1"/>
    <col min="9478" max="9478" width="76.54296875" style="4" hidden="1"/>
    <col min="9479" max="9479" width="14" style="4" hidden="1"/>
    <col min="9480" max="9486" width="12.81640625" style="4" hidden="1"/>
    <col min="9487" max="9487" width="13.81640625" style="4" hidden="1"/>
    <col min="9488" max="9488" width="12.453125" style="4" hidden="1"/>
    <col min="9489" max="9728" width="8.81640625" style="4" hidden="1"/>
    <col min="9729" max="9729" width="55.81640625" style="4" hidden="1"/>
    <col min="9730" max="9731" width="8.81640625" style="4" hidden="1"/>
    <col min="9732" max="9732" width="10.81640625" style="4" hidden="1"/>
    <col min="9733" max="9733" width="110.1796875" style="4" hidden="1"/>
    <col min="9734" max="9734" width="76.54296875" style="4" hidden="1"/>
    <col min="9735" max="9735" width="14" style="4" hidden="1"/>
    <col min="9736" max="9742" width="12.81640625" style="4" hidden="1"/>
    <col min="9743" max="9743" width="13.81640625" style="4" hidden="1"/>
    <col min="9744" max="9744" width="12.453125" style="4" hidden="1"/>
    <col min="9745" max="9984" width="8.81640625" style="4" hidden="1"/>
    <col min="9985" max="9985" width="55.81640625" style="4" hidden="1"/>
    <col min="9986" max="9987" width="8.81640625" style="4" hidden="1"/>
    <col min="9988" max="9988" width="10.81640625" style="4" hidden="1"/>
    <col min="9989" max="9989" width="110.1796875" style="4" hidden="1"/>
    <col min="9990" max="9990" width="76.54296875" style="4" hidden="1"/>
    <col min="9991" max="9991" width="14" style="4" hidden="1"/>
    <col min="9992" max="9998" width="12.81640625" style="4" hidden="1"/>
    <col min="9999" max="9999" width="13.81640625" style="4" hidden="1"/>
    <col min="10000" max="10000" width="12.453125" style="4" hidden="1"/>
    <col min="10001" max="10240" width="8.81640625" style="4" hidden="1"/>
    <col min="10241" max="10241" width="55.81640625" style="4" hidden="1"/>
    <col min="10242" max="10243" width="8.81640625" style="4" hidden="1"/>
    <col min="10244" max="10244" width="10.81640625" style="4" hidden="1"/>
    <col min="10245" max="10245" width="110.1796875" style="4" hidden="1"/>
    <col min="10246" max="10246" width="76.54296875" style="4" hidden="1"/>
    <col min="10247" max="10247" width="14" style="4" hidden="1"/>
    <col min="10248" max="10254" width="12.81640625" style="4" hidden="1"/>
    <col min="10255" max="10255" width="13.81640625" style="4" hidden="1"/>
    <col min="10256" max="10256" width="12.453125" style="4" hidden="1"/>
    <col min="10257" max="10496" width="8.81640625" style="4" hidden="1"/>
    <col min="10497" max="10497" width="55.81640625" style="4" hidden="1"/>
    <col min="10498" max="10499" width="8.81640625" style="4" hidden="1"/>
    <col min="10500" max="10500" width="10.81640625" style="4" hidden="1"/>
    <col min="10501" max="10501" width="110.1796875" style="4" hidden="1"/>
    <col min="10502" max="10502" width="76.54296875" style="4" hidden="1"/>
    <col min="10503" max="10503" width="14" style="4" hidden="1"/>
    <col min="10504" max="10510" width="12.81640625" style="4" hidden="1"/>
    <col min="10511" max="10511" width="13.81640625" style="4" hidden="1"/>
    <col min="10512" max="10512" width="12.453125" style="4" hidden="1"/>
    <col min="10513" max="10752" width="8.81640625" style="4" hidden="1"/>
    <col min="10753" max="10753" width="55.81640625" style="4" hidden="1"/>
    <col min="10754" max="10755" width="8.81640625" style="4" hidden="1"/>
    <col min="10756" max="10756" width="10.81640625" style="4" hidden="1"/>
    <col min="10757" max="10757" width="110.1796875" style="4" hidden="1"/>
    <col min="10758" max="10758" width="76.54296875" style="4" hidden="1"/>
    <col min="10759" max="10759" width="14" style="4" hidden="1"/>
    <col min="10760" max="10766" width="12.81640625" style="4" hidden="1"/>
    <col min="10767" max="10767" width="13.81640625" style="4" hidden="1"/>
    <col min="10768" max="10768" width="12.453125" style="4" hidden="1"/>
    <col min="10769" max="11008" width="8.81640625" style="4" hidden="1"/>
    <col min="11009" max="11009" width="55.81640625" style="4" hidden="1"/>
    <col min="11010" max="11011" width="8.81640625" style="4" hidden="1"/>
    <col min="11012" max="11012" width="10.81640625" style="4" hidden="1"/>
    <col min="11013" max="11013" width="110.1796875" style="4" hidden="1"/>
    <col min="11014" max="11014" width="76.54296875" style="4" hidden="1"/>
    <col min="11015" max="11015" width="14" style="4" hidden="1"/>
    <col min="11016" max="11022" width="12.81640625" style="4" hidden="1"/>
    <col min="11023" max="11023" width="13.81640625" style="4" hidden="1"/>
    <col min="11024" max="11024" width="12.453125" style="4" hidden="1"/>
    <col min="11025" max="11264" width="8.81640625" style="4" hidden="1"/>
    <col min="11265" max="11265" width="55.81640625" style="4" hidden="1"/>
    <col min="11266" max="11267" width="8.81640625" style="4" hidden="1"/>
    <col min="11268" max="11268" width="10.81640625" style="4" hidden="1"/>
    <col min="11269" max="11269" width="110.1796875" style="4" hidden="1"/>
    <col min="11270" max="11270" width="76.54296875" style="4" hidden="1"/>
    <col min="11271" max="11271" width="14" style="4" hidden="1"/>
    <col min="11272" max="11278" width="12.81640625" style="4" hidden="1"/>
    <col min="11279" max="11279" width="13.81640625" style="4" hidden="1"/>
    <col min="11280" max="11280" width="12.453125" style="4" hidden="1"/>
    <col min="11281" max="11520" width="8.81640625" style="4" hidden="1"/>
    <col min="11521" max="11521" width="55.81640625" style="4" hidden="1"/>
    <col min="11522" max="11523" width="8.81640625" style="4" hidden="1"/>
    <col min="11524" max="11524" width="10.81640625" style="4" hidden="1"/>
    <col min="11525" max="11525" width="110.1796875" style="4" hidden="1"/>
    <col min="11526" max="11526" width="76.54296875" style="4" hidden="1"/>
    <col min="11527" max="11527" width="14" style="4" hidden="1"/>
    <col min="11528" max="11534" width="12.81640625" style="4" hidden="1"/>
    <col min="11535" max="11535" width="13.81640625" style="4" hidden="1"/>
    <col min="11536" max="11536" width="12.453125" style="4" hidden="1"/>
    <col min="11537" max="11776" width="8.81640625" style="4" hidden="1"/>
    <col min="11777" max="11777" width="55.81640625" style="4" hidden="1"/>
    <col min="11778" max="11779" width="8.81640625" style="4" hidden="1"/>
    <col min="11780" max="11780" width="10.81640625" style="4" hidden="1"/>
    <col min="11781" max="11781" width="110.1796875" style="4" hidden="1"/>
    <col min="11782" max="11782" width="76.54296875" style="4" hidden="1"/>
    <col min="11783" max="11783" width="14" style="4" hidden="1"/>
    <col min="11784" max="11790" width="12.81640625" style="4" hidden="1"/>
    <col min="11791" max="11791" width="13.81640625" style="4" hidden="1"/>
    <col min="11792" max="11792" width="12.453125" style="4" hidden="1"/>
    <col min="11793" max="12032" width="8.81640625" style="4" hidden="1"/>
    <col min="12033" max="12033" width="55.81640625" style="4" hidden="1"/>
    <col min="12034" max="12035" width="8.81640625" style="4" hidden="1"/>
    <col min="12036" max="12036" width="10.81640625" style="4" hidden="1"/>
    <col min="12037" max="12037" width="110.1796875" style="4" hidden="1"/>
    <col min="12038" max="12038" width="76.54296875" style="4" hidden="1"/>
    <col min="12039" max="12039" width="14" style="4" hidden="1"/>
    <col min="12040" max="12046" width="12.81640625" style="4" hidden="1"/>
    <col min="12047" max="12047" width="13.81640625" style="4" hidden="1"/>
    <col min="12048" max="12048" width="12.453125" style="4" hidden="1"/>
    <col min="12049" max="12288" width="8.81640625" style="4" hidden="1"/>
    <col min="12289" max="12289" width="55.81640625" style="4" hidden="1"/>
    <col min="12290" max="12291" width="8.81640625" style="4" hidden="1"/>
    <col min="12292" max="12292" width="10.81640625" style="4" hidden="1"/>
    <col min="12293" max="12293" width="110.1796875" style="4" hidden="1"/>
    <col min="12294" max="12294" width="76.54296875" style="4" hidden="1"/>
    <col min="12295" max="12295" width="14" style="4" hidden="1"/>
    <col min="12296" max="12302" width="12.81640625" style="4" hidden="1"/>
    <col min="12303" max="12303" width="13.81640625" style="4" hidden="1"/>
    <col min="12304" max="12304" width="12.453125" style="4" hidden="1"/>
    <col min="12305" max="12544" width="8.81640625" style="4" hidden="1"/>
    <col min="12545" max="12545" width="55.81640625" style="4" hidden="1"/>
    <col min="12546" max="12547" width="8.81640625" style="4" hidden="1"/>
    <col min="12548" max="12548" width="10.81640625" style="4" hidden="1"/>
    <col min="12549" max="12549" width="110.1796875" style="4" hidden="1"/>
    <col min="12550" max="12550" width="76.54296875" style="4" hidden="1"/>
    <col min="12551" max="12551" width="14" style="4" hidden="1"/>
    <col min="12552" max="12558" width="12.81640625" style="4" hidden="1"/>
    <col min="12559" max="12559" width="13.81640625" style="4" hidden="1"/>
    <col min="12560" max="12560" width="12.453125" style="4" hidden="1"/>
    <col min="12561" max="12800" width="8.81640625" style="4" hidden="1"/>
    <col min="12801" max="12801" width="55.81640625" style="4" hidden="1"/>
    <col min="12802" max="12803" width="8.81640625" style="4" hidden="1"/>
    <col min="12804" max="12804" width="10.81640625" style="4" hidden="1"/>
    <col min="12805" max="12805" width="110.1796875" style="4" hidden="1"/>
    <col min="12806" max="12806" width="76.54296875" style="4" hidden="1"/>
    <col min="12807" max="12807" width="14" style="4" hidden="1"/>
    <col min="12808" max="12814" width="12.81640625" style="4" hidden="1"/>
    <col min="12815" max="12815" width="13.81640625" style="4" hidden="1"/>
    <col min="12816" max="12816" width="12.453125" style="4" hidden="1"/>
    <col min="12817" max="13056" width="8.81640625" style="4" hidden="1"/>
    <col min="13057" max="13057" width="55.81640625" style="4" hidden="1"/>
    <col min="13058" max="13059" width="8.81640625" style="4" hidden="1"/>
    <col min="13060" max="13060" width="10.81640625" style="4" hidden="1"/>
    <col min="13061" max="13061" width="110.1796875" style="4" hidden="1"/>
    <col min="13062" max="13062" width="76.54296875" style="4" hidden="1"/>
    <col min="13063" max="13063" width="14" style="4" hidden="1"/>
    <col min="13064" max="13070" width="12.81640625" style="4" hidden="1"/>
    <col min="13071" max="13071" width="13.81640625" style="4" hidden="1"/>
    <col min="13072" max="13072" width="12.453125" style="4" hidden="1"/>
    <col min="13073" max="13312" width="8.81640625" style="4" hidden="1"/>
    <col min="13313" max="13313" width="55.81640625" style="4" hidden="1"/>
    <col min="13314" max="13315" width="8.81640625" style="4" hidden="1"/>
    <col min="13316" max="13316" width="10.81640625" style="4" hidden="1"/>
    <col min="13317" max="13317" width="110.1796875" style="4" hidden="1"/>
    <col min="13318" max="13318" width="76.54296875" style="4" hidden="1"/>
    <col min="13319" max="13319" width="14" style="4" hidden="1"/>
    <col min="13320" max="13326" width="12.81640625" style="4" hidden="1"/>
    <col min="13327" max="13327" width="13.81640625" style="4" hidden="1"/>
    <col min="13328" max="13328" width="12.453125" style="4" hidden="1"/>
    <col min="13329" max="13568" width="8.81640625" style="4" hidden="1"/>
    <col min="13569" max="13569" width="55.81640625" style="4" hidden="1"/>
    <col min="13570" max="13571" width="8.81640625" style="4" hidden="1"/>
    <col min="13572" max="13572" width="10.81640625" style="4" hidden="1"/>
    <col min="13573" max="13573" width="110.1796875" style="4" hidden="1"/>
    <col min="13574" max="13574" width="76.54296875" style="4" hidden="1"/>
    <col min="13575" max="13575" width="14" style="4" hidden="1"/>
    <col min="13576" max="13582" width="12.81640625" style="4" hidden="1"/>
    <col min="13583" max="13583" width="13.81640625" style="4" hidden="1"/>
    <col min="13584" max="13584" width="12.453125" style="4" hidden="1"/>
    <col min="13585" max="13824" width="8.81640625" style="4" hidden="1"/>
    <col min="13825" max="13825" width="55.81640625" style="4" hidden="1"/>
    <col min="13826" max="13827" width="8.81640625" style="4" hidden="1"/>
    <col min="13828" max="13828" width="10.81640625" style="4" hidden="1"/>
    <col min="13829" max="13829" width="110.1796875" style="4" hidden="1"/>
    <col min="13830" max="13830" width="76.54296875" style="4" hidden="1"/>
    <col min="13831" max="13831" width="14" style="4" hidden="1"/>
    <col min="13832" max="13838" width="12.81640625" style="4" hidden="1"/>
    <col min="13839" max="13839" width="13.81640625" style="4" hidden="1"/>
    <col min="13840" max="13840" width="12.453125" style="4" hidden="1"/>
    <col min="13841" max="14080" width="8.81640625" style="4" hidden="1"/>
    <col min="14081" max="14081" width="55.81640625" style="4" hidden="1"/>
    <col min="14082" max="14083" width="8.81640625" style="4" hidden="1"/>
    <col min="14084" max="14084" width="10.81640625" style="4" hidden="1"/>
    <col min="14085" max="14085" width="110.1796875" style="4" hidden="1"/>
    <col min="14086" max="14086" width="76.54296875" style="4" hidden="1"/>
    <col min="14087" max="14087" width="14" style="4" hidden="1"/>
    <col min="14088" max="14094" width="12.81640625" style="4" hidden="1"/>
    <col min="14095" max="14095" width="13.81640625" style="4" hidden="1"/>
    <col min="14096" max="14096" width="12.453125" style="4" hidden="1"/>
    <col min="14097" max="14336" width="8.81640625" style="4" hidden="1"/>
    <col min="14337" max="14337" width="55.81640625" style="4" hidden="1"/>
    <col min="14338" max="14339" width="8.81640625" style="4" hidden="1"/>
    <col min="14340" max="14340" width="10.81640625" style="4" hidden="1"/>
    <col min="14341" max="14341" width="110.1796875" style="4" hidden="1"/>
    <col min="14342" max="14342" width="76.54296875" style="4" hidden="1"/>
    <col min="14343" max="14343" width="14" style="4" hidden="1"/>
    <col min="14344" max="14350" width="12.81640625" style="4" hidden="1"/>
    <col min="14351" max="14351" width="13.81640625" style="4" hidden="1"/>
    <col min="14352" max="14352" width="12.453125" style="4" hidden="1"/>
    <col min="14353" max="14592" width="8.81640625" style="4" hidden="1"/>
    <col min="14593" max="14593" width="55.81640625" style="4" hidden="1"/>
    <col min="14594" max="14595" width="8.81640625" style="4" hidden="1"/>
    <col min="14596" max="14596" width="10.81640625" style="4" hidden="1"/>
    <col min="14597" max="14597" width="110.1796875" style="4" hidden="1"/>
    <col min="14598" max="14598" width="76.54296875" style="4" hidden="1"/>
    <col min="14599" max="14599" width="14" style="4" hidden="1"/>
    <col min="14600" max="14606" width="12.81640625" style="4" hidden="1"/>
    <col min="14607" max="14607" width="13.81640625" style="4" hidden="1"/>
    <col min="14608" max="14608" width="12.453125" style="4" hidden="1"/>
    <col min="14609" max="14848" width="8.81640625" style="4" hidden="1"/>
    <col min="14849" max="14849" width="55.81640625" style="4" hidden="1"/>
    <col min="14850" max="14851" width="8.81640625" style="4" hidden="1"/>
    <col min="14852" max="14852" width="10.81640625" style="4" hidden="1"/>
    <col min="14853" max="14853" width="110.1796875" style="4" hidden="1"/>
    <col min="14854" max="14854" width="76.54296875" style="4" hidden="1"/>
    <col min="14855" max="14855" width="14" style="4" hidden="1"/>
    <col min="14856" max="14862" width="12.81640625" style="4" hidden="1"/>
    <col min="14863" max="14863" width="13.81640625" style="4" hidden="1"/>
    <col min="14864" max="14864" width="12.453125" style="4" hidden="1"/>
    <col min="14865" max="15104" width="8.81640625" style="4" hidden="1"/>
    <col min="15105" max="15105" width="55.81640625" style="4" hidden="1"/>
    <col min="15106" max="15107" width="8.81640625" style="4" hidden="1"/>
    <col min="15108" max="15108" width="10.81640625" style="4" hidden="1"/>
    <col min="15109" max="15109" width="110.1796875" style="4" hidden="1"/>
    <col min="15110" max="15110" width="76.54296875" style="4" hidden="1"/>
    <col min="15111" max="15111" width="14" style="4" hidden="1"/>
    <col min="15112" max="15118" width="12.81640625" style="4" hidden="1"/>
    <col min="15119" max="15119" width="13.81640625" style="4" hidden="1"/>
    <col min="15120" max="15120" width="12.453125" style="4" hidden="1"/>
    <col min="15121" max="15360" width="8.81640625" style="4" hidden="1"/>
    <col min="15361" max="15361" width="55.81640625" style="4" hidden="1"/>
    <col min="15362" max="15363" width="8.81640625" style="4" hidden="1"/>
    <col min="15364" max="15364" width="10.81640625" style="4" hidden="1"/>
    <col min="15365" max="15365" width="110.1796875" style="4" hidden="1"/>
    <col min="15366" max="15366" width="76.54296875" style="4" hidden="1"/>
    <col min="15367" max="15367" width="14" style="4" hidden="1"/>
    <col min="15368" max="15374" width="12.81640625" style="4" hidden="1"/>
    <col min="15375" max="15375" width="13.81640625" style="4" hidden="1"/>
    <col min="15376" max="15376" width="12.453125" style="4" hidden="1"/>
    <col min="15377" max="15616" width="8.81640625" style="4" hidden="1"/>
    <col min="15617" max="15617" width="55.81640625" style="4" hidden="1"/>
    <col min="15618" max="15619" width="8.81640625" style="4" hidden="1"/>
    <col min="15620" max="15620" width="10.81640625" style="4" hidden="1"/>
    <col min="15621" max="15621" width="110.1796875" style="4" hidden="1"/>
    <col min="15622" max="15622" width="76.54296875" style="4" hidden="1"/>
    <col min="15623" max="15623" width="14" style="4" hidden="1"/>
    <col min="15624" max="15630" width="12.81640625" style="4" hidden="1"/>
    <col min="15631" max="15631" width="13.81640625" style="4" hidden="1"/>
    <col min="15632" max="15632" width="12.453125" style="4" hidden="1"/>
    <col min="15633" max="15872" width="8.81640625" style="4" hidden="1"/>
    <col min="15873" max="15873" width="55.81640625" style="4" hidden="1"/>
    <col min="15874" max="15875" width="8.81640625" style="4" hidden="1"/>
    <col min="15876" max="15876" width="10.81640625" style="4" hidden="1"/>
    <col min="15877" max="15877" width="110.1796875" style="4" hidden="1"/>
    <col min="15878" max="15878" width="76.54296875" style="4" hidden="1"/>
    <col min="15879" max="15879" width="14" style="4" hidden="1"/>
    <col min="15880" max="15886" width="12.81640625" style="4" hidden="1"/>
    <col min="15887" max="15887" width="13.81640625" style="4" hidden="1"/>
    <col min="15888" max="15888" width="12.453125" style="4" hidden="1"/>
    <col min="15889" max="16128" width="8.81640625" style="4" hidden="1"/>
    <col min="16129" max="16129" width="55.81640625" style="4" hidden="1"/>
    <col min="16130" max="16131" width="8.81640625" style="4" hidden="1"/>
    <col min="16132" max="16132" width="10.81640625" style="4" hidden="1"/>
    <col min="16133" max="16133" width="110.1796875" style="4" hidden="1"/>
    <col min="16134" max="16134" width="76.54296875" style="4" hidden="1"/>
    <col min="16135" max="16135" width="14" style="4" hidden="1"/>
    <col min="16136" max="16142" width="12.81640625" style="4" hidden="1"/>
    <col min="16143" max="16143" width="13.81640625" style="4" hidden="1"/>
    <col min="16144" max="16144" width="12.453125" style="4" hidden="1"/>
    <col min="16145" max="16384" width="8.81640625" style="4" hidden="1"/>
  </cols>
  <sheetData>
    <row r="1" spans="1:14" ht="45" x14ac:dyDescent="0.9">
      <c r="A1" s="26" t="str">
        <f>Invulinstructie_disclaimer!A2</f>
        <v>Model haalbaarheidsstudie SDE++ 2026</v>
      </c>
      <c r="I1" s="27"/>
    </row>
    <row r="2" spans="1:14" ht="33" customHeight="1" x14ac:dyDescent="0.4">
      <c r="A2" s="28" t="s">
        <v>35</v>
      </c>
      <c r="G2" s="28"/>
      <c r="I2" s="29"/>
    </row>
    <row r="3" spans="1:14" ht="43.5" customHeight="1" x14ac:dyDescent="0.35">
      <c r="A3" s="148" t="s">
        <v>22</v>
      </c>
      <c r="F3" s="149"/>
    </row>
    <row r="4" spans="1:14" x14ac:dyDescent="0.35">
      <c r="A4" s="30" t="s">
        <v>36</v>
      </c>
      <c r="B4" s="286" t="str">
        <f>IF(Financiering_en_projectplan!B7="","",Financiering_en_projectplan!B7)</f>
        <v/>
      </c>
      <c r="C4" s="306"/>
      <c r="D4" s="306"/>
      <c r="E4" s="307"/>
    </row>
    <row r="5" spans="1:14" x14ac:dyDescent="0.35">
      <c r="A5" s="12"/>
      <c r="B5" s="12"/>
      <c r="C5" s="12"/>
      <c r="D5" s="12"/>
      <c r="E5" s="12"/>
    </row>
    <row r="6" spans="1:14" x14ac:dyDescent="0.35">
      <c r="A6" s="30" t="s">
        <v>37</v>
      </c>
      <c r="B6" s="262"/>
      <c r="C6" s="308"/>
      <c r="D6" s="308"/>
      <c r="E6" s="309"/>
    </row>
    <row r="7" spans="1:14" x14ac:dyDescent="0.35">
      <c r="A7" s="12"/>
      <c r="B7" s="12"/>
      <c r="C7" s="12"/>
      <c r="D7" s="12"/>
      <c r="E7" s="12"/>
    </row>
    <row r="8" spans="1:14" ht="76.5" customHeight="1" x14ac:dyDescent="0.35">
      <c r="A8" s="34" t="s">
        <v>38</v>
      </c>
      <c r="B8" s="310"/>
      <c r="C8" s="282"/>
      <c r="D8" s="282"/>
      <c r="E8" s="282"/>
    </row>
    <row r="9" spans="1:14" ht="155.25" customHeight="1" x14ac:dyDescent="0.35">
      <c r="A9" s="34" t="s">
        <v>39</v>
      </c>
      <c r="B9" s="310"/>
      <c r="C9" s="282"/>
      <c r="D9" s="282"/>
      <c r="E9" s="282"/>
      <c r="F9" s="31" t="str">
        <f>IF(Hulpblad_categorieën_parameters!D29="","U moet nog een subthema productie-installaties kiezen!","")</f>
        <v/>
      </c>
    </row>
    <row r="10" spans="1:14" ht="246" customHeight="1" x14ac:dyDescent="0.35">
      <c r="A10" s="34" t="s">
        <v>40</v>
      </c>
      <c r="B10" s="310"/>
      <c r="C10" s="310"/>
      <c r="D10" s="310"/>
      <c r="E10" s="310"/>
      <c r="F10" s="31" t="str">
        <f>IF(Hulpblad_categorieën_parameters!D82="","U moet nog een categorie kiezen!","")</f>
        <v/>
      </c>
    </row>
    <row r="11" spans="1:14" s="30" customFormat="1" ht="14" x14ac:dyDescent="0.3">
      <c r="A11" s="44" t="s">
        <v>41</v>
      </c>
      <c r="B11" s="303" t="str">
        <f>Hulpblad_categorieën_parameters!D82</f>
        <v>Zon-PV ≥ 15 kWp en &lt; 1 MWp aansluiting &gt; 3*80 A, gebouwgebonden (net = 50%)</v>
      </c>
      <c r="C11" s="304"/>
      <c r="D11" s="304"/>
      <c r="E11" s="305"/>
      <c r="F11" s="43"/>
      <c r="G11" s="43"/>
      <c r="H11" s="43"/>
      <c r="I11" s="43"/>
      <c r="J11" s="43"/>
      <c r="K11" s="43"/>
      <c r="L11" s="43"/>
      <c r="M11" s="43"/>
      <c r="N11" s="43"/>
    </row>
    <row r="12" spans="1:14" s="30" customFormat="1" x14ac:dyDescent="0.35">
      <c r="A12" s="44"/>
      <c r="C12" s="4"/>
      <c r="D12" s="4"/>
      <c r="E12" s="4"/>
      <c r="F12" s="43"/>
      <c r="G12" s="43"/>
      <c r="H12" s="43"/>
      <c r="I12" s="43"/>
      <c r="J12" s="43"/>
      <c r="K12" s="43"/>
      <c r="L12" s="43"/>
      <c r="M12" s="43"/>
      <c r="N12" s="43"/>
    </row>
    <row r="13" spans="1:14" s="30" customFormat="1" ht="31.5" customHeight="1" x14ac:dyDescent="0.35">
      <c r="A13" s="335" t="str">
        <f>IF(OR(
Hulpblad_categorieën_parameters!D29="CO2-afvang en opslag (CCS) 4.000 uur bij (industriële) ETS-installaties (combinatie met 4.000 uur CCU mogelijk)",
Hulpblad_categorieën_parameters!D29="CO2-afvang en opslag (CCS) 8.000 uur bij (industriële) ETS-installaties",
Hulpblad_categorieën_parameters!D29="CO2-afvang en opslag (CCS) 4.000 uur bij afvalverbrandingsinstallaties (AVI's) (combinatie met 4.000 uur CCU mogelijk)",
Hulpblad_categorieën_parameters!D29="CO2-afvang en opslag (CCS) 8.000 uur bij afvalverbrandingsinstallaties (AVI's)"),
"De SDE++-installatie gaat deel uit maken van een ETS-1 installatie",
IF(Hulpblad_categorieën_parameters!D29="Restwarmtebenutting","Gaat de SDE++-productie-installatie deel uitmaken van een ETS-1 installatie, of wordt de warmte geleverd aan een ETS-1 installatie?",
IF(OR(Hulpblad_categorieën_parameters!C7="Hernieuwbare warmte (en gecombineerde opwekking)",Hulpblad_categorieën_parameters!C7="CO₂-arme warmte",Hulpblad_categorieën_parameters!D29="Waterstofproductie"),"Gaat de SDE++-productie-installatie deel uitmaken van een ETS-1 installatie?","ETS-1 correctie")))</f>
        <v>ETS-1 correctie</v>
      </c>
      <c r="B13" s="336"/>
      <c r="C13" s="336"/>
      <c r="D13" s="336"/>
      <c r="E13" s="314" t="str">
        <f>IF(OR(
Hulpblad_categorieën_parameters!D29="CO2-afvang en opslag (CCS) 4.000 uur bij (industriële) ETS-installaties (combinatie met 4.000 uur CCU mogelijk)",
Hulpblad_categorieën_parameters!D29="CO2-afvang en opslag (CCS) 8.000 uur bij (industriële) ETS-installaties",
Hulpblad_categorieën_parameters!D29="CO2-afvang en opslag (CCS) 4.000 uur bij afvalverbrandingsinstallaties (AVI's) (combinatie met 4.000 uur CCU mogelijk)",
Hulpblad_categorieën_parameters!D29="CO2-afvang en opslag (CCS) 8.000 uur bij afvalverbrandingsinstallaties (AVI's)"),
"De SDE++-installatie maakt deel uit van een ETS-1-installatie. De SDE-subsidie wordt gecorrigeerd voor voordelen en vermeden kosten die voortvloeien uit het ETS-1 systeem.",
IF(AND(Hulpblad_categorieën_parameters!D29="Restwarmtebenutting",Hulpblad_overig!B11=1),"Als de installatie voor restwarmtebenutting deel uitmaakt van een ETS-1 installatie, of er wordt warmte geleverd aan een ETS1-installatie, dan zijn er voordelen die voortvloeien uit het ETS-1 systeem en wordt de SDE++ subsidie hiervoor gecorrigeerd.",
IF(AND(Hulpblad_categorieën_parameters!D29="Restwarmtebenutting",Hulpblad_overig!B11=2),"Als de installatie voor restwarmtebenutting geen deel uitmaakt van een ETS-1 installatie én er wordt geen warmte geleverd aan een ETS-1 installatie, dan zijn er geen voordelen die voortvloeien uit het ETS-1-steem en vindt er geen ETS-1 correctie plaats.",
IF(A14="Niet van toepassing","",IF(Hulpblad_overig!B11=2,"Als de productie-installatie geen deel uitmaakt van een ETS-1 installatie zijn er geen voordelen die voortvloeien uit het ETS-1 systeem en hoeft de SDE++-subsidie hiervoor niet te worden gecorrigeerd.",IF(OR(Hulpblad_categorieën_parameters!C7="Hernieuwbare warmte (en gecombineerde opwekking)",Hulpblad_categorieën_parameters!C7="CO₂-arme warmte",Hulpblad_categorieën_parameters!D29="Waterstofproductie"),Hulpblad_overig!A75,""))))))</f>
        <v/>
      </c>
      <c r="F13" s="43"/>
      <c r="G13" s="43"/>
      <c r="H13" s="43"/>
      <c r="I13" s="43"/>
      <c r="J13" s="43"/>
      <c r="K13" s="43"/>
      <c r="L13" s="43"/>
      <c r="M13" s="43"/>
      <c r="N13" s="43"/>
    </row>
    <row r="14" spans="1:14" s="30" customFormat="1" ht="12.75" customHeight="1" x14ac:dyDescent="0.35">
      <c r="A14" s="12" t="str">
        <f>IF(OR(Hulpblad_categorieën_parameters!C7="Hernieuwbare warmte (en gecombineerde opwekking)",
Hulpblad_categorieën_parameters!C7="CO₂-arme warmte",
Hulpblad_categorieën_parameters!D29="Waterstofproductie",
Hulpblad_categorieën_parameters!D29="CO2-afvang en opslag (CCS) 4.000 uur bij (industriële) ETS-installaties (combinatie met 4.000 uur CCU mogelijk)",
Hulpblad_categorieën_parameters!D29="CO2-afvang en opslag (CCS) 8.000 uur bij (industriële) ETS-installaties",
Hulpblad_categorieën_parameters!D29="CO2-afvang en opslag (CCS) 4.000 uur bij afvalverbrandingsinstallaties (AVI's) (combinatie met 4.000 uur CCU mogelijk)",
Hulpblad_categorieën_parameters!D29="CO2-afvang en opslag (CCS) 8.000 uur bij afvalverbrandingsinstallaties (AVI's)"),
"","Niet van toepassing")</f>
        <v>Niet van toepassing</v>
      </c>
      <c r="C14" s="4"/>
      <c r="D14" s="4"/>
      <c r="E14" s="315"/>
      <c r="F14" s="43"/>
      <c r="G14" s="43"/>
      <c r="H14" s="43"/>
      <c r="I14" s="43"/>
      <c r="J14" s="43"/>
      <c r="K14" s="43"/>
      <c r="L14" s="43"/>
      <c r="M14" s="43"/>
      <c r="N14" s="43"/>
    </row>
    <row r="15" spans="1:14" s="30" customFormat="1" ht="12.75" customHeight="1" x14ac:dyDescent="0.35">
      <c r="A15" s="150"/>
      <c r="C15" s="4"/>
      <c r="D15" s="4"/>
      <c r="E15" s="316"/>
      <c r="F15" s="43"/>
      <c r="G15" s="43"/>
      <c r="H15" s="43"/>
      <c r="I15" s="43"/>
      <c r="J15" s="43"/>
      <c r="K15" s="43"/>
      <c r="L15" s="43"/>
      <c r="M15" s="43"/>
      <c r="N15" s="43"/>
    </row>
    <row r="16" spans="1:14" ht="32.25" customHeight="1" x14ac:dyDescent="0.35">
      <c r="A16" s="148" t="s">
        <v>42</v>
      </c>
      <c r="B16" s="12"/>
      <c r="C16" s="12"/>
      <c r="D16" s="12"/>
      <c r="E16" s="12"/>
      <c r="F16" s="31"/>
    </row>
    <row r="17" spans="1:15" ht="12.75" customHeight="1" x14ac:dyDescent="0.35">
      <c r="A17" s="12" t="str">
        <f>VLOOKUP(B11,Hulpblad_categorieën_parameters!A88:AB349,20,FALSE)</f>
        <v>Vermogen productie-installatie (kW)</v>
      </c>
      <c r="B17" s="317">
        <v>0</v>
      </c>
      <c r="C17" s="318"/>
      <c r="D17" s="48">
        <f>IF(A17="Capaciteit afvanginstallatie CO₂ (ton/uur)","",B17/1000)</f>
        <v>0</v>
      </c>
      <c r="E17" s="12" t="str">
        <f>IF(A17="Capaciteit afvanginstallatie CO₂ (ton/uur)","","MW")</f>
        <v>MW</v>
      </c>
    </row>
    <row r="18" spans="1:15" ht="12.75" customHeight="1" x14ac:dyDescent="0.35">
      <c r="A18" s="12" t="str">
        <f>VLOOKUP(B11,Hulpblad_categorieën_parameters!A88:AB349,18,FALSE)</f>
        <v>Productie elektriciteit (kWh/jaar)</v>
      </c>
      <c r="B18" s="319">
        <v>0</v>
      </c>
      <c r="C18" s="320"/>
      <c r="E18" s="49" t="str">
        <f>IF(A18="Productie warmte (kWh/jaar)","Het betreft hier de nuttige aanwending van geproduceerde warmte.","")</f>
        <v/>
      </c>
      <c r="F18" s="30"/>
    </row>
    <row r="19" spans="1:15" ht="12.75" customHeight="1" x14ac:dyDescent="0.35">
      <c r="A19" s="12" t="str">
        <f>IF(VLOOKUP(B11,Hulpblad_categorieën_parameters!A88:AB349,19,FALSE)="Productie warmte (kWh/jaar)","Productie warmte (kWh/jaar)","Niet van toepassing")</f>
        <v>Niet van toepassing</v>
      </c>
      <c r="B19" s="319"/>
      <c r="C19" s="320"/>
      <c r="D19" s="50"/>
      <c r="E19" s="51" t="str">
        <f>IF(A19="Productie warmte (kWh/jaar)","Het betreft hier de nuttige aanwending van geproduceerde warmte.","")</f>
        <v/>
      </c>
      <c r="F19" s="151"/>
    </row>
    <row r="20" spans="1:15" ht="12.75" customHeight="1" x14ac:dyDescent="0.35">
      <c r="A20" s="30" t="str">
        <f>VLOOKUP(B11,Hulpblad_categorieën_parameters!A88:AB349,21,FALSE)</f>
        <v>Totale productie (kWh/jaar)</v>
      </c>
      <c r="B20" s="321">
        <f>IF(A19="",B18,B18+B19)</f>
        <v>0</v>
      </c>
      <c r="C20" s="322"/>
      <c r="D20" s="50"/>
      <c r="E20" s="52"/>
      <c r="F20" s="30"/>
    </row>
    <row r="21" spans="1:15" ht="12.75" customHeight="1" x14ac:dyDescent="0.35">
      <c r="A21" s="12" t="s">
        <v>43</v>
      </c>
      <c r="B21" s="323" t="e">
        <f>B20/B17</f>
        <v>#DIV/0!</v>
      </c>
      <c r="C21" s="324"/>
      <c r="D21" s="50"/>
      <c r="E21" s="6" t="str">
        <f>IFERROR((IF(B21&gt;8766,"Aantal vollasturen kan niet hoger zijn dan het aantal uren per jaar!",IF(Hulpblad_categorieën_parameters!D29="Wind","Is dit de P50-waarde vollasturen?",IF(B21&gt;VLOOKUP(B11,Hulpblad_categorieën_parameters!A88:AB349,12,FALSE),"Let op: U gaat meer produceren dan de "&amp;VLOOKUP(B11,Hulpblad_categorieën_parameters!A88:AB349,12,FALSE)&amp;" subsidiabele vollasturen!","")))),"Er is nog geen vermogen ingevuld!")</f>
        <v>Er is nog geen vermogen ingevuld!</v>
      </c>
    </row>
    <row r="22" spans="1:15" ht="12.75" customHeight="1" x14ac:dyDescent="0.35">
      <c r="A22" s="12"/>
      <c r="B22" s="53"/>
      <c r="C22" s="54"/>
      <c r="D22" s="50"/>
      <c r="E22" s="6"/>
    </row>
    <row r="23" spans="1:15" ht="12.75" customHeight="1" x14ac:dyDescent="0.35">
      <c r="A23" s="30" t="str">
        <f>VLOOKUP(B11,Hulpblad_categorieën_parameters!A88:AB349,22,FALSE)</f>
        <v>Subsidiabele productie (kWh/jaar)</v>
      </c>
      <c r="B23" s="325">
        <f>MIN(B20,B17*VLOOKUP(B11,Hulpblad_categorieën_parameters!A88:AB349,12,FALSE))</f>
        <v>0</v>
      </c>
      <c r="C23" s="325"/>
      <c r="D23" s="50"/>
      <c r="E23" s="6"/>
    </row>
    <row r="24" spans="1:15" ht="12.75" customHeight="1" x14ac:dyDescent="0.35">
      <c r="C24" s="41"/>
      <c r="D24" s="13"/>
      <c r="E24" s="38"/>
    </row>
    <row r="25" spans="1:15" ht="24" customHeight="1" x14ac:dyDescent="0.5">
      <c r="A25" s="148" t="s">
        <v>44</v>
      </c>
      <c r="D25" s="58"/>
      <c r="E25" s="30"/>
      <c r="F25" s="30"/>
      <c r="G25" s="30"/>
      <c r="H25" s="30"/>
      <c r="I25" s="30"/>
      <c r="J25" s="30"/>
      <c r="K25" s="30"/>
      <c r="L25" s="30"/>
      <c r="M25" s="30"/>
      <c r="N25" s="30"/>
      <c r="O25" s="30"/>
    </row>
    <row r="26" spans="1:15" ht="280.5" customHeight="1" x14ac:dyDescent="0.35">
      <c r="A26" s="326" t="str">
        <f>VLOOKUP(Hulpblad_overig!A215,Hulpblad_overig!A171:B212,2,FALSE)</f>
        <v>U vraagt subsidie aan voor een gebouwgebonden zon-PV-installatie. U hoeft geen energie-opbrengstberekening toe te voegen. Bij een gebouwgebonden zon-PV-installatie wordt de energieopbrengst (kWh/jaar) berekend door het piekvermogen van de installatie (in kWp) te vermenigvuldigen met 840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Bereken het beschikbare dakoppervlak en houd rekening met lichtstraten en klimaatinstallaties die op het dak staan. 
Verder bent u verplicht om het ‘Verklaring van een constructeur’ bij uw aanvraag te voegen (het model vindt u op de website van RVO). Hierin moet een constructeur een verklaring geven over de belastbaarheid van het dak of de gevel volgens het Besluit bouwwerken leefomgeving. Het onderzoek laat u uitvoeren en ondertekenen door een constructeur.  Reden voor het invoeren van deze eis is dat de realisatie van gebouw gebonden projecten achterblijft op de verwachting. Eén van de meest aangegeven redenen hiervoor is dat na het ontvangen van een beschikking het dak alsnog niet geschikt blijkt en de kosten om het dak geschikt te maken te hoog zijn. 
Tenslotte geldt dat voor de fotovoltaïsche zonnepanelen de CO2-voetafdruk tijdens de productiefase A1 tot en met A3 zoals bedoeld in EN 15804:2012+A2:2019 blijkens een milieuproductverklaring ten hoogste 550 kg per kWp bedraagt.</v>
      </c>
      <c r="B26" s="327"/>
      <c r="C26" s="327"/>
      <c r="D26" s="327"/>
      <c r="E26" s="328"/>
      <c r="F26" s="55" t="str">
        <f>VLOOKUP(Hulpblad_categorieën_parameters!D82,Hulpblad_categorieën_parameters!A88:AA349,27,FALSE)</f>
        <v xml:space="preserve">Voor deze categorie geldt dat een project een gecontracteerd terugleververmogen van de netaansluiting voor de productie-installatie van maximaal 50% van het piekvermogen van de zonnepanelen mag hebben. </v>
      </c>
    </row>
    <row r="27" spans="1:15" ht="18.75" customHeight="1" x14ac:dyDescent="0.35">
      <c r="A27" s="3"/>
      <c r="B27" s="2"/>
      <c r="C27" s="2"/>
      <c r="D27" s="2"/>
      <c r="E27" s="2"/>
    </row>
    <row r="28" spans="1:15" ht="24" customHeight="1" x14ac:dyDescent="0.35">
      <c r="A28" s="148" t="s">
        <v>45</v>
      </c>
      <c r="B28" s="2"/>
      <c r="C28" s="2"/>
      <c r="D28" s="2"/>
      <c r="E28" s="2"/>
    </row>
    <row r="29" spans="1:15" ht="12.75" customHeight="1" x14ac:dyDescent="0.35">
      <c r="A29" s="12" t="str">
        <f>VLOOKUP(Hulpblad_overig!A231,Hulpblad_overig!A219:B228,2,FALSE)</f>
        <v>Niet van toepassing</v>
      </c>
      <c r="B29" s="2"/>
      <c r="C29" s="2"/>
      <c r="D29" s="2"/>
      <c r="E29" s="2"/>
      <c r="F29" s="6"/>
    </row>
    <row r="30" spans="1:15" ht="41.25" customHeight="1" x14ac:dyDescent="0.35">
      <c r="A30" s="12"/>
      <c r="B30" s="2"/>
      <c r="C30" s="2"/>
      <c r="D30" s="2"/>
      <c r="E30" s="2"/>
      <c r="F30" s="56" t="str">
        <f>IF(Hulpblad_overig!C237="","U moet nog een keuze maken hoe de warmte wordt aangewend!","")</f>
        <v/>
      </c>
    </row>
    <row r="31" spans="1:15" ht="24" customHeight="1" x14ac:dyDescent="0.35">
      <c r="A31" s="160" t="str">
        <f>VLOOKUP(Hulpblad_overig!C237,Hulpblad_overig!A240:B244,2,FALSE)</f>
        <v>Niet van toepassing</v>
      </c>
      <c r="B31" s="2"/>
      <c r="C31" s="2"/>
      <c r="D31" s="2"/>
      <c r="E31" s="2"/>
    </row>
    <row r="32" spans="1:15" ht="81" customHeight="1" x14ac:dyDescent="0.35">
      <c r="A32" s="329"/>
      <c r="B32" s="330"/>
      <c r="C32" s="330"/>
      <c r="D32" s="330"/>
      <c r="E32" s="331"/>
      <c r="F32" s="31" t="str">
        <f>IF(AND(A32="",A29="Hoe gaat u de warmte aanwenden?"),"U heeft nog niet vermeld waar de warmte voor wordt aangewend!","")</f>
        <v/>
      </c>
    </row>
    <row r="33" spans="1:16" ht="18.75" customHeight="1" x14ac:dyDescent="0.35">
      <c r="A33" s="3"/>
      <c r="B33" s="2"/>
      <c r="C33" s="2"/>
      <c r="D33" s="2"/>
      <c r="E33" s="2"/>
    </row>
    <row r="34" spans="1:16" ht="24" customHeight="1" x14ac:dyDescent="0.35">
      <c r="A34" s="148" t="s">
        <v>46</v>
      </c>
      <c r="B34" s="12"/>
      <c r="C34" s="12"/>
      <c r="D34" s="12"/>
      <c r="E34" s="12"/>
      <c r="G34" s="14"/>
      <c r="H34" s="38"/>
      <c r="I34" s="38"/>
      <c r="J34" s="38"/>
      <c r="K34" s="38"/>
      <c r="L34" s="38"/>
      <c r="M34" s="38"/>
      <c r="N34" s="38"/>
      <c r="O34" s="38"/>
    </row>
    <row r="35" spans="1:16" x14ac:dyDescent="0.35">
      <c r="A35" s="160" t="str">
        <f>IF(Hulpblad_overig!B234="Niet van toepassing","Niet van toepassing",IF(Hulpblad_overig!B237=2,"U gaat warmte leveren aan derden",IF(Hulpblad_overig!B237=3,"U gaat warmte leveren aan derden","Niet van toepassing")))</f>
        <v>Niet van toepassing</v>
      </c>
      <c r="B35" s="12"/>
      <c r="C35" s="12"/>
      <c r="D35" s="12"/>
      <c r="E35" s="12"/>
      <c r="G35" s="14"/>
      <c r="H35" s="38"/>
      <c r="I35" s="38"/>
      <c r="J35" s="38"/>
      <c r="K35" s="38"/>
      <c r="L35" s="38"/>
      <c r="M35" s="38"/>
      <c r="N35" s="38"/>
      <c r="O35" s="38"/>
    </row>
    <row r="36" spans="1:16" x14ac:dyDescent="0.35">
      <c r="B36" s="12"/>
      <c r="C36" s="12"/>
      <c r="D36" s="12"/>
      <c r="E36" s="12"/>
      <c r="G36" s="57"/>
      <c r="H36" s="38"/>
      <c r="I36" s="38"/>
      <c r="J36" s="38"/>
      <c r="K36" s="38"/>
      <c r="L36" s="38"/>
      <c r="M36" s="38"/>
      <c r="N36" s="38"/>
      <c r="O36" s="38"/>
    </row>
    <row r="37" spans="1:16" ht="76.5" customHeight="1" x14ac:dyDescent="0.35">
      <c r="A37" s="332" t="str">
        <f>IF(Hulpblad_overig!B234="Niet van toepassing","Niet van toepassing",IF(Hulpblad_overig!B237=2,Hulpblad_overig!A162,IF(Hulpblad_overig!B237=3,Hulpblad_overig!A162,"Niet van toepassing")))</f>
        <v>Niet van toepassing</v>
      </c>
      <c r="B37" s="333"/>
      <c r="C37" s="333"/>
      <c r="D37" s="333"/>
      <c r="E37" s="334"/>
      <c r="F37" s="12"/>
      <c r="G37" s="57"/>
      <c r="H37" s="38"/>
      <c r="I37" s="38"/>
      <c r="J37" s="38"/>
      <c r="K37" s="38"/>
      <c r="L37" s="38"/>
      <c r="M37" s="38"/>
      <c r="N37" s="38"/>
      <c r="O37" s="38"/>
    </row>
    <row r="38" spans="1:16" ht="18.75" customHeight="1" x14ac:dyDescent="0.35">
      <c r="B38" s="4"/>
      <c r="C38" s="12"/>
      <c r="D38" s="12"/>
      <c r="E38" s="12"/>
      <c r="G38" s="57"/>
      <c r="H38" s="11"/>
      <c r="I38" s="38"/>
      <c r="J38" s="38"/>
      <c r="K38" s="38"/>
      <c r="L38" s="38"/>
      <c r="M38" s="38"/>
      <c r="N38" s="38"/>
      <c r="O38" s="38"/>
    </row>
    <row r="39" spans="1:16" ht="24" customHeight="1" x14ac:dyDescent="0.5">
      <c r="A39" s="148" t="s">
        <v>47</v>
      </c>
      <c r="B39" s="4"/>
      <c r="C39" s="12"/>
      <c r="D39" s="12"/>
      <c r="E39" s="12"/>
      <c r="F39" s="58"/>
      <c r="G39" s="57"/>
      <c r="H39" s="11"/>
      <c r="I39" s="38"/>
      <c r="J39" s="38"/>
      <c r="K39" s="38"/>
      <c r="L39" s="38"/>
      <c r="M39" s="38"/>
      <c r="N39" s="38"/>
      <c r="O39" s="38"/>
    </row>
    <row r="40" spans="1:16" ht="21.75" customHeight="1" x14ac:dyDescent="0.35">
      <c r="A40" s="32" t="str">
        <f>IF(AND(Hulpblad_overig!A231="Hernieuwbaar gas",B17&lt;390),"Is voor de productie-installatie een aansluiting met een doorlaatwaarde groter dan 40 Nm3 per uur nodig?",IF(AND(Hulpblad_overig!A231="Hernieuwbaar gas",B17&gt;=390),"","Niet van toepassing"))</f>
        <v>Niet van toepassing</v>
      </c>
      <c r="B40" s="4"/>
      <c r="C40" s="12"/>
      <c r="D40" s="12"/>
      <c r="E40" s="12"/>
      <c r="G40" s="57"/>
      <c r="H40" s="11"/>
      <c r="I40" s="38"/>
      <c r="J40" s="38"/>
      <c r="K40" s="38"/>
      <c r="L40" s="38"/>
      <c r="M40" s="38"/>
      <c r="N40" s="38"/>
      <c r="O40" s="38"/>
    </row>
    <row r="41" spans="1:16" ht="50.25" customHeight="1" x14ac:dyDescent="0.35">
      <c r="A41" s="32"/>
      <c r="B41" s="4"/>
      <c r="C41" s="12"/>
      <c r="D41" s="12"/>
      <c r="E41" s="12"/>
      <c r="F41" s="31"/>
      <c r="G41" s="57"/>
      <c r="H41" s="11"/>
      <c r="I41" s="38"/>
      <c r="J41" s="38"/>
      <c r="K41" s="38"/>
      <c r="L41" s="38"/>
      <c r="M41" s="38"/>
      <c r="N41" s="38"/>
      <c r="O41" s="38"/>
    </row>
    <row r="42" spans="1:16" ht="75" customHeight="1" x14ac:dyDescent="0.35">
      <c r="A42" s="332" t="str">
        <f>IF(AND(Hulpblad_overig!A231="Hernieuwbaar gas",B17&gt;=390),Hulpblad_overig!A164,IF(AND(Hulpblad_overig!A231="Hernieuwbaar gas",B17&lt;390,Hulpblad_overig!B39=1),Hulpblad_overig!A164,"Niet van toepassing"))</f>
        <v>Niet van toepassing</v>
      </c>
      <c r="B42" s="333"/>
      <c r="C42" s="333"/>
      <c r="D42" s="333"/>
      <c r="E42" s="334"/>
      <c r="F42" s="55"/>
      <c r="G42" s="14"/>
      <c r="H42" s="38"/>
      <c r="I42" s="38"/>
      <c r="J42" s="38"/>
      <c r="K42" s="38"/>
      <c r="L42" s="38"/>
      <c r="M42" s="38"/>
      <c r="N42" s="38"/>
      <c r="O42" s="38"/>
    </row>
    <row r="43" spans="1:16" ht="19.5" customHeight="1" x14ac:dyDescent="0.35">
      <c r="A43" s="12"/>
      <c r="B43" s="4"/>
      <c r="C43" s="4"/>
      <c r="G43" s="14"/>
      <c r="H43" s="38"/>
      <c r="I43" s="38"/>
      <c r="J43" s="38"/>
      <c r="K43" s="38"/>
      <c r="L43" s="38"/>
      <c r="M43" s="38"/>
      <c r="N43" s="38"/>
      <c r="O43" s="38"/>
    </row>
    <row r="44" spans="1:16" ht="21" customHeight="1" x14ac:dyDescent="0.45">
      <c r="A44" s="148" t="s">
        <v>48</v>
      </c>
      <c r="C44" s="4"/>
      <c r="F44" s="59"/>
      <c r="G44" s="14"/>
      <c r="H44" s="38"/>
      <c r="I44" s="38"/>
      <c r="J44" s="38"/>
      <c r="K44" s="38"/>
      <c r="L44" s="38"/>
      <c r="M44" s="38"/>
      <c r="N44" s="38"/>
      <c r="O44" s="38"/>
    </row>
    <row r="45" spans="1:16" ht="18" customHeight="1" x14ac:dyDescent="0.35">
      <c r="A45" s="160" t="str">
        <f>IF(Hulpblad_overig!A231="CO₂-opslag","Gaat u zelf CO₂ transporteren én opslaan?","Niet van toepassing")</f>
        <v>Niet van toepassing</v>
      </c>
      <c r="B45" s="4"/>
      <c r="D45" s="30"/>
      <c r="E45" s="30"/>
      <c r="G45" s="42"/>
      <c r="H45" s="43"/>
      <c r="I45" s="43"/>
      <c r="J45" s="43"/>
      <c r="K45" s="43"/>
      <c r="L45" s="43"/>
      <c r="M45" s="43"/>
      <c r="N45" s="43"/>
      <c r="O45" s="43"/>
    </row>
    <row r="46" spans="1:16" ht="62.25" customHeight="1" x14ac:dyDescent="0.35">
      <c r="A46" s="66"/>
      <c r="C46" s="4"/>
      <c r="G46" s="14"/>
      <c r="H46" s="38"/>
      <c r="I46" s="38"/>
      <c r="J46" s="38"/>
      <c r="K46" s="38"/>
      <c r="L46" s="38"/>
      <c r="M46" s="38"/>
      <c r="N46" s="38"/>
      <c r="O46" s="38"/>
    </row>
    <row r="47" spans="1:16" s="30" customFormat="1" ht="63.75" customHeight="1" x14ac:dyDescent="0.3">
      <c r="A47" s="311" t="str">
        <f>IF(AND(Hulpblad_overig!A231="CO₂-opslag",Hulpblad_overig!C39=2),Hulpblad_overig!A166,IF(AND(A45="Gaat u zelf CO₂ transporteren én opslaan?",Hulpblad_overig!C39=1),Hulpblad_overig!A168,"Niet van toepassing"))</f>
        <v>Niet van toepassing</v>
      </c>
      <c r="B47" s="312"/>
      <c r="C47" s="312"/>
      <c r="D47" s="312"/>
      <c r="E47" s="313"/>
      <c r="G47" s="42"/>
      <c r="H47" s="43"/>
      <c r="I47" s="43"/>
      <c r="J47" s="43"/>
      <c r="K47" s="43"/>
      <c r="L47" s="43"/>
      <c r="M47" s="43"/>
      <c r="N47" s="43"/>
      <c r="O47" s="43"/>
      <c r="P47" s="43"/>
    </row>
    <row r="48" spans="1:16" s="30" customFormat="1" ht="18" x14ac:dyDescent="0.4">
      <c r="A48" s="28"/>
      <c r="G48" s="42"/>
      <c r="H48" s="43"/>
      <c r="I48" s="43"/>
      <c r="J48" s="43"/>
      <c r="K48" s="43"/>
      <c r="L48" s="43"/>
      <c r="M48" s="43"/>
      <c r="N48" s="43"/>
      <c r="O48" s="43"/>
      <c r="P48" s="43"/>
    </row>
    <row r="49" spans="1:16" s="30" customFormat="1" x14ac:dyDescent="0.35">
      <c r="D49" s="4"/>
      <c r="E49" s="4"/>
      <c r="G49" s="42"/>
      <c r="H49" s="43"/>
      <c r="I49" s="43"/>
      <c r="J49" s="43"/>
      <c r="K49" s="43"/>
      <c r="L49" s="43"/>
      <c r="M49" s="43"/>
      <c r="N49" s="43"/>
      <c r="O49" s="43"/>
      <c r="P49" s="43"/>
    </row>
    <row r="50" spans="1:16" s="30" customFormat="1" hidden="1" x14ac:dyDescent="0.35">
      <c r="A50" s="12"/>
      <c r="D50" s="4"/>
      <c r="E50" s="4"/>
      <c r="G50" s="42"/>
      <c r="H50" s="43"/>
      <c r="I50" s="43"/>
      <c r="J50" s="43"/>
      <c r="K50" s="43"/>
      <c r="L50" s="43"/>
      <c r="M50" s="43"/>
      <c r="N50" s="43"/>
      <c r="O50" s="43"/>
      <c r="P50" s="43"/>
    </row>
    <row r="51" spans="1:16" s="30" customFormat="1" hidden="1" x14ac:dyDescent="0.35">
      <c r="A51" s="12"/>
      <c r="D51" s="4"/>
      <c r="E51" s="45"/>
      <c r="G51" s="42"/>
      <c r="H51" s="43"/>
      <c r="I51" s="43"/>
      <c r="J51" s="43"/>
      <c r="K51" s="43"/>
      <c r="L51" s="43"/>
      <c r="M51" s="43"/>
      <c r="N51" s="43"/>
      <c r="O51" s="43"/>
      <c r="P51" s="43"/>
    </row>
    <row r="52" spans="1:16" s="30" customFormat="1" hidden="1" x14ac:dyDescent="0.35">
      <c r="A52" s="12"/>
      <c r="D52" s="4"/>
      <c r="E52" s="14"/>
      <c r="G52" s="42"/>
      <c r="H52" s="43"/>
      <c r="I52" s="43"/>
      <c r="J52" s="43"/>
      <c r="K52" s="43"/>
      <c r="L52" s="43"/>
      <c r="M52" s="43"/>
      <c r="N52" s="43"/>
      <c r="O52" s="43"/>
      <c r="P52" s="43"/>
    </row>
    <row r="53" spans="1:16" s="30" customFormat="1" hidden="1" x14ac:dyDescent="0.35">
      <c r="D53" s="4"/>
      <c r="E53" s="14"/>
      <c r="G53" s="42"/>
      <c r="H53" s="43"/>
      <c r="I53" s="43"/>
      <c r="J53" s="43"/>
      <c r="K53" s="43"/>
      <c r="L53" s="43"/>
      <c r="M53" s="43"/>
      <c r="N53" s="43"/>
      <c r="O53" s="43"/>
      <c r="P53" s="43"/>
    </row>
    <row r="54" spans="1:16" s="30" customFormat="1" hidden="1" x14ac:dyDescent="0.35">
      <c r="A54" s="12"/>
      <c r="D54" s="4"/>
      <c r="E54" s="14"/>
      <c r="G54" s="42"/>
      <c r="H54" s="43"/>
      <c r="I54" s="43"/>
      <c r="J54" s="43"/>
      <c r="K54" s="43"/>
      <c r="L54" s="43"/>
      <c r="M54" s="43"/>
      <c r="N54" s="43"/>
      <c r="O54" s="43"/>
      <c r="P54" s="43"/>
    </row>
    <row r="55" spans="1:16" s="30" customFormat="1" hidden="1" x14ac:dyDescent="0.35">
      <c r="A55" s="12"/>
      <c r="D55" s="4"/>
      <c r="E55" s="45"/>
      <c r="G55" s="42"/>
      <c r="H55" s="43"/>
      <c r="I55" s="43"/>
      <c r="J55" s="43"/>
      <c r="K55" s="43"/>
      <c r="L55" s="43"/>
      <c r="M55" s="43"/>
      <c r="N55" s="43"/>
      <c r="O55" s="43"/>
      <c r="P55" s="43"/>
    </row>
    <row r="56" spans="1:16" s="30" customFormat="1" hidden="1" x14ac:dyDescent="0.35">
      <c r="A56" s="12"/>
      <c r="D56" s="4"/>
      <c r="E56" s="14"/>
      <c r="G56" s="42"/>
      <c r="H56" s="43"/>
      <c r="I56" s="43"/>
      <c r="J56" s="43"/>
      <c r="K56" s="43"/>
      <c r="L56" s="43"/>
      <c r="M56" s="43"/>
      <c r="N56" s="43"/>
      <c r="O56" s="43"/>
      <c r="P56" s="43"/>
    </row>
    <row r="57" spans="1:16" s="30" customFormat="1" hidden="1" x14ac:dyDescent="0.35">
      <c r="A57" s="12"/>
      <c r="D57" s="4"/>
      <c r="E57" s="60"/>
      <c r="G57" s="42"/>
      <c r="H57" s="43"/>
      <c r="I57" s="43"/>
      <c r="J57" s="43"/>
      <c r="K57" s="43"/>
      <c r="L57" s="43"/>
      <c r="M57" s="43"/>
      <c r="N57" s="43"/>
      <c r="O57" s="43"/>
      <c r="P57" s="43"/>
    </row>
    <row r="58" spans="1:16" s="30" customFormat="1" hidden="1" x14ac:dyDescent="0.35">
      <c r="A58" s="12"/>
      <c r="D58" s="4"/>
      <c r="E58" s="61"/>
      <c r="G58" s="42"/>
      <c r="H58" s="43"/>
      <c r="I58" s="43"/>
      <c r="J58" s="43"/>
      <c r="K58" s="43"/>
      <c r="L58" s="43"/>
      <c r="M58" s="43"/>
      <c r="N58" s="43"/>
      <c r="O58" s="43"/>
      <c r="P58" s="43"/>
    </row>
    <row r="59" spans="1:16" s="30" customFormat="1" hidden="1" x14ac:dyDescent="0.35">
      <c r="A59" s="4"/>
      <c r="D59" s="4"/>
      <c r="E59" s="62"/>
      <c r="G59" s="42"/>
      <c r="H59" s="43"/>
      <c r="I59" s="43"/>
      <c r="J59" s="43"/>
      <c r="K59" s="43"/>
      <c r="L59" s="43"/>
      <c r="M59" s="43"/>
      <c r="N59" s="43"/>
      <c r="O59" s="43"/>
      <c r="P59" s="43"/>
    </row>
    <row r="60" spans="1:16" ht="18" hidden="1" x14ac:dyDescent="0.4">
      <c r="A60" s="28"/>
      <c r="G60" s="14"/>
      <c r="H60" s="38"/>
      <c r="I60" s="38"/>
      <c r="J60" s="38"/>
      <c r="K60" s="38"/>
      <c r="L60" s="38"/>
      <c r="M60" s="38"/>
      <c r="N60" s="38"/>
      <c r="O60" s="38"/>
    </row>
    <row r="61" spans="1:16" hidden="1" x14ac:dyDescent="0.35">
      <c r="A61" s="30"/>
      <c r="H61" s="38"/>
      <c r="I61" s="38"/>
      <c r="J61" s="38"/>
      <c r="K61" s="38"/>
      <c r="L61" s="38"/>
      <c r="M61" s="38"/>
      <c r="N61" s="38"/>
      <c r="O61" s="38"/>
    </row>
    <row r="62" spans="1:16" ht="12.75" hidden="1" customHeight="1" x14ac:dyDescent="0.35">
      <c r="A62" s="12"/>
      <c r="H62" s="38"/>
      <c r="I62" s="38"/>
      <c r="J62" s="38"/>
      <c r="K62" s="38"/>
      <c r="L62" s="38"/>
      <c r="M62" s="38"/>
      <c r="N62" s="38"/>
      <c r="O62" s="38"/>
    </row>
    <row r="63" spans="1:16" ht="12.75" hidden="1" customHeight="1" x14ac:dyDescent="0.35">
      <c r="A63" s="12"/>
      <c r="E63" s="57"/>
      <c r="H63" s="38"/>
      <c r="I63" s="38"/>
      <c r="J63" s="38"/>
      <c r="K63" s="38"/>
      <c r="L63" s="38"/>
      <c r="M63" s="38"/>
      <c r="N63" s="38"/>
      <c r="O63" s="38"/>
    </row>
    <row r="64" spans="1:16" ht="12.75" hidden="1" customHeight="1" x14ac:dyDescent="0.35">
      <c r="A64" s="12"/>
      <c r="E64" s="63"/>
      <c r="F64" s="12"/>
      <c r="H64" s="38"/>
      <c r="I64" s="38"/>
      <c r="J64" s="38"/>
      <c r="K64" s="38"/>
      <c r="L64" s="38"/>
      <c r="M64" s="38"/>
      <c r="N64" s="38"/>
      <c r="O64" s="38"/>
    </row>
    <row r="65" spans="1:15" ht="12.75" hidden="1" customHeight="1" x14ac:dyDescent="0.35">
      <c r="A65" s="30"/>
      <c r="E65" s="64"/>
      <c r="H65" s="38"/>
      <c r="I65" s="38"/>
      <c r="J65" s="38"/>
      <c r="K65" s="38"/>
      <c r="L65" s="38"/>
      <c r="M65" s="38"/>
      <c r="N65" s="38"/>
      <c r="O65" s="38"/>
    </row>
    <row r="66" spans="1:15" ht="12.75" hidden="1" customHeight="1" x14ac:dyDescent="0.4">
      <c r="A66" s="28"/>
      <c r="E66" s="64"/>
      <c r="H66" s="42"/>
      <c r="I66" s="42"/>
      <c r="J66" s="42"/>
      <c r="K66" s="42"/>
      <c r="L66" s="42"/>
      <c r="M66" s="42"/>
      <c r="N66" s="42"/>
      <c r="O66" s="42"/>
    </row>
    <row r="67" spans="1:15" ht="12.75" hidden="1" customHeight="1" x14ac:dyDescent="0.35">
      <c r="A67" s="30"/>
      <c r="H67" s="38"/>
      <c r="I67" s="38"/>
      <c r="J67" s="38"/>
      <c r="K67" s="38"/>
      <c r="L67" s="38"/>
      <c r="M67" s="38"/>
      <c r="N67" s="38"/>
      <c r="O67" s="38"/>
    </row>
    <row r="68" spans="1:15" hidden="1" x14ac:dyDescent="0.35">
      <c r="A68" s="12"/>
      <c r="H68" s="38"/>
      <c r="I68" s="38"/>
      <c r="J68" s="38"/>
      <c r="K68" s="38"/>
      <c r="L68" s="38"/>
      <c r="M68" s="38"/>
      <c r="N68" s="38"/>
      <c r="O68" s="38"/>
    </row>
    <row r="69" spans="1:15" ht="12.75" hidden="1" customHeight="1" x14ac:dyDescent="0.35">
      <c r="A69" s="12"/>
      <c r="E69" s="14"/>
      <c r="H69" s="38"/>
      <c r="I69" s="38"/>
      <c r="J69" s="38"/>
      <c r="K69" s="38"/>
      <c r="L69" s="38"/>
      <c r="M69" s="38"/>
      <c r="N69" s="38"/>
      <c r="O69" s="38"/>
    </row>
    <row r="70" spans="1:15" ht="12.75" hidden="1" customHeight="1" x14ac:dyDescent="0.35">
      <c r="A70" s="12"/>
      <c r="E70" s="63"/>
      <c r="H70" s="38"/>
      <c r="I70" s="38"/>
      <c r="J70" s="38"/>
      <c r="K70" s="38"/>
      <c r="L70" s="38"/>
      <c r="M70" s="38"/>
      <c r="N70" s="38"/>
      <c r="O70" s="38"/>
    </row>
    <row r="71" spans="1:15" ht="12.75" hidden="1" customHeight="1" x14ac:dyDescent="0.35">
      <c r="A71" s="12"/>
      <c r="E71" s="65"/>
      <c r="H71" s="38"/>
      <c r="I71" s="38"/>
      <c r="J71" s="38"/>
      <c r="K71" s="38"/>
      <c r="L71" s="38"/>
      <c r="M71" s="38"/>
      <c r="N71" s="38"/>
      <c r="O71" s="38"/>
    </row>
    <row r="72" spans="1:15" ht="12.75" hidden="1" customHeight="1" x14ac:dyDescent="0.35">
      <c r="A72" s="12"/>
      <c r="E72" s="64"/>
      <c r="H72" s="38"/>
      <c r="I72" s="38"/>
      <c r="J72" s="38"/>
      <c r="K72" s="38"/>
      <c r="L72" s="38"/>
      <c r="M72" s="38"/>
      <c r="N72" s="38"/>
      <c r="O72" s="38"/>
    </row>
    <row r="73" spans="1:15" ht="12.75" hidden="1" customHeight="1" x14ac:dyDescent="0.35">
      <c r="A73" s="30"/>
      <c r="E73" s="64"/>
      <c r="H73" s="65"/>
      <c r="I73" s="65"/>
      <c r="J73" s="65"/>
      <c r="K73" s="65"/>
      <c r="L73" s="65"/>
      <c r="M73" s="65"/>
      <c r="N73" s="65"/>
      <c r="O73" s="65"/>
    </row>
    <row r="74" spans="1:15" ht="12.75" hidden="1" customHeight="1" x14ac:dyDescent="0.35">
      <c r="A74" s="30"/>
      <c r="E74" s="64"/>
      <c r="H74" s="42"/>
      <c r="I74" s="42"/>
      <c r="J74" s="42"/>
      <c r="K74" s="42"/>
      <c r="L74" s="42"/>
      <c r="M74" s="42"/>
      <c r="N74" s="42"/>
      <c r="O74" s="42"/>
    </row>
    <row r="75" spans="1:15" ht="12.75" hidden="1" customHeight="1" x14ac:dyDescent="0.35">
      <c r="A75" s="30"/>
      <c r="E75" s="64"/>
      <c r="H75" s="42"/>
      <c r="J75" s="42"/>
      <c r="K75" s="42"/>
      <c r="L75" s="42"/>
      <c r="M75" s="42"/>
      <c r="N75" s="42"/>
      <c r="O75" s="42"/>
    </row>
    <row r="76" spans="1:15" hidden="1" x14ac:dyDescent="0.35">
      <c r="B76" s="16"/>
      <c r="H76" s="38"/>
      <c r="I76" s="38"/>
      <c r="J76" s="38"/>
      <c r="K76" s="38"/>
      <c r="L76" s="38"/>
      <c r="M76" s="38"/>
      <c r="N76" s="38"/>
      <c r="O76" s="38"/>
    </row>
    <row r="77" spans="1:15" hidden="1" x14ac:dyDescent="0.35">
      <c r="B77" s="12"/>
      <c r="C77" s="16"/>
      <c r="D77" s="16"/>
      <c r="E77" s="16"/>
      <c r="G77" s="38"/>
      <c r="H77" s="14"/>
      <c r="I77" s="14"/>
      <c r="J77" s="14"/>
      <c r="K77" s="14"/>
      <c r="L77" s="14"/>
      <c r="M77" s="14"/>
      <c r="N77" s="14"/>
      <c r="O77" s="14"/>
    </row>
    <row r="78" spans="1:15" hidden="1" x14ac:dyDescent="0.35">
      <c r="A78" s="30"/>
      <c r="C78" s="12"/>
      <c r="D78" s="12"/>
      <c r="E78" s="12"/>
      <c r="G78" s="38"/>
      <c r="H78" s="14"/>
      <c r="I78" s="14"/>
      <c r="J78" s="14"/>
      <c r="K78" s="14"/>
      <c r="L78" s="14"/>
      <c r="M78" s="14"/>
      <c r="N78" s="14"/>
      <c r="O78" s="14"/>
    </row>
    <row r="79" spans="1:15" hidden="1" x14ac:dyDescent="0.35">
      <c r="G79" s="38"/>
      <c r="H79" s="42"/>
      <c r="I79" s="42"/>
      <c r="J79" s="42"/>
      <c r="K79" s="42"/>
      <c r="L79" s="42"/>
      <c r="M79" s="42"/>
      <c r="N79" s="42"/>
      <c r="O79" s="42"/>
    </row>
    <row r="80" spans="1:15" hidden="1" x14ac:dyDescent="0.35">
      <c r="A80" s="66"/>
      <c r="G80" s="38"/>
      <c r="H80" s="14"/>
      <c r="I80" s="14"/>
      <c r="J80" s="14"/>
      <c r="K80" s="14"/>
      <c r="L80" s="14"/>
      <c r="M80" s="14"/>
      <c r="N80" s="14"/>
      <c r="O80" s="14"/>
    </row>
    <row r="81" spans="1:15" s="30" customFormat="1" hidden="1" x14ac:dyDescent="0.35">
      <c r="A81" s="4"/>
      <c r="G81" s="43"/>
      <c r="H81" s="42"/>
      <c r="I81" s="42"/>
      <c r="J81" s="42"/>
      <c r="K81" s="42"/>
      <c r="L81" s="42"/>
      <c r="M81" s="42"/>
      <c r="N81" s="42"/>
      <c r="O81" s="42"/>
    </row>
    <row r="82" spans="1:15" ht="18" hidden="1" x14ac:dyDescent="0.4">
      <c r="A82" s="28"/>
      <c r="H82" s="14"/>
      <c r="I82" s="14"/>
      <c r="J82" s="14"/>
      <c r="K82" s="14"/>
      <c r="L82" s="14"/>
      <c r="M82" s="14"/>
      <c r="N82" s="14"/>
      <c r="O82" s="14"/>
    </row>
    <row r="83" spans="1:15" hidden="1" x14ac:dyDescent="0.35">
      <c r="A83" s="12"/>
      <c r="H83" s="38"/>
      <c r="I83" s="38"/>
      <c r="J83" s="38"/>
      <c r="K83" s="38"/>
      <c r="L83" s="38"/>
      <c r="M83" s="38"/>
      <c r="N83" s="38"/>
      <c r="O83" s="38"/>
    </row>
    <row r="84" spans="1:15" hidden="1" x14ac:dyDescent="0.35">
      <c r="B84" s="16"/>
      <c r="H84" s="38"/>
      <c r="I84" s="38"/>
      <c r="J84" s="38"/>
      <c r="K84" s="38"/>
      <c r="L84" s="38"/>
      <c r="M84" s="38"/>
      <c r="N84" s="38"/>
      <c r="O84" s="42"/>
    </row>
    <row r="85" spans="1:15" hidden="1" x14ac:dyDescent="0.35">
      <c r="B85" s="38"/>
      <c r="C85" s="16"/>
      <c r="D85" s="16"/>
      <c r="E85" s="16"/>
      <c r="G85" s="14"/>
      <c r="H85" s="14"/>
      <c r="I85" s="14"/>
      <c r="J85" s="14"/>
      <c r="K85" s="14"/>
      <c r="L85" s="14"/>
      <c r="M85" s="14"/>
      <c r="N85" s="14"/>
      <c r="O85" s="14"/>
    </row>
    <row r="86" spans="1:15" hidden="1" x14ac:dyDescent="0.35">
      <c r="B86" s="38"/>
      <c r="C86" s="38"/>
      <c r="D86" s="38"/>
      <c r="E86" s="38"/>
      <c r="G86" s="14"/>
      <c r="H86" s="14"/>
      <c r="I86" s="14"/>
      <c r="J86" s="14"/>
      <c r="K86" s="14"/>
      <c r="L86" s="14"/>
      <c r="M86" s="14"/>
      <c r="N86" s="14"/>
      <c r="O86" s="14"/>
    </row>
    <row r="87" spans="1:15" hidden="1" x14ac:dyDescent="0.35">
      <c r="B87" s="38"/>
      <c r="C87" s="38"/>
      <c r="D87" s="38"/>
      <c r="E87" s="38"/>
      <c r="G87" s="14"/>
      <c r="H87" s="14"/>
      <c r="I87" s="14"/>
      <c r="J87" s="14"/>
      <c r="K87" s="14"/>
      <c r="L87" s="14"/>
      <c r="M87" s="14"/>
      <c r="N87" s="14"/>
      <c r="O87" s="14"/>
    </row>
    <row r="88" spans="1:15" hidden="1" x14ac:dyDescent="0.35">
      <c r="B88" s="16"/>
      <c r="C88" s="38"/>
      <c r="D88" s="38"/>
      <c r="E88" s="38"/>
      <c r="G88" s="14"/>
      <c r="H88" s="14"/>
      <c r="I88" s="14"/>
      <c r="J88" s="14"/>
      <c r="K88" s="14"/>
      <c r="L88" s="14"/>
      <c r="M88" s="14"/>
      <c r="N88" s="14"/>
      <c r="O88" s="14"/>
    </row>
    <row r="89" spans="1:15" hidden="1" x14ac:dyDescent="0.35">
      <c r="B89" s="38"/>
      <c r="C89" s="16"/>
      <c r="D89" s="16"/>
      <c r="E89" s="16"/>
      <c r="G89" s="14"/>
      <c r="H89" s="14"/>
      <c r="I89" s="14"/>
      <c r="J89" s="14"/>
      <c r="K89" s="14"/>
      <c r="L89" s="14"/>
      <c r="M89" s="14"/>
      <c r="N89" s="14"/>
      <c r="O89" s="14"/>
    </row>
    <row r="90" spans="1:15" hidden="1" x14ac:dyDescent="0.35">
      <c r="B90" s="38"/>
      <c r="C90" s="38"/>
      <c r="D90" s="38"/>
      <c r="E90" s="38"/>
      <c r="G90" s="14"/>
      <c r="H90" s="14"/>
      <c r="I90" s="14"/>
      <c r="J90" s="14"/>
      <c r="K90" s="14"/>
      <c r="L90" s="14"/>
      <c r="M90" s="14"/>
      <c r="N90" s="14"/>
      <c r="O90" s="14"/>
    </row>
    <row r="91" spans="1:15" hidden="1" x14ac:dyDescent="0.35">
      <c r="B91" s="38"/>
      <c r="C91" s="38"/>
      <c r="D91" s="38"/>
      <c r="E91" s="38"/>
      <c r="G91" s="14"/>
      <c r="H91" s="14"/>
      <c r="I91" s="14"/>
      <c r="J91" s="14"/>
      <c r="K91" s="14"/>
      <c r="L91" s="14"/>
      <c r="M91" s="14"/>
      <c r="N91" s="14"/>
      <c r="O91" s="14"/>
    </row>
    <row r="92" spans="1:15" hidden="1" x14ac:dyDescent="0.35">
      <c r="B92" s="38"/>
      <c r="C92" s="38"/>
      <c r="D92" s="38"/>
      <c r="E92" s="38"/>
      <c r="G92" s="14"/>
      <c r="H92" s="14"/>
      <c r="I92" s="14"/>
      <c r="J92" s="14"/>
      <c r="K92" s="14"/>
      <c r="L92" s="14"/>
      <c r="M92" s="14"/>
      <c r="N92" s="14"/>
      <c r="O92" s="14"/>
    </row>
    <row r="93" spans="1:15" hidden="1" x14ac:dyDescent="0.35">
      <c r="B93" s="16"/>
      <c r="C93" s="38"/>
      <c r="D93" s="38"/>
      <c r="E93" s="38"/>
      <c r="G93" s="14"/>
      <c r="H93" s="14"/>
      <c r="I93" s="14"/>
      <c r="J93" s="14"/>
      <c r="K93" s="14"/>
      <c r="L93" s="14"/>
      <c r="M93" s="14"/>
      <c r="N93" s="14"/>
      <c r="O93" s="14"/>
    </row>
    <row r="94" spans="1:15" hidden="1" x14ac:dyDescent="0.35">
      <c r="B94" s="38"/>
      <c r="C94" s="16"/>
      <c r="D94" s="16"/>
      <c r="E94" s="16"/>
      <c r="G94" s="14"/>
      <c r="H94" s="14"/>
      <c r="I94" s="14"/>
      <c r="J94" s="14"/>
      <c r="K94" s="14"/>
      <c r="L94" s="14"/>
      <c r="M94" s="14"/>
      <c r="N94" s="14"/>
      <c r="O94" s="14"/>
    </row>
    <row r="95" spans="1:15" hidden="1" x14ac:dyDescent="0.35">
      <c r="B95" s="38"/>
      <c r="C95" s="38"/>
      <c r="D95" s="38"/>
      <c r="E95" s="38"/>
      <c r="G95" s="14"/>
      <c r="H95" s="14"/>
      <c r="I95" s="14"/>
      <c r="J95" s="14"/>
      <c r="K95" s="14"/>
      <c r="L95" s="14"/>
      <c r="M95" s="14"/>
      <c r="N95" s="14"/>
      <c r="O95" s="14"/>
    </row>
    <row r="96" spans="1:15" hidden="1" x14ac:dyDescent="0.35">
      <c r="A96" s="30"/>
      <c r="B96" s="43"/>
      <c r="C96" s="38"/>
      <c r="D96" s="38"/>
      <c r="E96" s="38"/>
      <c r="F96" s="6"/>
      <c r="G96" s="57"/>
      <c r="H96" s="57"/>
      <c r="I96" s="57"/>
      <c r="J96" s="57"/>
      <c r="K96" s="57"/>
      <c r="L96" s="57"/>
      <c r="M96" s="57"/>
      <c r="N96" s="57"/>
      <c r="O96" s="57"/>
    </row>
    <row r="97" spans="1:15" s="30" customFormat="1" ht="13" hidden="1" x14ac:dyDescent="0.3">
      <c r="B97" s="43"/>
      <c r="C97" s="43"/>
      <c r="D97" s="43"/>
      <c r="E97" s="43"/>
      <c r="G97" s="42"/>
      <c r="H97" s="42"/>
      <c r="I97" s="42"/>
      <c r="J97" s="42"/>
      <c r="K97" s="42"/>
      <c r="L97" s="42"/>
      <c r="M97" s="42"/>
      <c r="N97" s="42"/>
      <c r="O97" s="42"/>
    </row>
    <row r="98" spans="1:15" s="30" customFormat="1" ht="13" hidden="1" x14ac:dyDescent="0.3">
      <c r="B98" s="43"/>
      <c r="C98" s="43"/>
      <c r="D98" s="43"/>
      <c r="E98" s="43"/>
      <c r="G98" s="42"/>
      <c r="H98" s="42"/>
      <c r="I98" s="42"/>
      <c r="J98" s="42"/>
      <c r="K98" s="42"/>
      <c r="L98" s="42"/>
      <c r="M98" s="42"/>
      <c r="N98" s="42"/>
      <c r="O98" s="42"/>
    </row>
    <row r="99" spans="1:15" s="30" customFormat="1" ht="13" hidden="1" x14ac:dyDescent="0.3">
      <c r="A99" s="12"/>
      <c r="B99" s="16"/>
      <c r="C99" s="43"/>
      <c r="D99" s="43"/>
      <c r="E99" s="43"/>
      <c r="G99" s="43"/>
      <c r="H99" s="43"/>
      <c r="I99" s="43"/>
      <c r="J99" s="43"/>
      <c r="K99" s="43"/>
      <c r="L99" s="43"/>
      <c r="M99" s="43"/>
      <c r="N99" s="43"/>
      <c r="O99" s="43"/>
    </row>
    <row r="100" spans="1:15" s="30" customFormat="1" ht="13" hidden="1" x14ac:dyDescent="0.3">
      <c r="B100" s="15"/>
      <c r="C100" s="43"/>
      <c r="D100" s="12"/>
      <c r="E100" s="12"/>
    </row>
    <row r="101" spans="1:15" s="30" customFormat="1" ht="13" hidden="1" x14ac:dyDescent="0.3">
      <c r="B101" s="15"/>
      <c r="C101" s="15"/>
      <c r="D101" s="57"/>
      <c r="E101" s="67"/>
      <c r="F101" s="68"/>
      <c r="G101" s="42"/>
      <c r="H101" s="57"/>
      <c r="I101" s="57"/>
      <c r="J101" s="57"/>
      <c r="K101" s="57"/>
      <c r="L101" s="57"/>
      <c r="M101" s="57"/>
      <c r="N101" s="57"/>
      <c r="O101" s="57"/>
    </row>
    <row r="102" spans="1:15" s="30" customFormat="1" hidden="1" x14ac:dyDescent="0.35">
      <c r="B102" s="15"/>
      <c r="C102" s="15"/>
      <c r="D102" s="57"/>
      <c r="E102" s="67"/>
      <c r="F102" s="68"/>
      <c r="G102" s="42"/>
      <c r="H102" s="14"/>
      <c r="I102" s="57"/>
      <c r="J102" s="57"/>
      <c r="K102" s="57"/>
      <c r="L102" s="57"/>
      <c r="M102" s="57"/>
      <c r="N102" s="57"/>
      <c r="O102" s="57"/>
    </row>
    <row r="103" spans="1:15" s="30" customFormat="1" hidden="1" x14ac:dyDescent="0.35">
      <c r="B103" s="15"/>
      <c r="C103" s="15"/>
      <c r="D103" s="57"/>
      <c r="E103" s="67"/>
      <c r="F103" s="68"/>
      <c r="G103" s="42"/>
      <c r="H103" s="14"/>
      <c r="I103" s="57"/>
      <c r="J103" s="57"/>
      <c r="K103" s="57"/>
      <c r="L103" s="57"/>
      <c r="M103" s="57"/>
      <c r="N103" s="57"/>
      <c r="O103" s="57"/>
    </row>
    <row r="104" spans="1:15" s="30" customFormat="1" hidden="1" x14ac:dyDescent="0.35">
      <c r="B104" s="15"/>
      <c r="C104" s="15"/>
      <c r="D104" s="57"/>
      <c r="E104" s="67"/>
      <c r="F104" s="68"/>
      <c r="G104" s="42"/>
      <c r="H104" s="14"/>
      <c r="I104" s="57"/>
      <c r="J104" s="57"/>
      <c r="K104" s="57"/>
      <c r="L104" s="57"/>
      <c r="M104" s="57"/>
      <c r="N104" s="57"/>
      <c r="O104" s="57"/>
    </row>
    <row r="105" spans="1:15" s="30" customFormat="1" hidden="1" x14ac:dyDescent="0.35">
      <c r="B105" s="15"/>
      <c r="C105" s="15"/>
      <c r="D105" s="57"/>
      <c r="E105" s="67"/>
      <c r="F105" s="68"/>
      <c r="G105" s="42"/>
      <c r="H105" s="14"/>
      <c r="I105" s="57"/>
      <c r="J105" s="57"/>
      <c r="K105" s="57"/>
      <c r="L105" s="57"/>
      <c r="M105" s="57"/>
      <c r="N105" s="57"/>
      <c r="O105" s="57"/>
    </row>
    <row r="106" spans="1:15" s="30" customFormat="1" hidden="1" x14ac:dyDescent="0.35">
      <c r="B106" s="15"/>
      <c r="C106" s="15"/>
      <c r="D106" s="57"/>
      <c r="E106" s="67"/>
      <c r="G106" s="42"/>
      <c r="H106" s="14"/>
      <c r="I106" s="57"/>
      <c r="J106" s="57"/>
      <c r="K106" s="57"/>
      <c r="L106" s="57"/>
      <c r="M106" s="57"/>
      <c r="N106" s="57"/>
      <c r="O106" s="57"/>
    </row>
    <row r="107" spans="1:15" s="30" customFormat="1" hidden="1" x14ac:dyDescent="0.35">
      <c r="B107" s="15"/>
      <c r="C107" s="15"/>
      <c r="D107" s="57"/>
      <c r="E107" s="67"/>
      <c r="G107" s="42"/>
      <c r="H107" s="14"/>
      <c r="I107" s="57"/>
      <c r="J107" s="57"/>
      <c r="K107" s="57"/>
      <c r="L107" s="57"/>
      <c r="M107" s="57"/>
      <c r="N107" s="57"/>
      <c r="O107" s="57"/>
    </row>
    <row r="108" spans="1:15" s="30" customFormat="1" hidden="1" x14ac:dyDescent="0.35">
      <c r="B108" s="43"/>
      <c r="C108" s="15"/>
      <c r="D108" s="57"/>
      <c r="E108" s="67"/>
      <c r="G108" s="42"/>
      <c r="H108" s="14"/>
      <c r="I108" s="57"/>
      <c r="J108" s="57"/>
      <c r="K108" s="57"/>
      <c r="L108" s="57"/>
      <c r="M108" s="57"/>
      <c r="N108" s="57"/>
      <c r="O108" s="57"/>
    </row>
    <row r="109" spans="1:15" s="30" customFormat="1" ht="13" hidden="1" x14ac:dyDescent="0.3">
      <c r="A109" s="12"/>
      <c r="B109" s="43"/>
      <c r="C109" s="43"/>
      <c r="E109" s="43"/>
      <c r="G109" s="42"/>
      <c r="H109" s="9"/>
      <c r="I109" s="42"/>
      <c r="J109" s="42"/>
      <c r="K109" s="42"/>
      <c r="L109" s="42"/>
      <c r="M109" s="42"/>
      <c r="N109" s="42"/>
      <c r="O109" s="42"/>
    </row>
    <row r="110" spans="1:15" s="30" customFormat="1" ht="13" hidden="1" x14ac:dyDescent="0.3">
      <c r="B110" s="43"/>
      <c r="C110" s="43"/>
      <c r="D110" s="43"/>
      <c r="E110" s="43"/>
      <c r="G110" s="42"/>
      <c r="H110" s="42"/>
      <c r="I110" s="42"/>
      <c r="J110" s="42"/>
      <c r="K110" s="42"/>
      <c r="L110" s="42"/>
      <c r="M110" s="42"/>
      <c r="N110" s="42"/>
      <c r="O110" s="42"/>
    </row>
    <row r="111" spans="1:15" s="30" customFormat="1" ht="13" hidden="1" x14ac:dyDescent="0.3">
      <c r="B111" s="43"/>
      <c r="C111" s="43"/>
      <c r="D111" s="43"/>
      <c r="E111" s="43"/>
      <c r="G111" s="42"/>
      <c r="H111" s="42"/>
      <c r="I111" s="42"/>
      <c r="J111" s="42"/>
      <c r="K111" s="42"/>
      <c r="L111" s="42"/>
      <c r="M111" s="42"/>
      <c r="N111" s="42"/>
      <c r="O111" s="42"/>
    </row>
    <row r="112" spans="1:15" s="30" customFormat="1" ht="13" hidden="1" x14ac:dyDescent="0.3">
      <c r="A112" s="12"/>
      <c r="C112" s="43"/>
      <c r="D112" s="43"/>
      <c r="E112" s="43"/>
      <c r="G112" s="43"/>
      <c r="H112" s="43"/>
      <c r="I112" s="43"/>
      <c r="J112" s="43"/>
      <c r="K112" s="43"/>
      <c r="L112" s="43"/>
      <c r="M112" s="43"/>
      <c r="N112" s="43"/>
      <c r="O112" s="43"/>
    </row>
    <row r="113" spans="1:16" hidden="1" x14ac:dyDescent="0.35">
      <c r="A113" s="12"/>
      <c r="F113" s="38"/>
      <c r="G113" s="14"/>
      <c r="H113" s="14"/>
      <c r="I113" s="14"/>
      <c r="J113" s="14"/>
      <c r="K113" s="14"/>
      <c r="L113" s="14"/>
      <c r="M113" s="14"/>
      <c r="N113" s="14"/>
      <c r="O113" s="14"/>
      <c r="P113" s="38"/>
    </row>
    <row r="114" spans="1:16" hidden="1" x14ac:dyDescent="0.35">
      <c r="A114" s="12"/>
      <c r="E114" s="12"/>
      <c r="G114" s="14"/>
      <c r="H114" s="14"/>
      <c r="I114" s="14"/>
      <c r="J114" s="14"/>
      <c r="K114" s="14"/>
      <c r="L114" s="14"/>
      <c r="M114" s="14"/>
      <c r="N114" s="14"/>
      <c r="O114" s="14"/>
    </row>
    <row r="115" spans="1:16" hidden="1" x14ac:dyDescent="0.35">
      <c r="A115" s="12"/>
      <c r="G115" s="14"/>
      <c r="H115" s="14"/>
      <c r="I115" s="14"/>
      <c r="J115" s="14"/>
      <c r="K115" s="14"/>
      <c r="L115" s="14"/>
      <c r="M115" s="14"/>
      <c r="N115" s="14"/>
      <c r="O115" s="14"/>
      <c r="P115" s="14"/>
    </row>
    <row r="116" spans="1:16" hidden="1" x14ac:dyDescent="0.35">
      <c r="A116" s="12"/>
      <c r="G116" s="14"/>
      <c r="H116" s="14"/>
      <c r="I116" s="14"/>
      <c r="J116" s="14"/>
      <c r="K116" s="14"/>
      <c r="L116" s="14"/>
      <c r="M116" s="14"/>
      <c r="N116" s="14"/>
      <c r="O116" s="14"/>
      <c r="P116" s="14"/>
    </row>
    <row r="117" spans="1:16" hidden="1" x14ac:dyDescent="0.35">
      <c r="A117" s="12"/>
      <c r="G117" s="14"/>
      <c r="H117" s="14"/>
      <c r="I117" s="14"/>
      <c r="J117" s="14"/>
      <c r="K117" s="14"/>
      <c r="L117" s="14"/>
      <c r="M117" s="14"/>
      <c r="N117" s="14"/>
      <c r="O117" s="14"/>
      <c r="P117" s="14"/>
    </row>
    <row r="118" spans="1:16" hidden="1" x14ac:dyDescent="0.35">
      <c r="A118" s="12"/>
      <c r="B118" s="62"/>
      <c r="G118" s="14"/>
      <c r="H118" s="14"/>
      <c r="I118" s="14"/>
      <c r="J118" s="14"/>
      <c r="K118" s="14"/>
      <c r="L118" s="14"/>
      <c r="M118" s="14"/>
      <c r="N118" s="14"/>
      <c r="O118" s="14"/>
      <c r="P118" s="14"/>
    </row>
    <row r="119" spans="1:16" hidden="1" x14ac:dyDescent="0.35">
      <c r="A119" s="12"/>
      <c r="B119" s="69"/>
      <c r="C119" s="70"/>
      <c r="D119" s="71"/>
      <c r="G119" s="14"/>
      <c r="H119" s="14"/>
      <c r="I119" s="14"/>
      <c r="J119" s="14"/>
      <c r="K119" s="14"/>
      <c r="L119" s="14"/>
      <c r="M119" s="14"/>
      <c r="N119" s="14"/>
      <c r="O119" s="14"/>
      <c r="P119" s="14"/>
    </row>
    <row r="120" spans="1:16" hidden="1" x14ac:dyDescent="0.35">
      <c r="A120" s="12"/>
      <c r="C120" s="70"/>
      <c r="D120" s="71"/>
      <c r="G120" s="14"/>
      <c r="H120" s="14"/>
      <c r="I120" s="14"/>
      <c r="J120" s="14"/>
      <c r="K120" s="14"/>
      <c r="L120" s="14"/>
      <c r="M120" s="14"/>
      <c r="N120" s="14"/>
      <c r="O120" s="14"/>
      <c r="P120" s="14"/>
    </row>
    <row r="121" spans="1:16" hidden="1" x14ac:dyDescent="0.35">
      <c r="A121" s="66"/>
      <c r="G121" s="14"/>
      <c r="H121" s="14"/>
      <c r="I121" s="14"/>
      <c r="J121" s="14"/>
      <c r="K121" s="14"/>
      <c r="L121" s="14"/>
      <c r="M121" s="14"/>
      <c r="N121" s="14"/>
      <c r="O121" s="14"/>
      <c r="P121" s="14"/>
    </row>
    <row r="122" spans="1:16" s="30" customFormat="1" ht="13" hidden="1" x14ac:dyDescent="0.3">
      <c r="G122" s="42"/>
      <c r="H122" s="42"/>
      <c r="I122" s="42"/>
      <c r="J122" s="42"/>
      <c r="K122" s="42"/>
      <c r="L122" s="42"/>
      <c r="M122" s="42"/>
      <c r="N122" s="42"/>
      <c r="O122" s="42"/>
    </row>
    <row r="123" spans="1:16" s="30" customFormat="1" ht="13" hidden="1" x14ac:dyDescent="0.3">
      <c r="G123" s="42"/>
      <c r="H123" s="42"/>
      <c r="I123" s="42"/>
      <c r="J123" s="42"/>
      <c r="K123" s="42"/>
      <c r="L123" s="42"/>
      <c r="M123" s="42"/>
      <c r="N123" s="42"/>
      <c r="O123" s="42"/>
    </row>
    <row r="124" spans="1:16" s="30" customFormat="1" ht="13" hidden="1" x14ac:dyDescent="0.3">
      <c r="G124" s="42"/>
      <c r="H124" s="42"/>
      <c r="I124" s="42"/>
      <c r="J124" s="42"/>
      <c r="K124" s="42"/>
      <c r="L124" s="42"/>
      <c r="M124" s="42"/>
      <c r="N124" s="42"/>
      <c r="O124" s="42"/>
    </row>
    <row r="125" spans="1:16" s="30" customFormat="1" ht="13" hidden="1" x14ac:dyDescent="0.3">
      <c r="A125" s="12"/>
      <c r="G125" s="42"/>
      <c r="H125" s="42"/>
      <c r="I125" s="42"/>
      <c r="J125" s="42"/>
      <c r="K125" s="42"/>
      <c r="L125" s="42"/>
      <c r="M125" s="42"/>
      <c r="N125" s="42"/>
      <c r="O125" s="42"/>
    </row>
    <row r="126" spans="1:16" hidden="1" x14ac:dyDescent="0.35">
      <c r="A126" s="12"/>
      <c r="E126" s="14"/>
      <c r="F126" s="38"/>
      <c r="G126" s="14"/>
      <c r="H126" s="14"/>
      <c r="I126" s="14"/>
      <c r="J126" s="14"/>
      <c r="K126" s="14"/>
      <c r="L126" s="14"/>
      <c r="M126" s="14"/>
      <c r="N126" s="14"/>
      <c r="O126" s="14"/>
    </row>
    <row r="127" spans="1:16" hidden="1" x14ac:dyDescent="0.35">
      <c r="A127" s="12"/>
      <c r="F127" s="38"/>
      <c r="G127" s="14"/>
      <c r="H127" s="14"/>
      <c r="I127" s="14"/>
      <c r="J127" s="14"/>
      <c r="K127" s="14"/>
      <c r="L127" s="14"/>
      <c r="M127" s="14"/>
      <c r="N127" s="14"/>
      <c r="O127" s="14"/>
    </row>
    <row r="128" spans="1:16" hidden="1" x14ac:dyDescent="0.35">
      <c r="A128" s="30"/>
      <c r="F128" s="14"/>
      <c r="G128" s="14"/>
      <c r="H128" s="14"/>
      <c r="I128" s="14"/>
      <c r="J128" s="14"/>
      <c r="K128" s="14"/>
      <c r="L128" s="14"/>
      <c r="M128" s="14"/>
      <c r="N128" s="14"/>
      <c r="O128" s="14"/>
    </row>
    <row r="129" spans="1:19" s="30" customFormat="1" hidden="1" x14ac:dyDescent="0.35">
      <c r="A129" s="4"/>
      <c r="G129" s="42"/>
      <c r="H129" s="42"/>
      <c r="I129" s="42"/>
      <c r="J129" s="42"/>
      <c r="K129" s="42"/>
      <c r="L129" s="42"/>
      <c r="M129" s="42"/>
      <c r="N129" s="42"/>
      <c r="O129" s="42"/>
    </row>
    <row r="130" spans="1:19" hidden="1" x14ac:dyDescent="0.35">
      <c r="A130" s="12"/>
      <c r="G130" s="14"/>
      <c r="H130" s="14"/>
      <c r="I130" s="14"/>
      <c r="J130" s="14"/>
      <c r="K130" s="14"/>
      <c r="L130" s="14"/>
      <c r="M130" s="14"/>
      <c r="N130" s="14"/>
      <c r="O130" s="14"/>
    </row>
    <row r="131" spans="1:19" hidden="1" x14ac:dyDescent="0.35">
      <c r="G131" s="14"/>
      <c r="H131" s="14"/>
      <c r="I131" s="14"/>
      <c r="J131" s="14"/>
      <c r="K131" s="14"/>
      <c r="L131" s="14"/>
      <c r="M131" s="14"/>
      <c r="N131" s="14"/>
      <c r="O131" s="14"/>
    </row>
    <row r="132" spans="1:19" hidden="1" x14ac:dyDescent="0.35">
      <c r="E132" s="60"/>
      <c r="G132" s="14"/>
      <c r="H132" s="14"/>
      <c r="I132" s="14"/>
      <c r="J132" s="14"/>
      <c r="K132" s="14"/>
      <c r="L132" s="14"/>
      <c r="M132" s="14"/>
      <c r="N132" s="14"/>
      <c r="O132" s="14"/>
    </row>
    <row r="133" spans="1:19" hidden="1" x14ac:dyDescent="0.35">
      <c r="A133" s="30"/>
      <c r="C133" s="6"/>
      <c r="D133" s="40"/>
      <c r="G133" s="14"/>
      <c r="H133" s="14"/>
      <c r="I133" s="14"/>
      <c r="J133" s="14"/>
      <c r="K133" s="14"/>
      <c r="L133" s="14"/>
      <c r="M133" s="14"/>
      <c r="N133" s="14"/>
      <c r="O133" s="14"/>
    </row>
    <row r="134" spans="1:19" s="30" customFormat="1" ht="13" hidden="1" x14ac:dyDescent="0.3">
      <c r="G134" s="42"/>
      <c r="H134" s="42"/>
      <c r="I134" s="42"/>
      <c r="J134" s="42"/>
      <c r="K134" s="42"/>
      <c r="L134" s="42"/>
      <c r="M134" s="42"/>
      <c r="N134" s="42"/>
      <c r="O134" s="42"/>
    </row>
    <row r="135" spans="1:19" s="30" customFormat="1" ht="13" hidden="1" x14ac:dyDescent="0.3">
      <c r="G135" s="42"/>
      <c r="H135" s="42"/>
      <c r="I135" s="42"/>
      <c r="J135" s="42"/>
      <c r="K135" s="42"/>
      <c r="L135" s="42"/>
      <c r="M135" s="42"/>
      <c r="N135" s="42"/>
      <c r="O135" s="42"/>
    </row>
    <row r="136" spans="1:19" s="30" customFormat="1" hidden="1" x14ac:dyDescent="0.35">
      <c r="A136" s="4"/>
      <c r="G136" s="42"/>
      <c r="H136" s="42"/>
      <c r="I136" s="42"/>
      <c r="J136" s="42"/>
      <c r="K136" s="42"/>
      <c r="L136" s="42"/>
      <c r="M136" s="42"/>
      <c r="N136" s="42"/>
      <c r="O136" s="42"/>
      <c r="P136" s="43"/>
      <c r="Q136" s="43"/>
      <c r="R136" s="43"/>
      <c r="S136" s="43"/>
    </row>
    <row r="137" spans="1:19" ht="15.5" hidden="1" x14ac:dyDescent="0.35">
      <c r="A137" s="72"/>
      <c r="B137" s="73"/>
      <c r="G137" s="14"/>
      <c r="H137" s="14"/>
      <c r="I137" s="14"/>
      <c r="J137" s="14"/>
      <c r="K137" s="14"/>
      <c r="L137" s="14"/>
      <c r="M137" s="14"/>
      <c r="N137" s="14"/>
      <c r="O137" s="14"/>
    </row>
    <row r="138" spans="1:19" ht="25" hidden="1" customHeight="1" x14ac:dyDescent="0.35">
      <c r="C138" s="73"/>
      <c r="D138" s="74"/>
      <c r="E138" s="75"/>
      <c r="F138" s="76"/>
      <c r="G138" s="77"/>
      <c r="H138" s="78"/>
      <c r="I138" s="78"/>
      <c r="J138" s="78"/>
      <c r="K138" s="78"/>
      <c r="L138" s="78"/>
      <c r="M138" s="78"/>
      <c r="N138" s="78"/>
      <c r="O138" s="78"/>
    </row>
    <row r="140" spans="1:19" hidden="1" x14ac:dyDescent="0.35">
      <c r="A140" s="30"/>
    </row>
    <row r="141" spans="1:19" hidden="1" x14ac:dyDescent="0.35">
      <c r="G141" s="42"/>
      <c r="H141" s="42"/>
      <c r="I141" s="42"/>
      <c r="J141" s="42"/>
      <c r="K141" s="42"/>
      <c r="L141" s="42"/>
      <c r="M141" s="42"/>
      <c r="N141" s="42"/>
      <c r="O141" s="42"/>
    </row>
    <row r="142" spans="1:19" ht="15.5" hidden="1" x14ac:dyDescent="0.35">
      <c r="A142" s="72"/>
      <c r="B142" s="72"/>
    </row>
    <row r="143" spans="1:19" ht="24.75" hidden="1" customHeight="1" x14ac:dyDescent="0.35">
      <c r="C143" s="72"/>
      <c r="D143" s="72"/>
      <c r="E143" s="79"/>
      <c r="H143" s="80"/>
    </row>
    <row r="145" spans="1:15" hidden="1" x14ac:dyDescent="0.35">
      <c r="A145" s="30"/>
    </row>
    <row r="146" spans="1:15" hidden="1" x14ac:dyDescent="0.35">
      <c r="H146" s="81"/>
      <c r="I146" s="81"/>
      <c r="J146" s="81"/>
      <c r="K146" s="81"/>
      <c r="L146" s="81"/>
      <c r="M146" s="81"/>
      <c r="N146" s="81"/>
      <c r="O146" s="81"/>
    </row>
    <row r="147" spans="1:15" ht="15.5" hidden="1" x14ac:dyDescent="0.35">
      <c r="A147" s="72"/>
    </row>
    <row r="148" spans="1:15" ht="24.75" hidden="1" customHeight="1" x14ac:dyDescent="0.35">
      <c r="E148" s="82"/>
    </row>
    <row r="150" spans="1:15" hidden="1" x14ac:dyDescent="0.35">
      <c r="A150" s="30"/>
    </row>
    <row r="151" spans="1:15" hidden="1" x14ac:dyDescent="0.35">
      <c r="A151" s="12"/>
      <c r="B151" s="12"/>
    </row>
    <row r="152" spans="1:15" hidden="1" x14ac:dyDescent="0.35">
      <c r="B152" s="4"/>
      <c r="C152" s="12"/>
      <c r="D152" s="12"/>
      <c r="E152" s="12"/>
    </row>
    <row r="153" spans="1:15" hidden="1" x14ac:dyDescent="0.35">
      <c r="B153" s="4"/>
      <c r="C153" s="4"/>
    </row>
    <row r="154" spans="1:15" hidden="1" x14ac:dyDescent="0.35">
      <c r="B154" s="4"/>
      <c r="C154" s="4"/>
    </row>
    <row r="155" spans="1:15" hidden="1" x14ac:dyDescent="0.35">
      <c r="B155" s="4"/>
      <c r="C155" s="4"/>
    </row>
    <row r="156" spans="1:15" hidden="1" x14ac:dyDescent="0.35">
      <c r="B156" s="4"/>
      <c r="C156" s="4"/>
    </row>
    <row r="157" spans="1:15" hidden="1" x14ac:dyDescent="0.35">
      <c r="B157" s="4"/>
      <c r="C157" s="4"/>
    </row>
    <row r="158" spans="1:15" hidden="1" x14ac:dyDescent="0.35">
      <c r="C158" s="4"/>
    </row>
  </sheetData>
  <sheetProtection algorithmName="SHA-512" hashValue="B23PlcadT/teVUsrYSZtIab7Veizdp43Fko/vQ/rQwQyGqdPIF9vQSBjTLkfeiYWUYzSvcNkIvMuvKRt6sFy+A==" saltValue="r8vgpsVXZ8Ct1SmuPV9p8w==" spinCount="100000" sheet="1" objects="1" scenarios="1"/>
  <mergeCells count="19">
    <mergeCell ref="A47:E47"/>
    <mergeCell ref="E13:E15"/>
    <mergeCell ref="B17:C17"/>
    <mergeCell ref="B18:C18"/>
    <mergeCell ref="B19:C19"/>
    <mergeCell ref="B20:C20"/>
    <mergeCell ref="B21:C21"/>
    <mergeCell ref="B23:C23"/>
    <mergeCell ref="A26:E26"/>
    <mergeCell ref="A32:E32"/>
    <mergeCell ref="A37:E37"/>
    <mergeCell ref="A42:E42"/>
    <mergeCell ref="A13:D13"/>
    <mergeCell ref="B11:E11"/>
    <mergeCell ref="B4:E4"/>
    <mergeCell ref="B6:E6"/>
    <mergeCell ref="B8:E8"/>
    <mergeCell ref="B9:E9"/>
    <mergeCell ref="B10:E10"/>
  </mergeCells>
  <conditionalFormatting sqref="A32:E32">
    <cfRule type="expression" dxfId="227" priority="1">
      <formula>A29="Niet van toepassing"</formula>
    </cfRule>
  </conditionalFormatting>
  <conditionalFormatting sqref="A37:E37">
    <cfRule type="expression" dxfId="226" priority="2">
      <formula>A35="Niet van toepassing"</formula>
    </cfRule>
  </conditionalFormatting>
  <conditionalFormatting sqref="B18:C18">
    <cfRule type="expression" dxfId="225" priority="6" stopIfTrue="1">
      <formula>$E$18="Productie elektriciteit is niet van toepassing!"</formula>
    </cfRule>
  </conditionalFormatting>
  <conditionalFormatting sqref="B19:C19">
    <cfRule type="expression" dxfId="224" priority="3" stopIfTrue="1">
      <formula>$A$19="Niet van toepassing"</formula>
    </cfRule>
    <cfRule type="expression" dxfId="223" priority="5" stopIfTrue="1">
      <formula>$A$19=""</formula>
    </cfRule>
  </conditionalFormatting>
  <dataValidations disablePrompts="1" count="3">
    <dataValidation type="whole" allowBlank="1" showInputMessage="1" showErrorMessage="1" error="U moet hier 1 of 2 invullen!" sqref="E59 JA59 SW59 ACS59 AMO59 AWK59 BGG59 BQC59 BZY59 CJU59 CTQ59 DDM59 DNI59 DXE59 EHA59 EQW59 FAS59 FKO59 FUK59 GEG59 GOC59 GXY59 HHU59 HRQ59 IBM59 ILI59 IVE59 JFA59 JOW59 JYS59 KIO59 KSK59 LCG59 LMC59 LVY59 MFU59 MPQ59 MZM59 NJI59 NTE59 ODA59 OMW59 OWS59 PGO59 PQK59 QAG59 QKC59 QTY59 RDU59 RNQ59 RXM59 SHI59 SRE59 TBA59 TKW59 TUS59 UEO59 UOK59 UYG59 VIC59 VRY59 WBU59 WLQ59 WVM59 E65595 JA65595 SW65595 ACS65595 AMO65595 AWK65595 BGG65595 BQC65595 BZY65595 CJU65595 CTQ65595 DDM65595 DNI65595 DXE65595 EHA65595 EQW65595 FAS65595 FKO65595 FUK65595 GEG65595 GOC65595 GXY65595 HHU65595 HRQ65595 IBM65595 ILI65595 IVE65595 JFA65595 JOW65595 JYS65595 KIO65595 KSK65595 LCG65595 LMC65595 LVY65595 MFU65595 MPQ65595 MZM65595 NJI65595 NTE65595 ODA65595 OMW65595 OWS65595 PGO65595 PQK65595 QAG65595 QKC65595 QTY65595 RDU65595 RNQ65595 RXM65595 SHI65595 SRE65595 TBA65595 TKW65595 TUS65595 UEO65595 UOK65595 UYG65595 VIC65595 VRY65595 WBU65595 WLQ65595 WVM65595 E131131 JA131131 SW131131 ACS131131 AMO131131 AWK131131 BGG131131 BQC131131 BZY131131 CJU131131 CTQ131131 DDM131131 DNI131131 DXE131131 EHA131131 EQW131131 FAS131131 FKO131131 FUK131131 GEG131131 GOC131131 GXY131131 HHU131131 HRQ131131 IBM131131 ILI131131 IVE131131 JFA131131 JOW131131 JYS131131 KIO131131 KSK131131 LCG131131 LMC131131 LVY131131 MFU131131 MPQ131131 MZM131131 NJI131131 NTE131131 ODA131131 OMW131131 OWS131131 PGO131131 PQK131131 QAG131131 QKC131131 QTY131131 RDU131131 RNQ131131 RXM131131 SHI131131 SRE131131 TBA131131 TKW131131 TUS131131 UEO131131 UOK131131 UYG131131 VIC131131 VRY131131 WBU131131 WLQ131131 WVM131131 E196667 JA196667 SW196667 ACS196667 AMO196667 AWK196667 BGG196667 BQC196667 BZY196667 CJU196667 CTQ196667 DDM196667 DNI196667 DXE196667 EHA196667 EQW196667 FAS196667 FKO196667 FUK196667 GEG196667 GOC196667 GXY196667 HHU196667 HRQ196667 IBM196667 ILI196667 IVE196667 JFA196667 JOW196667 JYS196667 KIO196667 KSK196667 LCG196667 LMC196667 LVY196667 MFU196667 MPQ196667 MZM196667 NJI196667 NTE196667 ODA196667 OMW196667 OWS196667 PGO196667 PQK196667 QAG196667 QKC196667 QTY196667 RDU196667 RNQ196667 RXM196667 SHI196667 SRE196667 TBA196667 TKW196667 TUS196667 UEO196667 UOK196667 UYG196667 VIC196667 VRY196667 WBU196667 WLQ196667 WVM196667 E262203 JA262203 SW262203 ACS262203 AMO262203 AWK262203 BGG262203 BQC262203 BZY262203 CJU262203 CTQ262203 DDM262203 DNI262203 DXE262203 EHA262203 EQW262203 FAS262203 FKO262203 FUK262203 GEG262203 GOC262203 GXY262203 HHU262203 HRQ262203 IBM262203 ILI262203 IVE262203 JFA262203 JOW262203 JYS262203 KIO262203 KSK262203 LCG262203 LMC262203 LVY262203 MFU262203 MPQ262203 MZM262203 NJI262203 NTE262203 ODA262203 OMW262203 OWS262203 PGO262203 PQK262203 QAG262203 QKC262203 QTY262203 RDU262203 RNQ262203 RXM262203 SHI262203 SRE262203 TBA262203 TKW262203 TUS262203 UEO262203 UOK262203 UYG262203 VIC262203 VRY262203 WBU262203 WLQ262203 WVM262203 E327739 JA327739 SW327739 ACS327739 AMO327739 AWK327739 BGG327739 BQC327739 BZY327739 CJU327739 CTQ327739 DDM327739 DNI327739 DXE327739 EHA327739 EQW327739 FAS327739 FKO327739 FUK327739 GEG327739 GOC327739 GXY327739 HHU327739 HRQ327739 IBM327739 ILI327739 IVE327739 JFA327739 JOW327739 JYS327739 KIO327739 KSK327739 LCG327739 LMC327739 LVY327739 MFU327739 MPQ327739 MZM327739 NJI327739 NTE327739 ODA327739 OMW327739 OWS327739 PGO327739 PQK327739 QAG327739 QKC327739 QTY327739 RDU327739 RNQ327739 RXM327739 SHI327739 SRE327739 TBA327739 TKW327739 TUS327739 UEO327739 UOK327739 UYG327739 VIC327739 VRY327739 WBU327739 WLQ327739 WVM327739 E393275 JA393275 SW393275 ACS393275 AMO393275 AWK393275 BGG393275 BQC393275 BZY393275 CJU393275 CTQ393275 DDM393275 DNI393275 DXE393275 EHA393275 EQW393275 FAS393275 FKO393275 FUK393275 GEG393275 GOC393275 GXY393275 HHU393275 HRQ393275 IBM393275 ILI393275 IVE393275 JFA393275 JOW393275 JYS393275 KIO393275 KSK393275 LCG393275 LMC393275 LVY393275 MFU393275 MPQ393275 MZM393275 NJI393275 NTE393275 ODA393275 OMW393275 OWS393275 PGO393275 PQK393275 QAG393275 QKC393275 QTY393275 RDU393275 RNQ393275 RXM393275 SHI393275 SRE393275 TBA393275 TKW393275 TUS393275 UEO393275 UOK393275 UYG393275 VIC393275 VRY393275 WBU393275 WLQ393275 WVM393275 E458811 JA458811 SW458811 ACS458811 AMO458811 AWK458811 BGG458811 BQC458811 BZY458811 CJU458811 CTQ458811 DDM458811 DNI458811 DXE458811 EHA458811 EQW458811 FAS458811 FKO458811 FUK458811 GEG458811 GOC458811 GXY458811 HHU458811 HRQ458811 IBM458811 ILI458811 IVE458811 JFA458811 JOW458811 JYS458811 KIO458811 KSK458811 LCG458811 LMC458811 LVY458811 MFU458811 MPQ458811 MZM458811 NJI458811 NTE458811 ODA458811 OMW458811 OWS458811 PGO458811 PQK458811 QAG458811 QKC458811 QTY458811 RDU458811 RNQ458811 RXM458811 SHI458811 SRE458811 TBA458811 TKW458811 TUS458811 UEO458811 UOK458811 UYG458811 VIC458811 VRY458811 WBU458811 WLQ458811 WVM458811 E524347 JA524347 SW524347 ACS524347 AMO524347 AWK524347 BGG524347 BQC524347 BZY524347 CJU524347 CTQ524347 DDM524347 DNI524347 DXE524347 EHA524347 EQW524347 FAS524347 FKO524347 FUK524347 GEG524347 GOC524347 GXY524347 HHU524347 HRQ524347 IBM524347 ILI524347 IVE524347 JFA524347 JOW524347 JYS524347 KIO524347 KSK524347 LCG524347 LMC524347 LVY524347 MFU524347 MPQ524347 MZM524347 NJI524347 NTE524347 ODA524347 OMW524347 OWS524347 PGO524347 PQK524347 QAG524347 QKC524347 QTY524347 RDU524347 RNQ524347 RXM524347 SHI524347 SRE524347 TBA524347 TKW524347 TUS524347 UEO524347 UOK524347 UYG524347 VIC524347 VRY524347 WBU524347 WLQ524347 WVM524347 E589883 JA589883 SW589883 ACS589883 AMO589883 AWK589883 BGG589883 BQC589883 BZY589883 CJU589883 CTQ589883 DDM589883 DNI589883 DXE589883 EHA589883 EQW589883 FAS589883 FKO589883 FUK589883 GEG589883 GOC589883 GXY589883 HHU589883 HRQ589883 IBM589883 ILI589883 IVE589883 JFA589883 JOW589883 JYS589883 KIO589883 KSK589883 LCG589883 LMC589883 LVY589883 MFU589883 MPQ589883 MZM589883 NJI589883 NTE589883 ODA589883 OMW589883 OWS589883 PGO589883 PQK589883 QAG589883 QKC589883 QTY589883 RDU589883 RNQ589883 RXM589883 SHI589883 SRE589883 TBA589883 TKW589883 TUS589883 UEO589883 UOK589883 UYG589883 VIC589883 VRY589883 WBU589883 WLQ589883 WVM589883 E655419 JA655419 SW655419 ACS655419 AMO655419 AWK655419 BGG655419 BQC655419 BZY655419 CJU655419 CTQ655419 DDM655419 DNI655419 DXE655419 EHA655419 EQW655419 FAS655419 FKO655419 FUK655419 GEG655419 GOC655419 GXY655419 HHU655419 HRQ655419 IBM655419 ILI655419 IVE655419 JFA655419 JOW655419 JYS655419 KIO655419 KSK655419 LCG655419 LMC655419 LVY655419 MFU655419 MPQ655419 MZM655419 NJI655419 NTE655419 ODA655419 OMW655419 OWS655419 PGO655419 PQK655419 QAG655419 QKC655419 QTY655419 RDU655419 RNQ655419 RXM655419 SHI655419 SRE655419 TBA655419 TKW655419 TUS655419 UEO655419 UOK655419 UYG655419 VIC655419 VRY655419 WBU655419 WLQ655419 WVM655419 E720955 JA720955 SW720955 ACS720955 AMO720955 AWK720955 BGG720955 BQC720955 BZY720955 CJU720955 CTQ720955 DDM720955 DNI720955 DXE720955 EHA720955 EQW720955 FAS720955 FKO720955 FUK720955 GEG720955 GOC720955 GXY720955 HHU720955 HRQ720955 IBM720955 ILI720955 IVE720955 JFA720955 JOW720955 JYS720955 KIO720955 KSK720955 LCG720955 LMC720955 LVY720955 MFU720955 MPQ720955 MZM720955 NJI720955 NTE720955 ODA720955 OMW720955 OWS720955 PGO720955 PQK720955 QAG720955 QKC720955 QTY720955 RDU720955 RNQ720955 RXM720955 SHI720955 SRE720955 TBA720955 TKW720955 TUS720955 UEO720955 UOK720955 UYG720955 VIC720955 VRY720955 WBU720955 WLQ720955 WVM720955 E786491 JA786491 SW786491 ACS786491 AMO786491 AWK786491 BGG786491 BQC786491 BZY786491 CJU786491 CTQ786491 DDM786491 DNI786491 DXE786491 EHA786491 EQW786491 FAS786491 FKO786491 FUK786491 GEG786491 GOC786491 GXY786491 HHU786491 HRQ786491 IBM786491 ILI786491 IVE786491 JFA786491 JOW786491 JYS786491 KIO786491 KSK786491 LCG786491 LMC786491 LVY786491 MFU786491 MPQ786491 MZM786491 NJI786491 NTE786491 ODA786491 OMW786491 OWS786491 PGO786491 PQK786491 QAG786491 QKC786491 QTY786491 RDU786491 RNQ786491 RXM786491 SHI786491 SRE786491 TBA786491 TKW786491 TUS786491 UEO786491 UOK786491 UYG786491 VIC786491 VRY786491 WBU786491 WLQ786491 WVM786491 E852027 JA852027 SW852027 ACS852027 AMO852027 AWK852027 BGG852027 BQC852027 BZY852027 CJU852027 CTQ852027 DDM852027 DNI852027 DXE852027 EHA852027 EQW852027 FAS852027 FKO852027 FUK852027 GEG852027 GOC852027 GXY852027 HHU852027 HRQ852027 IBM852027 ILI852027 IVE852027 JFA852027 JOW852027 JYS852027 KIO852027 KSK852027 LCG852027 LMC852027 LVY852027 MFU852027 MPQ852027 MZM852027 NJI852027 NTE852027 ODA852027 OMW852027 OWS852027 PGO852027 PQK852027 QAG852027 QKC852027 QTY852027 RDU852027 RNQ852027 RXM852027 SHI852027 SRE852027 TBA852027 TKW852027 TUS852027 UEO852027 UOK852027 UYG852027 VIC852027 VRY852027 WBU852027 WLQ852027 WVM852027 E917563 JA917563 SW917563 ACS917563 AMO917563 AWK917563 BGG917563 BQC917563 BZY917563 CJU917563 CTQ917563 DDM917563 DNI917563 DXE917563 EHA917563 EQW917563 FAS917563 FKO917563 FUK917563 GEG917563 GOC917563 GXY917563 HHU917563 HRQ917563 IBM917563 ILI917563 IVE917563 JFA917563 JOW917563 JYS917563 KIO917563 KSK917563 LCG917563 LMC917563 LVY917563 MFU917563 MPQ917563 MZM917563 NJI917563 NTE917563 ODA917563 OMW917563 OWS917563 PGO917563 PQK917563 QAG917563 QKC917563 QTY917563 RDU917563 RNQ917563 RXM917563 SHI917563 SRE917563 TBA917563 TKW917563 TUS917563 UEO917563 UOK917563 UYG917563 VIC917563 VRY917563 WBU917563 WLQ917563 WVM917563 E983099 JA983099 SW983099 ACS983099 AMO983099 AWK983099 BGG983099 BQC983099 BZY983099 CJU983099 CTQ983099 DDM983099 DNI983099 DXE983099 EHA983099 EQW983099 FAS983099 FKO983099 FUK983099 GEG983099 GOC983099 GXY983099 HHU983099 HRQ983099 IBM983099 ILI983099 IVE983099 JFA983099 JOW983099 JYS983099 KIO983099 KSK983099 LCG983099 LMC983099 LVY983099 MFU983099 MPQ983099 MZM983099 NJI983099 NTE983099 ODA983099 OMW983099 OWS983099 PGO983099 PQK983099 QAG983099 QKC983099 QTY983099 RDU983099 RNQ983099 RXM983099 SHI983099 SRE983099 TBA983099 TKW983099 TUS983099 UEO983099 UOK983099 UYG983099 VIC983099 VRY983099 WBU983099 WLQ983099 WVM983099" xr:uid="{40E5E316-F880-4BA6-97A6-96DF4D8C2F2E}">
      <formula1>1</formula1>
      <formula2>2</formula2>
    </dataValidation>
    <dataValidation type="whole" allowBlank="1" showInputMessage="1" showErrorMessage="1" error="U moet hier een geheel aantal jaren met een maximum van 8 jaar invullen." sqref="E58 JA58 SW58 ACS58 AMO58 AWK58 BGG58 BQC58 BZY58 CJU58 CTQ58 DDM58 DNI58 DXE58 EHA58 EQW58 FAS58 FKO58 FUK58 GEG58 GOC58 GXY58 HHU58 HRQ58 IBM58 ILI58 IVE58 JFA58 JOW58 JYS58 KIO58 KSK58 LCG58 LMC58 LVY58 MFU58 MPQ58 MZM58 NJI58 NTE58 ODA58 OMW58 OWS58 PGO58 PQK58 QAG58 QKC58 QTY58 RDU58 RNQ58 RXM58 SHI58 SRE58 TBA58 TKW58 TUS58 UEO58 UOK58 UYG58 VIC58 VRY58 WBU58 WLQ58 WVM58 E65594 JA65594 SW65594 ACS65594 AMO65594 AWK65594 BGG65594 BQC65594 BZY65594 CJU65594 CTQ65594 DDM65594 DNI65594 DXE65594 EHA65594 EQW65594 FAS65594 FKO65594 FUK65594 GEG65594 GOC65594 GXY65594 HHU65594 HRQ65594 IBM65594 ILI65594 IVE65594 JFA65594 JOW65594 JYS65594 KIO65594 KSK65594 LCG65594 LMC65594 LVY65594 MFU65594 MPQ65594 MZM65594 NJI65594 NTE65594 ODA65594 OMW65594 OWS65594 PGO65594 PQK65594 QAG65594 QKC65594 QTY65594 RDU65594 RNQ65594 RXM65594 SHI65594 SRE65594 TBA65594 TKW65594 TUS65594 UEO65594 UOK65594 UYG65594 VIC65594 VRY65594 WBU65594 WLQ65594 WVM65594 E131130 JA131130 SW131130 ACS131130 AMO131130 AWK131130 BGG131130 BQC131130 BZY131130 CJU131130 CTQ131130 DDM131130 DNI131130 DXE131130 EHA131130 EQW131130 FAS131130 FKO131130 FUK131130 GEG131130 GOC131130 GXY131130 HHU131130 HRQ131130 IBM131130 ILI131130 IVE131130 JFA131130 JOW131130 JYS131130 KIO131130 KSK131130 LCG131130 LMC131130 LVY131130 MFU131130 MPQ131130 MZM131130 NJI131130 NTE131130 ODA131130 OMW131130 OWS131130 PGO131130 PQK131130 QAG131130 QKC131130 QTY131130 RDU131130 RNQ131130 RXM131130 SHI131130 SRE131130 TBA131130 TKW131130 TUS131130 UEO131130 UOK131130 UYG131130 VIC131130 VRY131130 WBU131130 WLQ131130 WVM131130 E196666 JA196666 SW196666 ACS196666 AMO196666 AWK196666 BGG196666 BQC196666 BZY196666 CJU196666 CTQ196666 DDM196666 DNI196666 DXE196666 EHA196666 EQW196666 FAS196666 FKO196666 FUK196666 GEG196666 GOC196666 GXY196666 HHU196666 HRQ196666 IBM196666 ILI196666 IVE196666 JFA196666 JOW196666 JYS196666 KIO196666 KSK196666 LCG196666 LMC196666 LVY196666 MFU196666 MPQ196666 MZM196666 NJI196666 NTE196666 ODA196666 OMW196666 OWS196666 PGO196666 PQK196666 QAG196666 QKC196666 QTY196666 RDU196666 RNQ196666 RXM196666 SHI196666 SRE196666 TBA196666 TKW196666 TUS196666 UEO196666 UOK196666 UYG196666 VIC196666 VRY196666 WBU196666 WLQ196666 WVM196666 E262202 JA262202 SW262202 ACS262202 AMO262202 AWK262202 BGG262202 BQC262202 BZY262202 CJU262202 CTQ262202 DDM262202 DNI262202 DXE262202 EHA262202 EQW262202 FAS262202 FKO262202 FUK262202 GEG262202 GOC262202 GXY262202 HHU262202 HRQ262202 IBM262202 ILI262202 IVE262202 JFA262202 JOW262202 JYS262202 KIO262202 KSK262202 LCG262202 LMC262202 LVY262202 MFU262202 MPQ262202 MZM262202 NJI262202 NTE262202 ODA262202 OMW262202 OWS262202 PGO262202 PQK262202 QAG262202 QKC262202 QTY262202 RDU262202 RNQ262202 RXM262202 SHI262202 SRE262202 TBA262202 TKW262202 TUS262202 UEO262202 UOK262202 UYG262202 VIC262202 VRY262202 WBU262202 WLQ262202 WVM262202 E327738 JA327738 SW327738 ACS327738 AMO327738 AWK327738 BGG327738 BQC327738 BZY327738 CJU327738 CTQ327738 DDM327738 DNI327738 DXE327738 EHA327738 EQW327738 FAS327738 FKO327738 FUK327738 GEG327738 GOC327738 GXY327738 HHU327738 HRQ327738 IBM327738 ILI327738 IVE327738 JFA327738 JOW327738 JYS327738 KIO327738 KSK327738 LCG327738 LMC327738 LVY327738 MFU327738 MPQ327738 MZM327738 NJI327738 NTE327738 ODA327738 OMW327738 OWS327738 PGO327738 PQK327738 QAG327738 QKC327738 QTY327738 RDU327738 RNQ327738 RXM327738 SHI327738 SRE327738 TBA327738 TKW327738 TUS327738 UEO327738 UOK327738 UYG327738 VIC327738 VRY327738 WBU327738 WLQ327738 WVM327738 E393274 JA393274 SW393274 ACS393274 AMO393274 AWK393274 BGG393274 BQC393274 BZY393274 CJU393274 CTQ393274 DDM393274 DNI393274 DXE393274 EHA393274 EQW393274 FAS393274 FKO393274 FUK393274 GEG393274 GOC393274 GXY393274 HHU393274 HRQ393274 IBM393274 ILI393274 IVE393274 JFA393274 JOW393274 JYS393274 KIO393274 KSK393274 LCG393274 LMC393274 LVY393274 MFU393274 MPQ393274 MZM393274 NJI393274 NTE393274 ODA393274 OMW393274 OWS393274 PGO393274 PQK393274 QAG393274 QKC393274 QTY393274 RDU393274 RNQ393274 RXM393274 SHI393274 SRE393274 TBA393274 TKW393274 TUS393274 UEO393274 UOK393274 UYG393274 VIC393274 VRY393274 WBU393274 WLQ393274 WVM393274 E458810 JA458810 SW458810 ACS458810 AMO458810 AWK458810 BGG458810 BQC458810 BZY458810 CJU458810 CTQ458810 DDM458810 DNI458810 DXE458810 EHA458810 EQW458810 FAS458810 FKO458810 FUK458810 GEG458810 GOC458810 GXY458810 HHU458810 HRQ458810 IBM458810 ILI458810 IVE458810 JFA458810 JOW458810 JYS458810 KIO458810 KSK458810 LCG458810 LMC458810 LVY458810 MFU458810 MPQ458810 MZM458810 NJI458810 NTE458810 ODA458810 OMW458810 OWS458810 PGO458810 PQK458810 QAG458810 QKC458810 QTY458810 RDU458810 RNQ458810 RXM458810 SHI458810 SRE458810 TBA458810 TKW458810 TUS458810 UEO458810 UOK458810 UYG458810 VIC458810 VRY458810 WBU458810 WLQ458810 WVM458810 E524346 JA524346 SW524346 ACS524346 AMO524346 AWK524346 BGG524346 BQC524346 BZY524346 CJU524346 CTQ524346 DDM524346 DNI524346 DXE524346 EHA524346 EQW524346 FAS524346 FKO524346 FUK524346 GEG524346 GOC524346 GXY524346 HHU524346 HRQ524346 IBM524346 ILI524346 IVE524346 JFA524346 JOW524346 JYS524346 KIO524346 KSK524346 LCG524346 LMC524346 LVY524346 MFU524346 MPQ524346 MZM524346 NJI524346 NTE524346 ODA524346 OMW524346 OWS524346 PGO524346 PQK524346 QAG524346 QKC524346 QTY524346 RDU524346 RNQ524346 RXM524346 SHI524346 SRE524346 TBA524346 TKW524346 TUS524346 UEO524346 UOK524346 UYG524346 VIC524346 VRY524346 WBU524346 WLQ524346 WVM524346 E589882 JA589882 SW589882 ACS589882 AMO589882 AWK589882 BGG589882 BQC589882 BZY589882 CJU589882 CTQ589882 DDM589882 DNI589882 DXE589882 EHA589882 EQW589882 FAS589882 FKO589882 FUK589882 GEG589882 GOC589882 GXY589882 HHU589882 HRQ589882 IBM589882 ILI589882 IVE589882 JFA589882 JOW589882 JYS589882 KIO589882 KSK589882 LCG589882 LMC589882 LVY589882 MFU589882 MPQ589882 MZM589882 NJI589882 NTE589882 ODA589882 OMW589882 OWS589882 PGO589882 PQK589882 QAG589882 QKC589882 QTY589882 RDU589882 RNQ589882 RXM589882 SHI589882 SRE589882 TBA589882 TKW589882 TUS589882 UEO589882 UOK589882 UYG589882 VIC589882 VRY589882 WBU589882 WLQ589882 WVM589882 E655418 JA655418 SW655418 ACS655418 AMO655418 AWK655418 BGG655418 BQC655418 BZY655418 CJU655418 CTQ655418 DDM655418 DNI655418 DXE655418 EHA655418 EQW655418 FAS655418 FKO655418 FUK655418 GEG655418 GOC655418 GXY655418 HHU655418 HRQ655418 IBM655418 ILI655418 IVE655418 JFA655418 JOW655418 JYS655418 KIO655418 KSK655418 LCG655418 LMC655418 LVY655418 MFU655418 MPQ655418 MZM655418 NJI655418 NTE655418 ODA655418 OMW655418 OWS655418 PGO655418 PQK655418 QAG655418 QKC655418 QTY655418 RDU655418 RNQ655418 RXM655418 SHI655418 SRE655418 TBA655418 TKW655418 TUS655418 UEO655418 UOK655418 UYG655418 VIC655418 VRY655418 WBU655418 WLQ655418 WVM655418 E720954 JA720954 SW720954 ACS720954 AMO720954 AWK720954 BGG720954 BQC720954 BZY720954 CJU720954 CTQ720954 DDM720954 DNI720954 DXE720954 EHA720954 EQW720954 FAS720954 FKO720954 FUK720954 GEG720954 GOC720954 GXY720954 HHU720954 HRQ720954 IBM720954 ILI720954 IVE720954 JFA720954 JOW720954 JYS720954 KIO720954 KSK720954 LCG720954 LMC720954 LVY720954 MFU720954 MPQ720954 MZM720954 NJI720954 NTE720954 ODA720954 OMW720954 OWS720954 PGO720954 PQK720954 QAG720954 QKC720954 QTY720954 RDU720954 RNQ720954 RXM720954 SHI720954 SRE720954 TBA720954 TKW720954 TUS720954 UEO720954 UOK720954 UYG720954 VIC720954 VRY720954 WBU720954 WLQ720954 WVM720954 E786490 JA786490 SW786490 ACS786490 AMO786490 AWK786490 BGG786490 BQC786490 BZY786490 CJU786490 CTQ786490 DDM786490 DNI786490 DXE786490 EHA786490 EQW786490 FAS786490 FKO786490 FUK786490 GEG786490 GOC786490 GXY786490 HHU786490 HRQ786490 IBM786490 ILI786490 IVE786490 JFA786490 JOW786490 JYS786490 KIO786490 KSK786490 LCG786490 LMC786490 LVY786490 MFU786490 MPQ786490 MZM786490 NJI786490 NTE786490 ODA786490 OMW786490 OWS786490 PGO786490 PQK786490 QAG786490 QKC786490 QTY786490 RDU786490 RNQ786490 RXM786490 SHI786490 SRE786490 TBA786490 TKW786490 TUS786490 UEO786490 UOK786490 UYG786490 VIC786490 VRY786490 WBU786490 WLQ786490 WVM786490 E852026 JA852026 SW852026 ACS852026 AMO852026 AWK852026 BGG852026 BQC852026 BZY852026 CJU852026 CTQ852026 DDM852026 DNI852026 DXE852026 EHA852026 EQW852026 FAS852026 FKO852026 FUK852026 GEG852026 GOC852026 GXY852026 HHU852026 HRQ852026 IBM852026 ILI852026 IVE852026 JFA852026 JOW852026 JYS852026 KIO852026 KSK852026 LCG852026 LMC852026 LVY852026 MFU852026 MPQ852026 MZM852026 NJI852026 NTE852026 ODA852026 OMW852026 OWS852026 PGO852026 PQK852026 QAG852026 QKC852026 QTY852026 RDU852026 RNQ852026 RXM852026 SHI852026 SRE852026 TBA852026 TKW852026 TUS852026 UEO852026 UOK852026 UYG852026 VIC852026 VRY852026 WBU852026 WLQ852026 WVM852026 E917562 JA917562 SW917562 ACS917562 AMO917562 AWK917562 BGG917562 BQC917562 BZY917562 CJU917562 CTQ917562 DDM917562 DNI917562 DXE917562 EHA917562 EQW917562 FAS917562 FKO917562 FUK917562 GEG917562 GOC917562 GXY917562 HHU917562 HRQ917562 IBM917562 ILI917562 IVE917562 JFA917562 JOW917562 JYS917562 KIO917562 KSK917562 LCG917562 LMC917562 LVY917562 MFU917562 MPQ917562 MZM917562 NJI917562 NTE917562 ODA917562 OMW917562 OWS917562 PGO917562 PQK917562 QAG917562 QKC917562 QTY917562 RDU917562 RNQ917562 RXM917562 SHI917562 SRE917562 TBA917562 TKW917562 TUS917562 UEO917562 UOK917562 UYG917562 VIC917562 VRY917562 WBU917562 WLQ917562 WVM917562 E983098 JA983098 SW983098 ACS983098 AMO983098 AWK983098 BGG983098 BQC983098 BZY983098 CJU983098 CTQ983098 DDM983098 DNI983098 DXE983098 EHA983098 EQW983098 FAS983098 FKO983098 FUK983098 GEG983098 GOC983098 GXY983098 HHU983098 HRQ983098 IBM983098 ILI983098 IVE983098 JFA983098 JOW983098 JYS983098 KIO983098 KSK983098 LCG983098 LMC983098 LVY983098 MFU983098 MPQ983098 MZM983098 NJI983098 NTE983098 ODA983098 OMW983098 OWS983098 PGO983098 PQK983098 QAG983098 QKC983098 QTY983098 RDU983098 RNQ983098 RXM983098 SHI983098 SRE983098 TBA983098 TKW983098 TUS983098 UEO983098 UOK983098 UYG983098 VIC983098 VRY983098 WBU983098 WLQ983098 WVM983098" xr:uid="{3D4B2A6B-E492-432A-A2CE-58FD1E3662B8}">
      <formula1>0</formula1>
      <formula2>8</formula2>
    </dataValidation>
    <dataValidation type="decimal" allowBlank="1" showInputMessage="1" showErrorMessage="1" error="U kunt maximaal een percentage van 3,0% invullen. Klik op &quot;Annuleren&quot; en vul een ander percentage in. " sqref="E72 JA72 SW72 ACS72 AMO72 AWK72 BGG72 BQC72 BZY72 CJU72 CTQ72 DDM72 DNI72 DXE72 EHA72 EQW72 FAS72 FKO72 FUK72 GEG72 GOC72 GXY72 HHU72 HRQ72 IBM72 ILI72 IVE72 JFA72 JOW72 JYS72 KIO72 KSK72 LCG72 LMC72 LVY72 MFU72 MPQ72 MZM72 NJI72 NTE72 ODA72 OMW72 OWS72 PGO72 PQK72 QAG72 QKC72 QTY72 RDU72 RNQ72 RXM72 SHI72 SRE72 TBA72 TKW72 TUS72 UEO72 UOK72 UYG72 VIC72 VRY72 WBU72 WLQ72 WVM72 E65608 JA65608 SW65608 ACS65608 AMO65608 AWK65608 BGG65608 BQC65608 BZY65608 CJU65608 CTQ65608 DDM65608 DNI65608 DXE65608 EHA65608 EQW65608 FAS65608 FKO65608 FUK65608 GEG65608 GOC65608 GXY65608 HHU65608 HRQ65608 IBM65608 ILI65608 IVE65608 JFA65608 JOW65608 JYS65608 KIO65608 KSK65608 LCG65608 LMC65608 LVY65608 MFU65608 MPQ65608 MZM65608 NJI65608 NTE65608 ODA65608 OMW65608 OWS65608 PGO65608 PQK65608 QAG65608 QKC65608 QTY65608 RDU65608 RNQ65608 RXM65608 SHI65608 SRE65608 TBA65608 TKW65608 TUS65608 UEO65608 UOK65608 UYG65608 VIC65608 VRY65608 WBU65608 WLQ65608 WVM65608 E131144 JA131144 SW131144 ACS131144 AMO131144 AWK131144 BGG131144 BQC131144 BZY131144 CJU131144 CTQ131144 DDM131144 DNI131144 DXE131144 EHA131144 EQW131144 FAS131144 FKO131144 FUK131144 GEG131144 GOC131144 GXY131144 HHU131144 HRQ131144 IBM131144 ILI131144 IVE131144 JFA131144 JOW131144 JYS131144 KIO131144 KSK131144 LCG131144 LMC131144 LVY131144 MFU131144 MPQ131144 MZM131144 NJI131144 NTE131144 ODA131144 OMW131144 OWS131144 PGO131144 PQK131144 QAG131144 QKC131144 QTY131144 RDU131144 RNQ131144 RXM131144 SHI131144 SRE131144 TBA131144 TKW131144 TUS131144 UEO131144 UOK131144 UYG131144 VIC131144 VRY131144 WBU131144 WLQ131144 WVM131144 E196680 JA196680 SW196680 ACS196680 AMO196680 AWK196680 BGG196680 BQC196680 BZY196680 CJU196680 CTQ196680 DDM196680 DNI196680 DXE196680 EHA196680 EQW196680 FAS196680 FKO196680 FUK196680 GEG196680 GOC196680 GXY196680 HHU196680 HRQ196680 IBM196680 ILI196680 IVE196680 JFA196680 JOW196680 JYS196680 KIO196680 KSK196680 LCG196680 LMC196680 LVY196680 MFU196680 MPQ196680 MZM196680 NJI196680 NTE196680 ODA196680 OMW196680 OWS196680 PGO196680 PQK196680 QAG196680 QKC196680 QTY196680 RDU196680 RNQ196680 RXM196680 SHI196680 SRE196680 TBA196680 TKW196680 TUS196680 UEO196680 UOK196680 UYG196680 VIC196680 VRY196680 WBU196680 WLQ196680 WVM196680 E262216 JA262216 SW262216 ACS262216 AMO262216 AWK262216 BGG262216 BQC262216 BZY262216 CJU262216 CTQ262216 DDM262216 DNI262216 DXE262216 EHA262216 EQW262216 FAS262216 FKO262216 FUK262216 GEG262216 GOC262216 GXY262216 HHU262216 HRQ262216 IBM262216 ILI262216 IVE262216 JFA262216 JOW262216 JYS262216 KIO262216 KSK262216 LCG262216 LMC262216 LVY262216 MFU262216 MPQ262216 MZM262216 NJI262216 NTE262216 ODA262216 OMW262216 OWS262216 PGO262216 PQK262216 QAG262216 QKC262216 QTY262216 RDU262216 RNQ262216 RXM262216 SHI262216 SRE262216 TBA262216 TKW262216 TUS262216 UEO262216 UOK262216 UYG262216 VIC262216 VRY262216 WBU262216 WLQ262216 WVM262216 E327752 JA327752 SW327752 ACS327752 AMO327752 AWK327752 BGG327752 BQC327752 BZY327752 CJU327752 CTQ327752 DDM327752 DNI327752 DXE327752 EHA327752 EQW327752 FAS327752 FKO327752 FUK327752 GEG327752 GOC327752 GXY327752 HHU327752 HRQ327752 IBM327752 ILI327752 IVE327752 JFA327752 JOW327752 JYS327752 KIO327752 KSK327752 LCG327752 LMC327752 LVY327752 MFU327752 MPQ327752 MZM327752 NJI327752 NTE327752 ODA327752 OMW327752 OWS327752 PGO327752 PQK327752 QAG327752 QKC327752 QTY327752 RDU327752 RNQ327752 RXM327752 SHI327752 SRE327752 TBA327752 TKW327752 TUS327752 UEO327752 UOK327752 UYG327752 VIC327752 VRY327752 WBU327752 WLQ327752 WVM327752 E393288 JA393288 SW393288 ACS393288 AMO393288 AWK393288 BGG393288 BQC393288 BZY393288 CJU393288 CTQ393288 DDM393288 DNI393288 DXE393288 EHA393288 EQW393288 FAS393288 FKO393288 FUK393288 GEG393288 GOC393288 GXY393288 HHU393288 HRQ393288 IBM393288 ILI393288 IVE393288 JFA393288 JOW393288 JYS393288 KIO393288 KSK393288 LCG393288 LMC393288 LVY393288 MFU393288 MPQ393288 MZM393288 NJI393288 NTE393288 ODA393288 OMW393288 OWS393288 PGO393288 PQK393288 QAG393288 QKC393288 QTY393288 RDU393288 RNQ393288 RXM393288 SHI393288 SRE393288 TBA393288 TKW393288 TUS393288 UEO393288 UOK393288 UYG393288 VIC393288 VRY393288 WBU393288 WLQ393288 WVM393288 E458824 JA458824 SW458824 ACS458824 AMO458824 AWK458824 BGG458824 BQC458824 BZY458824 CJU458824 CTQ458824 DDM458824 DNI458824 DXE458824 EHA458824 EQW458824 FAS458824 FKO458824 FUK458824 GEG458824 GOC458824 GXY458824 HHU458824 HRQ458824 IBM458824 ILI458824 IVE458824 JFA458824 JOW458824 JYS458824 KIO458824 KSK458824 LCG458824 LMC458824 LVY458824 MFU458824 MPQ458824 MZM458824 NJI458824 NTE458824 ODA458824 OMW458824 OWS458824 PGO458824 PQK458824 QAG458824 QKC458824 QTY458824 RDU458824 RNQ458824 RXM458824 SHI458824 SRE458824 TBA458824 TKW458824 TUS458824 UEO458824 UOK458824 UYG458824 VIC458824 VRY458824 WBU458824 WLQ458824 WVM458824 E524360 JA524360 SW524360 ACS524360 AMO524360 AWK524360 BGG524360 BQC524360 BZY524360 CJU524360 CTQ524360 DDM524360 DNI524360 DXE524360 EHA524360 EQW524360 FAS524360 FKO524360 FUK524360 GEG524360 GOC524360 GXY524360 HHU524360 HRQ524360 IBM524360 ILI524360 IVE524360 JFA524360 JOW524360 JYS524360 KIO524360 KSK524360 LCG524360 LMC524360 LVY524360 MFU524360 MPQ524360 MZM524360 NJI524360 NTE524360 ODA524360 OMW524360 OWS524360 PGO524360 PQK524360 QAG524360 QKC524360 QTY524360 RDU524360 RNQ524360 RXM524360 SHI524360 SRE524360 TBA524360 TKW524360 TUS524360 UEO524360 UOK524360 UYG524360 VIC524360 VRY524360 WBU524360 WLQ524360 WVM524360 E589896 JA589896 SW589896 ACS589896 AMO589896 AWK589896 BGG589896 BQC589896 BZY589896 CJU589896 CTQ589896 DDM589896 DNI589896 DXE589896 EHA589896 EQW589896 FAS589896 FKO589896 FUK589896 GEG589896 GOC589896 GXY589896 HHU589896 HRQ589896 IBM589896 ILI589896 IVE589896 JFA589896 JOW589896 JYS589896 KIO589896 KSK589896 LCG589896 LMC589896 LVY589896 MFU589896 MPQ589896 MZM589896 NJI589896 NTE589896 ODA589896 OMW589896 OWS589896 PGO589896 PQK589896 QAG589896 QKC589896 QTY589896 RDU589896 RNQ589896 RXM589896 SHI589896 SRE589896 TBA589896 TKW589896 TUS589896 UEO589896 UOK589896 UYG589896 VIC589896 VRY589896 WBU589896 WLQ589896 WVM589896 E655432 JA655432 SW655432 ACS655432 AMO655432 AWK655432 BGG655432 BQC655432 BZY655432 CJU655432 CTQ655432 DDM655432 DNI655432 DXE655432 EHA655432 EQW655432 FAS655432 FKO655432 FUK655432 GEG655432 GOC655432 GXY655432 HHU655432 HRQ655432 IBM655432 ILI655432 IVE655432 JFA655432 JOW655432 JYS655432 KIO655432 KSK655432 LCG655432 LMC655432 LVY655432 MFU655432 MPQ655432 MZM655432 NJI655432 NTE655432 ODA655432 OMW655432 OWS655432 PGO655432 PQK655432 QAG655432 QKC655432 QTY655432 RDU655432 RNQ655432 RXM655432 SHI655432 SRE655432 TBA655432 TKW655432 TUS655432 UEO655432 UOK655432 UYG655432 VIC655432 VRY655432 WBU655432 WLQ655432 WVM655432 E720968 JA720968 SW720968 ACS720968 AMO720968 AWK720968 BGG720968 BQC720968 BZY720968 CJU720968 CTQ720968 DDM720968 DNI720968 DXE720968 EHA720968 EQW720968 FAS720968 FKO720968 FUK720968 GEG720968 GOC720968 GXY720968 HHU720968 HRQ720968 IBM720968 ILI720968 IVE720968 JFA720968 JOW720968 JYS720968 KIO720968 KSK720968 LCG720968 LMC720968 LVY720968 MFU720968 MPQ720968 MZM720968 NJI720968 NTE720968 ODA720968 OMW720968 OWS720968 PGO720968 PQK720968 QAG720968 QKC720968 QTY720968 RDU720968 RNQ720968 RXM720968 SHI720968 SRE720968 TBA720968 TKW720968 TUS720968 UEO720968 UOK720968 UYG720968 VIC720968 VRY720968 WBU720968 WLQ720968 WVM720968 E786504 JA786504 SW786504 ACS786504 AMO786504 AWK786504 BGG786504 BQC786504 BZY786504 CJU786504 CTQ786504 DDM786504 DNI786504 DXE786504 EHA786504 EQW786504 FAS786504 FKO786504 FUK786504 GEG786504 GOC786504 GXY786504 HHU786504 HRQ786504 IBM786504 ILI786504 IVE786504 JFA786504 JOW786504 JYS786504 KIO786504 KSK786504 LCG786504 LMC786504 LVY786504 MFU786504 MPQ786504 MZM786504 NJI786504 NTE786504 ODA786504 OMW786504 OWS786504 PGO786504 PQK786504 QAG786504 QKC786504 QTY786504 RDU786504 RNQ786504 RXM786504 SHI786504 SRE786504 TBA786504 TKW786504 TUS786504 UEO786504 UOK786504 UYG786504 VIC786504 VRY786504 WBU786504 WLQ786504 WVM786504 E852040 JA852040 SW852040 ACS852040 AMO852040 AWK852040 BGG852040 BQC852040 BZY852040 CJU852040 CTQ852040 DDM852040 DNI852040 DXE852040 EHA852040 EQW852040 FAS852040 FKO852040 FUK852040 GEG852040 GOC852040 GXY852040 HHU852040 HRQ852040 IBM852040 ILI852040 IVE852040 JFA852040 JOW852040 JYS852040 KIO852040 KSK852040 LCG852040 LMC852040 LVY852040 MFU852040 MPQ852040 MZM852040 NJI852040 NTE852040 ODA852040 OMW852040 OWS852040 PGO852040 PQK852040 QAG852040 QKC852040 QTY852040 RDU852040 RNQ852040 RXM852040 SHI852040 SRE852040 TBA852040 TKW852040 TUS852040 UEO852040 UOK852040 UYG852040 VIC852040 VRY852040 WBU852040 WLQ852040 WVM852040 E917576 JA917576 SW917576 ACS917576 AMO917576 AWK917576 BGG917576 BQC917576 BZY917576 CJU917576 CTQ917576 DDM917576 DNI917576 DXE917576 EHA917576 EQW917576 FAS917576 FKO917576 FUK917576 GEG917576 GOC917576 GXY917576 HHU917576 HRQ917576 IBM917576 ILI917576 IVE917576 JFA917576 JOW917576 JYS917576 KIO917576 KSK917576 LCG917576 LMC917576 LVY917576 MFU917576 MPQ917576 MZM917576 NJI917576 NTE917576 ODA917576 OMW917576 OWS917576 PGO917576 PQK917576 QAG917576 QKC917576 QTY917576 RDU917576 RNQ917576 RXM917576 SHI917576 SRE917576 TBA917576 TKW917576 TUS917576 UEO917576 UOK917576 UYG917576 VIC917576 VRY917576 WBU917576 WLQ917576 WVM917576 E983112 JA983112 SW983112 ACS983112 AMO983112 AWK983112 BGG983112 BQC983112 BZY983112 CJU983112 CTQ983112 DDM983112 DNI983112 DXE983112 EHA983112 EQW983112 FAS983112 FKO983112 FUK983112 GEG983112 GOC983112 GXY983112 HHU983112 HRQ983112 IBM983112 ILI983112 IVE983112 JFA983112 JOW983112 JYS983112 KIO983112 KSK983112 LCG983112 LMC983112 LVY983112 MFU983112 MPQ983112 MZM983112 NJI983112 NTE983112 ODA983112 OMW983112 OWS983112 PGO983112 PQK983112 QAG983112 QKC983112 QTY983112 RDU983112 RNQ983112 RXM983112 SHI983112 SRE983112 TBA983112 TKW983112 TUS983112 UEO983112 UOK983112 UYG983112 VIC983112 VRY983112 WBU983112 WLQ983112 WVM983112 E65 JA65 SW65 ACS65 AMO65 AWK65 BGG65 BQC65 BZY65 CJU65 CTQ65 DDM65 DNI65 DXE65 EHA65 EQW65 FAS65 FKO65 FUK65 GEG65 GOC65 GXY65 HHU65 HRQ65 IBM65 ILI65 IVE65 JFA65 JOW65 JYS65 KIO65 KSK65 LCG65 LMC65 LVY65 MFU65 MPQ65 MZM65 NJI65 NTE65 ODA65 OMW65 OWS65 PGO65 PQK65 QAG65 QKC65 QTY65 RDU65 RNQ65 RXM65 SHI65 SRE65 TBA65 TKW65 TUS65 UEO65 UOK65 UYG65 VIC65 VRY65 WBU65 WLQ65 WVM65 E65601 JA65601 SW65601 ACS65601 AMO65601 AWK65601 BGG65601 BQC65601 BZY65601 CJU65601 CTQ65601 DDM65601 DNI65601 DXE65601 EHA65601 EQW65601 FAS65601 FKO65601 FUK65601 GEG65601 GOC65601 GXY65601 HHU65601 HRQ65601 IBM65601 ILI65601 IVE65601 JFA65601 JOW65601 JYS65601 KIO65601 KSK65601 LCG65601 LMC65601 LVY65601 MFU65601 MPQ65601 MZM65601 NJI65601 NTE65601 ODA65601 OMW65601 OWS65601 PGO65601 PQK65601 QAG65601 QKC65601 QTY65601 RDU65601 RNQ65601 RXM65601 SHI65601 SRE65601 TBA65601 TKW65601 TUS65601 UEO65601 UOK65601 UYG65601 VIC65601 VRY65601 WBU65601 WLQ65601 WVM65601 E131137 JA131137 SW131137 ACS131137 AMO131137 AWK131137 BGG131137 BQC131137 BZY131137 CJU131137 CTQ131137 DDM131137 DNI131137 DXE131137 EHA131137 EQW131137 FAS131137 FKO131137 FUK131137 GEG131137 GOC131137 GXY131137 HHU131137 HRQ131137 IBM131137 ILI131137 IVE131137 JFA131137 JOW131137 JYS131137 KIO131137 KSK131137 LCG131137 LMC131137 LVY131137 MFU131137 MPQ131137 MZM131137 NJI131137 NTE131137 ODA131137 OMW131137 OWS131137 PGO131137 PQK131137 QAG131137 QKC131137 QTY131137 RDU131137 RNQ131137 RXM131137 SHI131137 SRE131137 TBA131137 TKW131137 TUS131137 UEO131137 UOK131137 UYG131137 VIC131137 VRY131137 WBU131137 WLQ131137 WVM131137 E196673 JA196673 SW196673 ACS196673 AMO196673 AWK196673 BGG196673 BQC196673 BZY196673 CJU196673 CTQ196673 DDM196673 DNI196673 DXE196673 EHA196673 EQW196673 FAS196673 FKO196673 FUK196673 GEG196673 GOC196673 GXY196673 HHU196673 HRQ196673 IBM196673 ILI196673 IVE196673 JFA196673 JOW196673 JYS196673 KIO196673 KSK196673 LCG196673 LMC196673 LVY196673 MFU196673 MPQ196673 MZM196673 NJI196673 NTE196673 ODA196673 OMW196673 OWS196673 PGO196673 PQK196673 QAG196673 QKC196673 QTY196673 RDU196673 RNQ196673 RXM196673 SHI196673 SRE196673 TBA196673 TKW196673 TUS196673 UEO196673 UOK196673 UYG196673 VIC196673 VRY196673 WBU196673 WLQ196673 WVM196673 E262209 JA262209 SW262209 ACS262209 AMO262209 AWK262209 BGG262209 BQC262209 BZY262209 CJU262209 CTQ262209 DDM262209 DNI262209 DXE262209 EHA262209 EQW262209 FAS262209 FKO262209 FUK262209 GEG262209 GOC262209 GXY262209 HHU262209 HRQ262209 IBM262209 ILI262209 IVE262209 JFA262209 JOW262209 JYS262209 KIO262209 KSK262209 LCG262209 LMC262209 LVY262209 MFU262209 MPQ262209 MZM262209 NJI262209 NTE262209 ODA262209 OMW262209 OWS262209 PGO262209 PQK262209 QAG262209 QKC262209 QTY262209 RDU262209 RNQ262209 RXM262209 SHI262209 SRE262209 TBA262209 TKW262209 TUS262209 UEO262209 UOK262209 UYG262209 VIC262209 VRY262209 WBU262209 WLQ262209 WVM262209 E327745 JA327745 SW327745 ACS327745 AMO327745 AWK327745 BGG327745 BQC327745 BZY327745 CJU327745 CTQ327745 DDM327745 DNI327745 DXE327745 EHA327745 EQW327745 FAS327745 FKO327745 FUK327745 GEG327745 GOC327745 GXY327745 HHU327745 HRQ327745 IBM327745 ILI327745 IVE327745 JFA327745 JOW327745 JYS327745 KIO327745 KSK327745 LCG327745 LMC327745 LVY327745 MFU327745 MPQ327745 MZM327745 NJI327745 NTE327745 ODA327745 OMW327745 OWS327745 PGO327745 PQK327745 QAG327745 QKC327745 QTY327745 RDU327745 RNQ327745 RXM327745 SHI327745 SRE327745 TBA327745 TKW327745 TUS327745 UEO327745 UOK327745 UYG327745 VIC327745 VRY327745 WBU327745 WLQ327745 WVM327745 E393281 JA393281 SW393281 ACS393281 AMO393281 AWK393281 BGG393281 BQC393281 BZY393281 CJU393281 CTQ393281 DDM393281 DNI393281 DXE393281 EHA393281 EQW393281 FAS393281 FKO393281 FUK393281 GEG393281 GOC393281 GXY393281 HHU393281 HRQ393281 IBM393281 ILI393281 IVE393281 JFA393281 JOW393281 JYS393281 KIO393281 KSK393281 LCG393281 LMC393281 LVY393281 MFU393281 MPQ393281 MZM393281 NJI393281 NTE393281 ODA393281 OMW393281 OWS393281 PGO393281 PQK393281 QAG393281 QKC393281 QTY393281 RDU393281 RNQ393281 RXM393281 SHI393281 SRE393281 TBA393281 TKW393281 TUS393281 UEO393281 UOK393281 UYG393281 VIC393281 VRY393281 WBU393281 WLQ393281 WVM393281 E458817 JA458817 SW458817 ACS458817 AMO458817 AWK458817 BGG458817 BQC458817 BZY458817 CJU458817 CTQ458817 DDM458817 DNI458817 DXE458817 EHA458817 EQW458817 FAS458817 FKO458817 FUK458817 GEG458817 GOC458817 GXY458817 HHU458817 HRQ458817 IBM458817 ILI458817 IVE458817 JFA458817 JOW458817 JYS458817 KIO458817 KSK458817 LCG458817 LMC458817 LVY458817 MFU458817 MPQ458817 MZM458817 NJI458817 NTE458817 ODA458817 OMW458817 OWS458817 PGO458817 PQK458817 QAG458817 QKC458817 QTY458817 RDU458817 RNQ458817 RXM458817 SHI458817 SRE458817 TBA458817 TKW458817 TUS458817 UEO458817 UOK458817 UYG458817 VIC458817 VRY458817 WBU458817 WLQ458817 WVM458817 E524353 JA524353 SW524353 ACS524353 AMO524353 AWK524353 BGG524353 BQC524353 BZY524353 CJU524353 CTQ524353 DDM524353 DNI524353 DXE524353 EHA524353 EQW524353 FAS524353 FKO524353 FUK524353 GEG524353 GOC524353 GXY524353 HHU524353 HRQ524353 IBM524353 ILI524353 IVE524353 JFA524353 JOW524353 JYS524353 KIO524353 KSK524353 LCG524353 LMC524353 LVY524353 MFU524353 MPQ524353 MZM524353 NJI524353 NTE524353 ODA524353 OMW524353 OWS524353 PGO524353 PQK524353 QAG524353 QKC524353 QTY524353 RDU524353 RNQ524353 RXM524353 SHI524353 SRE524353 TBA524353 TKW524353 TUS524353 UEO524353 UOK524353 UYG524353 VIC524353 VRY524353 WBU524353 WLQ524353 WVM524353 E589889 JA589889 SW589889 ACS589889 AMO589889 AWK589889 BGG589889 BQC589889 BZY589889 CJU589889 CTQ589889 DDM589889 DNI589889 DXE589889 EHA589889 EQW589889 FAS589889 FKO589889 FUK589889 GEG589889 GOC589889 GXY589889 HHU589889 HRQ589889 IBM589889 ILI589889 IVE589889 JFA589889 JOW589889 JYS589889 KIO589889 KSK589889 LCG589889 LMC589889 LVY589889 MFU589889 MPQ589889 MZM589889 NJI589889 NTE589889 ODA589889 OMW589889 OWS589889 PGO589889 PQK589889 QAG589889 QKC589889 QTY589889 RDU589889 RNQ589889 RXM589889 SHI589889 SRE589889 TBA589889 TKW589889 TUS589889 UEO589889 UOK589889 UYG589889 VIC589889 VRY589889 WBU589889 WLQ589889 WVM589889 E655425 JA655425 SW655425 ACS655425 AMO655425 AWK655425 BGG655425 BQC655425 BZY655425 CJU655425 CTQ655425 DDM655425 DNI655425 DXE655425 EHA655425 EQW655425 FAS655425 FKO655425 FUK655425 GEG655425 GOC655425 GXY655425 HHU655425 HRQ655425 IBM655425 ILI655425 IVE655425 JFA655425 JOW655425 JYS655425 KIO655425 KSK655425 LCG655425 LMC655425 LVY655425 MFU655425 MPQ655425 MZM655425 NJI655425 NTE655425 ODA655425 OMW655425 OWS655425 PGO655425 PQK655425 QAG655425 QKC655425 QTY655425 RDU655425 RNQ655425 RXM655425 SHI655425 SRE655425 TBA655425 TKW655425 TUS655425 UEO655425 UOK655425 UYG655425 VIC655425 VRY655425 WBU655425 WLQ655425 WVM655425 E720961 JA720961 SW720961 ACS720961 AMO720961 AWK720961 BGG720961 BQC720961 BZY720961 CJU720961 CTQ720961 DDM720961 DNI720961 DXE720961 EHA720961 EQW720961 FAS720961 FKO720961 FUK720961 GEG720961 GOC720961 GXY720961 HHU720961 HRQ720961 IBM720961 ILI720961 IVE720961 JFA720961 JOW720961 JYS720961 KIO720961 KSK720961 LCG720961 LMC720961 LVY720961 MFU720961 MPQ720961 MZM720961 NJI720961 NTE720961 ODA720961 OMW720961 OWS720961 PGO720961 PQK720961 QAG720961 QKC720961 QTY720961 RDU720961 RNQ720961 RXM720961 SHI720961 SRE720961 TBA720961 TKW720961 TUS720961 UEO720961 UOK720961 UYG720961 VIC720961 VRY720961 WBU720961 WLQ720961 WVM720961 E786497 JA786497 SW786497 ACS786497 AMO786497 AWK786497 BGG786497 BQC786497 BZY786497 CJU786497 CTQ786497 DDM786497 DNI786497 DXE786497 EHA786497 EQW786497 FAS786497 FKO786497 FUK786497 GEG786497 GOC786497 GXY786497 HHU786497 HRQ786497 IBM786497 ILI786497 IVE786497 JFA786497 JOW786497 JYS786497 KIO786497 KSK786497 LCG786497 LMC786497 LVY786497 MFU786497 MPQ786497 MZM786497 NJI786497 NTE786497 ODA786497 OMW786497 OWS786497 PGO786497 PQK786497 QAG786497 QKC786497 QTY786497 RDU786497 RNQ786497 RXM786497 SHI786497 SRE786497 TBA786497 TKW786497 TUS786497 UEO786497 UOK786497 UYG786497 VIC786497 VRY786497 WBU786497 WLQ786497 WVM786497 E852033 JA852033 SW852033 ACS852033 AMO852033 AWK852033 BGG852033 BQC852033 BZY852033 CJU852033 CTQ852033 DDM852033 DNI852033 DXE852033 EHA852033 EQW852033 FAS852033 FKO852033 FUK852033 GEG852033 GOC852033 GXY852033 HHU852033 HRQ852033 IBM852033 ILI852033 IVE852033 JFA852033 JOW852033 JYS852033 KIO852033 KSK852033 LCG852033 LMC852033 LVY852033 MFU852033 MPQ852033 MZM852033 NJI852033 NTE852033 ODA852033 OMW852033 OWS852033 PGO852033 PQK852033 QAG852033 QKC852033 QTY852033 RDU852033 RNQ852033 RXM852033 SHI852033 SRE852033 TBA852033 TKW852033 TUS852033 UEO852033 UOK852033 UYG852033 VIC852033 VRY852033 WBU852033 WLQ852033 WVM852033 E917569 JA917569 SW917569 ACS917569 AMO917569 AWK917569 BGG917569 BQC917569 BZY917569 CJU917569 CTQ917569 DDM917569 DNI917569 DXE917569 EHA917569 EQW917569 FAS917569 FKO917569 FUK917569 GEG917569 GOC917569 GXY917569 HHU917569 HRQ917569 IBM917569 ILI917569 IVE917569 JFA917569 JOW917569 JYS917569 KIO917569 KSK917569 LCG917569 LMC917569 LVY917569 MFU917569 MPQ917569 MZM917569 NJI917569 NTE917569 ODA917569 OMW917569 OWS917569 PGO917569 PQK917569 QAG917569 QKC917569 QTY917569 RDU917569 RNQ917569 RXM917569 SHI917569 SRE917569 TBA917569 TKW917569 TUS917569 UEO917569 UOK917569 UYG917569 VIC917569 VRY917569 WBU917569 WLQ917569 WVM917569 E983105 JA983105 SW983105 ACS983105 AMO983105 AWK983105 BGG983105 BQC983105 BZY983105 CJU983105 CTQ983105 DDM983105 DNI983105 DXE983105 EHA983105 EQW983105 FAS983105 FKO983105 FUK983105 GEG983105 GOC983105 GXY983105 HHU983105 HRQ983105 IBM983105 ILI983105 IVE983105 JFA983105 JOW983105 JYS983105 KIO983105 KSK983105 LCG983105 LMC983105 LVY983105 MFU983105 MPQ983105 MZM983105 NJI983105 NTE983105 ODA983105 OMW983105 OWS983105 PGO983105 PQK983105 QAG983105 QKC983105 QTY983105 RDU983105 RNQ983105 RXM983105 SHI983105 SRE983105 TBA983105 TKW983105 TUS983105 UEO983105 UOK983105 UYG983105 VIC983105 VRY983105 WBU983105 WLQ983105 WVM983105" xr:uid="{8E93D866-E59A-4D9A-A9D9-6E53F33C9D9D}">
      <formula1>0</formula1>
      <formula2>0.03</formula2>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List Box 1">
              <controlPr defaultSize="0" autoLine="0" autoPict="0">
                <anchor moveWithCells="1" sizeWithCells="1">
                  <from>
                    <xdr:col>0</xdr:col>
                    <xdr:colOff>3683000</xdr:colOff>
                    <xdr:row>28</xdr:row>
                    <xdr:rowOff>31750</xdr:rowOff>
                  </from>
                  <to>
                    <xdr:col>5</xdr:col>
                    <xdr:colOff>12700</xdr:colOff>
                    <xdr:row>29</xdr:row>
                    <xdr:rowOff>298450</xdr:rowOff>
                  </to>
                </anchor>
              </controlPr>
            </control>
          </mc:Choice>
        </mc:AlternateContent>
        <mc:AlternateContent xmlns:mc="http://schemas.openxmlformats.org/markup-compatibility/2006">
          <mc:Choice Requires="x14">
            <control shapeId="3074" r:id="rId5" name="List Box 2">
              <controlPr defaultSize="0" autoLine="0" autoPict="0">
                <anchor moveWithCells="1" sizeWithCells="1">
                  <from>
                    <xdr:col>1</xdr:col>
                    <xdr:colOff>0</xdr:colOff>
                    <xdr:row>7</xdr:row>
                    <xdr:rowOff>38100</xdr:rowOff>
                  </from>
                  <to>
                    <xdr:col>5</xdr:col>
                    <xdr:colOff>0</xdr:colOff>
                    <xdr:row>7</xdr:row>
                    <xdr:rowOff>800100</xdr:rowOff>
                  </to>
                </anchor>
              </controlPr>
            </control>
          </mc:Choice>
        </mc:AlternateContent>
        <mc:AlternateContent xmlns:mc="http://schemas.openxmlformats.org/markup-compatibility/2006">
          <mc:Choice Requires="x14">
            <control shapeId="3075" r:id="rId6" name="List Box 3">
              <controlPr defaultSize="0" autoLine="0" autoPict="0">
                <anchor moveWithCells="1" sizeWithCells="1">
                  <from>
                    <xdr:col>1</xdr:col>
                    <xdr:colOff>12700</xdr:colOff>
                    <xdr:row>8</xdr:row>
                    <xdr:rowOff>50800</xdr:rowOff>
                  </from>
                  <to>
                    <xdr:col>5</xdr:col>
                    <xdr:colOff>0</xdr:colOff>
                    <xdr:row>8</xdr:row>
                    <xdr:rowOff>1778000</xdr:rowOff>
                  </to>
                </anchor>
              </controlPr>
            </control>
          </mc:Choice>
        </mc:AlternateContent>
        <mc:AlternateContent xmlns:mc="http://schemas.openxmlformats.org/markup-compatibility/2006">
          <mc:Choice Requires="x14">
            <control shapeId="3076" r:id="rId7" name="List Box 4">
              <controlPr defaultSize="0" autoLine="0" autoPict="0">
                <anchor moveWithCells="1" sizeWithCells="1">
                  <from>
                    <xdr:col>1</xdr:col>
                    <xdr:colOff>12700</xdr:colOff>
                    <xdr:row>9</xdr:row>
                    <xdr:rowOff>25400</xdr:rowOff>
                  </from>
                  <to>
                    <xdr:col>5</xdr:col>
                    <xdr:colOff>12700</xdr:colOff>
                    <xdr:row>9</xdr:row>
                    <xdr:rowOff>2908300</xdr:rowOff>
                  </to>
                </anchor>
              </controlPr>
            </control>
          </mc:Choice>
        </mc:AlternateContent>
        <mc:AlternateContent xmlns:mc="http://schemas.openxmlformats.org/markup-compatibility/2006">
          <mc:Choice Requires="x14">
            <control shapeId="3077" r:id="rId8" name="List Box 5">
              <controlPr defaultSize="0" autoLine="0" autoPict="0">
                <anchor moveWithCells="1" sizeWithCells="1">
                  <from>
                    <xdr:col>1</xdr:col>
                    <xdr:colOff>69850</xdr:colOff>
                    <xdr:row>39</xdr:row>
                    <xdr:rowOff>260350</xdr:rowOff>
                  </from>
                  <to>
                    <xdr:col>5</xdr:col>
                    <xdr:colOff>12700</xdr:colOff>
                    <xdr:row>40</xdr:row>
                    <xdr:rowOff>304800</xdr:rowOff>
                  </to>
                </anchor>
              </controlPr>
            </control>
          </mc:Choice>
        </mc:AlternateContent>
        <mc:AlternateContent xmlns:mc="http://schemas.openxmlformats.org/markup-compatibility/2006">
          <mc:Choice Requires="x14">
            <control shapeId="3078" r:id="rId9" name="List Box 6">
              <controlPr defaultSize="0" autoLine="0" autoPict="0">
                <anchor moveWithCells="1" sizeWithCells="1">
                  <from>
                    <xdr:col>1</xdr:col>
                    <xdr:colOff>63500</xdr:colOff>
                    <xdr:row>45</xdr:row>
                    <xdr:rowOff>101600</xdr:rowOff>
                  </from>
                  <to>
                    <xdr:col>5</xdr:col>
                    <xdr:colOff>0</xdr:colOff>
                    <xdr:row>45</xdr:row>
                    <xdr:rowOff>393700</xdr:rowOff>
                  </to>
                </anchor>
              </controlPr>
            </control>
          </mc:Choice>
        </mc:AlternateContent>
        <mc:AlternateContent xmlns:mc="http://schemas.openxmlformats.org/markup-compatibility/2006">
          <mc:Choice Requires="x14">
            <control shapeId="3079" r:id="rId10" name="List Box 7">
              <controlPr defaultSize="0" autoLine="0" autoPict="0">
                <anchor moveWithCells="1" sizeWithCells="1">
                  <from>
                    <xdr:col>0</xdr:col>
                    <xdr:colOff>3708400</xdr:colOff>
                    <xdr:row>13</xdr:row>
                    <xdr:rowOff>25400</xdr:rowOff>
                  </from>
                  <to>
                    <xdr:col>3</xdr:col>
                    <xdr:colOff>558800</xdr:colOff>
                    <xdr:row>14</xdr:row>
                    <xdr:rowOff>146050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7CC6A-5185-4252-8F15-616C0221E6FB}">
  <dimension ref="A1:WWK180"/>
  <sheetViews>
    <sheetView zoomScaleNormal="100" workbookViewId="0">
      <selection activeCell="A175" sqref="A175:XFD1048576"/>
    </sheetView>
  </sheetViews>
  <sheetFormatPr defaultColWidth="0" defaultRowHeight="14.5" zeroHeight="1" x14ac:dyDescent="0.35"/>
  <cols>
    <col min="1" max="1" width="34.54296875" style="4" customWidth="1"/>
    <col min="2" max="2" width="9.81640625" style="30" customWidth="1"/>
    <col min="3" max="3" width="8.81640625" style="30" customWidth="1"/>
    <col min="4" max="4" width="3" style="4" customWidth="1"/>
    <col min="5" max="5" width="18.453125" style="4" customWidth="1"/>
    <col min="6" max="6" width="0.81640625" style="4" hidden="1" customWidth="1"/>
    <col min="7" max="7" width="3" style="4" customWidth="1"/>
    <col min="8" max="8" width="10.81640625" style="4" customWidth="1"/>
    <col min="9" max="9" width="2.81640625" style="4" customWidth="1"/>
    <col min="10" max="10" width="6.81640625" style="4" customWidth="1"/>
    <col min="11" max="11" width="3" style="4" customWidth="1"/>
    <col min="12" max="12" width="17.81640625" style="4" customWidth="1"/>
    <col min="13" max="13" width="10.54296875" style="4" customWidth="1"/>
    <col min="14" max="14" width="17.1796875" style="4" bestFit="1" customWidth="1"/>
    <col min="15" max="34" width="11.81640625" style="4" customWidth="1"/>
    <col min="35" max="36" width="8.81640625" style="4" customWidth="1"/>
    <col min="37" max="256" width="8.81640625" style="4" hidden="1"/>
    <col min="257" max="257" width="34.54296875" style="4" hidden="1"/>
    <col min="258" max="258" width="9.81640625" style="4" hidden="1"/>
    <col min="259" max="259" width="8.81640625" style="4" hidden="1"/>
    <col min="260" max="260" width="3" style="4" hidden="1"/>
    <col min="261" max="261" width="18.453125" style="4" hidden="1"/>
    <col min="262" max="262" width="0" style="4" hidden="1"/>
    <col min="263" max="263" width="3" style="4" hidden="1"/>
    <col min="264" max="264" width="10.81640625" style="4" hidden="1"/>
    <col min="265" max="265" width="2.81640625" style="4" hidden="1"/>
    <col min="266" max="266" width="6.81640625" style="4" hidden="1"/>
    <col min="267" max="267" width="3" style="4" hidden="1"/>
    <col min="268" max="268" width="17.81640625" style="4" hidden="1"/>
    <col min="269" max="269" width="10.54296875" style="4" hidden="1"/>
    <col min="270" max="270" width="17.1796875" style="4" hidden="1"/>
    <col min="271" max="285" width="11.81640625" style="4" hidden="1"/>
    <col min="286" max="512" width="8.81640625" style="4" hidden="1"/>
    <col min="513" max="513" width="34.54296875" style="4" hidden="1"/>
    <col min="514" max="514" width="9.81640625" style="4" hidden="1"/>
    <col min="515" max="515" width="8.81640625" style="4" hidden="1"/>
    <col min="516" max="516" width="3" style="4" hidden="1"/>
    <col min="517" max="517" width="18.453125" style="4" hidden="1"/>
    <col min="518" max="518" width="0" style="4" hidden="1"/>
    <col min="519" max="519" width="3" style="4" hidden="1"/>
    <col min="520" max="520" width="10.81640625" style="4" hidden="1"/>
    <col min="521" max="521" width="2.81640625" style="4" hidden="1"/>
    <col min="522" max="522" width="6.81640625" style="4" hidden="1"/>
    <col min="523" max="523" width="3" style="4" hidden="1"/>
    <col min="524" max="524" width="17.81640625" style="4" hidden="1"/>
    <col min="525" max="525" width="10.54296875" style="4" hidden="1"/>
    <col min="526" max="526" width="17.1796875" style="4" hidden="1"/>
    <col min="527" max="541" width="11.81640625" style="4" hidden="1"/>
    <col min="542" max="768" width="8.81640625" style="4" hidden="1"/>
    <col min="769" max="769" width="34.54296875" style="4" hidden="1"/>
    <col min="770" max="770" width="9.81640625" style="4" hidden="1"/>
    <col min="771" max="771" width="8.81640625" style="4" hidden="1"/>
    <col min="772" max="772" width="3" style="4" hidden="1"/>
    <col min="773" max="773" width="18.453125" style="4" hidden="1"/>
    <col min="774" max="774" width="0" style="4" hidden="1"/>
    <col min="775" max="775" width="3" style="4" hidden="1"/>
    <col min="776" max="776" width="10.81640625" style="4" hidden="1"/>
    <col min="777" max="777" width="2.81640625" style="4" hidden="1"/>
    <col min="778" max="778" width="6.81640625" style="4" hidden="1"/>
    <col min="779" max="779" width="3" style="4" hidden="1"/>
    <col min="780" max="780" width="17.81640625" style="4" hidden="1"/>
    <col min="781" max="781" width="10.54296875" style="4" hidden="1"/>
    <col min="782" max="782" width="17.1796875" style="4" hidden="1"/>
    <col min="783" max="797" width="11.81640625" style="4" hidden="1"/>
    <col min="798" max="1024" width="8.81640625" style="4" hidden="1"/>
    <col min="1025" max="1025" width="34.54296875" style="4" hidden="1"/>
    <col min="1026" max="1026" width="9.81640625" style="4" hidden="1"/>
    <col min="1027" max="1027" width="8.81640625" style="4" hidden="1"/>
    <col min="1028" max="1028" width="3" style="4" hidden="1"/>
    <col min="1029" max="1029" width="18.453125" style="4" hidden="1"/>
    <col min="1030" max="1030" width="0" style="4" hidden="1"/>
    <col min="1031" max="1031" width="3" style="4" hidden="1"/>
    <col min="1032" max="1032" width="10.81640625" style="4" hidden="1"/>
    <col min="1033" max="1033" width="2.81640625" style="4" hidden="1"/>
    <col min="1034" max="1034" width="6.81640625" style="4" hidden="1"/>
    <col min="1035" max="1035" width="3" style="4" hidden="1"/>
    <col min="1036" max="1036" width="17.81640625" style="4" hidden="1"/>
    <col min="1037" max="1037" width="10.54296875" style="4" hidden="1"/>
    <col min="1038" max="1038" width="17.1796875" style="4" hidden="1"/>
    <col min="1039" max="1053" width="11.81640625" style="4" hidden="1"/>
    <col min="1054" max="1280" width="8.81640625" style="4" hidden="1"/>
    <col min="1281" max="1281" width="34.54296875" style="4" hidden="1"/>
    <col min="1282" max="1282" width="9.81640625" style="4" hidden="1"/>
    <col min="1283" max="1283" width="8.81640625" style="4" hidden="1"/>
    <col min="1284" max="1284" width="3" style="4" hidden="1"/>
    <col min="1285" max="1285" width="18.453125" style="4" hidden="1"/>
    <col min="1286" max="1286" width="0" style="4" hidden="1"/>
    <col min="1287" max="1287" width="3" style="4" hidden="1"/>
    <col min="1288" max="1288" width="10.81640625" style="4" hidden="1"/>
    <col min="1289" max="1289" width="2.81640625" style="4" hidden="1"/>
    <col min="1290" max="1290" width="6.81640625" style="4" hidden="1"/>
    <col min="1291" max="1291" width="3" style="4" hidden="1"/>
    <col min="1292" max="1292" width="17.81640625" style="4" hidden="1"/>
    <col min="1293" max="1293" width="10.54296875" style="4" hidden="1"/>
    <col min="1294" max="1294" width="17.1796875" style="4" hidden="1"/>
    <col min="1295" max="1309" width="11.81640625" style="4" hidden="1"/>
    <col min="1310" max="1536" width="8.81640625" style="4" hidden="1"/>
    <col min="1537" max="1537" width="34.54296875" style="4" hidden="1"/>
    <col min="1538" max="1538" width="9.81640625" style="4" hidden="1"/>
    <col min="1539" max="1539" width="8.81640625" style="4" hidden="1"/>
    <col min="1540" max="1540" width="3" style="4" hidden="1"/>
    <col min="1541" max="1541" width="18.453125" style="4" hidden="1"/>
    <col min="1542" max="1542" width="0" style="4" hidden="1"/>
    <col min="1543" max="1543" width="3" style="4" hidden="1"/>
    <col min="1544" max="1544" width="10.81640625" style="4" hidden="1"/>
    <col min="1545" max="1545" width="2.81640625" style="4" hidden="1"/>
    <col min="1546" max="1546" width="6.81640625" style="4" hidden="1"/>
    <col min="1547" max="1547" width="3" style="4" hidden="1"/>
    <col min="1548" max="1548" width="17.81640625" style="4" hidden="1"/>
    <col min="1549" max="1549" width="10.54296875" style="4" hidden="1"/>
    <col min="1550" max="1550" width="17.1796875" style="4" hidden="1"/>
    <col min="1551" max="1565" width="11.81640625" style="4" hidden="1"/>
    <col min="1566" max="1792" width="8.81640625" style="4" hidden="1"/>
    <col min="1793" max="1793" width="34.54296875" style="4" hidden="1"/>
    <col min="1794" max="1794" width="9.81640625" style="4" hidden="1"/>
    <col min="1795" max="1795" width="8.81640625" style="4" hidden="1"/>
    <col min="1796" max="1796" width="3" style="4" hidden="1"/>
    <col min="1797" max="1797" width="18.453125" style="4" hidden="1"/>
    <col min="1798" max="1798" width="0" style="4" hidden="1"/>
    <col min="1799" max="1799" width="3" style="4" hidden="1"/>
    <col min="1800" max="1800" width="10.81640625" style="4" hidden="1"/>
    <col min="1801" max="1801" width="2.81640625" style="4" hidden="1"/>
    <col min="1802" max="1802" width="6.81640625" style="4" hidden="1"/>
    <col min="1803" max="1803" width="3" style="4" hidden="1"/>
    <col min="1804" max="1804" width="17.81640625" style="4" hidden="1"/>
    <col min="1805" max="1805" width="10.54296875" style="4" hidden="1"/>
    <col min="1806" max="1806" width="17.1796875" style="4" hidden="1"/>
    <col min="1807" max="1821" width="11.81640625" style="4" hidden="1"/>
    <col min="1822" max="2048" width="8.81640625" style="4" hidden="1"/>
    <col min="2049" max="2049" width="34.54296875" style="4" hidden="1"/>
    <col min="2050" max="2050" width="9.81640625" style="4" hidden="1"/>
    <col min="2051" max="2051" width="8.81640625" style="4" hidden="1"/>
    <col min="2052" max="2052" width="3" style="4" hidden="1"/>
    <col min="2053" max="2053" width="18.453125" style="4" hidden="1"/>
    <col min="2054" max="2054" width="0" style="4" hidden="1"/>
    <col min="2055" max="2055" width="3" style="4" hidden="1"/>
    <col min="2056" max="2056" width="10.81640625" style="4" hidden="1"/>
    <col min="2057" max="2057" width="2.81640625" style="4" hidden="1"/>
    <col min="2058" max="2058" width="6.81640625" style="4" hidden="1"/>
    <col min="2059" max="2059" width="3" style="4" hidden="1"/>
    <col min="2060" max="2060" width="17.81640625" style="4" hidden="1"/>
    <col min="2061" max="2061" width="10.54296875" style="4" hidden="1"/>
    <col min="2062" max="2062" width="17.1796875" style="4" hidden="1"/>
    <col min="2063" max="2077" width="11.81640625" style="4" hidden="1"/>
    <col min="2078" max="2304" width="8.81640625" style="4" hidden="1"/>
    <col min="2305" max="2305" width="34.54296875" style="4" hidden="1"/>
    <col min="2306" max="2306" width="9.81640625" style="4" hidden="1"/>
    <col min="2307" max="2307" width="8.81640625" style="4" hidden="1"/>
    <col min="2308" max="2308" width="3" style="4" hidden="1"/>
    <col min="2309" max="2309" width="18.453125" style="4" hidden="1"/>
    <col min="2310" max="2310" width="0" style="4" hidden="1"/>
    <col min="2311" max="2311" width="3" style="4" hidden="1"/>
    <col min="2312" max="2312" width="10.81640625" style="4" hidden="1"/>
    <col min="2313" max="2313" width="2.81640625" style="4" hidden="1"/>
    <col min="2314" max="2314" width="6.81640625" style="4" hidden="1"/>
    <col min="2315" max="2315" width="3" style="4" hidden="1"/>
    <col min="2316" max="2316" width="17.81640625" style="4" hidden="1"/>
    <col min="2317" max="2317" width="10.54296875" style="4" hidden="1"/>
    <col min="2318" max="2318" width="17.1796875" style="4" hidden="1"/>
    <col min="2319" max="2333" width="11.81640625" style="4" hidden="1"/>
    <col min="2334" max="2560" width="8.81640625" style="4" hidden="1"/>
    <col min="2561" max="2561" width="34.54296875" style="4" hidden="1"/>
    <col min="2562" max="2562" width="9.81640625" style="4" hidden="1"/>
    <col min="2563" max="2563" width="8.81640625" style="4" hidden="1"/>
    <col min="2564" max="2564" width="3" style="4" hidden="1"/>
    <col min="2565" max="2565" width="18.453125" style="4" hidden="1"/>
    <col min="2566" max="2566" width="0" style="4" hidden="1"/>
    <col min="2567" max="2567" width="3" style="4" hidden="1"/>
    <col min="2568" max="2568" width="10.81640625" style="4" hidden="1"/>
    <col min="2569" max="2569" width="2.81640625" style="4" hidden="1"/>
    <col min="2570" max="2570" width="6.81640625" style="4" hidden="1"/>
    <col min="2571" max="2571" width="3" style="4" hidden="1"/>
    <col min="2572" max="2572" width="17.81640625" style="4" hidden="1"/>
    <col min="2573" max="2573" width="10.54296875" style="4" hidden="1"/>
    <col min="2574" max="2574" width="17.1796875" style="4" hidden="1"/>
    <col min="2575" max="2589" width="11.81640625" style="4" hidden="1"/>
    <col min="2590" max="2816" width="8.81640625" style="4" hidden="1"/>
    <col min="2817" max="2817" width="34.54296875" style="4" hidden="1"/>
    <col min="2818" max="2818" width="9.81640625" style="4" hidden="1"/>
    <col min="2819" max="2819" width="8.81640625" style="4" hidden="1"/>
    <col min="2820" max="2820" width="3" style="4" hidden="1"/>
    <col min="2821" max="2821" width="18.453125" style="4" hidden="1"/>
    <col min="2822" max="2822" width="0" style="4" hidden="1"/>
    <col min="2823" max="2823" width="3" style="4" hidden="1"/>
    <col min="2824" max="2824" width="10.81640625" style="4" hidden="1"/>
    <col min="2825" max="2825" width="2.81640625" style="4" hidden="1"/>
    <col min="2826" max="2826" width="6.81640625" style="4" hidden="1"/>
    <col min="2827" max="2827" width="3" style="4" hidden="1"/>
    <col min="2828" max="2828" width="17.81640625" style="4" hidden="1"/>
    <col min="2829" max="2829" width="10.54296875" style="4" hidden="1"/>
    <col min="2830" max="2830" width="17.1796875" style="4" hidden="1"/>
    <col min="2831" max="2845" width="11.81640625" style="4" hidden="1"/>
    <col min="2846" max="3072" width="8.81640625" style="4" hidden="1"/>
    <col min="3073" max="3073" width="34.54296875" style="4" hidden="1"/>
    <col min="3074" max="3074" width="9.81640625" style="4" hidden="1"/>
    <col min="3075" max="3075" width="8.81640625" style="4" hidden="1"/>
    <col min="3076" max="3076" width="3" style="4" hidden="1"/>
    <col min="3077" max="3077" width="18.453125" style="4" hidden="1"/>
    <col min="3078" max="3078" width="0" style="4" hidden="1"/>
    <col min="3079" max="3079" width="3" style="4" hidden="1"/>
    <col min="3080" max="3080" width="10.81640625" style="4" hidden="1"/>
    <col min="3081" max="3081" width="2.81640625" style="4" hidden="1"/>
    <col min="3082" max="3082" width="6.81640625" style="4" hidden="1"/>
    <col min="3083" max="3083" width="3" style="4" hidden="1"/>
    <col min="3084" max="3084" width="17.81640625" style="4" hidden="1"/>
    <col min="3085" max="3085" width="10.54296875" style="4" hidden="1"/>
    <col min="3086" max="3086" width="17.1796875" style="4" hidden="1"/>
    <col min="3087" max="3101" width="11.81640625" style="4" hidden="1"/>
    <col min="3102" max="3328" width="8.81640625" style="4" hidden="1"/>
    <col min="3329" max="3329" width="34.54296875" style="4" hidden="1"/>
    <col min="3330" max="3330" width="9.81640625" style="4" hidden="1"/>
    <col min="3331" max="3331" width="8.81640625" style="4" hidden="1"/>
    <col min="3332" max="3332" width="3" style="4" hidden="1"/>
    <col min="3333" max="3333" width="18.453125" style="4" hidden="1"/>
    <col min="3334" max="3334" width="0" style="4" hidden="1"/>
    <col min="3335" max="3335" width="3" style="4" hidden="1"/>
    <col min="3336" max="3336" width="10.81640625" style="4" hidden="1"/>
    <col min="3337" max="3337" width="2.81640625" style="4" hidden="1"/>
    <col min="3338" max="3338" width="6.81640625" style="4" hidden="1"/>
    <col min="3339" max="3339" width="3" style="4" hidden="1"/>
    <col min="3340" max="3340" width="17.81640625" style="4" hidden="1"/>
    <col min="3341" max="3341" width="10.54296875" style="4" hidden="1"/>
    <col min="3342" max="3342" width="17.1796875" style="4" hidden="1"/>
    <col min="3343" max="3357" width="11.81640625" style="4" hidden="1"/>
    <col min="3358" max="3584" width="8.81640625" style="4" hidden="1"/>
    <col min="3585" max="3585" width="34.54296875" style="4" hidden="1"/>
    <col min="3586" max="3586" width="9.81640625" style="4" hidden="1"/>
    <col min="3587" max="3587" width="8.81640625" style="4" hidden="1"/>
    <col min="3588" max="3588" width="3" style="4" hidden="1"/>
    <col min="3589" max="3589" width="18.453125" style="4" hidden="1"/>
    <col min="3590" max="3590" width="0" style="4" hidden="1"/>
    <col min="3591" max="3591" width="3" style="4" hidden="1"/>
    <col min="3592" max="3592" width="10.81640625" style="4" hidden="1"/>
    <col min="3593" max="3593" width="2.81640625" style="4" hidden="1"/>
    <col min="3594" max="3594" width="6.81640625" style="4" hidden="1"/>
    <col min="3595" max="3595" width="3" style="4" hidden="1"/>
    <col min="3596" max="3596" width="17.81640625" style="4" hidden="1"/>
    <col min="3597" max="3597" width="10.54296875" style="4" hidden="1"/>
    <col min="3598" max="3598" width="17.1796875" style="4" hidden="1"/>
    <col min="3599" max="3613" width="11.81640625" style="4" hidden="1"/>
    <col min="3614" max="3840" width="8.81640625" style="4" hidden="1"/>
    <col min="3841" max="3841" width="34.54296875" style="4" hidden="1"/>
    <col min="3842" max="3842" width="9.81640625" style="4" hidden="1"/>
    <col min="3843" max="3843" width="8.81640625" style="4" hidden="1"/>
    <col min="3844" max="3844" width="3" style="4" hidden="1"/>
    <col min="3845" max="3845" width="18.453125" style="4" hidden="1"/>
    <col min="3846" max="3846" width="0" style="4" hidden="1"/>
    <col min="3847" max="3847" width="3" style="4" hidden="1"/>
    <col min="3848" max="3848" width="10.81640625" style="4" hidden="1"/>
    <col min="3849" max="3849" width="2.81640625" style="4" hidden="1"/>
    <col min="3850" max="3850" width="6.81640625" style="4" hidden="1"/>
    <col min="3851" max="3851" width="3" style="4" hidden="1"/>
    <col min="3852" max="3852" width="17.81640625" style="4" hidden="1"/>
    <col min="3853" max="3853" width="10.54296875" style="4" hidden="1"/>
    <col min="3854" max="3854" width="17.1796875" style="4" hidden="1"/>
    <col min="3855" max="3869" width="11.81640625" style="4" hidden="1"/>
    <col min="3870" max="4096" width="8.81640625" style="4" hidden="1"/>
    <col min="4097" max="4097" width="34.54296875" style="4" hidden="1"/>
    <col min="4098" max="4098" width="9.81640625" style="4" hidden="1"/>
    <col min="4099" max="4099" width="8.81640625" style="4" hidden="1"/>
    <col min="4100" max="4100" width="3" style="4" hidden="1"/>
    <col min="4101" max="4101" width="18.453125" style="4" hidden="1"/>
    <col min="4102" max="4102" width="0" style="4" hidden="1"/>
    <col min="4103" max="4103" width="3" style="4" hidden="1"/>
    <col min="4104" max="4104" width="10.81640625" style="4" hidden="1"/>
    <col min="4105" max="4105" width="2.81640625" style="4" hidden="1"/>
    <col min="4106" max="4106" width="6.81640625" style="4" hidden="1"/>
    <col min="4107" max="4107" width="3" style="4" hidden="1"/>
    <col min="4108" max="4108" width="17.81640625" style="4" hidden="1"/>
    <col min="4109" max="4109" width="10.54296875" style="4" hidden="1"/>
    <col min="4110" max="4110" width="17.1796875" style="4" hidden="1"/>
    <col min="4111" max="4125" width="11.81640625" style="4" hidden="1"/>
    <col min="4126" max="4352" width="8.81640625" style="4" hidden="1"/>
    <col min="4353" max="4353" width="34.54296875" style="4" hidden="1"/>
    <col min="4354" max="4354" width="9.81640625" style="4" hidden="1"/>
    <col min="4355" max="4355" width="8.81640625" style="4" hidden="1"/>
    <col min="4356" max="4356" width="3" style="4" hidden="1"/>
    <col min="4357" max="4357" width="18.453125" style="4" hidden="1"/>
    <col min="4358" max="4358" width="0" style="4" hidden="1"/>
    <col min="4359" max="4359" width="3" style="4" hidden="1"/>
    <col min="4360" max="4360" width="10.81640625" style="4" hidden="1"/>
    <col min="4361" max="4361" width="2.81640625" style="4" hidden="1"/>
    <col min="4362" max="4362" width="6.81640625" style="4" hidden="1"/>
    <col min="4363" max="4363" width="3" style="4" hidden="1"/>
    <col min="4364" max="4364" width="17.81640625" style="4" hidden="1"/>
    <col min="4365" max="4365" width="10.54296875" style="4" hidden="1"/>
    <col min="4366" max="4366" width="17.1796875" style="4" hidden="1"/>
    <col min="4367" max="4381" width="11.81640625" style="4" hidden="1"/>
    <col min="4382" max="4608" width="8.81640625" style="4" hidden="1"/>
    <col min="4609" max="4609" width="34.54296875" style="4" hidden="1"/>
    <col min="4610" max="4610" width="9.81640625" style="4" hidden="1"/>
    <col min="4611" max="4611" width="8.81640625" style="4" hidden="1"/>
    <col min="4612" max="4612" width="3" style="4" hidden="1"/>
    <col min="4613" max="4613" width="18.453125" style="4" hidden="1"/>
    <col min="4614" max="4614" width="0" style="4" hidden="1"/>
    <col min="4615" max="4615" width="3" style="4" hidden="1"/>
    <col min="4616" max="4616" width="10.81640625" style="4" hidden="1"/>
    <col min="4617" max="4617" width="2.81640625" style="4" hidden="1"/>
    <col min="4618" max="4618" width="6.81640625" style="4" hidden="1"/>
    <col min="4619" max="4619" width="3" style="4" hidden="1"/>
    <col min="4620" max="4620" width="17.81640625" style="4" hidden="1"/>
    <col min="4621" max="4621" width="10.54296875" style="4" hidden="1"/>
    <col min="4622" max="4622" width="17.1796875" style="4" hidden="1"/>
    <col min="4623" max="4637" width="11.81640625" style="4" hidden="1"/>
    <col min="4638" max="4864" width="8.81640625" style="4" hidden="1"/>
    <col min="4865" max="4865" width="34.54296875" style="4" hidden="1"/>
    <col min="4866" max="4866" width="9.81640625" style="4" hidden="1"/>
    <col min="4867" max="4867" width="8.81640625" style="4" hidden="1"/>
    <col min="4868" max="4868" width="3" style="4" hidden="1"/>
    <col min="4869" max="4869" width="18.453125" style="4" hidden="1"/>
    <col min="4870" max="4870" width="0" style="4" hidden="1"/>
    <col min="4871" max="4871" width="3" style="4" hidden="1"/>
    <col min="4872" max="4872" width="10.81640625" style="4" hidden="1"/>
    <col min="4873" max="4873" width="2.81640625" style="4" hidden="1"/>
    <col min="4874" max="4874" width="6.81640625" style="4" hidden="1"/>
    <col min="4875" max="4875" width="3" style="4" hidden="1"/>
    <col min="4876" max="4876" width="17.81640625" style="4" hidden="1"/>
    <col min="4877" max="4877" width="10.54296875" style="4" hidden="1"/>
    <col min="4878" max="4878" width="17.1796875" style="4" hidden="1"/>
    <col min="4879" max="4893" width="11.81640625" style="4" hidden="1"/>
    <col min="4894" max="5120" width="8.81640625" style="4" hidden="1"/>
    <col min="5121" max="5121" width="34.54296875" style="4" hidden="1"/>
    <col min="5122" max="5122" width="9.81640625" style="4" hidden="1"/>
    <col min="5123" max="5123" width="8.81640625" style="4" hidden="1"/>
    <col min="5124" max="5124" width="3" style="4" hidden="1"/>
    <col min="5125" max="5125" width="18.453125" style="4" hidden="1"/>
    <col min="5126" max="5126" width="0" style="4" hidden="1"/>
    <col min="5127" max="5127" width="3" style="4" hidden="1"/>
    <col min="5128" max="5128" width="10.81640625" style="4" hidden="1"/>
    <col min="5129" max="5129" width="2.81640625" style="4" hidden="1"/>
    <col min="5130" max="5130" width="6.81640625" style="4" hidden="1"/>
    <col min="5131" max="5131" width="3" style="4" hidden="1"/>
    <col min="5132" max="5132" width="17.81640625" style="4" hidden="1"/>
    <col min="5133" max="5133" width="10.54296875" style="4" hidden="1"/>
    <col min="5134" max="5134" width="17.1796875" style="4" hidden="1"/>
    <col min="5135" max="5149" width="11.81640625" style="4" hidden="1"/>
    <col min="5150" max="5376" width="8.81640625" style="4" hidden="1"/>
    <col min="5377" max="5377" width="34.54296875" style="4" hidden="1"/>
    <col min="5378" max="5378" width="9.81640625" style="4" hidden="1"/>
    <col min="5379" max="5379" width="8.81640625" style="4" hidden="1"/>
    <col min="5380" max="5380" width="3" style="4" hidden="1"/>
    <col min="5381" max="5381" width="18.453125" style="4" hidden="1"/>
    <col min="5382" max="5382" width="0" style="4" hidden="1"/>
    <col min="5383" max="5383" width="3" style="4" hidden="1"/>
    <col min="5384" max="5384" width="10.81640625" style="4" hidden="1"/>
    <col min="5385" max="5385" width="2.81640625" style="4" hidden="1"/>
    <col min="5386" max="5386" width="6.81640625" style="4" hidden="1"/>
    <col min="5387" max="5387" width="3" style="4" hidden="1"/>
    <col min="5388" max="5388" width="17.81640625" style="4" hidden="1"/>
    <col min="5389" max="5389" width="10.54296875" style="4" hidden="1"/>
    <col min="5390" max="5390" width="17.1796875" style="4" hidden="1"/>
    <col min="5391" max="5405" width="11.81640625" style="4" hidden="1"/>
    <col min="5406" max="5632" width="8.81640625" style="4" hidden="1"/>
    <col min="5633" max="5633" width="34.54296875" style="4" hidden="1"/>
    <col min="5634" max="5634" width="9.81640625" style="4" hidden="1"/>
    <col min="5635" max="5635" width="8.81640625" style="4" hidden="1"/>
    <col min="5636" max="5636" width="3" style="4" hidden="1"/>
    <col min="5637" max="5637" width="18.453125" style="4" hidden="1"/>
    <col min="5638" max="5638" width="0" style="4" hidden="1"/>
    <col min="5639" max="5639" width="3" style="4" hidden="1"/>
    <col min="5640" max="5640" width="10.81640625" style="4" hidden="1"/>
    <col min="5641" max="5641" width="2.81640625" style="4" hidden="1"/>
    <col min="5642" max="5642" width="6.81640625" style="4" hidden="1"/>
    <col min="5643" max="5643" width="3" style="4" hidden="1"/>
    <col min="5644" max="5644" width="17.81640625" style="4" hidden="1"/>
    <col min="5645" max="5645" width="10.54296875" style="4" hidden="1"/>
    <col min="5646" max="5646" width="17.1796875" style="4" hidden="1"/>
    <col min="5647" max="5661" width="11.81640625" style="4" hidden="1"/>
    <col min="5662" max="5888" width="8.81640625" style="4" hidden="1"/>
    <col min="5889" max="5889" width="34.54296875" style="4" hidden="1"/>
    <col min="5890" max="5890" width="9.81640625" style="4" hidden="1"/>
    <col min="5891" max="5891" width="8.81640625" style="4" hidden="1"/>
    <col min="5892" max="5892" width="3" style="4" hidden="1"/>
    <col min="5893" max="5893" width="18.453125" style="4" hidden="1"/>
    <col min="5894" max="5894" width="0" style="4" hidden="1"/>
    <col min="5895" max="5895" width="3" style="4" hidden="1"/>
    <col min="5896" max="5896" width="10.81640625" style="4" hidden="1"/>
    <col min="5897" max="5897" width="2.81640625" style="4" hidden="1"/>
    <col min="5898" max="5898" width="6.81640625" style="4" hidden="1"/>
    <col min="5899" max="5899" width="3" style="4" hidden="1"/>
    <col min="5900" max="5900" width="17.81640625" style="4" hidden="1"/>
    <col min="5901" max="5901" width="10.54296875" style="4" hidden="1"/>
    <col min="5902" max="5902" width="17.1796875" style="4" hidden="1"/>
    <col min="5903" max="5917" width="11.81640625" style="4" hidden="1"/>
    <col min="5918" max="6144" width="8.81640625" style="4" hidden="1"/>
    <col min="6145" max="6145" width="34.54296875" style="4" hidden="1"/>
    <col min="6146" max="6146" width="9.81640625" style="4" hidden="1"/>
    <col min="6147" max="6147" width="8.81640625" style="4" hidden="1"/>
    <col min="6148" max="6148" width="3" style="4" hidden="1"/>
    <col min="6149" max="6149" width="18.453125" style="4" hidden="1"/>
    <col min="6150" max="6150" width="0" style="4" hidden="1"/>
    <col min="6151" max="6151" width="3" style="4" hidden="1"/>
    <col min="6152" max="6152" width="10.81640625" style="4" hidden="1"/>
    <col min="6153" max="6153" width="2.81640625" style="4" hidden="1"/>
    <col min="6154" max="6154" width="6.81640625" style="4" hidden="1"/>
    <col min="6155" max="6155" width="3" style="4" hidden="1"/>
    <col min="6156" max="6156" width="17.81640625" style="4" hidden="1"/>
    <col min="6157" max="6157" width="10.54296875" style="4" hidden="1"/>
    <col min="6158" max="6158" width="17.1796875" style="4" hidden="1"/>
    <col min="6159" max="6173" width="11.81640625" style="4" hidden="1"/>
    <col min="6174" max="6400" width="8.81640625" style="4" hidden="1"/>
    <col min="6401" max="6401" width="34.54296875" style="4" hidden="1"/>
    <col min="6402" max="6402" width="9.81640625" style="4" hidden="1"/>
    <col min="6403" max="6403" width="8.81640625" style="4" hidden="1"/>
    <col min="6404" max="6404" width="3" style="4" hidden="1"/>
    <col min="6405" max="6405" width="18.453125" style="4" hidden="1"/>
    <col min="6406" max="6406" width="0" style="4" hidden="1"/>
    <col min="6407" max="6407" width="3" style="4" hidden="1"/>
    <col min="6408" max="6408" width="10.81640625" style="4" hidden="1"/>
    <col min="6409" max="6409" width="2.81640625" style="4" hidden="1"/>
    <col min="6410" max="6410" width="6.81640625" style="4" hidden="1"/>
    <col min="6411" max="6411" width="3" style="4" hidden="1"/>
    <col min="6412" max="6412" width="17.81640625" style="4" hidden="1"/>
    <col min="6413" max="6413" width="10.54296875" style="4" hidden="1"/>
    <col min="6414" max="6414" width="17.1796875" style="4" hidden="1"/>
    <col min="6415" max="6429" width="11.81640625" style="4" hidden="1"/>
    <col min="6430" max="6656" width="8.81640625" style="4" hidden="1"/>
    <col min="6657" max="6657" width="34.54296875" style="4" hidden="1"/>
    <col min="6658" max="6658" width="9.81640625" style="4" hidden="1"/>
    <col min="6659" max="6659" width="8.81640625" style="4" hidden="1"/>
    <col min="6660" max="6660" width="3" style="4" hidden="1"/>
    <col min="6661" max="6661" width="18.453125" style="4" hidden="1"/>
    <col min="6662" max="6662" width="0" style="4" hidden="1"/>
    <col min="6663" max="6663" width="3" style="4" hidden="1"/>
    <col min="6664" max="6664" width="10.81640625" style="4" hidden="1"/>
    <col min="6665" max="6665" width="2.81640625" style="4" hidden="1"/>
    <col min="6666" max="6666" width="6.81640625" style="4" hidden="1"/>
    <col min="6667" max="6667" width="3" style="4" hidden="1"/>
    <col min="6668" max="6668" width="17.81640625" style="4" hidden="1"/>
    <col min="6669" max="6669" width="10.54296875" style="4" hidden="1"/>
    <col min="6670" max="6670" width="17.1796875" style="4" hidden="1"/>
    <col min="6671" max="6685" width="11.81640625" style="4" hidden="1"/>
    <col min="6686" max="6912" width="8.81640625" style="4" hidden="1"/>
    <col min="6913" max="6913" width="34.54296875" style="4" hidden="1"/>
    <col min="6914" max="6914" width="9.81640625" style="4" hidden="1"/>
    <col min="6915" max="6915" width="8.81640625" style="4" hidden="1"/>
    <col min="6916" max="6916" width="3" style="4" hidden="1"/>
    <col min="6917" max="6917" width="18.453125" style="4" hidden="1"/>
    <col min="6918" max="6918" width="0" style="4" hidden="1"/>
    <col min="6919" max="6919" width="3" style="4" hidden="1"/>
    <col min="6920" max="6920" width="10.81640625" style="4" hidden="1"/>
    <col min="6921" max="6921" width="2.81640625" style="4" hidden="1"/>
    <col min="6922" max="6922" width="6.81640625" style="4" hidden="1"/>
    <col min="6923" max="6923" width="3" style="4" hidden="1"/>
    <col min="6924" max="6924" width="17.81640625" style="4" hidden="1"/>
    <col min="6925" max="6925" width="10.54296875" style="4" hidden="1"/>
    <col min="6926" max="6926" width="17.1796875" style="4" hidden="1"/>
    <col min="6927" max="6941" width="11.81640625" style="4" hidden="1"/>
    <col min="6942" max="7168" width="8.81640625" style="4" hidden="1"/>
    <col min="7169" max="7169" width="34.54296875" style="4" hidden="1"/>
    <col min="7170" max="7170" width="9.81640625" style="4" hidden="1"/>
    <col min="7171" max="7171" width="8.81640625" style="4" hidden="1"/>
    <col min="7172" max="7172" width="3" style="4" hidden="1"/>
    <col min="7173" max="7173" width="18.453125" style="4" hidden="1"/>
    <col min="7174" max="7174" width="0" style="4" hidden="1"/>
    <col min="7175" max="7175" width="3" style="4" hidden="1"/>
    <col min="7176" max="7176" width="10.81640625" style="4" hidden="1"/>
    <col min="7177" max="7177" width="2.81640625" style="4" hidden="1"/>
    <col min="7178" max="7178" width="6.81640625" style="4" hidden="1"/>
    <col min="7179" max="7179" width="3" style="4" hidden="1"/>
    <col min="7180" max="7180" width="17.81640625" style="4" hidden="1"/>
    <col min="7181" max="7181" width="10.54296875" style="4" hidden="1"/>
    <col min="7182" max="7182" width="17.1796875" style="4" hidden="1"/>
    <col min="7183" max="7197" width="11.81640625" style="4" hidden="1"/>
    <col min="7198" max="7424" width="8.81640625" style="4" hidden="1"/>
    <col min="7425" max="7425" width="34.54296875" style="4" hidden="1"/>
    <col min="7426" max="7426" width="9.81640625" style="4" hidden="1"/>
    <col min="7427" max="7427" width="8.81640625" style="4" hidden="1"/>
    <col min="7428" max="7428" width="3" style="4" hidden="1"/>
    <col min="7429" max="7429" width="18.453125" style="4" hidden="1"/>
    <col min="7430" max="7430" width="0" style="4" hidden="1"/>
    <col min="7431" max="7431" width="3" style="4" hidden="1"/>
    <col min="7432" max="7432" width="10.81640625" style="4" hidden="1"/>
    <col min="7433" max="7433" width="2.81640625" style="4" hidden="1"/>
    <col min="7434" max="7434" width="6.81640625" style="4" hidden="1"/>
    <col min="7435" max="7435" width="3" style="4" hidden="1"/>
    <col min="7436" max="7436" width="17.81640625" style="4" hidden="1"/>
    <col min="7437" max="7437" width="10.54296875" style="4" hidden="1"/>
    <col min="7438" max="7438" width="17.1796875" style="4" hidden="1"/>
    <col min="7439" max="7453" width="11.81640625" style="4" hidden="1"/>
    <col min="7454" max="7680" width="8.81640625" style="4" hidden="1"/>
    <col min="7681" max="7681" width="34.54296875" style="4" hidden="1"/>
    <col min="7682" max="7682" width="9.81640625" style="4" hidden="1"/>
    <col min="7683" max="7683" width="8.81640625" style="4" hidden="1"/>
    <col min="7684" max="7684" width="3" style="4" hidden="1"/>
    <col min="7685" max="7685" width="18.453125" style="4" hidden="1"/>
    <col min="7686" max="7686" width="0" style="4" hidden="1"/>
    <col min="7687" max="7687" width="3" style="4" hidden="1"/>
    <col min="7688" max="7688" width="10.81640625" style="4" hidden="1"/>
    <col min="7689" max="7689" width="2.81640625" style="4" hidden="1"/>
    <col min="7690" max="7690" width="6.81640625" style="4" hidden="1"/>
    <col min="7691" max="7691" width="3" style="4" hidden="1"/>
    <col min="7692" max="7692" width="17.81640625" style="4" hidden="1"/>
    <col min="7693" max="7693" width="10.54296875" style="4" hidden="1"/>
    <col min="7694" max="7694" width="17.1796875" style="4" hidden="1"/>
    <col min="7695" max="7709" width="11.81640625" style="4" hidden="1"/>
    <col min="7710" max="7936" width="8.81640625" style="4" hidden="1"/>
    <col min="7937" max="7937" width="34.54296875" style="4" hidden="1"/>
    <col min="7938" max="7938" width="9.81640625" style="4" hidden="1"/>
    <col min="7939" max="7939" width="8.81640625" style="4" hidden="1"/>
    <col min="7940" max="7940" width="3" style="4" hidden="1"/>
    <col min="7941" max="7941" width="18.453125" style="4" hidden="1"/>
    <col min="7942" max="7942" width="0" style="4" hidden="1"/>
    <col min="7943" max="7943" width="3" style="4" hidden="1"/>
    <col min="7944" max="7944" width="10.81640625" style="4" hidden="1"/>
    <col min="7945" max="7945" width="2.81640625" style="4" hidden="1"/>
    <col min="7946" max="7946" width="6.81640625" style="4" hidden="1"/>
    <col min="7947" max="7947" width="3" style="4" hidden="1"/>
    <col min="7948" max="7948" width="17.81640625" style="4" hidden="1"/>
    <col min="7949" max="7949" width="10.54296875" style="4" hidden="1"/>
    <col min="7950" max="7950" width="17.1796875" style="4" hidden="1"/>
    <col min="7951" max="7965" width="11.81640625" style="4" hidden="1"/>
    <col min="7966" max="8192" width="8.81640625" style="4" hidden="1"/>
    <col min="8193" max="8193" width="34.54296875" style="4" hidden="1"/>
    <col min="8194" max="8194" width="9.81640625" style="4" hidden="1"/>
    <col min="8195" max="8195" width="8.81640625" style="4" hidden="1"/>
    <col min="8196" max="8196" width="3" style="4" hidden="1"/>
    <col min="8197" max="8197" width="18.453125" style="4" hidden="1"/>
    <col min="8198" max="8198" width="0" style="4" hidden="1"/>
    <col min="8199" max="8199" width="3" style="4" hidden="1"/>
    <col min="8200" max="8200" width="10.81640625" style="4" hidden="1"/>
    <col min="8201" max="8201" width="2.81640625" style="4" hidden="1"/>
    <col min="8202" max="8202" width="6.81640625" style="4" hidden="1"/>
    <col min="8203" max="8203" width="3" style="4" hidden="1"/>
    <col min="8204" max="8204" width="17.81640625" style="4" hidden="1"/>
    <col min="8205" max="8205" width="10.54296875" style="4" hidden="1"/>
    <col min="8206" max="8206" width="17.1796875" style="4" hidden="1"/>
    <col min="8207" max="8221" width="11.81640625" style="4" hidden="1"/>
    <col min="8222" max="8448" width="8.81640625" style="4" hidden="1"/>
    <col min="8449" max="8449" width="34.54296875" style="4" hidden="1"/>
    <col min="8450" max="8450" width="9.81640625" style="4" hidden="1"/>
    <col min="8451" max="8451" width="8.81640625" style="4" hidden="1"/>
    <col min="8452" max="8452" width="3" style="4" hidden="1"/>
    <col min="8453" max="8453" width="18.453125" style="4" hidden="1"/>
    <col min="8454" max="8454" width="0" style="4" hidden="1"/>
    <col min="8455" max="8455" width="3" style="4" hidden="1"/>
    <col min="8456" max="8456" width="10.81640625" style="4" hidden="1"/>
    <col min="8457" max="8457" width="2.81640625" style="4" hidden="1"/>
    <col min="8458" max="8458" width="6.81640625" style="4" hidden="1"/>
    <col min="8459" max="8459" width="3" style="4" hidden="1"/>
    <col min="8460" max="8460" width="17.81640625" style="4" hidden="1"/>
    <col min="8461" max="8461" width="10.54296875" style="4" hidden="1"/>
    <col min="8462" max="8462" width="17.1796875" style="4" hidden="1"/>
    <col min="8463" max="8477" width="11.81640625" style="4" hidden="1"/>
    <col min="8478" max="8704" width="8.81640625" style="4" hidden="1"/>
    <col min="8705" max="8705" width="34.54296875" style="4" hidden="1"/>
    <col min="8706" max="8706" width="9.81640625" style="4" hidden="1"/>
    <col min="8707" max="8707" width="8.81640625" style="4" hidden="1"/>
    <col min="8708" max="8708" width="3" style="4" hidden="1"/>
    <col min="8709" max="8709" width="18.453125" style="4" hidden="1"/>
    <col min="8710" max="8710" width="0" style="4" hidden="1"/>
    <col min="8711" max="8711" width="3" style="4" hidden="1"/>
    <col min="8712" max="8712" width="10.81640625" style="4" hidden="1"/>
    <col min="8713" max="8713" width="2.81640625" style="4" hidden="1"/>
    <col min="8714" max="8714" width="6.81640625" style="4" hidden="1"/>
    <col min="8715" max="8715" width="3" style="4" hidden="1"/>
    <col min="8716" max="8716" width="17.81640625" style="4" hidden="1"/>
    <col min="8717" max="8717" width="10.54296875" style="4" hidden="1"/>
    <col min="8718" max="8718" width="17.1796875" style="4" hidden="1"/>
    <col min="8719" max="8733" width="11.81640625" style="4" hidden="1"/>
    <col min="8734" max="8960" width="8.81640625" style="4" hidden="1"/>
    <col min="8961" max="8961" width="34.54296875" style="4" hidden="1"/>
    <col min="8962" max="8962" width="9.81640625" style="4" hidden="1"/>
    <col min="8963" max="8963" width="8.81640625" style="4" hidden="1"/>
    <col min="8964" max="8964" width="3" style="4" hidden="1"/>
    <col min="8965" max="8965" width="18.453125" style="4" hidden="1"/>
    <col min="8966" max="8966" width="0" style="4" hidden="1"/>
    <col min="8967" max="8967" width="3" style="4" hidden="1"/>
    <col min="8968" max="8968" width="10.81640625" style="4" hidden="1"/>
    <col min="8969" max="8969" width="2.81640625" style="4" hidden="1"/>
    <col min="8970" max="8970" width="6.81640625" style="4" hidden="1"/>
    <col min="8971" max="8971" width="3" style="4" hidden="1"/>
    <col min="8972" max="8972" width="17.81640625" style="4" hidden="1"/>
    <col min="8973" max="8973" width="10.54296875" style="4" hidden="1"/>
    <col min="8974" max="8974" width="17.1796875" style="4" hidden="1"/>
    <col min="8975" max="8989" width="11.81640625" style="4" hidden="1"/>
    <col min="8990" max="9216" width="8.81640625" style="4" hidden="1"/>
    <col min="9217" max="9217" width="34.54296875" style="4" hidden="1"/>
    <col min="9218" max="9218" width="9.81640625" style="4" hidden="1"/>
    <col min="9219" max="9219" width="8.81640625" style="4" hidden="1"/>
    <col min="9220" max="9220" width="3" style="4" hidden="1"/>
    <col min="9221" max="9221" width="18.453125" style="4" hidden="1"/>
    <col min="9222" max="9222" width="0" style="4" hidden="1"/>
    <col min="9223" max="9223" width="3" style="4" hidden="1"/>
    <col min="9224" max="9224" width="10.81640625" style="4" hidden="1"/>
    <col min="9225" max="9225" width="2.81640625" style="4" hidden="1"/>
    <col min="9226" max="9226" width="6.81640625" style="4" hidden="1"/>
    <col min="9227" max="9227" width="3" style="4" hidden="1"/>
    <col min="9228" max="9228" width="17.81640625" style="4" hidden="1"/>
    <col min="9229" max="9229" width="10.54296875" style="4" hidden="1"/>
    <col min="9230" max="9230" width="17.1796875" style="4" hidden="1"/>
    <col min="9231" max="9245" width="11.81640625" style="4" hidden="1"/>
    <col min="9246" max="9472" width="8.81640625" style="4" hidden="1"/>
    <col min="9473" max="9473" width="34.54296875" style="4" hidden="1"/>
    <col min="9474" max="9474" width="9.81640625" style="4" hidden="1"/>
    <col min="9475" max="9475" width="8.81640625" style="4" hidden="1"/>
    <col min="9476" max="9476" width="3" style="4" hidden="1"/>
    <col min="9477" max="9477" width="18.453125" style="4" hidden="1"/>
    <col min="9478" max="9478" width="0" style="4" hidden="1"/>
    <col min="9479" max="9479" width="3" style="4" hidden="1"/>
    <col min="9480" max="9480" width="10.81640625" style="4" hidden="1"/>
    <col min="9481" max="9481" width="2.81640625" style="4" hidden="1"/>
    <col min="9482" max="9482" width="6.81640625" style="4" hidden="1"/>
    <col min="9483" max="9483" width="3" style="4" hidden="1"/>
    <col min="9484" max="9484" width="17.81640625" style="4" hidden="1"/>
    <col min="9485" max="9485" width="10.54296875" style="4" hidden="1"/>
    <col min="9486" max="9486" width="17.1796875" style="4" hidden="1"/>
    <col min="9487" max="9501" width="11.81640625" style="4" hidden="1"/>
    <col min="9502" max="9728" width="8.81640625" style="4" hidden="1"/>
    <col min="9729" max="9729" width="34.54296875" style="4" hidden="1"/>
    <col min="9730" max="9730" width="9.81640625" style="4" hidden="1"/>
    <col min="9731" max="9731" width="8.81640625" style="4" hidden="1"/>
    <col min="9732" max="9732" width="3" style="4" hidden="1"/>
    <col min="9733" max="9733" width="18.453125" style="4" hidden="1"/>
    <col min="9734" max="9734" width="0" style="4" hidden="1"/>
    <col min="9735" max="9735" width="3" style="4" hidden="1"/>
    <col min="9736" max="9736" width="10.81640625" style="4" hidden="1"/>
    <col min="9737" max="9737" width="2.81640625" style="4" hidden="1"/>
    <col min="9738" max="9738" width="6.81640625" style="4" hidden="1"/>
    <col min="9739" max="9739" width="3" style="4" hidden="1"/>
    <col min="9740" max="9740" width="17.81640625" style="4" hidden="1"/>
    <col min="9741" max="9741" width="10.54296875" style="4" hidden="1"/>
    <col min="9742" max="9742" width="17.1796875" style="4" hidden="1"/>
    <col min="9743" max="9757" width="11.81640625" style="4" hidden="1"/>
    <col min="9758" max="9984" width="8.81640625" style="4" hidden="1"/>
    <col min="9985" max="9985" width="34.54296875" style="4" hidden="1"/>
    <col min="9986" max="9986" width="9.81640625" style="4" hidden="1"/>
    <col min="9987" max="9987" width="8.81640625" style="4" hidden="1"/>
    <col min="9988" max="9988" width="3" style="4" hidden="1"/>
    <col min="9989" max="9989" width="18.453125" style="4" hidden="1"/>
    <col min="9990" max="9990" width="0" style="4" hidden="1"/>
    <col min="9991" max="9991" width="3" style="4" hidden="1"/>
    <col min="9992" max="9992" width="10.81640625" style="4" hidden="1"/>
    <col min="9993" max="9993" width="2.81640625" style="4" hidden="1"/>
    <col min="9994" max="9994" width="6.81640625" style="4" hidden="1"/>
    <col min="9995" max="9995" width="3" style="4" hidden="1"/>
    <col min="9996" max="9996" width="17.81640625" style="4" hidden="1"/>
    <col min="9997" max="9997" width="10.54296875" style="4" hidden="1"/>
    <col min="9998" max="9998" width="17.1796875" style="4" hidden="1"/>
    <col min="9999" max="10013" width="11.81640625" style="4" hidden="1"/>
    <col min="10014" max="10240" width="8.81640625" style="4" hidden="1"/>
    <col min="10241" max="10241" width="34.54296875" style="4" hidden="1"/>
    <col min="10242" max="10242" width="9.81640625" style="4" hidden="1"/>
    <col min="10243" max="10243" width="8.81640625" style="4" hidden="1"/>
    <col min="10244" max="10244" width="3" style="4" hidden="1"/>
    <col min="10245" max="10245" width="18.453125" style="4" hidden="1"/>
    <col min="10246" max="10246" width="0" style="4" hidden="1"/>
    <col min="10247" max="10247" width="3" style="4" hidden="1"/>
    <col min="10248" max="10248" width="10.81640625" style="4" hidden="1"/>
    <col min="10249" max="10249" width="2.81640625" style="4" hidden="1"/>
    <col min="10250" max="10250" width="6.81640625" style="4" hidden="1"/>
    <col min="10251" max="10251" width="3" style="4" hidden="1"/>
    <col min="10252" max="10252" width="17.81640625" style="4" hidden="1"/>
    <col min="10253" max="10253" width="10.54296875" style="4" hidden="1"/>
    <col min="10254" max="10254" width="17.1796875" style="4" hidden="1"/>
    <col min="10255" max="10269" width="11.81640625" style="4" hidden="1"/>
    <col min="10270" max="10496" width="8.81640625" style="4" hidden="1"/>
    <col min="10497" max="10497" width="34.54296875" style="4" hidden="1"/>
    <col min="10498" max="10498" width="9.81640625" style="4" hidden="1"/>
    <col min="10499" max="10499" width="8.81640625" style="4" hidden="1"/>
    <col min="10500" max="10500" width="3" style="4" hidden="1"/>
    <col min="10501" max="10501" width="18.453125" style="4" hidden="1"/>
    <col min="10502" max="10502" width="0" style="4" hidden="1"/>
    <col min="10503" max="10503" width="3" style="4" hidden="1"/>
    <col min="10504" max="10504" width="10.81640625" style="4" hidden="1"/>
    <col min="10505" max="10505" width="2.81640625" style="4" hidden="1"/>
    <col min="10506" max="10506" width="6.81640625" style="4" hidden="1"/>
    <col min="10507" max="10507" width="3" style="4" hidden="1"/>
    <col min="10508" max="10508" width="17.81640625" style="4" hidden="1"/>
    <col min="10509" max="10509" width="10.54296875" style="4" hidden="1"/>
    <col min="10510" max="10510" width="17.1796875" style="4" hidden="1"/>
    <col min="10511" max="10525" width="11.81640625" style="4" hidden="1"/>
    <col min="10526" max="10752" width="8.81640625" style="4" hidden="1"/>
    <col min="10753" max="10753" width="34.54296875" style="4" hidden="1"/>
    <col min="10754" max="10754" width="9.81640625" style="4" hidden="1"/>
    <col min="10755" max="10755" width="8.81640625" style="4" hidden="1"/>
    <col min="10756" max="10756" width="3" style="4" hidden="1"/>
    <col min="10757" max="10757" width="18.453125" style="4" hidden="1"/>
    <col min="10758" max="10758" width="0" style="4" hidden="1"/>
    <col min="10759" max="10759" width="3" style="4" hidden="1"/>
    <col min="10760" max="10760" width="10.81640625" style="4" hidden="1"/>
    <col min="10761" max="10761" width="2.81640625" style="4" hidden="1"/>
    <col min="10762" max="10762" width="6.81640625" style="4" hidden="1"/>
    <col min="10763" max="10763" width="3" style="4" hidden="1"/>
    <col min="10764" max="10764" width="17.81640625" style="4" hidden="1"/>
    <col min="10765" max="10765" width="10.54296875" style="4" hidden="1"/>
    <col min="10766" max="10766" width="17.1796875" style="4" hidden="1"/>
    <col min="10767" max="10781" width="11.81640625" style="4" hidden="1"/>
    <col min="10782" max="11008" width="8.81640625" style="4" hidden="1"/>
    <col min="11009" max="11009" width="34.54296875" style="4" hidden="1"/>
    <col min="11010" max="11010" width="9.81640625" style="4" hidden="1"/>
    <col min="11011" max="11011" width="8.81640625" style="4" hidden="1"/>
    <col min="11012" max="11012" width="3" style="4" hidden="1"/>
    <col min="11013" max="11013" width="18.453125" style="4" hidden="1"/>
    <col min="11014" max="11014" width="0" style="4" hidden="1"/>
    <col min="11015" max="11015" width="3" style="4" hidden="1"/>
    <col min="11016" max="11016" width="10.81640625" style="4" hidden="1"/>
    <col min="11017" max="11017" width="2.81640625" style="4" hidden="1"/>
    <col min="11018" max="11018" width="6.81640625" style="4" hidden="1"/>
    <col min="11019" max="11019" width="3" style="4" hidden="1"/>
    <col min="11020" max="11020" width="17.81640625" style="4" hidden="1"/>
    <col min="11021" max="11021" width="10.54296875" style="4" hidden="1"/>
    <col min="11022" max="11022" width="17.1796875" style="4" hidden="1"/>
    <col min="11023" max="11037" width="11.81640625" style="4" hidden="1"/>
    <col min="11038" max="11264" width="8.81640625" style="4" hidden="1"/>
    <col min="11265" max="11265" width="34.54296875" style="4" hidden="1"/>
    <col min="11266" max="11266" width="9.81640625" style="4" hidden="1"/>
    <col min="11267" max="11267" width="8.81640625" style="4" hidden="1"/>
    <col min="11268" max="11268" width="3" style="4" hidden="1"/>
    <col min="11269" max="11269" width="18.453125" style="4" hidden="1"/>
    <col min="11270" max="11270" width="0" style="4" hidden="1"/>
    <col min="11271" max="11271" width="3" style="4" hidden="1"/>
    <col min="11272" max="11272" width="10.81640625" style="4" hidden="1"/>
    <col min="11273" max="11273" width="2.81640625" style="4" hidden="1"/>
    <col min="11274" max="11274" width="6.81640625" style="4" hidden="1"/>
    <col min="11275" max="11275" width="3" style="4" hidden="1"/>
    <col min="11276" max="11276" width="17.81640625" style="4" hidden="1"/>
    <col min="11277" max="11277" width="10.54296875" style="4" hidden="1"/>
    <col min="11278" max="11278" width="17.1796875" style="4" hidden="1"/>
    <col min="11279" max="11293" width="11.81640625" style="4" hidden="1"/>
    <col min="11294" max="11520" width="8.81640625" style="4" hidden="1"/>
    <col min="11521" max="11521" width="34.54296875" style="4" hidden="1"/>
    <col min="11522" max="11522" width="9.81640625" style="4" hidden="1"/>
    <col min="11523" max="11523" width="8.81640625" style="4" hidden="1"/>
    <col min="11524" max="11524" width="3" style="4" hidden="1"/>
    <col min="11525" max="11525" width="18.453125" style="4" hidden="1"/>
    <col min="11526" max="11526" width="0" style="4" hidden="1"/>
    <col min="11527" max="11527" width="3" style="4" hidden="1"/>
    <col min="11528" max="11528" width="10.81640625" style="4" hidden="1"/>
    <col min="11529" max="11529" width="2.81640625" style="4" hidden="1"/>
    <col min="11530" max="11530" width="6.81640625" style="4" hidden="1"/>
    <col min="11531" max="11531" width="3" style="4" hidden="1"/>
    <col min="11532" max="11532" width="17.81640625" style="4" hidden="1"/>
    <col min="11533" max="11533" width="10.54296875" style="4" hidden="1"/>
    <col min="11534" max="11534" width="17.1796875" style="4" hidden="1"/>
    <col min="11535" max="11549" width="11.81640625" style="4" hidden="1"/>
    <col min="11550" max="11776" width="8.81640625" style="4" hidden="1"/>
    <col min="11777" max="11777" width="34.54296875" style="4" hidden="1"/>
    <col min="11778" max="11778" width="9.81640625" style="4" hidden="1"/>
    <col min="11779" max="11779" width="8.81640625" style="4" hidden="1"/>
    <col min="11780" max="11780" width="3" style="4" hidden="1"/>
    <col min="11781" max="11781" width="18.453125" style="4" hidden="1"/>
    <col min="11782" max="11782" width="0" style="4" hidden="1"/>
    <col min="11783" max="11783" width="3" style="4" hidden="1"/>
    <col min="11784" max="11784" width="10.81640625" style="4" hidden="1"/>
    <col min="11785" max="11785" width="2.81640625" style="4" hidden="1"/>
    <col min="11786" max="11786" width="6.81640625" style="4" hidden="1"/>
    <col min="11787" max="11787" width="3" style="4" hidden="1"/>
    <col min="11788" max="11788" width="17.81640625" style="4" hidden="1"/>
    <col min="11789" max="11789" width="10.54296875" style="4" hidden="1"/>
    <col min="11790" max="11790" width="17.1796875" style="4" hidden="1"/>
    <col min="11791" max="11805" width="11.81640625" style="4" hidden="1"/>
    <col min="11806" max="12032" width="8.81640625" style="4" hidden="1"/>
    <col min="12033" max="12033" width="34.54296875" style="4" hidden="1"/>
    <col min="12034" max="12034" width="9.81640625" style="4" hidden="1"/>
    <col min="12035" max="12035" width="8.81640625" style="4" hidden="1"/>
    <col min="12036" max="12036" width="3" style="4" hidden="1"/>
    <col min="12037" max="12037" width="18.453125" style="4" hidden="1"/>
    <col min="12038" max="12038" width="0" style="4" hidden="1"/>
    <col min="12039" max="12039" width="3" style="4" hidden="1"/>
    <col min="12040" max="12040" width="10.81640625" style="4" hidden="1"/>
    <col min="12041" max="12041" width="2.81640625" style="4" hidden="1"/>
    <col min="12042" max="12042" width="6.81640625" style="4" hidden="1"/>
    <col min="12043" max="12043" width="3" style="4" hidden="1"/>
    <col min="12044" max="12044" width="17.81640625" style="4" hidden="1"/>
    <col min="12045" max="12045" width="10.54296875" style="4" hidden="1"/>
    <col min="12046" max="12046" width="17.1796875" style="4" hidden="1"/>
    <col min="12047" max="12061" width="11.81640625" style="4" hidden="1"/>
    <col min="12062" max="12288" width="8.81640625" style="4" hidden="1"/>
    <col min="12289" max="12289" width="34.54296875" style="4" hidden="1"/>
    <col min="12290" max="12290" width="9.81640625" style="4" hidden="1"/>
    <col min="12291" max="12291" width="8.81640625" style="4" hidden="1"/>
    <col min="12292" max="12292" width="3" style="4" hidden="1"/>
    <col min="12293" max="12293" width="18.453125" style="4" hidden="1"/>
    <col min="12294" max="12294" width="0" style="4" hidden="1"/>
    <col min="12295" max="12295" width="3" style="4" hidden="1"/>
    <col min="12296" max="12296" width="10.81640625" style="4" hidden="1"/>
    <col min="12297" max="12297" width="2.81640625" style="4" hidden="1"/>
    <col min="12298" max="12298" width="6.81640625" style="4" hidden="1"/>
    <col min="12299" max="12299" width="3" style="4" hidden="1"/>
    <col min="12300" max="12300" width="17.81640625" style="4" hidden="1"/>
    <col min="12301" max="12301" width="10.54296875" style="4" hidden="1"/>
    <col min="12302" max="12302" width="17.1796875" style="4" hidden="1"/>
    <col min="12303" max="12317" width="11.81640625" style="4" hidden="1"/>
    <col min="12318" max="12544" width="8.81640625" style="4" hidden="1"/>
    <col min="12545" max="12545" width="34.54296875" style="4" hidden="1"/>
    <col min="12546" max="12546" width="9.81640625" style="4" hidden="1"/>
    <col min="12547" max="12547" width="8.81640625" style="4" hidden="1"/>
    <col min="12548" max="12548" width="3" style="4" hidden="1"/>
    <col min="12549" max="12549" width="18.453125" style="4" hidden="1"/>
    <col min="12550" max="12550" width="0" style="4" hidden="1"/>
    <col min="12551" max="12551" width="3" style="4" hidden="1"/>
    <col min="12552" max="12552" width="10.81640625" style="4" hidden="1"/>
    <col min="12553" max="12553" width="2.81640625" style="4" hidden="1"/>
    <col min="12554" max="12554" width="6.81640625" style="4" hidden="1"/>
    <col min="12555" max="12555" width="3" style="4" hidden="1"/>
    <col min="12556" max="12556" width="17.81640625" style="4" hidden="1"/>
    <col min="12557" max="12557" width="10.54296875" style="4" hidden="1"/>
    <col min="12558" max="12558" width="17.1796875" style="4" hidden="1"/>
    <col min="12559" max="12573" width="11.81640625" style="4" hidden="1"/>
    <col min="12574" max="12800" width="8.81640625" style="4" hidden="1"/>
    <col min="12801" max="12801" width="34.54296875" style="4" hidden="1"/>
    <col min="12802" max="12802" width="9.81640625" style="4" hidden="1"/>
    <col min="12803" max="12803" width="8.81640625" style="4" hidden="1"/>
    <col min="12804" max="12804" width="3" style="4" hidden="1"/>
    <col min="12805" max="12805" width="18.453125" style="4" hidden="1"/>
    <col min="12806" max="12806" width="0" style="4" hidden="1"/>
    <col min="12807" max="12807" width="3" style="4" hidden="1"/>
    <col min="12808" max="12808" width="10.81640625" style="4" hidden="1"/>
    <col min="12809" max="12809" width="2.81640625" style="4" hidden="1"/>
    <col min="12810" max="12810" width="6.81640625" style="4" hidden="1"/>
    <col min="12811" max="12811" width="3" style="4" hidden="1"/>
    <col min="12812" max="12812" width="17.81640625" style="4" hidden="1"/>
    <col min="12813" max="12813" width="10.54296875" style="4" hidden="1"/>
    <col min="12814" max="12814" width="17.1796875" style="4" hidden="1"/>
    <col min="12815" max="12829" width="11.81640625" style="4" hidden="1"/>
    <col min="12830" max="13056" width="8.81640625" style="4" hidden="1"/>
    <col min="13057" max="13057" width="34.54296875" style="4" hidden="1"/>
    <col min="13058" max="13058" width="9.81640625" style="4" hidden="1"/>
    <col min="13059" max="13059" width="8.81640625" style="4" hidden="1"/>
    <col min="13060" max="13060" width="3" style="4" hidden="1"/>
    <col min="13061" max="13061" width="18.453125" style="4" hidden="1"/>
    <col min="13062" max="13062" width="0" style="4" hidden="1"/>
    <col min="13063" max="13063" width="3" style="4" hidden="1"/>
    <col min="13064" max="13064" width="10.81640625" style="4" hidden="1"/>
    <col min="13065" max="13065" width="2.81640625" style="4" hidden="1"/>
    <col min="13066" max="13066" width="6.81640625" style="4" hidden="1"/>
    <col min="13067" max="13067" width="3" style="4" hidden="1"/>
    <col min="13068" max="13068" width="17.81640625" style="4" hidden="1"/>
    <col min="13069" max="13069" width="10.54296875" style="4" hidden="1"/>
    <col min="13070" max="13070" width="17.1796875" style="4" hidden="1"/>
    <col min="13071" max="13085" width="11.81640625" style="4" hidden="1"/>
    <col min="13086" max="13312" width="8.81640625" style="4" hidden="1"/>
    <col min="13313" max="13313" width="34.54296875" style="4" hidden="1"/>
    <col min="13314" max="13314" width="9.81640625" style="4" hidden="1"/>
    <col min="13315" max="13315" width="8.81640625" style="4" hidden="1"/>
    <col min="13316" max="13316" width="3" style="4" hidden="1"/>
    <col min="13317" max="13317" width="18.453125" style="4" hidden="1"/>
    <col min="13318" max="13318" width="0" style="4" hidden="1"/>
    <col min="13319" max="13319" width="3" style="4" hidden="1"/>
    <col min="13320" max="13320" width="10.81640625" style="4" hidden="1"/>
    <col min="13321" max="13321" width="2.81640625" style="4" hidden="1"/>
    <col min="13322" max="13322" width="6.81640625" style="4" hidden="1"/>
    <col min="13323" max="13323" width="3" style="4" hidden="1"/>
    <col min="13324" max="13324" width="17.81640625" style="4" hidden="1"/>
    <col min="13325" max="13325" width="10.54296875" style="4" hidden="1"/>
    <col min="13326" max="13326" width="17.1796875" style="4" hidden="1"/>
    <col min="13327" max="13341" width="11.81640625" style="4" hidden="1"/>
    <col min="13342" max="13568" width="8.81640625" style="4" hidden="1"/>
    <col min="13569" max="13569" width="34.54296875" style="4" hidden="1"/>
    <col min="13570" max="13570" width="9.81640625" style="4" hidden="1"/>
    <col min="13571" max="13571" width="8.81640625" style="4" hidden="1"/>
    <col min="13572" max="13572" width="3" style="4" hidden="1"/>
    <col min="13573" max="13573" width="18.453125" style="4" hidden="1"/>
    <col min="13574" max="13574" width="0" style="4" hidden="1"/>
    <col min="13575" max="13575" width="3" style="4" hidden="1"/>
    <col min="13576" max="13576" width="10.81640625" style="4" hidden="1"/>
    <col min="13577" max="13577" width="2.81640625" style="4" hidden="1"/>
    <col min="13578" max="13578" width="6.81640625" style="4" hidden="1"/>
    <col min="13579" max="13579" width="3" style="4" hidden="1"/>
    <col min="13580" max="13580" width="17.81640625" style="4" hidden="1"/>
    <col min="13581" max="13581" width="10.54296875" style="4" hidden="1"/>
    <col min="13582" max="13582" width="17.1796875" style="4" hidden="1"/>
    <col min="13583" max="13597" width="11.81640625" style="4" hidden="1"/>
    <col min="13598" max="13824" width="8.81640625" style="4" hidden="1"/>
    <col min="13825" max="13825" width="34.54296875" style="4" hidden="1"/>
    <col min="13826" max="13826" width="9.81640625" style="4" hidden="1"/>
    <col min="13827" max="13827" width="8.81640625" style="4" hidden="1"/>
    <col min="13828" max="13828" width="3" style="4" hidden="1"/>
    <col min="13829" max="13829" width="18.453125" style="4" hidden="1"/>
    <col min="13830" max="13830" width="0" style="4" hidden="1"/>
    <col min="13831" max="13831" width="3" style="4" hidden="1"/>
    <col min="13832" max="13832" width="10.81640625" style="4" hidden="1"/>
    <col min="13833" max="13833" width="2.81640625" style="4" hidden="1"/>
    <col min="13834" max="13834" width="6.81640625" style="4" hidden="1"/>
    <col min="13835" max="13835" width="3" style="4" hidden="1"/>
    <col min="13836" max="13836" width="17.81640625" style="4" hidden="1"/>
    <col min="13837" max="13837" width="10.54296875" style="4" hidden="1"/>
    <col min="13838" max="13838" width="17.1796875" style="4" hidden="1"/>
    <col min="13839" max="13853" width="11.81640625" style="4" hidden="1"/>
    <col min="13854" max="14080" width="8.81640625" style="4" hidden="1"/>
    <col min="14081" max="14081" width="34.54296875" style="4" hidden="1"/>
    <col min="14082" max="14082" width="9.81640625" style="4" hidden="1"/>
    <col min="14083" max="14083" width="8.81640625" style="4" hidden="1"/>
    <col min="14084" max="14084" width="3" style="4" hidden="1"/>
    <col min="14085" max="14085" width="18.453125" style="4" hidden="1"/>
    <col min="14086" max="14086" width="0" style="4" hidden="1"/>
    <col min="14087" max="14087" width="3" style="4" hidden="1"/>
    <col min="14088" max="14088" width="10.81640625" style="4" hidden="1"/>
    <col min="14089" max="14089" width="2.81640625" style="4" hidden="1"/>
    <col min="14090" max="14090" width="6.81640625" style="4" hidden="1"/>
    <col min="14091" max="14091" width="3" style="4" hidden="1"/>
    <col min="14092" max="14092" width="17.81640625" style="4" hidden="1"/>
    <col min="14093" max="14093" width="10.54296875" style="4" hidden="1"/>
    <col min="14094" max="14094" width="17.1796875" style="4" hidden="1"/>
    <col min="14095" max="14109" width="11.81640625" style="4" hidden="1"/>
    <col min="14110" max="14336" width="8.81640625" style="4" hidden="1"/>
    <col min="14337" max="14337" width="34.54296875" style="4" hidden="1"/>
    <col min="14338" max="14338" width="9.81640625" style="4" hidden="1"/>
    <col min="14339" max="14339" width="8.81640625" style="4" hidden="1"/>
    <col min="14340" max="14340" width="3" style="4" hidden="1"/>
    <col min="14341" max="14341" width="18.453125" style="4" hidden="1"/>
    <col min="14342" max="14342" width="0" style="4" hidden="1"/>
    <col min="14343" max="14343" width="3" style="4" hidden="1"/>
    <col min="14344" max="14344" width="10.81640625" style="4" hidden="1"/>
    <col min="14345" max="14345" width="2.81640625" style="4" hidden="1"/>
    <col min="14346" max="14346" width="6.81640625" style="4" hidden="1"/>
    <col min="14347" max="14347" width="3" style="4" hidden="1"/>
    <col min="14348" max="14348" width="17.81640625" style="4" hidden="1"/>
    <col min="14349" max="14349" width="10.54296875" style="4" hidden="1"/>
    <col min="14350" max="14350" width="17.1796875" style="4" hidden="1"/>
    <col min="14351" max="14365" width="11.81640625" style="4" hidden="1"/>
    <col min="14366" max="14592" width="8.81640625" style="4" hidden="1"/>
    <col min="14593" max="14593" width="34.54296875" style="4" hidden="1"/>
    <col min="14594" max="14594" width="9.81640625" style="4" hidden="1"/>
    <col min="14595" max="14595" width="8.81640625" style="4" hidden="1"/>
    <col min="14596" max="14596" width="3" style="4" hidden="1"/>
    <col min="14597" max="14597" width="18.453125" style="4" hidden="1"/>
    <col min="14598" max="14598" width="0" style="4" hidden="1"/>
    <col min="14599" max="14599" width="3" style="4" hidden="1"/>
    <col min="14600" max="14600" width="10.81640625" style="4" hidden="1"/>
    <col min="14601" max="14601" width="2.81640625" style="4" hidden="1"/>
    <col min="14602" max="14602" width="6.81640625" style="4" hidden="1"/>
    <col min="14603" max="14603" width="3" style="4" hidden="1"/>
    <col min="14604" max="14604" width="17.81640625" style="4" hidden="1"/>
    <col min="14605" max="14605" width="10.54296875" style="4" hidden="1"/>
    <col min="14606" max="14606" width="17.1796875" style="4" hidden="1"/>
    <col min="14607" max="14621" width="11.81640625" style="4" hidden="1"/>
    <col min="14622" max="14848" width="8.81640625" style="4" hidden="1"/>
    <col min="14849" max="14849" width="34.54296875" style="4" hidden="1"/>
    <col min="14850" max="14850" width="9.81640625" style="4" hidden="1"/>
    <col min="14851" max="14851" width="8.81640625" style="4" hidden="1"/>
    <col min="14852" max="14852" width="3" style="4" hidden="1"/>
    <col min="14853" max="14853" width="18.453125" style="4" hidden="1"/>
    <col min="14854" max="14854" width="0" style="4" hidden="1"/>
    <col min="14855" max="14855" width="3" style="4" hidden="1"/>
    <col min="14856" max="14856" width="10.81640625" style="4" hidden="1"/>
    <col min="14857" max="14857" width="2.81640625" style="4" hidden="1"/>
    <col min="14858" max="14858" width="6.81640625" style="4" hidden="1"/>
    <col min="14859" max="14859" width="3" style="4" hidden="1"/>
    <col min="14860" max="14860" width="17.81640625" style="4" hidden="1"/>
    <col min="14861" max="14861" width="10.54296875" style="4" hidden="1"/>
    <col min="14862" max="14862" width="17.1796875" style="4" hidden="1"/>
    <col min="14863" max="14877" width="11.81640625" style="4" hidden="1"/>
    <col min="14878" max="15104" width="8.81640625" style="4" hidden="1"/>
    <col min="15105" max="15105" width="34.54296875" style="4" hidden="1"/>
    <col min="15106" max="15106" width="9.81640625" style="4" hidden="1"/>
    <col min="15107" max="15107" width="8.81640625" style="4" hidden="1"/>
    <col min="15108" max="15108" width="3" style="4" hidden="1"/>
    <col min="15109" max="15109" width="18.453125" style="4" hidden="1"/>
    <col min="15110" max="15110" width="0" style="4" hidden="1"/>
    <col min="15111" max="15111" width="3" style="4" hidden="1"/>
    <col min="15112" max="15112" width="10.81640625" style="4" hidden="1"/>
    <col min="15113" max="15113" width="2.81640625" style="4" hidden="1"/>
    <col min="15114" max="15114" width="6.81640625" style="4" hidden="1"/>
    <col min="15115" max="15115" width="3" style="4" hidden="1"/>
    <col min="15116" max="15116" width="17.81640625" style="4" hidden="1"/>
    <col min="15117" max="15117" width="10.54296875" style="4" hidden="1"/>
    <col min="15118" max="15118" width="17.1796875" style="4" hidden="1"/>
    <col min="15119" max="15133" width="11.81640625" style="4" hidden="1"/>
    <col min="15134" max="15360" width="8.81640625" style="4" hidden="1"/>
    <col min="15361" max="15361" width="34.54296875" style="4" hidden="1"/>
    <col min="15362" max="15362" width="9.81640625" style="4" hidden="1"/>
    <col min="15363" max="15363" width="8.81640625" style="4" hidden="1"/>
    <col min="15364" max="15364" width="3" style="4" hidden="1"/>
    <col min="15365" max="15365" width="18.453125" style="4" hidden="1"/>
    <col min="15366" max="15366" width="0" style="4" hidden="1"/>
    <col min="15367" max="15367" width="3" style="4" hidden="1"/>
    <col min="15368" max="15368" width="10.81640625" style="4" hidden="1"/>
    <col min="15369" max="15369" width="2.81640625" style="4" hidden="1"/>
    <col min="15370" max="15370" width="6.81640625" style="4" hidden="1"/>
    <col min="15371" max="15371" width="3" style="4" hidden="1"/>
    <col min="15372" max="15372" width="17.81640625" style="4" hidden="1"/>
    <col min="15373" max="15373" width="10.54296875" style="4" hidden="1"/>
    <col min="15374" max="15374" width="17.1796875" style="4" hidden="1"/>
    <col min="15375" max="15389" width="11.81640625" style="4" hidden="1"/>
    <col min="15390" max="15616" width="8.81640625" style="4" hidden="1"/>
    <col min="15617" max="15617" width="34.54296875" style="4" hidden="1"/>
    <col min="15618" max="15618" width="9.81640625" style="4" hidden="1"/>
    <col min="15619" max="15619" width="8.81640625" style="4" hidden="1"/>
    <col min="15620" max="15620" width="3" style="4" hidden="1"/>
    <col min="15621" max="15621" width="18.453125" style="4" hidden="1"/>
    <col min="15622" max="15622" width="0" style="4" hidden="1"/>
    <col min="15623" max="15623" width="3" style="4" hidden="1"/>
    <col min="15624" max="15624" width="10.81640625" style="4" hidden="1"/>
    <col min="15625" max="15625" width="2.81640625" style="4" hidden="1"/>
    <col min="15626" max="15626" width="6.81640625" style="4" hidden="1"/>
    <col min="15627" max="15627" width="3" style="4" hidden="1"/>
    <col min="15628" max="15628" width="17.81640625" style="4" hidden="1"/>
    <col min="15629" max="15629" width="10.54296875" style="4" hidden="1"/>
    <col min="15630" max="15630" width="17.1796875" style="4" hidden="1"/>
    <col min="15631" max="15645" width="11.81640625" style="4" hidden="1"/>
    <col min="15646" max="15872" width="8.81640625" style="4" hidden="1"/>
    <col min="15873" max="15873" width="34.54296875" style="4" hidden="1"/>
    <col min="15874" max="15874" width="9.81640625" style="4" hidden="1"/>
    <col min="15875" max="15875" width="8.81640625" style="4" hidden="1"/>
    <col min="15876" max="15876" width="3" style="4" hidden="1"/>
    <col min="15877" max="15877" width="18.453125" style="4" hidden="1"/>
    <col min="15878" max="15878" width="0" style="4" hidden="1"/>
    <col min="15879" max="15879" width="3" style="4" hidden="1"/>
    <col min="15880" max="15880" width="10.81640625" style="4" hidden="1"/>
    <col min="15881" max="15881" width="2.81640625" style="4" hidden="1"/>
    <col min="15882" max="15882" width="6.81640625" style="4" hidden="1"/>
    <col min="15883" max="15883" width="3" style="4" hidden="1"/>
    <col min="15884" max="15884" width="17.81640625" style="4" hidden="1"/>
    <col min="15885" max="15885" width="10.54296875" style="4" hidden="1"/>
    <col min="15886" max="15886" width="17.1796875" style="4" hidden="1"/>
    <col min="15887" max="15901" width="11.81640625" style="4" hidden="1"/>
    <col min="15902" max="16128" width="8.81640625" style="4" hidden="1"/>
    <col min="16129" max="16129" width="34.54296875" style="4" hidden="1"/>
    <col min="16130" max="16130" width="9.81640625" style="4" hidden="1"/>
    <col min="16131" max="16131" width="8.81640625" style="4" hidden="1"/>
    <col min="16132" max="16132" width="3" style="4" hidden="1"/>
    <col min="16133" max="16133" width="18.453125" style="4" hidden="1"/>
    <col min="16134" max="16134" width="0" style="4" hidden="1"/>
    <col min="16135" max="16135" width="3" style="4" hidden="1"/>
    <col min="16136" max="16136" width="10.81640625" style="4" hidden="1"/>
    <col min="16137" max="16137" width="2.81640625" style="4" hidden="1"/>
    <col min="16138" max="16138" width="6.81640625" style="4" hidden="1"/>
    <col min="16139" max="16139" width="3" style="4" hidden="1"/>
    <col min="16140" max="16140" width="17.81640625" style="4" hidden="1"/>
    <col min="16141" max="16141" width="10.54296875" style="4" hidden="1"/>
    <col min="16142" max="16142" width="17.1796875" style="4" hidden="1"/>
    <col min="16143" max="16157" width="11.81640625" style="4" hidden="1"/>
    <col min="16158" max="16384" width="8.81640625" style="4" hidden="1"/>
  </cols>
  <sheetData>
    <row r="1" spans="1:17" ht="45" x14ac:dyDescent="0.9">
      <c r="A1" s="26" t="str">
        <f>Invulinstructie_disclaimer!A2</f>
        <v>Model haalbaarheidsstudie SDE++ 2026</v>
      </c>
      <c r="L1" s="58"/>
      <c r="N1" s="58"/>
      <c r="P1" s="27"/>
    </row>
    <row r="2" spans="1:17" ht="18" customHeight="1" x14ac:dyDescent="0.9">
      <c r="A2" s="26"/>
      <c r="P2" s="27"/>
    </row>
    <row r="3" spans="1:17" ht="20.149999999999999" customHeight="1" x14ac:dyDescent="0.5">
      <c r="A3" s="28" t="str">
        <f>"Exploitatieberekening "&amp;B12&amp;" jaar voor de productie-installatie van deze aanvraag"</f>
        <v>Exploitatieberekening 20 jaar voor de productie-installatie van deze aanvraag</v>
      </c>
      <c r="N3" s="58"/>
      <c r="O3" s="28"/>
      <c r="P3" s="29"/>
    </row>
    <row r="4" spans="1:17" ht="20.149999999999999" customHeight="1" x14ac:dyDescent="0.4">
      <c r="A4" s="29"/>
      <c r="P4" s="29"/>
    </row>
    <row r="5" spans="1:17" ht="18" x14ac:dyDescent="0.4">
      <c r="A5" s="28" t="s">
        <v>22</v>
      </c>
      <c r="M5" s="149"/>
    </row>
    <row r="6" spans="1:17" x14ac:dyDescent="0.35">
      <c r="A6" s="12" t="s">
        <v>36</v>
      </c>
      <c r="B6" s="337" t="str">
        <f>IF(Financiering_en_projectplan!B7="","",Financiering_en_projectplan!B7)</f>
        <v/>
      </c>
      <c r="C6" s="338"/>
      <c r="D6" s="338"/>
      <c r="E6" s="338"/>
      <c r="F6" s="338"/>
      <c r="G6" s="338"/>
      <c r="H6" s="338"/>
      <c r="I6" s="338"/>
      <c r="J6" s="338"/>
      <c r="K6" s="338"/>
      <c r="L6" s="339"/>
    </row>
    <row r="7" spans="1:17" x14ac:dyDescent="0.35">
      <c r="A7" s="12" t="s">
        <v>49</v>
      </c>
      <c r="B7" s="340" t="str">
        <f>IF(OR(
Hulpblad_categorieën_parameters!D29="CO2-afvang en opslag (CCS) 8.000 uur bij (industriële) ETS-installaties",
Hulpblad_categorieën_parameters!D29="CO2-afvang en opslag (CCS) 4.000 uur bij (industriële) niet-ETS-installaties (combinatie met 4.000 uur CCU mogelijk)",
Hulpblad_categorieën_parameters!D29="CO2-afvang en opslag (CCS) 4.000 uur bij afvalverbrandingsinstallaties (AVI's) (combinatie met 4.000 uur CCU mogelijk)",
Hulpblad_categorieën_parameters!D29="CO2-afvang en opslag (CCS) 8.000 uur bij afvalverbrandingsinstallaties (AVI's)"
),"ETS-correctie",IF(Productie_en_afzet!A14="Niet van toepassing","Geen ETS-correctie",IF(Hulpblad_overig!B11=1,"ETS-correctie","Geen ETS-correctie")))</f>
        <v>Geen ETS-correctie</v>
      </c>
      <c r="C7" s="282"/>
      <c r="D7" s="282"/>
      <c r="E7" s="282"/>
      <c r="F7" s="282"/>
      <c r="G7" s="282"/>
      <c r="H7" s="282"/>
      <c r="I7" s="282"/>
      <c r="J7" s="282"/>
      <c r="K7" s="282"/>
      <c r="L7" s="341"/>
    </row>
    <row r="8" spans="1:17" x14ac:dyDescent="0.35">
      <c r="A8" s="12" t="s">
        <v>37</v>
      </c>
      <c r="B8" s="340" t="str">
        <f>IF(Productie_en_afzet!B6="","",Productie_en_afzet!B6)</f>
        <v/>
      </c>
      <c r="C8" s="310"/>
      <c r="D8" s="310"/>
      <c r="E8" s="310"/>
      <c r="F8" s="310"/>
      <c r="G8" s="310"/>
      <c r="H8" s="310"/>
      <c r="I8" s="310"/>
      <c r="J8" s="310"/>
      <c r="K8" s="310"/>
      <c r="L8" s="342"/>
    </row>
    <row r="9" spans="1:17" ht="40" customHeight="1" x14ac:dyDescent="0.35">
      <c r="A9" s="152" t="s">
        <v>50</v>
      </c>
      <c r="B9" s="343" t="str">
        <f>Productie_en_afzet!B11</f>
        <v>Zon-PV ≥ 15 kWp en &lt; 1 MWp aansluiting &gt; 3*80 A, gebouwgebonden (net = 50%)</v>
      </c>
      <c r="C9" s="344"/>
      <c r="D9" s="344"/>
      <c r="E9" s="344"/>
      <c r="F9" s="344"/>
      <c r="G9" s="344"/>
      <c r="H9" s="344"/>
      <c r="I9" s="344"/>
      <c r="J9" s="344"/>
      <c r="K9" s="344"/>
      <c r="L9" s="345"/>
      <c r="O9" s="12"/>
      <c r="Q9" s="12"/>
    </row>
    <row r="10" spans="1:17" x14ac:dyDescent="0.35">
      <c r="A10" s="12" t="str">
        <f>VLOOKUP(Hulpblad_categorieën_parameters!D82,Hulpblad_categorieën_parameters!A88:AA349,20,FALSE)</f>
        <v>Vermogen productie-installatie (kW)</v>
      </c>
      <c r="B10" s="346">
        <f>Productie_en_afzet!B17</f>
        <v>0</v>
      </c>
      <c r="C10" s="347"/>
      <c r="D10" s="347"/>
      <c r="E10" s="12"/>
      <c r="F10" s="12"/>
      <c r="G10" s="12"/>
      <c r="H10" s="12"/>
      <c r="I10" s="12"/>
      <c r="J10" s="12"/>
      <c r="K10" s="12"/>
      <c r="L10" s="211"/>
      <c r="O10" s="12"/>
      <c r="Q10" s="12"/>
    </row>
    <row r="11" spans="1:17" x14ac:dyDescent="0.35">
      <c r="A11" s="12" t="s">
        <v>51</v>
      </c>
      <c r="B11" s="215">
        <f>VLOOKUP(B9,Hulpblad_categorieën_parameters!A85:AB349,13,FALSE)</f>
        <v>15</v>
      </c>
      <c r="C11" s="4"/>
      <c r="E11" s="8"/>
      <c r="F11" s="8"/>
      <c r="G11" s="8"/>
      <c r="H11" s="7"/>
      <c r="I11" s="214"/>
      <c r="J11" s="214"/>
      <c r="K11" s="214"/>
      <c r="L11" s="216"/>
    </row>
    <row r="12" spans="1:17" x14ac:dyDescent="0.35">
      <c r="A12" s="12" t="s">
        <v>395</v>
      </c>
      <c r="B12" s="153">
        <f>VLOOKUP(B9,Hulpblad_categorieën_parameters!A85:AB349,28,FALSE)</f>
        <v>20</v>
      </c>
      <c r="C12" s="212"/>
      <c r="D12" s="212"/>
      <c r="E12" s="83"/>
      <c r="F12" s="83"/>
      <c r="G12" s="83"/>
      <c r="H12" s="84"/>
      <c r="I12" s="348"/>
      <c r="J12" s="348"/>
      <c r="K12" s="348"/>
      <c r="L12" s="85"/>
    </row>
    <row r="13" spans="1:17" x14ac:dyDescent="0.35"/>
    <row r="14" spans="1:17" ht="18.75" customHeight="1" x14ac:dyDescent="0.35">
      <c r="A14" s="30"/>
      <c r="C14" s="41"/>
      <c r="D14" s="13"/>
      <c r="E14" s="13"/>
      <c r="F14" s="13"/>
      <c r="G14" s="13"/>
      <c r="H14" s="13"/>
      <c r="I14" s="13"/>
      <c r="J14" s="13"/>
      <c r="K14" s="38"/>
      <c r="L14" s="38"/>
    </row>
    <row r="15" spans="1:17" ht="18" x14ac:dyDescent="0.4">
      <c r="A15" s="28" t="s">
        <v>52</v>
      </c>
    </row>
    <row r="16" spans="1:17" ht="12.75" customHeight="1" x14ac:dyDescent="0.35">
      <c r="A16" s="12" t="s">
        <v>53</v>
      </c>
    </row>
    <row r="17" spans="1:27" ht="12.75" customHeight="1" x14ac:dyDescent="0.35">
      <c r="B17" s="270"/>
      <c r="C17" s="271"/>
      <c r="D17" s="271"/>
      <c r="E17" s="271"/>
      <c r="F17" s="271"/>
      <c r="G17" s="271"/>
      <c r="H17" s="271"/>
      <c r="I17" s="271"/>
      <c r="J17" s="271"/>
      <c r="K17" s="271"/>
      <c r="L17" s="272"/>
      <c r="N17" s="145">
        <v>0</v>
      </c>
      <c r="O17" s="11" t="str">
        <f>IF(AND(OR(Hulpblad_categorieën_parameters!C82=1,Hulpblad_categorieën_parameters!C82=2,Hulpblad_categorieën_parameters!C82=3,Hulpblad_categorieën_parameters!C82=4),Hulpblad_categorieën_parameters!D29="Zon-PV"),"Vermeld indien dakversteviging noodzakelijk is voor de installatie van de zon-PV-installatie ook de kosten voor deze dakversteviging",IF(Hulpblad_categorieën_parameters!D29="Zonthermie (geen daglichtkas)","Vermeld indien u de zonthermie-installatie op een dak plaatst en dakversteviging noodzakelijk is ook de kosten voor deze dakversteviging",IF(Hulpblad_categorieën_parameters!D29="Zon-PVT systeem met warmtepomp","Vermeld indien u de zon-PVT-installatie op een dak plaatst en dakversteviging noodzakelijk is ook de kosten voor deze dakversteviging","")))</f>
        <v>Vermeld indien dakversteviging noodzakelijk is voor de installatie van de zon-PV-installatie ook de kosten voor deze dakversteviging</v>
      </c>
      <c r="P17" s="38"/>
      <c r="Q17" s="38"/>
      <c r="R17" s="38"/>
      <c r="S17" s="38"/>
      <c r="T17" s="38"/>
      <c r="U17" s="38"/>
      <c r="V17" s="38"/>
      <c r="W17" s="38"/>
      <c r="X17" s="38"/>
      <c r="Y17" s="38"/>
      <c r="Z17" s="38"/>
    </row>
    <row r="18" spans="1:27" ht="12.75" customHeight="1" x14ac:dyDescent="0.35">
      <c r="B18" s="259"/>
      <c r="C18" s="260"/>
      <c r="D18" s="260"/>
      <c r="E18" s="260"/>
      <c r="F18" s="260"/>
      <c r="G18" s="260"/>
      <c r="H18" s="260"/>
      <c r="I18" s="260"/>
      <c r="J18" s="260"/>
      <c r="K18" s="260"/>
      <c r="L18" s="261"/>
      <c r="N18" s="146">
        <v>0</v>
      </c>
      <c r="O18" s="38"/>
      <c r="P18" s="38"/>
      <c r="Q18" s="38"/>
      <c r="R18" s="38"/>
      <c r="S18" s="38"/>
      <c r="T18" s="38"/>
      <c r="U18" s="38"/>
      <c r="V18" s="38"/>
      <c r="W18" s="38"/>
      <c r="X18" s="38"/>
      <c r="Y18" s="38"/>
      <c r="Z18" s="38"/>
    </row>
    <row r="19" spans="1:27" ht="12.75" customHeight="1" x14ac:dyDescent="0.35">
      <c r="B19" s="259"/>
      <c r="C19" s="260"/>
      <c r="D19" s="260"/>
      <c r="E19" s="260"/>
      <c r="F19" s="260"/>
      <c r="G19" s="260"/>
      <c r="H19" s="260"/>
      <c r="I19" s="260"/>
      <c r="J19" s="260"/>
      <c r="K19" s="260"/>
      <c r="L19" s="261"/>
      <c r="N19" s="146">
        <v>0</v>
      </c>
      <c r="O19" s="38"/>
      <c r="P19" s="38"/>
      <c r="Q19" s="38"/>
      <c r="R19" s="38"/>
      <c r="S19" s="38"/>
      <c r="T19" s="38"/>
      <c r="U19" s="38"/>
      <c r="V19" s="38"/>
      <c r="W19" s="38"/>
      <c r="X19" s="38"/>
      <c r="Y19" s="38"/>
      <c r="Z19" s="38"/>
    </row>
    <row r="20" spans="1:27" ht="12.75" customHeight="1" x14ac:dyDescent="0.35">
      <c r="B20" s="259"/>
      <c r="C20" s="260"/>
      <c r="D20" s="260"/>
      <c r="E20" s="260"/>
      <c r="F20" s="260"/>
      <c r="G20" s="260"/>
      <c r="H20" s="260"/>
      <c r="I20" s="260"/>
      <c r="J20" s="260"/>
      <c r="K20" s="260"/>
      <c r="L20" s="261"/>
      <c r="N20" s="146">
        <v>0</v>
      </c>
      <c r="O20" s="38"/>
      <c r="P20" s="38"/>
      <c r="Q20" s="16"/>
      <c r="R20" s="38"/>
      <c r="S20" s="38"/>
      <c r="T20" s="38"/>
      <c r="U20" s="38"/>
      <c r="V20" s="38"/>
      <c r="W20" s="38"/>
      <c r="X20" s="38"/>
      <c r="Y20" s="38"/>
      <c r="Z20" s="38"/>
    </row>
    <row r="21" spans="1:27" ht="12.75" customHeight="1" x14ac:dyDescent="0.35">
      <c r="B21" s="259"/>
      <c r="C21" s="260"/>
      <c r="D21" s="260"/>
      <c r="E21" s="260"/>
      <c r="F21" s="260"/>
      <c r="G21" s="260"/>
      <c r="H21" s="260"/>
      <c r="I21" s="260"/>
      <c r="J21" s="260"/>
      <c r="K21" s="260"/>
      <c r="L21" s="261"/>
      <c r="N21" s="146">
        <v>0</v>
      </c>
      <c r="O21" s="11"/>
      <c r="P21" s="38"/>
      <c r="Q21" s="38"/>
      <c r="R21" s="38"/>
      <c r="S21" s="38"/>
      <c r="T21" s="38"/>
      <c r="U21" s="38"/>
      <c r="V21" s="38"/>
      <c r="W21" s="38"/>
      <c r="X21" s="38"/>
      <c r="Y21" s="38"/>
      <c r="Z21" s="38"/>
    </row>
    <row r="22" spans="1:27" ht="12.75" customHeight="1" x14ac:dyDescent="0.35">
      <c r="B22" s="259"/>
      <c r="C22" s="260"/>
      <c r="D22" s="260"/>
      <c r="E22" s="260"/>
      <c r="F22" s="260"/>
      <c r="G22" s="260"/>
      <c r="H22" s="260"/>
      <c r="I22" s="260"/>
      <c r="J22" s="260"/>
      <c r="K22" s="260"/>
      <c r="L22" s="261"/>
      <c r="N22" s="146">
        <v>0</v>
      </c>
      <c r="O22" s="38"/>
      <c r="P22" s="38"/>
      <c r="Q22" s="38"/>
      <c r="R22" s="38"/>
      <c r="S22" s="38"/>
      <c r="T22" s="38"/>
      <c r="U22" s="38"/>
      <c r="V22" s="38"/>
      <c r="W22" s="38"/>
      <c r="X22" s="38"/>
      <c r="Y22" s="38"/>
      <c r="Z22" s="38"/>
    </row>
    <row r="23" spans="1:27" ht="12.75" customHeight="1" x14ac:dyDescent="0.35">
      <c r="B23" s="259"/>
      <c r="C23" s="260"/>
      <c r="D23" s="260"/>
      <c r="E23" s="260"/>
      <c r="F23" s="260"/>
      <c r="G23" s="260"/>
      <c r="H23" s="260"/>
      <c r="I23" s="260"/>
      <c r="J23" s="260"/>
      <c r="K23" s="260"/>
      <c r="L23" s="261"/>
      <c r="N23" s="146">
        <v>0</v>
      </c>
      <c r="O23" s="38"/>
      <c r="P23" s="38"/>
      <c r="Q23" s="38"/>
      <c r="R23" s="38"/>
      <c r="S23" s="38"/>
      <c r="T23" s="38"/>
      <c r="U23" s="38"/>
      <c r="V23" s="38"/>
      <c r="W23" s="38"/>
      <c r="X23" s="38"/>
      <c r="Y23" s="38"/>
      <c r="Z23" s="38"/>
    </row>
    <row r="24" spans="1:27" ht="12.75" customHeight="1" x14ac:dyDescent="0.35">
      <c r="B24" s="259"/>
      <c r="C24" s="260"/>
      <c r="D24" s="260"/>
      <c r="E24" s="260"/>
      <c r="F24" s="260"/>
      <c r="G24" s="260"/>
      <c r="H24" s="260"/>
      <c r="I24" s="260"/>
      <c r="J24" s="260"/>
      <c r="K24" s="260"/>
      <c r="L24" s="261"/>
      <c r="N24" s="146">
        <v>0</v>
      </c>
      <c r="O24" s="38"/>
      <c r="P24" s="38"/>
      <c r="Q24" s="38"/>
      <c r="R24" s="38"/>
      <c r="S24" s="38"/>
      <c r="T24" s="38"/>
      <c r="U24" s="38"/>
      <c r="V24" s="38"/>
      <c r="W24" s="38"/>
      <c r="X24" s="38"/>
      <c r="Y24" s="38"/>
      <c r="Z24" s="38"/>
    </row>
    <row r="25" spans="1:27" ht="12.75" customHeight="1" x14ac:dyDescent="0.35">
      <c r="B25" s="259"/>
      <c r="C25" s="260"/>
      <c r="D25" s="260"/>
      <c r="E25" s="260"/>
      <c r="F25" s="260"/>
      <c r="G25" s="260"/>
      <c r="H25" s="260"/>
      <c r="I25" s="260"/>
      <c r="J25" s="260"/>
      <c r="K25" s="260"/>
      <c r="L25" s="261"/>
      <c r="N25" s="146">
        <v>0</v>
      </c>
      <c r="O25" s="38"/>
      <c r="P25" s="38"/>
      <c r="Q25" s="38"/>
      <c r="R25" s="38"/>
      <c r="S25" s="38"/>
      <c r="T25" s="38"/>
      <c r="U25" s="38"/>
      <c r="V25" s="38"/>
      <c r="W25" s="38"/>
      <c r="X25" s="38"/>
      <c r="Y25" s="38"/>
      <c r="Z25" s="38"/>
    </row>
    <row r="26" spans="1:27" ht="12.75" customHeight="1" x14ac:dyDescent="0.35">
      <c r="A26" s="12"/>
      <c r="B26" s="278"/>
      <c r="C26" s="349"/>
      <c r="D26" s="349"/>
      <c r="E26" s="349"/>
      <c r="F26" s="349"/>
      <c r="G26" s="349"/>
      <c r="H26" s="349"/>
      <c r="I26" s="349"/>
      <c r="J26" s="349"/>
      <c r="K26" s="349"/>
      <c r="L26" s="350"/>
      <c r="N26" s="159">
        <v>0</v>
      </c>
      <c r="O26" s="38"/>
      <c r="P26" s="38"/>
      <c r="Q26" s="38"/>
      <c r="R26" s="38"/>
      <c r="S26" s="38"/>
      <c r="T26" s="38"/>
      <c r="U26" s="38"/>
      <c r="V26" s="38"/>
      <c r="W26" s="38"/>
      <c r="X26" s="38"/>
      <c r="Y26" s="38"/>
      <c r="Z26" s="38"/>
    </row>
    <row r="27" spans="1:27" s="30" customFormat="1" ht="12.75" customHeight="1" x14ac:dyDescent="0.3">
      <c r="A27" s="30" t="s">
        <v>54</v>
      </c>
      <c r="N27" s="42">
        <f>SUM(N17:N26)</f>
        <v>0</v>
      </c>
      <c r="O27" s="43"/>
      <c r="P27" s="43"/>
      <c r="Q27" s="43"/>
      <c r="R27" s="43"/>
      <c r="S27" s="43"/>
      <c r="T27" s="43"/>
      <c r="U27" s="43"/>
      <c r="V27" s="43"/>
      <c r="W27" s="43"/>
      <c r="X27" s="43"/>
      <c r="Y27" s="43"/>
      <c r="Z27" s="43"/>
      <c r="AA27" s="43"/>
    </row>
    <row r="28" spans="1:27" s="30" customFormat="1" ht="12.75" customHeight="1" x14ac:dyDescent="0.3">
      <c r="N28" s="42"/>
      <c r="O28" s="43"/>
      <c r="P28" s="43"/>
      <c r="Q28" s="43"/>
      <c r="R28" s="43"/>
      <c r="S28" s="43"/>
      <c r="T28" s="43"/>
      <c r="U28" s="43"/>
      <c r="V28" s="43"/>
      <c r="W28" s="43"/>
      <c r="X28" s="43"/>
      <c r="Y28" s="43"/>
      <c r="Z28" s="43"/>
      <c r="AA28" s="43"/>
    </row>
    <row r="29" spans="1:27" s="30" customFormat="1" ht="18" x14ac:dyDescent="0.4">
      <c r="A29" s="28" t="s">
        <v>55</v>
      </c>
      <c r="D29" s="4"/>
      <c r="E29" s="4"/>
      <c r="F29" s="4"/>
      <c r="G29" s="4"/>
      <c r="H29" s="4"/>
      <c r="I29" s="4"/>
      <c r="J29" s="4"/>
      <c r="K29" s="4"/>
      <c r="L29" s="4"/>
      <c r="N29" s="42"/>
      <c r="O29" s="43"/>
      <c r="P29" s="43"/>
      <c r="Q29" s="43"/>
      <c r="R29" s="43"/>
      <c r="S29" s="43"/>
      <c r="T29" s="43"/>
      <c r="U29" s="43"/>
      <c r="V29" s="43"/>
      <c r="W29" s="43"/>
      <c r="X29" s="43"/>
      <c r="Y29" s="43"/>
      <c r="Z29" s="43"/>
      <c r="AA29" s="43"/>
    </row>
    <row r="30" spans="1:27" s="30" customFormat="1" ht="12.75" customHeight="1" x14ac:dyDescent="0.35">
      <c r="B30" s="351" t="s">
        <v>56</v>
      </c>
      <c r="C30" s="351"/>
      <c r="D30" s="4"/>
      <c r="E30" s="12" t="s">
        <v>57</v>
      </c>
      <c r="F30" s="4"/>
      <c r="G30" s="4"/>
      <c r="H30" s="351" t="s">
        <v>58</v>
      </c>
      <c r="I30" s="352"/>
      <c r="J30" s="352"/>
      <c r="K30" s="4"/>
      <c r="L30" s="12" t="s">
        <v>59</v>
      </c>
      <c r="N30" s="42"/>
      <c r="O30" s="43"/>
      <c r="P30" s="43"/>
      <c r="Q30" s="43"/>
      <c r="R30" s="43"/>
      <c r="S30" s="43"/>
      <c r="T30" s="43"/>
      <c r="U30" s="43"/>
      <c r="V30" s="43"/>
      <c r="W30" s="43"/>
      <c r="X30" s="43"/>
      <c r="Y30" s="43"/>
      <c r="Z30" s="43"/>
      <c r="AA30" s="43"/>
    </row>
    <row r="31" spans="1:27" s="30" customFormat="1" ht="12.75" customHeight="1" x14ac:dyDescent="0.35">
      <c r="A31" s="12" t="s">
        <v>60</v>
      </c>
      <c r="B31" s="356" t="e">
        <f>IF(Hulpblad_overig!B8=2,Financiering_en_projectplan!E13,Financiering_en_projectplan!G78)</f>
        <v>#DIV/0!</v>
      </c>
      <c r="C31" s="357"/>
      <c r="E31" s="172" t="e">
        <f>N27*B31</f>
        <v>#DIV/0!</v>
      </c>
      <c r="F31" s="4"/>
      <c r="G31" s="4"/>
      <c r="H31" s="356" t="e">
        <f>100%-B31</f>
        <v>#DIV/0!</v>
      </c>
      <c r="I31" s="358"/>
      <c r="J31" s="357"/>
      <c r="L31" s="172" t="e">
        <f>N27*H31</f>
        <v>#DIV/0!</v>
      </c>
      <c r="N31" s="42"/>
      <c r="O31" s="43"/>
      <c r="P31" s="43"/>
      <c r="Q31" s="43"/>
      <c r="R31" s="43"/>
      <c r="S31" s="43"/>
      <c r="T31" s="43"/>
      <c r="U31" s="43"/>
      <c r="V31" s="43"/>
      <c r="W31" s="43"/>
      <c r="X31" s="43"/>
      <c r="Y31" s="43"/>
      <c r="Z31" s="43"/>
      <c r="AA31" s="43"/>
    </row>
    <row r="32" spans="1:27" s="30" customFormat="1" ht="12.75" customHeight="1" x14ac:dyDescent="0.35">
      <c r="A32" s="12"/>
      <c r="D32" s="4"/>
      <c r="F32" s="4"/>
      <c r="G32" s="4"/>
      <c r="H32" s="4"/>
      <c r="I32" s="4"/>
      <c r="J32" s="4"/>
      <c r="K32" s="4"/>
      <c r="N32" s="42"/>
      <c r="O32" s="43"/>
      <c r="P32" s="43"/>
      <c r="Q32" s="43"/>
      <c r="R32" s="43"/>
      <c r="S32" s="43"/>
      <c r="T32" s="43"/>
      <c r="U32" s="43"/>
      <c r="V32" s="43"/>
      <c r="W32" s="43"/>
      <c r="X32" s="43"/>
      <c r="Y32" s="43"/>
      <c r="Z32" s="43"/>
      <c r="AA32" s="43"/>
    </row>
    <row r="33" spans="1:34" s="30" customFormat="1" ht="12.75" customHeight="1" x14ac:dyDescent="0.35">
      <c r="A33" s="12" t="s">
        <v>61</v>
      </c>
      <c r="B33" s="359" t="s">
        <v>62</v>
      </c>
      <c r="C33" s="359"/>
      <c r="D33" s="4"/>
      <c r="E33" s="12" t="s">
        <v>63</v>
      </c>
      <c r="F33" s="4"/>
      <c r="G33" s="4"/>
      <c r="H33" s="310" t="s">
        <v>64</v>
      </c>
      <c r="I33" s="282"/>
      <c r="J33" s="282"/>
      <c r="K33" s="4"/>
      <c r="L33" s="12" t="s">
        <v>65</v>
      </c>
      <c r="N33" s="42"/>
      <c r="O33" s="43"/>
      <c r="P33" s="43"/>
      <c r="Q33" s="43"/>
      <c r="R33" s="43"/>
      <c r="S33" s="43"/>
      <c r="T33" s="43"/>
      <c r="U33" s="43"/>
      <c r="V33" s="43"/>
      <c r="W33" s="43"/>
      <c r="X33" s="43"/>
      <c r="Y33" s="43"/>
      <c r="Z33" s="43"/>
      <c r="AA33" s="43"/>
    </row>
    <row r="34" spans="1:34" s="30" customFormat="1" ht="12.75" customHeight="1" x14ac:dyDescent="0.35">
      <c r="A34" s="12" t="str">
        <f>"Gegevens lening (maximaal "&amp;B12&amp;" jaar)"</f>
        <v>Gegevens lening (maximaal 20 jaar)</v>
      </c>
      <c r="B34" s="360" t="e">
        <f>L31</f>
        <v>#DIV/0!</v>
      </c>
      <c r="C34" s="357"/>
      <c r="D34" s="4"/>
      <c r="E34" s="188">
        <v>0</v>
      </c>
      <c r="F34" s="4"/>
      <c r="G34" s="4"/>
      <c r="H34" s="361"/>
      <c r="I34" s="282"/>
      <c r="J34" s="282"/>
      <c r="K34" s="4"/>
      <c r="L34" s="177">
        <v>0</v>
      </c>
      <c r="N34" s="42"/>
      <c r="O34" s="43"/>
      <c r="P34" s="43"/>
      <c r="Q34" s="43"/>
      <c r="R34" s="43"/>
      <c r="S34" s="43"/>
      <c r="T34" s="43"/>
      <c r="U34" s="43"/>
      <c r="V34" s="43"/>
      <c r="W34" s="43"/>
      <c r="X34" s="43"/>
      <c r="Y34" s="43"/>
      <c r="Z34" s="43"/>
      <c r="AA34" s="43"/>
    </row>
    <row r="35" spans="1:34" s="30" customFormat="1" ht="12.75" customHeight="1" x14ac:dyDescent="0.35">
      <c r="A35" s="40"/>
      <c r="D35" s="4"/>
      <c r="E35" s="4"/>
      <c r="F35" s="4"/>
      <c r="G35" s="4"/>
      <c r="H35" s="40"/>
      <c r="I35" s="4"/>
      <c r="J35" s="4"/>
      <c r="K35" s="4"/>
      <c r="N35" s="42"/>
      <c r="O35" s="43"/>
      <c r="P35" s="43"/>
      <c r="Q35" s="43"/>
      <c r="R35" s="43"/>
      <c r="S35" s="43"/>
      <c r="T35" s="43"/>
      <c r="U35" s="43"/>
      <c r="V35" s="43"/>
      <c r="W35" s="43"/>
      <c r="X35" s="43"/>
      <c r="Y35" s="43"/>
      <c r="Z35" s="43"/>
      <c r="AA35" s="43"/>
    </row>
    <row r="36" spans="1:34" ht="12.75" customHeight="1" x14ac:dyDescent="0.35">
      <c r="A36" s="30" t="s">
        <v>66</v>
      </c>
      <c r="D36" s="30"/>
      <c r="E36" s="30"/>
      <c r="F36" s="30"/>
      <c r="G36" s="30"/>
      <c r="H36" s="30"/>
      <c r="I36" s="30"/>
      <c r="J36" s="30"/>
      <c r="K36" s="30"/>
      <c r="L36" s="30"/>
      <c r="M36" s="30"/>
      <c r="N36" s="30">
        <v>0</v>
      </c>
      <c r="O36" s="30">
        <v>1</v>
      </c>
      <c r="P36" s="30">
        <v>2</v>
      </c>
      <c r="Q36" s="30">
        <v>3</v>
      </c>
      <c r="R36" s="30">
        <v>4</v>
      </c>
      <c r="S36" s="30">
        <v>5</v>
      </c>
      <c r="T36" s="30">
        <f>IF($B$12&gt;5,6,"")</f>
        <v>6</v>
      </c>
      <c r="U36" s="30">
        <f>IF($B$12&gt;6,7,"")</f>
        <v>7</v>
      </c>
      <c r="V36" s="30">
        <f>IF($B$12&gt;7,8,"")</f>
        <v>8</v>
      </c>
      <c r="W36" s="30">
        <f>IF($B$12&gt;8,9,"")</f>
        <v>9</v>
      </c>
      <c r="X36" s="30">
        <f>IF($B$12&gt;9,10,"")</f>
        <v>10</v>
      </c>
      <c r="Y36" s="30">
        <f>IF($B$12&gt;10,11,"")</f>
        <v>11</v>
      </c>
      <c r="Z36" s="30">
        <f>IF($B$12&gt;11,12,"")</f>
        <v>12</v>
      </c>
      <c r="AA36" s="30">
        <f>IF($B$12&gt;12,13,"")</f>
        <v>13</v>
      </c>
      <c r="AB36" s="30">
        <f>IF($B$12&gt;13,14,"")</f>
        <v>14</v>
      </c>
      <c r="AC36" s="30">
        <f>IF($B$12&gt;14,15,"")</f>
        <v>15</v>
      </c>
      <c r="AD36" s="30">
        <f>IF($B$12&gt;15,16,"")</f>
        <v>16</v>
      </c>
      <c r="AE36" s="30">
        <f>IF($B$12&gt;16,17,"")</f>
        <v>17</v>
      </c>
      <c r="AF36" s="30">
        <f>IF($B$12&gt;17,18,"")</f>
        <v>18</v>
      </c>
      <c r="AG36" s="30">
        <f>IF($B$12&gt;18,19,"")</f>
        <v>19</v>
      </c>
      <c r="AH36" s="30">
        <f>IF($B$12&gt;19,20,"")</f>
        <v>20</v>
      </c>
    </row>
    <row r="37" spans="1:34" ht="12.75" customHeight="1" x14ac:dyDescent="0.35">
      <c r="M37" s="160"/>
      <c r="N37" s="163"/>
      <c r="O37" s="164"/>
      <c r="P37" s="164"/>
      <c r="Q37" s="164"/>
      <c r="R37" s="164"/>
      <c r="S37" s="164"/>
      <c r="T37" s="164"/>
      <c r="U37" s="164"/>
      <c r="V37" s="164"/>
      <c r="W37" s="86"/>
      <c r="X37" s="86"/>
      <c r="Y37" s="86"/>
      <c r="Z37" s="86"/>
      <c r="AA37" s="160"/>
      <c r="AB37" s="160"/>
      <c r="AC37" s="160"/>
    </row>
    <row r="38" spans="1:34" ht="18" x14ac:dyDescent="0.4">
      <c r="A38" s="28" t="s">
        <v>67</v>
      </c>
      <c r="L38" s="367" t="s">
        <v>68</v>
      </c>
      <c r="M38" s="160"/>
      <c r="N38" s="160"/>
      <c r="O38" s="164"/>
      <c r="P38" s="164"/>
      <c r="Q38" s="164"/>
      <c r="R38" s="164"/>
      <c r="S38" s="164"/>
      <c r="T38" s="164"/>
      <c r="U38" s="164"/>
      <c r="V38" s="164"/>
      <c r="W38" s="86"/>
      <c r="X38" s="86"/>
      <c r="Y38" s="86"/>
      <c r="Z38" s="86"/>
      <c r="AA38" s="160"/>
      <c r="AB38" s="160"/>
      <c r="AC38" s="160"/>
    </row>
    <row r="39" spans="1:34" s="160" customFormat="1" ht="12.75" customHeight="1" x14ac:dyDescent="0.3">
      <c r="A39" s="30" t="s">
        <v>69</v>
      </c>
      <c r="B39" s="30"/>
      <c r="C39" s="30"/>
      <c r="E39" s="310" t="str">
        <f>"Jaarproductie ("&amp;VLOOKUP(Hulpblad_categorieën_parameters!D82,Hulpblad_categorieën_parameters!A88:AB349,26,FALSE)&amp;")"</f>
        <v>Jaarproductie (kWh)</v>
      </c>
      <c r="F39" s="369"/>
      <c r="G39" s="369"/>
      <c r="H39" s="370" t="str">
        <f>IF(E39="Jaarproductie (ton CO₂)","Marktwaarde (€/ton CO₂)","Marktwaarde (€/kWh)")</f>
        <v>Marktwaarde (€/kWh)</v>
      </c>
      <c r="I39" s="371"/>
      <c r="J39" s="371"/>
      <c r="K39" s="369"/>
      <c r="L39" s="368"/>
      <c r="O39" s="164"/>
      <c r="P39" s="164"/>
      <c r="Q39" s="164"/>
      <c r="R39" s="164"/>
      <c r="S39" s="164"/>
      <c r="T39" s="164"/>
      <c r="U39" s="164"/>
      <c r="V39" s="164"/>
      <c r="W39" s="86"/>
      <c r="X39" s="86"/>
      <c r="Y39" s="86"/>
      <c r="Z39" s="86"/>
    </row>
    <row r="40" spans="1:34" s="160" customFormat="1" ht="12.75" customHeight="1" x14ac:dyDescent="0.3">
      <c r="A40" s="12" t="str">
        <f>IF(VLOOKUP(Hulpblad_categorieën_parameters!D82,Hulpblad_categorieën_parameters!A88:AB349,18,FALSE)="Productie elektriciteit (kWh/jaar)","Hernieuwbare elektriciteit niet-netlevering (eigen gebruik)","Niet van toepassing")</f>
        <v>Hernieuwbare elektriciteit niet-netlevering (eigen gebruik)</v>
      </c>
      <c r="B40" s="30"/>
      <c r="C40" s="30"/>
      <c r="E40" s="224">
        <v>0</v>
      </c>
      <c r="H40" s="372">
        <v>0</v>
      </c>
      <c r="I40" s="373"/>
      <c r="J40" s="374"/>
      <c r="L40" s="375">
        <v>0.02</v>
      </c>
      <c r="M40" s="12"/>
      <c r="O40" s="163">
        <f>E40*H40</f>
        <v>0</v>
      </c>
      <c r="P40" s="163">
        <f>O40*(1+$L$40)</f>
        <v>0</v>
      </c>
      <c r="Q40" s="163">
        <f t="shared" ref="Q40:S40" si="0">P40*(1+$L$40)</f>
        <v>0</v>
      </c>
      <c r="R40" s="163">
        <f t="shared" si="0"/>
        <v>0</v>
      </c>
      <c r="S40" s="163">
        <f t="shared" si="0"/>
        <v>0</v>
      </c>
      <c r="T40" s="57">
        <f>IF($B$12&gt;5,S40*(1+$L$40),"")</f>
        <v>0</v>
      </c>
      <c r="U40" s="57">
        <f>IF($B$12&gt;6,T40*(1+$L$40),"")</f>
        <v>0</v>
      </c>
      <c r="V40" s="57">
        <f>IF($B$12&gt;7,U40*(1+$L$40),"")</f>
        <v>0</v>
      </c>
      <c r="W40" s="57">
        <f>IF($B$12&gt;8,V40*(1+$L$40),"")</f>
        <v>0</v>
      </c>
      <c r="X40" s="57">
        <f>IF($B$12&gt;9,W40*(1+$L$40),"")</f>
        <v>0</v>
      </c>
      <c r="Y40" s="57">
        <f>IF($B$12&gt;10,X40*(1+$L$40),"")</f>
        <v>0</v>
      </c>
      <c r="Z40" s="57">
        <f>IF($B$12&gt;11,Y40*(1+$L$40),"")</f>
        <v>0</v>
      </c>
      <c r="AA40" s="57">
        <f>IF($B$12&gt;12,Z40*(1+$L$40),"")</f>
        <v>0</v>
      </c>
      <c r="AB40" s="57">
        <f>IF($B$12&gt;13,AA40*(1+$L$40),"")</f>
        <v>0</v>
      </c>
      <c r="AC40" s="57">
        <f>IF($B$12&gt;14,AB40*(1+$L$40),"")</f>
        <v>0</v>
      </c>
      <c r="AD40" s="57">
        <f>IF($B$12&gt;15,AC40*(1+$L$40)*95%,"")</f>
        <v>0</v>
      </c>
      <c r="AE40" s="57">
        <f>IF($B$12&gt;16,AD40*(1+$L$40),"")</f>
        <v>0</v>
      </c>
      <c r="AF40" s="57">
        <f>IF($B$12&gt;17,AE40*(1+$L$40),"")</f>
        <v>0</v>
      </c>
      <c r="AG40" s="57">
        <f>IF($B$12&gt;18,AF40*(1+$L$40),"")</f>
        <v>0</v>
      </c>
      <c r="AH40" s="57">
        <f>IF($B$12&gt;19,AG40*(1+$L$40),"")</f>
        <v>0</v>
      </c>
    </row>
    <row r="41" spans="1:34" s="160" customFormat="1" ht="12.75" customHeight="1" x14ac:dyDescent="0.3">
      <c r="A41" s="12" t="str">
        <f>IF(VLOOKUP(Hulpblad_categorieën_parameters!D82,Hulpblad_categorieën_parameters!A88:AB349,18,FALSE)="Productie elektriciteit (kWh/jaar)","Niet subsidiabele netlevering tijdens negatieve prijsuren EPEX","Niet van toepassing")</f>
        <v>Niet subsidiabele netlevering tijdens negatieve prijsuren EPEX</v>
      </c>
      <c r="B41" s="30"/>
      <c r="C41" s="30"/>
      <c r="E41" s="230">
        <v>0</v>
      </c>
      <c r="H41" s="362">
        <v>0</v>
      </c>
      <c r="I41" s="363"/>
      <c r="J41" s="364"/>
      <c r="L41" s="376"/>
      <c r="M41" s="12"/>
      <c r="O41" s="163">
        <f>E41*H41</f>
        <v>0</v>
      </c>
      <c r="P41" s="163">
        <f t="shared" ref="P41:P43" si="1">O41*(1+$L$40)</f>
        <v>0</v>
      </c>
      <c r="Q41" s="163">
        <f t="shared" ref="Q41:Q43" si="2">P41*(1+$L$40)</f>
        <v>0</v>
      </c>
      <c r="R41" s="163">
        <f t="shared" ref="R41:R43" si="3">Q41*(1+$L$40)</f>
        <v>0</v>
      </c>
      <c r="S41" s="163">
        <f t="shared" ref="S41:S43" si="4">R41*(1+$L$40)</f>
        <v>0</v>
      </c>
      <c r="T41" s="57">
        <f>IF($B$12&gt;5,S41*(1+$L$40),"")</f>
        <v>0</v>
      </c>
      <c r="U41" s="57">
        <f>IF($B$12&gt;6,T41*(1+$L$40),"")</f>
        <v>0</v>
      </c>
      <c r="V41" s="57">
        <f>IF($B$12&gt;7,U41*(1+$L$40),"")</f>
        <v>0</v>
      </c>
      <c r="W41" s="57">
        <f t="shared" ref="W41:W43" si="5">IF($B$12&gt;8,V41*(1+$L$40),"")</f>
        <v>0</v>
      </c>
      <c r="X41" s="57">
        <f t="shared" ref="X41:X43" si="6">IF($B$12&gt;9,W41*(1+$L$40),"")</f>
        <v>0</v>
      </c>
      <c r="Y41" s="57">
        <f t="shared" ref="Y41:Y43" si="7">IF($B$12&gt;10,X41*(1+$L$40),"")</f>
        <v>0</v>
      </c>
      <c r="Z41" s="57">
        <f t="shared" ref="Z41:Z43" si="8">IF($B$12&gt;11,Y41*(1+$L$40),"")</f>
        <v>0</v>
      </c>
      <c r="AA41" s="57">
        <f t="shared" ref="AA41:AA43" si="9">IF($B$12&gt;12,Z41*(1+$L$40),"")</f>
        <v>0</v>
      </c>
      <c r="AB41" s="57">
        <f t="shared" ref="AB41:AB43" si="10">IF($B$12&gt;13,AA41*(1+$L$40),"")</f>
        <v>0</v>
      </c>
      <c r="AC41" s="57">
        <f t="shared" ref="AC41:AC43" si="11">IF($B$12&gt;14,AB41*(1+$L$40),"")</f>
        <v>0</v>
      </c>
      <c r="AD41" s="57">
        <f t="shared" ref="AD41:AD43" si="12">IF($B$12&gt;15,AC41*(1+$L$40)*95%,"")</f>
        <v>0</v>
      </c>
      <c r="AE41" s="57">
        <f t="shared" ref="AE41:AE43" si="13">IF($B$12&gt;16,AD41*(1+$L$40),"")</f>
        <v>0</v>
      </c>
      <c r="AF41" s="57">
        <f t="shared" ref="AF41:AF43" si="14">IF($B$12&gt;17,AE41*(1+$L$40),"")</f>
        <v>0</v>
      </c>
      <c r="AG41" s="57">
        <f t="shared" ref="AG41:AG43" si="15">IF($B$12&gt;18,AF41*(1+$L$40),"")</f>
        <v>0</v>
      </c>
      <c r="AH41" s="57">
        <f t="shared" ref="AH41:AH43" si="16">IF($B$12&gt;19,AG41*(1+$L$40),"")</f>
        <v>0</v>
      </c>
    </row>
    <row r="42" spans="1:34" s="160" customFormat="1" ht="12.75" customHeight="1" x14ac:dyDescent="0.35">
      <c r="A42" s="50" t="str">
        <f>IF(VLOOKUP(Hulpblad_categorieën_parameters!D82,Hulpblad_categorieën_parameters!A88:AB349,18,FALSE)="Productie elektriciteit (kWh/jaar)","Gemiste productie tijdens uitzetten installatie neg. prijsuren EPEX","Niet van toepassing")</f>
        <v>Gemiste productie tijdens uitzetten installatie neg. prijsuren EPEX</v>
      </c>
      <c r="B42" s="30"/>
      <c r="C42" s="30"/>
      <c r="E42" s="230">
        <v>0</v>
      </c>
      <c r="H42" s="362">
        <v>0</v>
      </c>
      <c r="I42" s="365"/>
      <c r="J42" s="366"/>
      <c r="L42" s="376"/>
      <c r="M42" s="12"/>
      <c r="O42" s="163">
        <f>E42*H42</f>
        <v>0</v>
      </c>
      <c r="P42" s="163">
        <f t="shared" si="1"/>
        <v>0</v>
      </c>
      <c r="Q42" s="163">
        <f t="shared" si="2"/>
        <v>0</v>
      </c>
      <c r="R42" s="163">
        <f t="shared" si="3"/>
        <v>0</v>
      </c>
      <c r="S42" s="163">
        <f t="shared" si="4"/>
        <v>0</v>
      </c>
      <c r="T42" s="57">
        <f>IF($B$12&gt;5,S42*(1+$L$40),"")</f>
        <v>0</v>
      </c>
      <c r="U42" s="57">
        <f>IF($B$12&gt;6,T42*(1+$L$40),"")</f>
        <v>0</v>
      </c>
      <c r="V42" s="57">
        <f>IF($B$12&gt;7,U42*(1+$L$40),"")</f>
        <v>0</v>
      </c>
      <c r="W42" s="57">
        <f t="shared" si="5"/>
        <v>0</v>
      </c>
      <c r="X42" s="57">
        <f t="shared" si="6"/>
        <v>0</v>
      </c>
      <c r="Y42" s="57">
        <f t="shared" si="7"/>
        <v>0</v>
      </c>
      <c r="Z42" s="57">
        <f t="shared" si="8"/>
        <v>0</v>
      </c>
      <c r="AA42" s="57">
        <f t="shared" si="9"/>
        <v>0</v>
      </c>
      <c r="AB42" s="57">
        <f t="shared" si="10"/>
        <v>0</v>
      </c>
      <c r="AC42" s="57">
        <f t="shared" si="11"/>
        <v>0</v>
      </c>
      <c r="AD42" s="57">
        <f t="shared" si="12"/>
        <v>0</v>
      </c>
      <c r="AE42" s="57">
        <f t="shared" si="13"/>
        <v>0</v>
      </c>
      <c r="AF42" s="57">
        <f t="shared" si="14"/>
        <v>0</v>
      </c>
      <c r="AG42" s="57">
        <f t="shared" si="15"/>
        <v>0</v>
      </c>
      <c r="AH42" s="57">
        <f t="shared" si="16"/>
        <v>0</v>
      </c>
    </row>
    <row r="43" spans="1:34" s="160" customFormat="1" ht="12.75" customHeight="1" x14ac:dyDescent="0.3">
      <c r="A43" s="12" t="str">
        <f>IF(VLOOKUP(Hulpblad_categorieën_parameters!D82,Hulpblad_categorieën_parameters!A88:AB349,18,FALSE)="Productie elektriciteit (kWh/jaar)","Hernieuwbare elektriciteit subsidiabele netlevering","Niet van toepassing")</f>
        <v>Hernieuwbare elektriciteit subsidiabele netlevering</v>
      </c>
      <c r="B43" s="30"/>
      <c r="C43" s="30"/>
      <c r="E43" s="161">
        <f>IF(VLOOKUP(Hulpblad_categorieën_parameters!D82,Hulpblad_categorieën_parameters!A88:AB349,18,FALSE)="Productie elektriciteit (kWh/jaar)",Productie_en_afzet!B18-E40-E41-E42,0)</f>
        <v>0</v>
      </c>
      <c r="H43" s="362">
        <v>0</v>
      </c>
      <c r="I43" s="363"/>
      <c r="J43" s="364"/>
      <c r="L43" s="376"/>
      <c r="M43" s="12"/>
      <c r="O43" s="163">
        <f>E43*H43</f>
        <v>0</v>
      </c>
      <c r="P43" s="163">
        <f t="shared" si="1"/>
        <v>0</v>
      </c>
      <c r="Q43" s="163">
        <f t="shared" si="2"/>
        <v>0</v>
      </c>
      <c r="R43" s="163">
        <f t="shared" si="3"/>
        <v>0</v>
      </c>
      <c r="S43" s="163">
        <f t="shared" si="4"/>
        <v>0</v>
      </c>
      <c r="T43" s="57">
        <f>IF($B$12&gt;5,S43*(1+$L$40),"")</f>
        <v>0</v>
      </c>
      <c r="U43" s="57">
        <f>IF($B$12&gt;6,T43*(1+$L$40),"")</f>
        <v>0</v>
      </c>
      <c r="V43" s="57">
        <f>IF($B$12&gt;7,U43*(1+$L$40),"")</f>
        <v>0</v>
      </c>
      <c r="W43" s="57">
        <f t="shared" si="5"/>
        <v>0</v>
      </c>
      <c r="X43" s="57">
        <f t="shared" si="6"/>
        <v>0</v>
      </c>
      <c r="Y43" s="57">
        <f t="shared" si="7"/>
        <v>0</v>
      </c>
      <c r="Z43" s="57">
        <f t="shared" si="8"/>
        <v>0</v>
      </c>
      <c r="AA43" s="57">
        <f t="shared" si="9"/>
        <v>0</v>
      </c>
      <c r="AB43" s="57">
        <f t="shared" si="10"/>
        <v>0</v>
      </c>
      <c r="AC43" s="57">
        <f t="shared" si="11"/>
        <v>0</v>
      </c>
      <c r="AD43" s="57">
        <f t="shared" si="12"/>
        <v>0</v>
      </c>
      <c r="AE43" s="57">
        <f t="shared" si="13"/>
        <v>0</v>
      </c>
      <c r="AF43" s="57">
        <f t="shared" si="14"/>
        <v>0</v>
      </c>
      <c r="AG43" s="57">
        <f t="shared" si="15"/>
        <v>0</v>
      </c>
      <c r="AH43" s="57">
        <f t="shared" si="16"/>
        <v>0</v>
      </c>
    </row>
    <row r="44" spans="1:34" s="160" customFormat="1" ht="12.75" customHeight="1" x14ac:dyDescent="0.3">
      <c r="A44" s="12" t="str">
        <f>IF(VLOOKUP(Hulpblad_categorieën_parameters!D82,Hulpblad_categorieën_parameters!A88:T349,19,FALSE)="Productie warmte (kWh/jaar)",Productie_en_afzet!A19,IF(VLOOKUP(Hulpblad_categorieën_parameters!D82,Hulpblad_categorieën_parameters!A88:T349,18,FALSE)="Productie elektriciteit (kWh/jaar)","Niet van toepassing",Productie_en_afzet!A18))</f>
        <v>Niet van toepassing</v>
      </c>
      <c r="B44" s="30"/>
      <c r="C44" s="30"/>
      <c r="E44" s="162">
        <f>IF(VLOOKUP(Hulpblad_categorieën_parameters!D82,Hulpblad_categorieën_parameters!A88:AB349,19,FALSE)="Productie warmte (kWh/jaar)",Productie_en_afzet!B19,IF(VLOOKUP(Hulpblad_categorieën_parameters!D82,Hulpblad_categorieën_parameters!A88:AB349,18,FALSE)="Productie elektriciteit (kWh/jaar)",0,Productie_en_afzet!B20))</f>
        <v>0</v>
      </c>
      <c r="H44" s="353">
        <v>0</v>
      </c>
      <c r="I44" s="354"/>
      <c r="J44" s="355"/>
      <c r="L44" s="189">
        <v>0.02</v>
      </c>
      <c r="M44" s="12"/>
      <c r="O44" s="163">
        <f>E44*H44</f>
        <v>0</v>
      </c>
      <c r="P44" s="163">
        <f t="shared" ref="P44:S44" si="17">O44*(1+$L$44)</f>
        <v>0</v>
      </c>
      <c r="Q44" s="163">
        <f t="shared" si="17"/>
        <v>0</v>
      </c>
      <c r="R44" s="163">
        <f t="shared" si="17"/>
        <v>0</v>
      </c>
      <c r="S44" s="163">
        <f t="shared" si="17"/>
        <v>0</v>
      </c>
      <c r="T44" s="57">
        <f>IF($B$12&gt;5,S44*(1+$L$44),"")</f>
        <v>0</v>
      </c>
      <c r="U44" s="57">
        <f>IF($B$12&gt;6,T44*(1+$L$44),"")</f>
        <v>0</v>
      </c>
      <c r="V44" s="57">
        <f>IF($B$12&gt;7,U44*(1+$L$44),"")</f>
        <v>0</v>
      </c>
      <c r="W44" s="57">
        <f>IF($B$12&gt;8,V44*(1+$L$44),"")</f>
        <v>0</v>
      </c>
      <c r="X44" s="57">
        <f>IF($B$12&gt;9,W44*(1+$L$44),"")</f>
        <v>0</v>
      </c>
      <c r="Y44" s="57">
        <f>IF($B$12&gt;10,X44*(1+$L$44),"")</f>
        <v>0</v>
      </c>
      <c r="Z44" s="57">
        <f>IF($B$12&gt;11,Y44*(1+$L$44),"")</f>
        <v>0</v>
      </c>
      <c r="AA44" s="57">
        <f>IF($B$12&gt;12,Z44*(1+$L$44),"")</f>
        <v>0</v>
      </c>
      <c r="AB44" s="57">
        <f>IF($B$12&gt;13,AA44*(1+$L$44),"")</f>
        <v>0</v>
      </c>
      <c r="AC44" s="57">
        <f>IF($B$12&gt;14,AB44*(1+$L$44),"")</f>
        <v>0</v>
      </c>
      <c r="AD44" s="57">
        <f>IF($B$12&gt;15,AC44*(1+$L$44),"")</f>
        <v>0</v>
      </c>
      <c r="AE44" s="57">
        <f>IF($B$12&gt;16,AD44*(1+$L$44),"")</f>
        <v>0</v>
      </c>
      <c r="AF44" s="57">
        <f>IF($B$12&gt;17,AE44*(1+$L$44),"")</f>
        <v>0</v>
      </c>
      <c r="AG44" s="57">
        <f>IF($B$12&gt;18,AF44*(1+$L$44),"")</f>
        <v>0</v>
      </c>
      <c r="AH44" s="57">
        <f>IF($B$12&gt;19,AG44*(1+$L$44),"")</f>
        <v>0</v>
      </c>
    </row>
    <row r="45" spans="1:34" s="160" customFormat="1" ht="12.75" customHeight="1" x14ac:dyDescent="0.3">
      <c r="A45" s="30" t="s">
        <v>380</v>
      </c>
      <c r="B45" s="30"/>
      <c r="C45" s="30"/>
      <c r="L45" s="171"/>
      <c r="O45" s="42">
        <f t="shared" ref="O45:S45" si="18">SUM(O40:O44)</f>
        <v>0</v>
      </c>
      <c r="P45" s="42">
        <f t="shared" si="18"/>
        <v>0</v>
      </c>
      <c r="Q45" s="42">
        <f t="shared" si="18"/>
        <v>0</v>
      </c>
      <c r="R45" s="42">
        <f t="shared" si="18"/>
        <v>0</v>
      </c>
      <c r="S45" s="42">
        <f t="shared" si="18"/>
        <v>0</v>
      </c>
      <c r="T45" s="42">
        <f>IF($B$12&gt;5,SUM(T40:T44),"")</f>
        <v>0</v>
      </c>
      <c r="U45" s="42">
        <f>IF($B$12&gt;6,SUM(U40:U44),"")</f>
        <v>0</v>
      </c>
      <c r="V45" s="42">
        <f>IF($B$12&gt;7,SUM(V40:V44),"")</f>
        <v>0</v>
      </c>
      <c r="W45" s="42">
        <f>IF($B$12&gt;8,SUM(W40:W44),"")</f>
        <v>0</v>
      </c>
      <c r="X45" s="42">
        <f>IF($B$12&gt;9,SUM(X40:X44),"")</f>
        <v>0</v>
      </c>
      <c r="Y45" s="42">
        <f>IF($B$12&gt;10,SUM(Y40:Y44),"")</f>
        <v>0</v>
      </c>
      <c r="Z45" s="42">
        <f>IF($B$12&gt;11,SUM(Z40:Z44),"")</f>
        <v>0</v>
      </c>
      <c r="AA45" s="42">
        <f>IF($B$12&gt;12,SUM(AA40:AA44),"")</f>
        <v>0</v>
      </c>
      <c r="AB45" s="42">
        <f>IF($B$12&gt;13,SUM(AB40:AB44),"")</f>
        <v>0</v>
      </c>
      <c r="AC45" s="42">
        <f>IF($B$12&gt;14,SUM(AC40:AC44),"")</f>
        <v>0</v>
      </c>
      <c r="AD45" s="42">
        <f>IF($B$12&gt;15,SUM(AD40:AD44),"")</f>
        <v>0</v>
      </c>
      <c r="AE45" s="42">
        <f>IF($B$12&gt;16,SUM(AE40:AE44),"")</f>
        <v>0</v>
      </c>
      <c r="AF45" s="42">
        <f>IF($B$12&gt;17,SUM(AF40:AF44),"")</f>
        <v>0</v>
      </c>
      <c r="AG45" s="42">
        <f>IF($B$12&gt;18,SUM(AG40:AG44),"")</f>
        <v>0</v>
      </c>
      <c r="AH45" s="42">
        <f>IF($B$12&gt;19,SUM(AH40:AH44),"")</f>
        <v>0</v>
      </c>
    </row>
    <row r="46" spans="1:34" s="160" customFormat="1" ht="12.75" customHeight="1" x14ac:dyDescent="0.3">
      <c r="A46" s="30"/>
      <c r="B46" s="30"/>
      <c r="C46" s="30"/>
      <c r="L46" s="171"/>
      <c r="O46" s="42"/>
      <c r="P46" s="42"/>
      <c r="Q46" s="42"/>
      <c r="R46" s="42"/>
      <c r="S46" s="42"/>
      <c r="T46" s="42"/>
      <c r="U46" s="42"/>
      <c r="V46" s="42"/>
      <c r="W46" s="42"/>
      <c r="X46" s="42"/>
      <c r="Y46" s="42"/>
      <c r="Z46" s="42"/>
      <c r="AA46" s="42"/>
      <c r="AB46" s="42"/>
      <c r="AC46" s="42"/>
      <c r="AD46" s="42"/>
      <c r="AE46" s="42"/>
      <c r="AF46" s="42"/>
      <c r="AG46" s="42"/>
      <c r="AH46" s="42"/>
    </row>
    <row r="47" spans="1:34" s="160" customFormat="1" ht="12.75" customHeight="1" x14ac:dyDescent="0.3">
      <c r="A47" s="30"/>
      <c r="B47" s="30"/>
      <c r="C47" s="30"/>
      <c r="L47" s="377" t="s">
        <v>692</v>
      </c>
      <c r="O47" s="42"/>
      <c r="P47" s="42"/>
      <c r="Q47" s="42"/>
      <c r="R47" s="42"/>
      <c r="S47" s="42"/>
      <c r="T47" s="42"/>
      <c r="U47" s="42"/>
      <c r="V47" s="42"/>
      <c r="W47" s="42"/>
      <c r="X47" s="42"/>
      <c r="Y47" s="42"/>
      <c r="Z47" s="42"/>
      <c r="AA47" s="42"/>
      <c r="AB47" s="42"/>
      <c r="AC47" s="42"/>
      <c r="AD47" s="42"/>
      <c r="AE47" s="42"/>
      <c r="AF47" s="42"/>
      <c r="AG47" s="42"/>
      <c r="AH47" s="42"/>
    </row>
    <row r="48" spans="1:34" s="160" customFormat="1" ht="12.75" customHeight="1" x14ac:dyDescent="0.3">
      <c r="A48" s="30" t="s">
        <v>691</v>
      </c>
      <c r="B48" s="30"/>
      <c r="C48" s="30"/>
      <c r="E48" s="160" t="str">
        <f>"Jaarproductie ("&amp;VLOOKUP(Hulpblad_categorieën_parameters!D82,Hulpblad_categorieën_parameters!A88:AB349,26,FALSE)&amp;")"</f>
        <v>Jaarproductie (kWh)</v>
      </c>
      <c r="H48" s="379" t="str">
        <f>"ETS-1 prijs (€/"&amp;VLOOKUP(Hulpblad_categorieën_parameters!D82,Hulpblad_categorieën_parameters!A88:AB349,26,FALSE)&amp;")"</f>
        <v>ETS-1 prijs (€/kWh)</v>
      </c>
      <c r="I48" s="378"/>
      <c r="J48" s="378"/>
      <c r="L48" s="378"/>
      <c r="O48" s="42"/>
      <c r="P48" s="42"/>
      <c r="Q48" s="42"/>
      <c r="R48" s="42"/>
      <c r="S48" s="42"/>
      <c r="T48" s="42"/>
      <c r="U48" s="42"/>
      <c r="V48" s="42"/>
      <c r="W48" s="42"/>
      <c r="X48" s="42"/>
      <c r="Y48" s="42"/>
      <c r="Z48" s="42"/>
      <c r="AA48" s="42"/>
      <c r="AB48" s="42"/>
      <c r="AC48" s="42"/>
      <c r="AD48" s="42"/>
      <c r="AE48" s="42"/>
      <c r="AF48" s="42"/>
      <c r="AG48" s="42"/>
      <c r="AH48" s="42"/>
    </row>
    <row r="49" spans="1:34" s="160" customFormat="1" ht="12.75" customHeight="1" x14ac:dyDescent="0.3">
      <c r="A49" s="12" t="str">
        <f>IF(B7="ETS-correctie","","Niet van toepassing")</f>
        <v>Niet van toepassing</v>
      </c>
      <c r="B49" s="30"/>
      <c r="C49" s="30"/>
      <c r="E49" s="172">
        <f>Productie_en_afzet!B20</f>
        <v>0</v>
      </c>
      <c r="H49" s="380">
        <f>H63</f>
        <v>0</v>
      </c>
      <c r="I49" s="381"/>
      <c r="J49" s="382"/>
      <c r="L49" s="189">
        <v>0.02</v>
      </c>
      <c r="O49" s="42">
        <f>E49*H49</f>
        <v>0</v>
      </c>
      <c r="P49" s="42">
        <f>O49*(1+$L$49)</f>
        <v>0</v>
      </c>
      <c r="Q49" s="42">
        <f t="shared" ref="Q49:S49" si="19">P49*(1+$L$49)</f>
        <v>0</v>
      </c>
      <c r="R49" s="42">
        <f t="shared" si="19"/>
        <v>0</v>
      </c>
      <c r="S49" s="42">
        <f t="shared" si="19"/>
        <v>0</v>
      </c>
      <c r="T49" s="42">
        <f>IF($B$12&gt;5,S49*(1+$L$49),"")</f>
        <v>0</v>
      </c>
      <c r="U49" s="42">
        <f>IF($B$12&gt;6,T49*(1+$L$49),"")</f>
        <v>0</v>
      </c>
      <c r="V49" s="42">
        <f>IF($B$12&gt;7,U49*(1+$L$49),"")</f>
        <v>0</v>
      </c>
      <c r="W49" s="42">
        <f>IF($B$12&gt;8,V49*(1+$L$49),"")</f>
        <v>0</v>
      </c>
      <c r="X49" s="42">
        <f>IF($B$12&gt;9,W49*(1+$L$49),"")</f>
        <v>0</v>
      </c>
      <c r="Y49" s="42">
        <f>IF($B$12&gt;10,X49*(1+$L$49),"")</f>
        <v>0</v>
      </c>
      <c r="Z49" s="42">
        <f>IF($B$12&gt;11,Y49*(1+$L$49),"")</f>
        <v>0</v>
      </c>
      <c r="AA49" s="42">
        <f>IF($B$12&gt;12,Z49*(1+$L$49),"")</f>
        <v>0</v>
      </c>
      <c r="AB49" s="42">
        <f>IF($B$12&gt;13,AA49*(1+$L$49),"")</f>
        <v>0</v>
      </c>
      <c r="AC49" s="42">
        <f>IF($B$12&gt;14,AB49*(1+$L$49),"")</f>
        <v>0</v>
      </c>
      <c r="AD49" s="42">
        <f>IF($B$12&gt;15,AC49*(1+$L$49),"")</f>
        <v>0</v>
      </c>
      <c r="AE49" s="42">
        <f>IF($B$12&gt;16,AD49*(1+$L$49),"")</f>
        <v>0</v>
      </c>
      <c r="AF49" s="42">
        <f>IF($B$12&gt;17,AE49*(1+$L$49),"")</f>
        <v>0</v>
      </c>
      <c r="AG49" s="42">
        <f>IF($B$12&gt;18,AF49*(1+$L$49),"")</f>
        <v>0</v>
      </c>
      <c r="AH49" s="42">
        <f>IF($B$12&gt;19,AG49*(1+$L$49),"")</f>
        <v>0</v>
      </c>
    </row>
    <row r="50" spans="1:34" s="160" customFormat="1" ht="30.75" customHeight="1" x14ac:dyDescent="0.25">
      <c r="B50" s="383"/>
      <c r="C50" s="383"/>
      <c r="E50" s="384" t="str">
        <f>"Subsidiabele productie ("&amp;VLOOKUP(Hulpblad_categorieën_parameters!D82,Hulpblad_categorieën_parameters!A88:AB349,26,FALSE)&amp;"/jaar)"</f>
        <v>Subsidiabele productie (kWh/jaar)</v>
      </c>
      <c r="H50" s="367"/>
      <c r="I50" s="384"/>
      <c r="J50" s="384"/>
      <c r="L50" s="367"/>
      <c r="O50" s="164"/>
      <c r="P50" s="164"/>
      <c r="Q50" s="164"/>
      <c r="R50" s="164"/>
      <c r="S50" s="164"/>
      <c r="T50" s="164"/>
      <c r="U50" s="164"/>
      <c r="V50" s="164"/>
      <c r="W50" s="86"/>
      <c r="X50" s="86"/>
      <c r="Y50" s="86"/>
      <c r="Z50" s="86"/>
    </row>
    <row r="51" spans="1:34" s="160" customFormat="1" ht="12.75" customHeight="1" x14ac:dyDescent="0.3">
      <c r="A51" s="30" t="s">
        <v>70</v>
      </c>
      <c r="B51" s="383"/>
      <c r="C51" s="383"/>
      <c r="E51" s="378"/>
      <c r="H51" s="384"/>
      <c r="I51" s="384"/>
      <c r="J51" s="384"/>
      <c r="L51" s="384"/>
      <c r="O51" s="164"/>
      <c r="P51" s="164"/>
      <c r="Q51" s="164"/>
      <c r="R51" s="164"/>
      <c r="S51" s="164"/>
      <c r="T51" s="164"/>
      <c r="U51" s="164"/>
      <c r="V51" s="164"/>
      <c r="W51" s="86"/>
      <c r="X51" s="86"/>
      <c r="Y51" s="86"/>
      <c r="Z51" s="86"/>
    </row>
    <row r="52" spans="1:34" s="160" customFormat="1" ht="12.75" customHeight="1" x14ac:dyDescent="0.25">
      <c r="A52" s="12" t="str">
        <f>IF(OR(Hulpblad_categorieën_parameters!D29="Zon-PV",Hulpblad_categorieën_parameters!D29="Wind"),"Elektriciteit netlevering","")</f>
        <v>Elektriciteit netlevering</v>
      </c>
      <c r="B52" s="388"/>
      <c r="C52" s="389"/>
      <c r="D52" s="165"/>
      <c r="E52" s="227">
        <f>IF(OR(Hulpblad_categorieën_parameters!D29="Zon-PV",Hulpblad_categorieën_parameters!D29="Wind"),MIN(Productie_en_afzet!B23,E43),Productie_en_afzet!B23)</f>
        <v>0</v>
      </c>
      <c r="H52" s="390"/>
      <c r="I52" s="363"/>
      <c r="J52" s="363"/>
      <c r="L52" s="173"/>
      <c r="M52" s="391"/>
      <c r="N52" s="392"/>
      <c r="O52" s="163"/>
      <c r="P52" s="163"/>
      <c r="Q52" s="163"/>
      <c r="R52" s="163"/>
      <c r="S52" s="163"/>
      <c r="T52" s="163"/>
      <c r="U52" s="163"/>
      <c r="V52" s="163"/>
      <c r="W52" s="57"/>
      <c r="X52" s="57"/>
      <c r="Y52" s="57"/>
      <c r="Z52" s="57"/>
      <c r="AA52" s="57"/>
      <c r="AB52" s="57"/>
      <c r="AC52" s="57"/>
    </row>
    <row r="53" spans="1:34" s="160" customFormat="1" ht="12.75" customHeight="1" x14ac:dyDescent="0.3">
      <c r="A53" s="12"/>
      <c r="B53" s="88"/>
      <c r="C53" s="40"/>
      <c r="D53" s="165"/>
      <c r="E53" s="53"/>
      <c r="F53" s="12"/>
      <c r="H53" s="174"/>
      <c r="I53" s="174"/>
      <c r="J53" s="174"/>
      <c r="L53" s="171"/>
      <c r="M53" s="87"/>
      <c r="N53" s="165"/>
      <c r="O53" s="57"/>
      <c r="P53" s="57"/>
      <c r="Q53" s="57"/>
      <c r="R53" s="57"/>
      <c r="S53" s="57"/>
      <c r="T53" s="57"/>
      <c r="U53" s="57"/>
      <c r="V53" s="57"/>
      <c r="W53" s="57"/>
      <c r="X53" s="57"/>
      <c r="Y53" s="57"/>
      <c r="Z53" s="57"/>
      <c r="AA53" s="57"/>
      <c r="AB53" s="57"/>
      <c r="AC53" s="57"/>
    </row>
    <row r="54" spans="1:34" s="160" customFormat="1" ht="12.75" customHeight="1" x14ac:dyDescent="0.3">
      <c r="A54" s="12" t="str">
        <f>"Basisbedrag of fasebedrag (€/"&amp;VLOOKUP(Hulpblad_categorieën_parameters!D82,Hulpblad_categorieën_parameters!A88:Z349,26,FALSE)&amp;")"</f>
        <v>Basisbedrag of fasebedrag (€/kWh)</v>
      </c>
      <c r="C54" s="12"/>
      <c r="D54" s="165"/>
      <c r="E54" s="190">
        <f>VLOOKUP(Hulpblad_categorieën_parameters!D82,Hulpblad_categorieën_parameters!A88:AB349,2,FALSE)</f>
        <v>9.4500000000000001E-2</v>
      </c>
      <c r="H54" s="384" t="str">
        <f>"Voorlopig correctiebedrag productprijs (€/"&amp;VLOOKUP(Hulpblad_categorieën_parameters!D82,Hulpblad_categorieën_parameters!A88:AB349,26,FALSE)&amp;")"</f>
        <v>Voorlopig correctiebedrag productprijs (€/kWh)</v>
      </c>
      <c r="I54" s="384"/>
      <c r="J54" s="384"/>
      <c r="L54" s="367" t="s">
        <v>71</v>
      </c>
      <c r="M54" s="87"/>
      <c r="N54" s="165"/>
      <c r="O54" s="57"/>
      <c r="P54" s="57"/>
      <c r="Q54" s="57"/>
      <c r="R54" s="57"/>
      <c r="S54" s="57"/>
      <c r="T54" s="57"/>
      <c r="U54" s="57"/>
      <c r="V54" s="57"/>
      <c r="W54" s="57"/>
      <c r="X54" s="57"/>
      <c r="Y54" s="57"/>
      <c r="Z54" s="57"/>
      <c r="AA54" s="57"/>
      <c r="AB54" s="57"/>
      <c r="AC54" s="57"/>
    </row>
    <row r="55" spans="1:34" s="160" customFormat="1" ht="12.75" customHeight="1" x14ac:dyDescent="0.3">
      <c r="A55" s="12" t="str">
        <f>IF(OR(Hulpblad_categorieën_parameters!D29="Zon-PV",Hulpblad_categorieën_parameters!D29="Wind"),"Opbrengstgrensbedrag (€/kWh)","")</f>
        <v>Opbrengstgrensbedrag (€/kWh)</v>
      </c>
      <c r="C55" s="12"/>
      <c r="D55" s="165"/>
      <c r="E55" s="174">
        <f>IF(OR(Hulpblad_categorieën_parameters!D29="Zon-PV",Hulpblad_categorieën_parameters!D29="Wind"),VLOOKUP(Hulpblad_categorieën_parameters!D82,Hulpblad_categorieën_parameters!A88:AB349,2,FALSE)+0.018,"")</f>
        <v>0.1125</v>
      </c>
      <c r="H55" s="384"/>
      <c r="I55" s="384"/>
      <c r="J55" s="384"/>
      <c r="L55" s="367"/>
      <c r="M55" s="87"/>
      <c r="N55" s="165"/>
      <c r="O55" s="57"/>
      <c r="P55" s="57"/>
      <c r="Q55" s="57"/>
      <c r="R55" s="57"/>
      <c r="S55" s="57"/>
      <c r="T55" s="57"/>
      <c r="U55" s="57"/>
      <c r="V55" s="57"/>
      <c r="W55" s="57"/>
      <c r="X55" s="57"/>
      <c r="Y55" s="57"/>
      <c r="Z55" s="57"/>
      <c r="AA55" s="57"/>
      <c r="AB55" s="57"/>
      <c r="AC55" s="57"/>
    </row>
    <row r="56" spans="1:34" s="160" customFormat="1" ht="12.75" customHeight="1" x14ac:dyDescent="0.3">
      <c r="A56" s="12"/>
      <c r="C56" s="12"/>
      <c r="D56" s="165"/>
      <c r="E56" s="174"/>
      <c r="H56" s="384"/>
      <c r="I56" s="384"/>
      <c r="J56" s="384"/>
      <c r="L56" s="367"/>
      <c r="M56" s="87"/>
      <c r="N56" s="165"/>
      <c r="O56" s="57"/>
      <c r="P56" s="57"/>
      <c r="Q56" s="57"/>
      <c r="R56" s="57"/>
      <c r="S56" s="57"/>
      <c r="T56" s="57"/>
      <c r="U56" s="57"/>
      <c r="V56" s="57"/>
      <c r="W56" s="57"/>
      <c r="X56" s="57"/>
      <c r="Y56" s="57"/>
      <c r="Z56" s="57"/>
      <c r="AA56" s="57"/>
      <c r="AB56" s="57"/>
      <c r="AC56" s="57"/>
    </row>
    <row r="57" spans="1:34" s="160" customFormat="1" ht="26.25" customHeight="1" x14ac:dyDescent="0.3">
      <c r="B57" s="53"/>
      <c r="C57" s="12"/>
      <c r="D57" s="165"/>
      <c r="H57" s="378"/>
      <c r="I57" s="378"/>
      <c r="J57" s="378"/>
      <c r="L57" s="384"/>
      <c r="M57" s="87"/>
      <c r="N57" s="165"/>
      <c r="O57" s="57"/>
      <c r="P57" s="57"/>
      <c r="Q57" s="57"/>
      <c r="R57" s="57"/>
      <c r="S57" s="57"/>
      <c r="T57" s="57"/>
      <c r="U57" s="57"/>
      <c r="V57" s="57"/>
      <c r="W57" s="57"/>
      <c r="X57" s="57"/>
      <c r="Y57" s="57"/>
      <c r="Z57" s="57"/>
      <c r="AA57" s="57"/>
      <c r="AB57" s="57"/>
      <c r="AC57" s="57"/>
    </row>
    <row r="58" spans="1:34" s="160" customFormat="1" ht="12.75" customHeight="1" x14ac:dyDescent="0.3">
      <c r="A58" s="12" t="str">
        <f>IF(Hulpblad_categorieën_parameters!D29="Zon-PV","Verwacht correctiebedrag elektriciteit netlevering (€/kWh)","Verwacht correctiebedrag productprijs (€/"&amp;VLOOKUP(Hulpblad_categorieën_parameters!D82,Hulpblad_categorieën_parameters!A88:Z349,26,FALSE)&amp;")")</f>
        <v>Verwacht correctiebedrag elektriciteit netlevering (€/kWh)</v>
      </c>
      <c r="B58" s="53"/>
      <c r="C58" s="12"/>
      <c r="D58" s="165"/>
      <c r="H58" s="393">
        <f>VLOOKUP(Hulpblad_categorieën_parameters!D82,Hulpblad_categorieën_parameters!A88:AB349,8,FALSE)</f>
        <v>7.46E-2</v>
      </c>
      <c r="I58" s="381"/>
      <c r="J58" s="382"/>
      <c r="L58" s="191">
        <v>0.02</v>
      </c>
      <c r="M58" s="87"/>
      <c r="N58" s="165"/>
      <c r="O58" s="89">
        <f>H58</f>
        <v>7.46E-2</v>
      </c>
      <c r="P58" s="89">
        <f>O58*(1+$L$58)</f>
        <v>7.6092000000000007E-2</v>
      </c>
      <c r="Q58" s="89">
        <f t="shared" ref="Q58:S58" si="20">P58*(1+$L$58)</f>
        <v>7.7613840000000003E-2</v>
      </c>
      <c r="R58" s="89">
        <f t="shared" si="20"/>
        <v>7.9166116800000005E-2</v>
      </c>
      <c r="S58" s="89">
        <f t="shared" si="20"/>
        <v>8.0749439136000009E-2</v>
      </c>
      <c r="T58" s="89">
        <f>IF($B$12&gt;5,IF($B$11&gt;5,S58*(1+$L$58),0),"")</f>
        <v>8.2364427918720007E-2</v>
      </c>
      <c r="U58" s="89">
        <f>IF($B$12&gt;6,IF($B$11&gt;6,T58*(1+$L$58),0),"")</f>
        <v>8.4011716477094406E-2</v>
      </c>
      <c r="V58" s="89">
        <f>IF($B$12&gt;7,IF($B$11&gt;7,U58*(1+$L$58),0),"")</f>
        <v>8.5691950806636302E-2</v>
      </c>
      <c r="W58" s="89">
        <f>IF($B$12&gt;8,IF($B$11&gt;8,V58*(1+$L$58),0),"")</f>
        <v>8.7405789822769031E-2</v>
      </c>
      <c r="X58" s="89">
        <f>IF($B$12&gt;9,IF($B$11&gt;9,W58*(1+$L$58),0),"")</f>
        <v>8.9153905619224413E-2</v>
      </c>
      <c r="Y58" s="89">
        <f>IF($B$12&gt;10,IF($B$11&gt;10,X58*(1+$L$58),0),"")</f>
        <v>9.0936983731608897E-2</v>
      </c>
      <c r="Z58" s="89">
        <f>IF($B$12&gt;11,IF($B$11&gt;11,Y58*(1+$L$58),0),"")</f>
        <v>9.2755723406241081E-2</v>
      </c>
      <c r="AA58" s="89">
        <f>IF($B$12&gt;12,IF($B$11&gt;12,Z58*(1+$L$58),0),"")</f>
        <v>9.4610837874365902E-2</v>
      </c>
      <c r="AB58" s="89">
        <f>IF($B$12&gt;13,IF($B$11&gt;13,AA58*(1+$L$58),0),"")</f>
        <v>9.6503054631853227E-2</v>
      </c>
      <c r="AC58" s="89">
        <f>IF($B$12&gt;14,IF($B$11&gt;14,AB58*(1+$L$58),0),"")</f>
        <v>9.8433115724490289E-2</v>
      </c>
      <c r="AD58" s="89">
        <f>IF($B$12&gt;15,IF($B$11&gt;15,AC58*(1+$L$58),0),"")</f>
        <v>0</v>
      </c>
      <c r="AE58" s="89">
        <f>IF($B$12&gt;16,IF($B$11&gt;16,AD58*(1+$L$58),0),"")</f>
        <v>0</v>
      </c>
      <c r="AF58" s="89">
        <f>IF($B$12&gt;17,IF($B$11&gt;17,AE58*(1+$L$58),0),"")</f>
        <v>0</v>
      </c>
      <c r="AG58" s="89">
        <f>IF($B$12&gt;18,IF($B$11&gt;18,AF58*(1+$L$58),0),"")</f>
        <v>0</v>
      </c>
      <c r="AH58" s="89">
        <f>IF($B$12&gt;19,IF($B$11&gt;19,AG58*(1+$L$58),0),"")</f>
        <v>0</v>
      </c>
    </row>
    <row r="59" spans="1:34" s="160" customFormat="1" ht="12.75" customHeight="1" x14ac:dyDescent="0.25">
      <c r="B59" s="53"/>
      <c r="C59" s="12"/>
      <c r="D59" s="165"/>
      <c r="H59" s="176"/>
      <c r="I59" s="176"/>
      <c r="J59" s="176"/>
      <c r="L59" s="175"/>
      <c r="M59" s="384"/>
      <c r="N59" s="384"/>
      <c r="O59" s="57"/>
      <c r="P59" s="57"/>
      <c r="Q59" s="57"/>
      <c r="R59" s="57"/>
      <c r="S59" s="57"/>
      <c r="T59" s="57"/>
      <c r="U59" s="57"/>
      <c r="V59" s="57"/>
      <c r="W59" s="217"/>
      <c r="X59" s="213"/>
      <c r="Y59" s="57"/>
      <c r="Z59" s="57"/>
      <c r="AA59" s="57"/>
      <c r="AB59" s="57"/>
      <c r="AC59" s="57"/>
      <c r="AD59" s="213"/>
      <c r="AE59" s="213"/>
      <c r="AF59" s="213"/>
      <c r="AG59" s="213"/>
      <c r="AH59" s="213"/>
    </row>
    <row r="60" spans="1:34" s="160" customFormat="1" ht="12.75" customHeight="1" x14ac:dyDescent="0.25">
      <c r="A60" s="12"/>
      <c r="B60" s="53"/>
      <c r="C60" s="12"/>
      <c r="D60" s="165"/>
      <c r="H60" s="394" t="str">
        <f>"Voorlopig correctiebedrag ETS-1 prijs (€/"&amp;VLOOKUP(Hulpblad_categorieën_parameters!D82,Hulpblad_categorieën_parameters!A88:AB349,26,FALSE)&amp;")"</f>
        <v>Voorlopig correctiebedrag ETS-1 prijs (€/kWh)</v>
      </c>
      <c r="I60" s="384"/>
      <c r="J60" s="384"/>
      <c r="L60" s="175"/>
      <c r="M60" s="384"/>
      <c r="N60" s="384"/>
      <c r="O60" s="57"/>
      <c r="P60" s="57"/>
      <c r="Q60" s="57"/>
      <c r="R60" s="57"/>
      <c r="S60" s="57"/>
      <c r="T60" s="57"/>
      <c r="U60" s="57"/>
      <c r="V60" s="57"/>
      <c r="W60" s="213"/>
      <c r="X60" s="213"/>
      <c r="Y60" s="57"/>
      <c r="Z60" s="57"/>
      <c r="AA60" s="57"/>
      <c r="AB60" s="57"/>
      <c r="AC60" s="57"/>
      <c r="AD60" s="213"/>
      <c r="AE60" s="213"/>
      <c r="AF60" s="213"/>
      <c r="AG60" s="213"/>
      <c r="AH60" s="213"/>
    </row>
    <row r="61" spans="1:34" s="160" customFormat="1" ht="12.75" customHeight="1" x14ac:dyDescent="0.3">
      <c r="A61" s="12"/>
      <c r="B61" s="53"/>
      <c r="C61" s="12"/>
      <c r="D61" s="165"/>
      <c r="H61" s="384"/>
      <c r="I61" s="384"/>
      <c r="J61" s="384"/>
      <c r="L61" s="377" t="s">
        <v>529</v>
      </c>
      <c r="M61" s="87"/>
      <c r="N61" s="165"/>
      <c r="O61" s="57"/>
      <c r="P61" s="57"/>
      <c r="Q61" s="57"/>
      <c r="R61" s="57"/>
      <c r="S61" s="57"/>
      <c r="T61" s="57"/>
      <c r="U61" s="57"/>
      <c r="V61" s="57"/>
      <c r="W61" s="213"/>
      <c r="X61" s="213"/>
      <c r="Y61" s="57"/>
      <c r="Z61" s="57"/>
      <c r="AA61" s="57"/>
      <c r="AB61" s="57"/>
      <c r="AC61" s="57"/>
      <c r="AD61" s="213"/>
      <c r="AE61" s="213"/>
      <c r="AF61" s="213"/>
      <c r="AG61" s="213"/>
      <c r="AH61" s="213"/>
    </row>
    <row r="62" spans="1:34" s="160" customFormat="1" ht="12.75" customHeight="1" x14ac:dyDescent="0.3">
      <c r="B62" s="53"/>
      <c r="C62" s="12"/>
      <c r="D62" s="165"/>
      <c r="H62" s="378"/>
      <c r="I62" s="378"/>
      <c r="J62" s="378"/>
      <c r="L62" s="378"/>
      <c r="M62" s="87"/>
      <c r="N62" s="165"/>
      <c r="O62" s="57"/>
      <c r="P62" s="57"/>
      <c r="Q62" s="57"/>
      <c r="R62" s="57"/>
      <c r="S62" s="57"/>
      <c r="T62" s="57"/>
      <c r="U62" s="57"/>
      <c r="V62" s="57"/>
      <c r="W62" s="213"/>
      <c r="X62" s="213"/>
      <c r="Y62" s="57"/>
      <c r="Z62" s="57"/>
      <c r="AA62" s="57"/>
      <c r="AB62" s="57"/>
      <c r="AC62" s="57"/>
      <c r="AD62" s="213"/>
      <c r="AE62" s="213"/>
      <c r="AF62" s="213"/>
      <c r="AG62" s="213"/>
      <c r="AH62" s="213"/>
    </row>
    <row r="63" spans="1:34" s="160" customFormat="1" ht="12.75" customHeight="1" x14ac:dyDescent="0.3">
      <c r="A63" s="12" t="str">
        <f>"Verwacht correctiebedrag ETS-1 prijs (€/"&amp;VLOOKUP(Hulpblad_categorieën_parameters!D82,Hulpblad_categorieën_parameters!A88:Z349,26,FALSE)&amp;")"</f>
        <v>Verwacht correctiebedrag ETS-1 prijs (€/kWh)</v>
      </c>
      <c r="B63" s="53"/>
      <c r="C63" s="12"/>
      <c r="D63" s="165"/>
      <c r="H63" s="385">
        <f>IF(B7="geen ETS-correctie",0,IF(B7="ETS-correctie",VLOOKUP(Hulpblad_categorieën_parameters!D82,Hulpblad_categorieën_parameters!A88:AB349,11,FALSE),))</f>
        <v>0</v>
      </c>
      <c r="I63" s="386"/>
      <c r="J63" s="387"/>
      <c r="L63" s="191">
        <v>0.02</v>
      </c>
      <c r="M63" s="87"/>
      <c r="N63" s="165"/>
      <c r="O63" s="89">
        <f>H63</f>
        <v>0</v>
      </c>
      <c r="P63" s="89">
        <f>O63*(1+$L$63)</f>
        <v>0</v>
      </c>
      <c r="Q63" s="89">
        <f t="shared" ref="Q63:S63" si="21">P63*(1+$L$63)</f>
        <v>0</v>
      </c>
      <c r="R63" s="89">
        <f t="shared" si="21"/>
        <v>0</v>
      </c>
      <c r="S63" s="89">
        <f t="shared" si="21"/>
        <v>0</v>
      </c>
      <c r="T63" s="89">
        <f>IF($B$12&gt;5,IF($B$11&gt;5,S63*(1+$L$63),0),"")</f>
        <v>0</v>
      </c>
      <c r="U63" s="89">
        <f>IF($B$12&gt;6,IF($B$11&gt;6,T63*(1+$L$63),0),"")</f>
        <v>0</v>
      </c>
      <c r="V63" s="89">
        <f>IF($B$12&gt;7,IF($B$11&gt;7,U63*(1+$L$63),0),"")</f>
        <v>0</v>
      </c>
      <c r="W63" s="89">
        <f>IF($B$12&gt;8,IF($B$11&gt;8,V63*(1+$L$63),0),"")</f>
        <v>0</v>
      </c>
      <c r="X63" s="89">
        <f>IF($B$12&gt;9,IF($B$11&gt;9,W63*(1+$L$63),0),"")</f>
        <v>0</v>
      </c>
      <c r="Y63" s="89">
        <f>IF($B$12&gt;10,IF($B$11&gt;10,X63*(1+$L$63),0),"")</f>
        <v>0</v>
      </c>
      <c r="Z63" s="89">
        <f>IF($B$12&gt;11,IF($B$11&gt;11,Y63*(1+$L$63),0),"")</f>
        <v>0</v>
      </c>
      <c r="AA63" s="89">
        <f>IF($B$12&gt;12,IF($B$11&gt;12,Z63*(1+$L$63),0),"")</f>
        <v>0</v>
      </c>
      <c r="AB63" s="89">
        <f>IF($B$12&gt;13,IF($B$11&gt;13,AA63*(1+$L$63),0),"")</f>
        <v>0</v>
      </c>
      <c r="AC63" s="89">
        <f>IF($B$12&gt;14,IF($B$11&gt;14,AB63*(1+$L$63),0),"")</f>
        <v>0</v>
      </c>
      <c r="AD63" s="89">
        <f>IF($B$12&gt;15,IF($B$11&gt;15,AC63*(1+$L$63),0),"")</f>
        <v>0</v>
      </c>
      <c r="AE63" s="89">
        <f>IF($B$12&gt;16,IF($B$11&gt;16,AD63*(1+$L$63),0),"")</f>
        <v>0</v>
      </c>
      <c r="AF63" s="89">
        <f>IF($B$12&gt;17,IF($B$11&gt;17,AE63*(1+$L$63),0),"")</f>
        <v>0</v>
      </c>
      <c r="AG63" s="89">
        <f>IF($B$12&gt;18,IF($B$11&gt;18,AF63*(1+$L$63),0),"")</f>
        <v>0</v>
      </c>
      <c r="AH63" s="89">
        <f>IF($B$12&gt;19,IF($B$11&gt;19,AG63*(1+$L$63),0),"")</f>
        <v>0</v>
      </c>
    </row>
    <row r="64" spans="1:34" s="160" customFormat="1" ht="12.75" customHeight="1" x14ac:dyDescent="0.3">
      <c r="A64" s="12" t="s">
        <v>693</v>
      </c>
      <c r="B64" s="53"/>
      <c r="C64" s="12"/>
      <c r="D64" s="165"/>
      <c r="H64" s="254"/>
      <c r="I64" s="254"/>
      <c r="J64" s="254"/>
      <c r="L64" s="255"/>
      <c r="M64" s="87"/>
      <c r="N64" s="165"/>
      <c r="O64" s="89"/>
      <c r="P64" s="89"/>
      <c r="Q64" s="89"/>
      <c r="R64" s="89"/>
      <c r="S64" s="89"/>
      <c r="T64" s="89"/>
      <c r="U64" s="89"/>
      <c r="V64" s="89"/>
      <c r="W64" s="89"/>
      <c r="X64" s="89"/>
      <c r="Y64" s="89"/>
      <c r="Z64" s="89"/>
      <c r="AA64" s="89"/>
      <c r="AB64" s="89"/>
      <c r="AC64" s="89"/>
      <c r="AD64" s="89"/>
      <c r="AE64" s="89"/>
      <c r="AF64" s="89"/>
      <c r="AG64" s="89"/>
      <c r="AH64" s="89"/>
    </row>
    <row r="65" spans="1:34" s="160" customFormat="1" ht="12.75" customHeight="1" x14ac:dyDescent="0.3">
      <c r="A65" s="12"/>
      <c r="B65" s="53"/>
      <c r="C65" s="12"/>
      <c r="D65" s="165"/>
      <c r="H65" s="176"/>
      <c r="I65" s="176"/>
      <c r="J65" s="176"/>
      <c r="L65" s="175"/>
      <c r="M65" s="87"/>
      <c r="N65" s="165"/>
      <c r="O65" s="89"/>
      <c r="P65" s="89"/>
      <c r="Q65" s="89"/>
      <c r="R65" s="89"/>
      <c r="S65" s="89"/>
      <c r="T65" s="89"/>
      <c r="U65" s="89"/>
      <c r="V65" s="89"/>
      <c r="W65" s="217"/>
      <c r="X65" s="217"/>
      <c r="Y65" s="217"/>
      <c r="Z65" s="217"/>
      <c r="AA65" s="217"/>
      <c r="AB65" s="217"/>
      <c r="AC65" s="217"/>
      <c r="AD65" s="217"/>
      <c r="AE65" s="217"/>
      <c r="AF65" s="217"/>
      <c r="AG65" s="217"/>
      <c r="AH65" s="217"/>
    </row>
    <row r="66" spans="1:34" s="160" customFormat="1" ht="12.75" customHeight="1" x14ac:dyDescent="0.3">
      <c r="A66" s="12" t="str">
        <f>IF(Hulpblad_categorieën_parameters!D29="Zon-PV","Verwacht subsidiebedrag elektriciteit netlevering (€/kWh)","Verwacht subsidiebedrag per eenheid product (€/"&amp;VLOOKUP(Hulpblad_categorieën_parameters!D82,Hulpblad_categorieën_parameters!A88:Z349,26,FALSE)&amp;")")</f>
        <v>Verwacht subsidiebedrag elektriciteit netlevering (€/kWh)</v>
      </c>
      <c r="B66" s="53"/>
      <c r="C66" s="12"/>
      <c r="D66" s="165"/>
      <c r="H66" s="176"/>
      <c r="I66" s="176"/>
      <c r="J66" s="176"/>
      <c r="L66" s="175"/>
      <c r="M66" s="87"/>
      <c r="N66" s="165"/>
      <c r="O66" s="89">
        <f t="shared" ref="O66:S66" si="22">IF($E$54-O58-O63&gt;0,$E$54-O58-O63,0)</f>
        <v>1.9900000000000001E-2</v>
      </c>
      <c r="P66" s="89">
        <f t="shared" si="22"/>
        <v>1.8407999999999994E-2</v>
      </c>
      <c r="Q66" s="89">
        <f t="shared" si="22"/>
        <v>1.6886159999999997E-2</v>
      </c>
      <c r="R66" s="89">
        <f t="shared" si="22"/>
        <v>1.5333883199999995E-2</v>
      </c>
      <c r="S66" s="89">
        <f t="shared" si="22"/>
        <v>1.3750560863999992E-2</v>
      </c>
      <c r="T66" s="89">
        <f>IF(AND($B$12&gt;5,$B$11&gt;5),IF($E$54-T58-T63&gt;0,$E$54-T58-T63,0),IF($B$12&gt;5,0,""))</f>
        <v>1.2135572081279994E-2</v>
      </c>
      <c r="U66" s="89">
        <f>IF(AND($B$12&gt;6,$B$11&gt;6),IF($E$54-U58-U63&gt;0,$E$54-U58-U63,0),IF($B$12&gt;6,0,""))</f>
        <v>1.0488283522905595E-2</v>
      </c>
      <c r="V66" s="89">
        <f>IF(AND($B$12&gt;7,$B$11&gt;7),IF($E$54-V58-V63&gt;0,$E$54-V58-V63,0),IF($B$12&gt;7,0,""))</f>
        <v>8.8080491933636984E-3</v>
      </c>
      <c r="W66" s="89">
        <f>IF(AND($B$12&gt;8,$B$11&gt;8),IF($E$54-W58-W63&gt;0,$E$54-W58-W63,0),IF($B$12&gt;8,0,""))</f>
        <v>7.0942101772309696E-3</v>
      </c>
      <c r="X66" s="89">
        <f>IF(AND($B$12&gt;9,$B$11&gt;9),IF($E$54-X58-X63&gt;0,$E$54-X58-X63,0),IF($B$12&gt;9,0,""))</f>
        <v>5.3460943807755873E-3</v>
      </c>
      <c r="Y66" s="89">
        <f>IF(AND($B$12&gt;10,$B$11&gt;10),IF($E$54-Y58-Y63&gt;0,$E$54-Y58-Y63,0),IF($B$12&gt;10,0,""))</f>
        <v>3.5630162683911032E-3</v>
      </c>
      <c r="Z66" s="89">
        <f>IF(AND($B$12&gt;11,$B$11&gt;11),IF($E$54-Z58-Z63&gt;0,$E$54-Z58-Z63,0),IF($B$12&gt;11,0,""))</f>
        <v>1.74427659375892E-3</v>
      </c>
      <c r="AA66" s="89">
        <f>IF(AND($B$12&gt;12,$B$11&gt;12),IF($E$54-AA58-AA63&gt;0,$E$54-AA58-AA63,0),IF($B$12&gt;12,0,""))</f>
        <v>0</v>
      </c>
      <c r="AB66" s="89">
        <f>IF(AND($B$12&gt;13,$B$11&gt;13),IF($E$54-AB58-AB63&gt;0,$E$54-AB58-AB63,0),IF($B$12&gt;13,0,""))</f>
        <v>0</v>
      </c>
      <c r="AC66" s="89">
        <f>IF(AND($B$12&gt;14,$B$11&gt;14),IF($E$54-AC58-AC63&gt;0,$E$54-AC58-AC63,0),IF($B$12&gt;14,0,""))</f>
        <v>0</v>
      </c>
      <c r="AD66" s="89">
        <f>IF(AND($B$12&gt;15,$B$11&gt;15),IF($E$54-AD58-AD63&gt;0,$E$54-AD58-AD63,0),IF($B$12&gt;15,0,""))</f>
        <v>0</v>
      </c>
      <c r="AE66" s="89">
        <f>IF(AND($B$12&gt;16,$B$11&gt;16),IF($E$54-AE58-AE63&gt;0,$E$54-AE58-AE63,0),IF($B$12&gt;16,0,""))</f>
        <v>0</v>
      </c>
      <c r="AF66" s="89">
        <f>IF(AND($B$12&gt;17,$B$11&gt;17),IF($E$54-AF58-AF63&gt;0,$E$54-AF58-AF63,0),IF($B$12&gt;17,0,""))</f>
        <v>0</v>
      </c>
      <c r="AG66" s="89">
        <f>IF(AND($B$12&gt;18,$B$11&gt;18),IF($E$54-AG58-AG63&gt;0,$E$54-AG58-AG63,0),IF($B$12&gt;18,0,""))</f>
        <v>0</v>
      </c>
      <c r="AH66" s="89">
        <f>IF(AND($B$12&gt;19,$B$11&gt;19),IF($E$54-AH58-AH63&gt;0,$E$54-AH58-AH63,0),IF($B$12&gt;19,0,""))</f>
        <v>0</v>
      </c>
    </row>
    <row r="67" spans="1:34" s="160" customFormat="1" ht="12.75" customHeight="1" x14ac:dyDescent="0.3">
      <c r="A67" s="12" t="str">
        <f>IF(OR(Hulpblad_categorieën_parameters!D29="Zon-PV",Hulpblad_categorieën_parameters!D29="Wind"),"Te verrekenen bedrag op subsidie bij overschrijding opbrengstgrensbedrag elektriciteit (€/kWh)","")</f>
        <v>Te verrekenen bedrag op subsidie bij overschrijding opbrengstgrensbedrag elektriciteit (€/kWh)</v>
      </c>
      <c r="B67" s="53"/>
      <c r="C67" s="12"/>
      <c r="D67" s="165"/>
      <c r="H67" s="176"/>
      <c r="I67" s="176"/>
      <c r="J67" s="176"/>
      <c r="L67" s="175"/>
      <c r="M67" s="87"/>
      <c r="N67" s="165"/>
      <c r="O67" s="89">
        <f>IF(OR(Hulpblad_categorieën_parameters!$D$29="Zon-PV",Hulpblad_categorieën_parameters!$D$29="Wind"),IF(O58&gt;$E$55,$E$55-O58,0),"")</f>
        <v>0</v>
      </c>
      <c r="P67" s="89">
        <f>IF(OR(Hulpblad_categorieën_parameters!$D$29="Zon-PV",Hulpblad_categorieën_parameters!$D$29="Wind"),IF(P58&gt;$E$55,$E$55-P58,0),"")</f>
        <v>0</v>
      </c>
      <c r="Q67" s="89">
        <f>IF(OR(Hulpblad_categorieën_parameters!$D$29="Zon-PV",Hulpblad_categorieën_parameters!$D$29="Wind"),IF(Q58&gt;$E$55,$E$55-Q58,0),"")</f>
        <v>0</v>
      </c>
      <c r="R67" s="89">
        <f>IF(OR(Hulpblad_categorieën_parameters!$D$29="Zon-PV",Hulpblad_categorieën_parameters!$D$29="Wind"),IF(R58&gt;$E$55,$E$55-R58,0),"")</f>
        <v>0</v>
      </c>
      <c r="S67" s="89">
        <f>IF(OR(Hulpblad_categorieën_parameters!$D$29="Zon-PV",Hulpblad_categorieën_parameters!$D$29="Wind"),IF(S58&gt;$E$55,$E$55-S58,0),"")</f>
        <v>0</v>
      </c>
      <c r="T67" s="89">
        <f>IF(OR(Hulpblad_categorieën_parameters!$D$29="Zon-PV",Hulpblad_categorieën_parameters!$D$29="Wind"),IF(T58&gt;$E$55,$E$55-T58,0),"")</f>
        <v>0</v>
      </c>
      <c r="U67" s="89">
        <f>IF(OR(Hulpblad_categorieën_parameters!$D$29="Zon-PV",Hulpblad_categorieën_parameters!$D$29="Wind"),IF(U58&gt;$E$55,$E$55-U58,0),"")</f>
        <v>0</v>
      </c>
      <c r="V67" s="89">
        <f>IF(OR(Hulpblad_categorieën_parameters!$D$29="Zon-PV",Hulpblad_categorieën_parameters!$D$29="Wind"),IF(V58&gt;$E$55,$E$55-V58,0),"")</f>
        <v>0</v>
      </c>
      <c r="W67" s="89">
        <f>IF(OR(Hulpblad_categorieën_parameters!$D$29="Zon-PV",Hulpblad_categorieën_parameters!$D$29="Wind"),IF(W58&gt;$E$55,$E$55-W58,0),"")</f>
        <v>0</v>
      </c>
      <c r="X67" s="89">
        <f>IF(OR(Hulpblad_categorieën_parameters!$D$29="Zon-PV",Hulpblad_categorieën_parameters!$D$29="Wind"),IF(X58&gt;$E$55,$E$55-X58,0),"")</f>
        <v>0</v>
      </c>
      <c r="Y67" s="89">
        <f>IF(OR(Hulpblad_categorieën_parameters!$D$29="Zon-PV",Hulpblad_categorieën_parameters!$D$29="Wind"),IF(Y58&gt;$E$55,$E$55-Y58,0),"")</f>
        <v>0</v>
      </c>
      <c r="Z67" s="89">
        <f>IF(OR(Hulpblad_categorieën_parameters!$D$29="Zon-PV",Hulpblad_categorieën_parameters!$D$29="Wind"),IF(Z58&gt;$E$55,$E$55-Z58,0),"")</f>
        <v>0</v>
      </c>
      <c r="AA67" s="89">
        <f>IF(OR(Hulpblad_categorieën_parameters!$D$29="Zon-PV",Hulpblad_categorieën_parameters!$D$29="Wind"),IF(AA58&gt;$E$55,$E$55-AA58,0),"")</f>
        <v>0</v>
      </c>
      <c r="AB67" s="89">
        <f>IF(OR(Hulpblad_categorieën_parameters!$D$29="Zon-PV",Hulpblad_categorieën_parameters!$D$29="Wind"),IF(AB58&gt;$E$55,$E$55-AB58,0),"")</f>
        <v>0</v>
      </c>
      <c r="AC67" s="89">
        <f>IF(OR(Hulpblad_categorieën_parameters!$D$29="Zon-PV",Hulpblad_categorieën_parameters!$D$29="Wind"),IF(AC58&gt;$E$55,$E$55-AC58,0),"")</f>
        <v>0</v>
      </c>
      <c r="AD67" s="89">
        <f>IF(OR(Hulpblad_categorieën_parameters!$D$29="Zon-PV",Hulpblad_categorieën_parameters!$D$29="Wind"),IF(AD58&gt;$E$55,$E$55-AD58,0),"")</f>
        <v>0</v>
      </c>
      <c r="AE67" s="89">
        <f>IF(OR(Hulpblad_categorieën_parameters!$D$29="Zon-PV",Hulpblad_categorieën_parameters!$D$29="Wind"),IF(AE58&gt;$E$55,$E$55-AE58,0),"")</f>
        <v>0</v>
      </c>
      <c r="AF67" s="89">
        <f>IF(OR(Hulpblad_categorieën_parameters!$D$29="Zon-PV",Hulpblad_categorieën_parameters!$D$29="Wind"),IF(AF58&gt;$E$55,$E$55-AF58,0),"")</f>
        <v>0</v>
      </c>
      <c r="AG67" s="89">
        <f>IF(OR(Hulpblad_categorieën_parameters!$D$29="Zon-PV",Hulpblad_categorieën_parameters!$D$29="Wind"),IF(AG58&gt;$E$55,$E$55-AG58,0),"")</f>
        <v>0</v>
      </c>
      <c r="AH67" s="89">
        <f>IF(OR(Hulpblad_categorieën_parameters!$D$29="Zon-PV",Hulpblad_categorieën_parameters!$D$29="Wind"),IF(AH58&gt;$E$55,$E$55-AH58,0),"")</f>
        <v>0</v>
      </c>
    </row>
    <row r="68" spans="1:34" s="160" customFormat="1" ht="12.75" customHeight="1" x14ac:dyDescent="0.3">
      <c r="A68" s="30" t="s">
        <v>381</v>
      </c>
      <c r="B68" s="53"/>
      <c r="C68" s="12"/>
      <c r="D68" s="165"/>
      <c r="H68" s="176"/>
      <c r="I68" s="176"/>
      <c r="J68" s="176"/>
      <c r="L68" s="175"/>
      <c r="M68" s="87"/>
      <c r="N68" s="165"/>
      <c r="O68" s="57">
        <f>$E$52*O66</f>
        <v>0</v>
      </c>
      <c r="P68" s="57">
        <f>IF(AND(O68&gt;0,P67&lt;0),MAX(-O68,$E$52*P67),$E$52*P66)</f>
        <v>0</v>
      </c>
      <c r="Q68" s="57">
        <f>IF(AND(SUM($O$68:P68)&gt;0,Q67&lt;0),MAX(-SUM($O$68:P68),$E$52*Q67),$E$52*Q66)</f>
        <v>0</v>
      </c>
      <c r="R68" s="57">
        <f>IF(AND(SUM($O$68:Q68)&gt;0,R67&lt;0),MAX(-SUM($O$68:Q68),$E$52*R67),$E$52*R66)</f>
        <v>0</v>
      </c>
      <c r="S68" s="57">
        <f>IF(AND(SUM($O$68:R68)&gt;0,S67&lt;0),MAX(-SUM($O$68:R68),$E$52*S67),$E$52*S66)</f>
        <v>0</v>
      </c>
      <c r="T68" s="57">
        <f>IF(AND($B$12&gt;5,$B$11&gt;5),IF(AND(SUM($O$68:S68)&gt;0,T67&lt;0),MAX(-SUM($O$68:S68),$E$52*T67),$E$52*T66),"")</f>
        <v>0</v>
      </c>
      <c r="U68" s="57">
        <f>IF(AND($B$12&gt;6,$B$11&gt;6),IF(AND(SUM($O$68:T68)&gt;0,U67&lt;0),MAX(-SUM($O$68:T68),$E$52*U67),$E$52*U66),"")</f>
        <v>0</v>
      </c>
      <c r="V68" s="57">
        <f>IF(AND($B$12&gt;7,$B$11&gt;7),IF(AND(SUM($O$68:U68)&gt;0,V67&lt;0),MAX(-SUM($O$68:U68),$E$52*V67),$E$52*V66),"")</f>
        <v>0</v>
      </c>
      <c r="W68" s="57">
        <f>IF(AND($B$12&gt;8,$B$11&gt;8),IF(AND(SUM($O$68:V68)&gt;0,W67&lt;0),MAX(-SUM($O$68:V68),$E$52*W67),$E$52*W66),"")</f>
        <v>0</v>
      </c>
      <c r="X68" s="57">
        <f>IF(AND($B$12&gt;9,$B$11&gt;9),IF(AND(SUM($O$68:W68)&gt;0,X67&lt;0),MAX(-SUM($O$68:W68),$E$52*X67),$E$52*X66),"")</f>
        <v>0</v>
      </c>
      <c r="Y68" s="57">
        <f>IF(AND($B$12&gt;10,$B$11&gt;10),IF(AND(SUM($O$68:X68)&gt;0,Y67&lt;0),MAX(-SUM($O$68:X68),$E$52*Y67),$E$52*Y66),"")</f>
        <v>0</v>
      </c>
      <c r="Z68" s="57">
        <f>IF(AND($B$12&gt;11,$B$11&gt;11),IF(AND(SUM($O$68:Y68)&gt;0,Z67&lt;0),MAX(-SUM($O$68:Y68),$E$52*Z67),$E$52*Z66),"")</f>
        <v>0</v>
      </c>
      <c r="AA68" s="57">
        <f>IF(AND($B$12&gt;12,$B$11&gt;12),IF(AND(SUM($O$68:Z68)&gt;0,AA67&lt;0),MAX(-SUM($O$68:Z68),$E$52*AA67),$E$52*AA66),"")</f>
        <v>0</v>
      </c>
      <c r="AB68" s="57">
        <f>IF(AND($B$12&gt;13,$B$11&gt;13),IF(AND(SUM($O$68:AA68)&gt;0,AB67&lt;0),MAX(-SUM($O$68:AA68),$E$52*AB67),$E$52*AB66),"")</f>
        <v>0</v>
      </c>
      <c r="AC68" s="57">
        <f>IF(AND($B$12&gt;14,$B$11&gt;14),IF(AND(SUM($O$68:AB68)&gt;0,AC67&lt;0),MAX(-SUM($O$68:AB68),$E$52*AC67),$E$52*AC66),"")</f>
        <v>0</v>
      </c>
      <c r="AD68" s="57">
        <f>IF($B$12&gt;15,IF($B$11&gt;15,$E$52*AD66,0),"")</f>
        <v>0</v>
      </c>
      <c r="AE68" s="57">
        <f>IF($B$12&gt;16,IF($B$11&gt;16,$E$52*AE66,0),"")</f>
        <v>0</v>
      </c>
      <c r="AF68" s="57">
        <f>IF($B$12&gt;17,IF($B$11&gt;17,$E$52*AF66,0),"")</f>
        <v>0</v>
      </c>
      <c r="AG68" s="57">
        <f>IF($B$12&gt;18,IF($B$11&gt;18,$E$52*AG66,0),"")</f>
        <v>0</v>
      </c>
      <c r="AH68" s="57">
        <f>IF($B$12&gt;19,IF($B$11&gt;19,$E$52*AH66,0),"")</f>
        <v>0</v>
      </c>
    </row>
    <row r="69" spans="1:34" s="160" customFormat="1" ht="12.75" customHeight="1" x14ac:dyDescent="0.3">
      <c r="A69" s="30"/>
      <c r="B69" s="30"/>
      <c r="C69" s="30"/>
      <c r="L69" s="171"/>
      <c r="M69" s="165"/>
      <c r="N69" s="165"/>
      <c r="O69" s="42"/>
      <c r="P69" s="42"/>
      <c r="Q69" s="42"/>
      <c r="R69" s="42"/>
      <c r="S69" s="42"/>
      <c r="T69" s="42"/>
      <c r="U69" s="42"/>
      <c r="V69" s="42"/>
      <c r="W69" s="154"/>
      <c r="X69" s="154"/>
      <c r="Y69" s="154"/>
      <c r="Z69" s="154"/>
    </row>
    <row r="70" spans="1:34" s="160" customFormat="1" ht="13" x14ac:dyDescent="0.3">
      <c r="A70" s="30" t="s">
        <v>72</v>
      </c>
      <c r="B70" s="30"/>
      <c r="C70" s="30"/>
      <c r="O70" s="164"/>
      <c r="P70" s="164"/>
      <c r="Q70" s="164"/>
      <c r="R70" s="164"/>
      <c r="S70" s="164"/>
      <c r="T70" s="164"/>
      <c r="U70" s="164"/>
      <c r="V70" s="164"/>
      <c r="W70" s="86"/>
      <c r="X70" s="86"/>
      <c r="Y70" s="86"/>
      <c r="Z70" s="86"/>
    </row>
    <row r="71" spans="1:34" s="160" customFormat="1" ht="12.5" x14ac:dyDescent="0.25">
      <c r="A71" s="160" t="s">
        <v>73</v>
      </c>
      <c r="B71" s="398"/>
      <c r="C71" s="399"/>
      <c r="D71" s="399"/>
      <c r="E71" s="399"/>
      <c r="F71" s="399"/>
      <c r="G71" s="399"/>
      <c r="H71" s="399"/>
      <c r="I71" s="399"/>
      <c r="J71" s="399"/>
      <c r="K71" s="399"/>
      <c r="L71" s="400"/>
      <c r="N71" s="164"/>
      <c r="O71" s="179">
        <v>0</v>
      </c>
      <c r="P71" s="180">
        <v>0</v>
      </c>
      <c r="Q71" s="180">
        <v>0</v>
      </c>
      <c r="R71" s="180">
        <v>0</v>
      </c>
      <c r="S71" s="180">
        <v>0</v>
      </c>
      <c r="T71" s="237">
        <v>0</v>
      </c>
      <c r="U71" s="237">
        <v>0</v>
      </c>
      <c r="V71" s="237">
        <v>0</v>
      </c>
      <c r="W71" s="220">
        <f>IF($B$12&gt;8,0,"")</f>
        <v>0</v>
      </c>
      <c r="X71" s="220">
        <f>IF($B$12&gt;9,0,"")</f>
        <v>0</v>
      </c>
      <c r="Y71" s="220">
        <f>IF($B$12&gt;10,0,"")</f>
        <v>0</v>
      </c>
      <c r="Z71" s="220">
        <f>IF($B$12&gt;11,0,"")</f>
        <v>0</v>
      </c>
      <c r="AA71" s="220">
        <f t="shared" ref="AA71:AA72" si="23">IF($B$12&gt;12,0,"")</f>
        <v>0</v>
      </c>
      <c r="AB71" s="220">
        <f>IF($B$12&gt;13,0,"")</f>
        <v>0</v>
      </c>
      <c r="AC71" s="220">
        <f>IF($B$12&gt;14,0,"")</f>
        <v>0</v>
      </c>
      <c r="AD71" s="220">
        <f>IF($B$12&gt;15,0,"")</f>
        <v>0</v>
      </c>
      <c r="AE71" s="220">
        <f>IF($B$12&gt;16,0,"")</f>
        <v>0</v>
      </c>
      <c r="AF71" s="220">
        <f>IF($B$12&gt;17,0,"")</f>
        <v>0</v>
      </c>
      <c r="AG71" s="220">
        <f>IF($B$12&gt;18,0,"")</f>
        <v>0</v>
      </c>
      <c r="AH71" s="220">
        <f>IF($B$12&gt;19,0,"")</f>
        <v>0</v>
      </c>
    </row>
    <row r="72" spans="1:34" s="160" customFormat="1" ht="12.5" x14ac:dyDescent="0.25">
      <c r="A72" s="160" t="s">
        <v>74</v>
      </c>
      <c r="B72" s="401"/>
      <c r="C72" s="295"/>
      <c r="D72" s="295"/>
      <c r="E72" s="295"/>
      <c r="F72" s="295"/>
      <c r="G72" s="295"/>
      <c r="H72" s="295"/>
      <c r="I72" s="295"/>
      <c r="J72" s="295"/>
      <c r="K72" s="295"/>
      <c r="L72" s="296"/>
      <c r="N72" s="164"/>
      <c r="O72" s="218">
        <v>0</v>
      </c>
      <c r="P72" s="219">
        <v>0</v>
      </c>
      <c r="Q72" s="219">
        <v>0</v>
      </c>
      <c r="R72" s="219">
        <v>0</v>
      </c>
      <c r="S72" s="219">
        <v>0</v>
      </c>
      <c r="T72" s="237">
        <v>0</v>
      </c>
      <c r="U72" s="237">
        <v>0</v>
      </c>
      <c r="V72" s="237">
        <v>0</v>
      </c>
      <c r="W72" s="220">
        <f>IF($B$12&gt;8,0,"")</f>
        <v>0</v>
      </c>
      <c r="X72" s="220">
        <f>IF($B$12&gt;9,0,"")</f>
        <v>0</v>
      </c>
      <c r="Y72" s="220">
        <f>IF($B$12&gt;10,0,"")</f>
        <v>0</v>
      </c>
      <c r="Z72" s="220">
        <f>IF($B$12&gt;11,0,"")</f>
        <v>0</v>
      </c>
      <c r="AA72" s="220">
        <f t="shared" si="23"/>
        <v>0</v>
      </c>
      <c r="AB72" s="220">
        <f>IF($B$12&gt;13,0,"")</f>
        <v>0</v>
      </c>
      <c r="AC72" s="220">
        <f>IF($B$12&gt;14,0,"")</f>
        <v>0</v>
      </c>
      <c r="AD72" s="220">
        <f>IF($B$12&gt;15,0,"")</f>
        <v>0</v>
      </c>
      <c r="AE72" s="220">
        <f>IF($B$12&gt;16,0,"")</f>
        <v>0</v>
      </c>
      <c r="AF72" s="220">
        <f>IF($B$12&gt;17,0,"")</f>
        <v>0</v>
      </c>
      <c r="AG72" s="220">
        <f>IF($B$12&gt;18,0,"")</f>
        <v>0</v>
      </c>
      <c r="AH72" s="220">
        <f>IF($B$12&gt;19,0,"")</f>
        <v>0</v>
      </c>
    </row>
    <row r="73" spans="1:34" s="160" customFormat="1" ht="13" x14ac:dyDescent="0.3">
      <c r="A73" s="30" t="s">
        <v>75</v>
      </c>
      <c r="B73" s="30"/>
      <c r="C73" s="30"/>
      <c r="N73" s="164"/>
      <c r="O73" s="42">
        <f>SUM(O71:O72)</f>
        <v>0</v>
      </c>
      <c r="P73" s="42">
        <f>SUM(P71:P72)</f>
        <v>0</v>
      </c>
      <c r="Q73" s="42">
        <f>SUM(Q71:Q72)</f>
        <v>0</v>
      </c>
      <c r="R73" s="42">
        <f>SUM(R71:R72)</f>
        <v>0</v>
      </c>
      <c r="S73" s="42">
        <f>SUM(S71:S72)</f>
        <v>0</v>
      </c>
      <c r="T73" s="42">
        <f>IF($B$12&gt;5,SUM(T71:T72),"")</f>
        <v>0</v>
      </c>
      <c r="U73" s="42">
        <f>IF($B$12&gt;6,SUM(U71:U72),"")</f>
        <v>0</v>
      </c>
      <c r="V73" s="42">
        <f>IF($B$12&gt;7,SUM(V71:V72),"")</f>
        <v>0</v>
      </c>
      <c r="W73" s="42">
        <f>IF($B$12&gt;8,SUM(W71:W72),"")</f>
        <v>0</v>
      </c>
      <c r="X73" s="42">
        <f>IF($B$12&gt;9,SUM(X71:X72),"")</f>
        <v>0</v>
      </c>
      <c r="Y73" s="42">
        <f>IF($B$12&gt;10,SUM(Y71:Y72),"")</f>
        <v>0</v>
      </c>
      <c r="Z73" s="42">
        <f>IF($B$12&gt;11,SUM(Z71:Z72),"")</f>
        <v>0</v>
      </c>
      <c r="AA73" s="42">
        <f>IF($B$12&gt;12,SUM(AA71:AA72),"")</f>
        <v>0</v>
      </c>
      <c r="AB73" s="42">
        <f>IF($B$12&gt;13,SUM(AB71:AB72),"")</f>
        <v>0</v>
      </c>
      <c r="AC73" s="42">
        <f>IF($B$12&gt;14,SUM(AC71:AC72),"")</f>
        <v>0</v>
      </c>
      <c r="AD73" s="42">
        <f>IF($B$12&gt;15,SUM(AD71:AD72),"")</f>
        <v>0</v>
      </c>
      <c r="AE73" s="42">
        <f>IF($B$12&gt;16,SUM(AE71:AE72),"")</f>
        <v>0</v>
      </c>
      <c r="AF73" s="42">
        <f>IF($B$12&gt;17,SUM(AF71:AF72),"")</f>
        <v>0</v>
      </c>
      <c r="AG73" s="42">
        <f>IF($B$12&gt;18,SUM(AG71:AG72),"")</f>
        <v>0</v>
      </c>
      <c r="AH73" s="42">
        <f>IF($B$12&gt;19,SUM(AH71:AH72),"")</f>
        <v>0</v>
      </c>
    </row>
    <row r="74" spans="1:34" s="160" customFormat="1" ht="13" x14ac:dyDescent="0.3">
      <c r="B74" s="30"/>
      <c r="C74" s="30"/>
      <c r="E74" s="163"/>
      <c r="N74" s="164"/>
      <c r="O74" s="163"/>
      <c r="P74" s="163"/>
      <c r="Q74" s="163"/>
      <c r="R74" s="163"/>
      <c r="S74" s="163"/>
      <c r="T74" s="163"/>
      <c r="U74" s="163"/>
      <c r="V74" s="163"/>
      <c r="W74" s="57"/>
      <c r="X74" s="57"/>
      <c r="Y74" s="57"/>
      <c r="Z74" s="57"/>
      <c r="AA74" s="12"/>
      <c r="AB74" s="12"/>
      <c r="AC74" s="12"/>
      <c r="AD74" s="12"/>
      <c r="AE74" s="12"/>
      <c r="AF74" s="12"/>
      <c r="AG74" s="12"/>
      <c r="AH74" s="12"/>
    </row>
    <row r="75" spans="1:34" s="30" customFormat="1" ht="13" x14ac:dyDescent="0.3">
      <c r="A75" s="66" t="s">
        <v>76</v>
      </c>
      <c r="N75" s="43"/>
      <c r="O75" s="42">
        <f>O68+O45+O73+O49</f>
        <v>0</v>
      </c>
      <c r="P75" s="42">
        <f>P68+P45+P73+P49</f>
        <v>0</v>
      </c>
      <c r="Q75" s="42">
        <f>Q68+Q45+Q73+Q49</f>
        <v>0</v>
      </c>
      <c r="R75" s="42">
        <f>R68+R45+R73+R49</f>
        <v>0</v>
      </c>
      <c r="S75" s="42">
        <f>S68+S45+S73+S49</f>
        <v>0</v>
      </c>
      <c r="T75" s="42">
        <f>IF($B$12&gt;5,T68+T45+T73+T49,"")</f>
        <v>0</v>
      </c>
      <c r="U75" s="42">
        <f>IF($B$12&gt;6,U68+U45+U73+U49,"")</f>
        <v>0</v>
      </c>
      <c r="V75" s="42">
        <f>IF($B$12&gt;7,V68+V45+V73+V49,"")</f>
        <v>0</v>
      </c>
      <c r="W75" s="42">
        <f>IF($B$12&gt;8,W68+W45+W73+W49,"")</f>
        <v>0</v>
      </c>
      <c r="X75" s="42">
        <f>IF($B$12&gt;9,X68+X45+X73+X49,"")</f>
        <v>0</v>
      </c>
      <c r="Y75" s="42">
        <f>IF($B$12&gt;10,Y68+Y45+Y73+Y49,"")</f>
        <v>0</v>
      </c>
      <c r="Z75" s="42">
        <f>IF($B$12&gt;11,Z68+Z45+Z73+Z49,"")</f>
        <v>0</v>
      </c>
      <c r="AA75" s="42">
        <f>IF($B$12&gt;12,AA68+AA45+AA73+AA49,"")</f>
        <v>0</v>
      </c>
      <c r="AB75" s="42">
        <f>IF($B$12&gt;13,AB68+AB45+AB73+AB49,"")</f>
        <v>0</v>
      </c>
      <c r="AC75" s="42">
        <f>IF($B$12&gt;14,AC68+AC45+AC73+AC49,"")</f>
        <v>0</v>
      </c>
      <c r="AD75" s="42">
        <f>IF($B$12&gt;15,AD68+AD45+AD73+AD49,"")</f>
        <v>0</v>
      </c>
      <c r="AE75" s="42">
        <f>IF($B$12&gt;16,AE68+AE45+AE73+AE49,"")</f>
        <v>0</v>
      </c>
      <c r="AF75" s="42">
        <f>IF($B$12&gt;17,AF68+AF45+AF73+AF49,"")</f>
        <v>0</v>
      </c>
      <c r="AG75" s="42">
        <f>IF($B$12&gt;18,AG68+AG45+AG73+AG49,"")</f>
        <v>0</v>
      </c>
      <c r="AH75" s="42">
        <f>IF($B$12&gt;19,AH68+AH45+AH73+AH49,"")</f>
        <v>0</v>
      </c>
    </row>
    <row r="76" spans="1:34" x14ac:dyDescent="0.35">
      <c r="M76" s="160"/>
      <c r="N76" s="160"/>
      <c r="O76" s="163"/>
      <c r="P76" s="163"/>
      <c r="Q76" s="163"/>
      <c r="R76" s="163"/>
      <c r="S76" s="163"/>
      <c r="T76" s="163"/>
      <c r="U76" s="163"/>
      <c r="V76" s="163"/>
      <c r="W76" s="213"/>
      <c r="X76" s="213"/>
      <c r="Y76" s="213"/>
      <c r="Z76" s="213"/>
      <c r="AA76" s="40"/>
      <c r="AB76" s="40"/>
      <c r="AC76" s="40"/>
    </row>
    <row r="77" spans="1:34" ht="18" x14ac:dyDescent="0.4">
      <c r="A77" s="28" t="s">
        <v>77</v>
      </c>
      <c r="M77" s="160"/>
      <c r="N77" s="160"/>
      <c r="O77" s="164"/>
      <c r="P77" s="164"/>
      <c r="Q77" s="164"/>
      <c r="R77" s="164"/>
      <c r="S77" s="164"/>
      <c r="T77" s="164"/>
      <c r="U77" s="164"/>
      <c r="V77" s="164"/>
      <c r="W77" s="86"/>
      <c r="X77" s="86"/>
      <c r="Y77" s="86"/>
      <c r="Z77" s="86"/>
      <c r="AA77" s="40"/>
      <c r="AB77" s="40"/>
      <c r="AC77" s="40"/>
    </row>
    <row r="78" spans="1:34" ht="12.75" customHeight="1" x14ac:dyDescent="0.35">
      <c r="A78" s="30" t="s">
        <v>78</v>
      </c>
      <c r="M78" s="160"/>
      <c r="N78" s="160"/>
      <c r="O78" s="164"/>
      <c r="P78" s="164"/>
      <c r="Q78" s="164"/>
      <c r="R78" s="164"/>
      <c r="S78" s="164"/>
      <c r="T78" s="164"/>
      <c r="U78" s="164"/>
      <c r="V78" s="164"/>
      <c r="W78" s="86"/>
      <c r="X78" s="86"/>
      <c r="Y78" s="86"/>
      <c r="Z78" s="86"/>
      <c r="AA78" s="40"/>
      <c r="AB78" s="40"/>
      <c r="AC78" s="40"/>
    </row>
    <row r="79" spans="1:34" ht="12.75" customHeight="1" x14ac:dyDescent="0.35">
      <c r="B79" s="398" t="s">
        <v>79</v>
      </c>
      <c r="C79" s="399"/>
      <c r="D79" s="399"/>
      <c r="E79" s="399"/>
      <c r="F79" s="399"/>
      <c r="G79" s="399"/>
      <c r="H79" s="399"/>
      <c r="I79" s="399"/>
      <c r="J79" s="399"/>
      <c r="K79" s="399"/>
      <c r="L79" s="400"/>
      <c r="M79" s="160"/>
      <c r="N79" s="179">
        <v>0</v>
      </c>
      <c r="O79" s="180">
        <v>0</v>
      </c>
      <c r="P79" s="180">
        <v>0</v>
      </c>
      <c r="Q79" s="180">
        <v>0</v>
      </c>
      <c r="R79" s="180">
        <v>0</v>
      </c>
      <c r="S79" s="180">
        <v>0</v>
      </c>
      <c r="T79" s="237">
        <v>0</v>
      </c>
      <c r="U79" s="237">
        <v>0</v>
      </c>
      <c r="V79" s="237">
        <v>0</v>
      </c>
      <c r="W79" s="220">
        <f t="shared" ref="W79:W90" si="24">IF($B$12&gt;8,0,"")</f>
        <v>0</v>
      </c>
      <c r="X79" s="220">
        <f t="shared" ref="X79:X90" si="25">IF($B$12&gt;9,0,"")</f>
        <v>0</v>
      </c>
      <c r="Y79" s="220">
        <f t="shared" ref="Y79:Y90" si="26">IF($B$12&gt;10,0,"")</f>
        <v>0</v>
      </c>
      <c r="Z79" s="220">
        <f t="shared" ref="Z79:Z90" si="27">IF($B$12&gt;11,0,"")</f>
        <v>0</v>
      </c>
      <c r="AA79" s="220">
        <f t="shared" ref="AA79:AA90" si="28">IF($B$12&gt;12,0,"")</f>
        <v>0</v>
      </c>
      <c r="AB79" s="220">
        <f t="shared" ref="AB79:AB90" si="29">IF($B$12&gt;13,0,"")</f>
        <v>0</v>
      </c>
      <c r="AC79" s="220">
        <f t="shared" ref="AC79:AC90" si="30">IF($B$12&gt;14,0,"")</f>
        <v>0</v>
      </c>
      <c r="AD79" s="220">
        <f t="shared" ref="AD79:AD90" si="31">IF($B$12&gt;15,0,"")</f>
        <v>0</v>
      </c>
      <c r="AE79" s="220">
        <f t="shared" ref="AE79:AE90" si="32">IF($B$12&gt;16,0,"")</f>
        <v>0</v>
      </c>
      <c r="AF79" s="220">
        <f t="shared" ref="AF79:AF90" si="33">IF($B$12&gt;17,0,"")</f>
        <v>0</v>
      </c>
      <c r="AG79" s="220">
        <f t="shared" ref="AG79:AG90" si="34">IF($B$12&gt;18,0,"")</f>
        <v>0</v>
      </c>
      <c r="AH79" s="220">
        <f t="shared" ref="AH79:AH90" si="35">IF($B$12&gt;19,0,"")</f>
        <v>0</v>
      </c>
    </row>
    <row r="80" spans="1:34" ht="12.75" customHeight="1" x14ac:dyDescent="0.35">
      <c r="B80" s="395" t="s">
        <v>80</v>
      </c>
      <c r="C80" s="396"/>
      <c r="D80" s="396"/>
      <c r="E80" s="396"/>
      <c r="F80" s="396"/>
      <c r="G80" s="396"/>
      <c r="H80" s="396"/>
      <c r="I80" s="396"/>
      <c r="J80" s="396"/>
      <c r="K80" s="396"/>
      <c r="L80" s="397"/>
      <c r="M80" s="160"/>
      <c r="N80" s="181">
        <v>0</v>
      </c>
      <c r="O80" s="182">
        <v>0</v>
      </c>
      <c r="P80" s="182">
        <v>0</v>
      </c>
      <c r="Q80" s="182">
        <v>0</v>
      </c>
      <c r="R80" s="182">
        <v>0</v>
      </c>
      <c r="S80" s="182">
        <v>0</v>
      </c>
      <c r="T80" s="237">
        <v>0</v>
      </c>
      <c r="U80" s="237">
        <v>0</v>
      </c>
      <c r="V80" s="237">
        <v>0</v>
      </c>
      <c r="W80" s="220">
        <f t="shared" si="24"/>
        <v>0</v>
      </c>
      <c r="X80" s="220">
        <f t="shared" si="25"/>
        <v>0</v>
      </c>
      <c r="Y80" s="220">
        <f t="shared" si="26"/>
        <v>0</v>
      </c>
      <c r="Z80" s="220">
        <f t="shared" si="27"/>
        <v>0</v>
      </c>
      <c r="AA80" s="220">
        <f t="shared" si="28"/>
        <v>0</v>
      </c>
      <c r="AB80" s="220">
        <f t="shared" si="29"/>
        <v>0</v>
      </c>
      <c r="AC80" s="220">
        <f t="shared" si="30"/>
        <v>0</v>
      </c>
      <c r="AD80" s="220">
        <f t="shared" si="31"/>
        <v>0</v>
      </c>
      <c r="AE80" s="220">
        <f t="shared" si="32"/>
        <v>0</v>
      </c>
      <c r="AF80" s="220">
        <f t="shared" si="33"/>
        <v>0</v>
      </c>
      <c r="AG80" s="220">
        <f t="shared" si="34"/>
        <v>0</v>
      </c>
      <c r="AH80" s="220">
        <f t="shared" si="35"/>
        <v>0</v>
      </c>
    </row>
    <row r="81" spans="1:34" ht="12.75" customHeight="1" x14ac:dyDescent="0.35">
      <c r="B81" s="402" t="s">
        <v>81</v>
      </c>
      <c r="C81" s="403"/>
      <c r="D81" s="403"/>
      <c r="E81" s="403"/>
      <c r="F81" s="403"/>
      <c r="G81" s="403"/>
      <c r="H81" s="403"/>
      <c r="I81" s="403"/>
      <c r="J81" s="403"/>
      <c r="K81" s="403"/>
      <c r="L81" s="404"/>
      <c r="M81" s="160"/>
      <c r="N81" s="181">
        <v>0</v>
      </c>
      <c r="O81" s="182">
        <v>0</v>
      </c>
      <c r="P81" s="182">
        <v>0</v>
      </c>
      <c r="Q81" s="182">
        <v>0</v>
      </c>
      <c r="R81" s="182">
        <v>0</v>
      </c>
      <c r="S81" s="182">
        <v>0</v>
      </c>
      <c r="T81" s="237">
        <v>0</v>
      </c>
      <c r="U81" s="237">
        <v>0</v>
      </c>
      <c r="V81" s="237">
        <v>0</v>
      </c>
      <c r="W81" s="220">
        <f t="shared" si="24"/>
        <v>0</v>
      </c>
      <c r="X81" s="220">
        <f t="shared" si="25"/>
        <v>0</v>
      </c>
      <c r="Y81" s="220">
        <f t="shared" si="26"/>
        <v>0</v>
      </c>
      <c r="Z81" s="220">
        <f t="shared" si="27"/>
        <v>0</v>
      </c>
      <c r="AA81" s="220">
        <f t="shared" si="28"/>
        <v>0</v>
      </c>
      <c r="AB81" s="220">
        <f t="shared" si="29"/>
        <v>0</v>
      </c>
      <c r="AC81" s="220">
        <f t="shared" si="30"/>
        <v>0</v>
      </c>
      <c r="AD81" s="220">
        <f t="shared" si="31"/>
        <v>0</v>
      </c>
      <c r="AE81" s="220">
        <f t="shared" si="32"/>
        <v>0</v>
      </c>
      <c r="AF81" s="220">
        <f t="shared" si="33"/>
        <v>0</v>
      </c>
      <c r="AG81" s="220">
        <f t="shared" si="34"/>
        <v>0</v>
      </c>
      <c r="AH81" s="220">
        <f t="shared" si="35"/>
        <v>0</v>
      </c>
    </row>
    <row r="82" spans="1:34" ht="12.75" customHeight="1" x14ac:dyDescent="0.35">
      <c r="B82" s="402" t="s">
        <v>82</v>
      </c>
      <c r="C82" s="405"/>
      <c r="D82" s="405"/>
      <c r="E82" s="405"/>
      <c r="F82" s="405"/>
      <c r="G82" s="405"/>
      <c r="H82" s="405"/>
      <c r="I82" s="405"/>
      <c r="J82" s="405"/>
      <c r="K82" s="405"/>
      <c r="L82" s="406"/>
      <c r="M82" s="160"/>
      <c r="N82" s="181">
        <v>0</v>
      </c>
      <c r="O82" s="182">
        <v>0</v>
      </c>
      <c r="P82" s="182">
        <v>0</v>
      </c>
      <c r="Q82" s="182">
        <v>0</v>
      </c>
      <c r="R82" s="182">
        <v>0</v>
      </c>
      <c r="S82" s="182">
        <v>0</v>
      </c>
      <c r="T82" s="237">
        <v>0</v>
      </c>
      <c r="U82" s="237">
        <v>0</v>
      </c>
      <c r="V82" s="237">
        <v>0</v>
      </c>
      <c r="W82" s="220">
        <f t="shared" si="24"/>
        <v>0</v>
      </c>
      <c r="X82" s="220">
        <f t="shared" si="25"/>
        <v>0</v>
      </c>
      <c r="Y82" s="220">
        <f t="shared" si="26"/>
        <v>0</v>
      </c>
      <c r="Z82" s="220">
        <f t="shared" si="27"/>
        <v>0</v>
      </c>
      <c r="AA82" s="220">
        <f t="shared" si="28"/>
        <v>0</v>
      </c>
      <c r="AB82" s="220">
        <f t="shared" si="29"/>
        <v>0</v>
      </c>
      <c r="AC82" s="220">
        <f t="shared" si="30"/>
        <v>0</v>
      </c>
      <c r="AD82" s="220">
        <f t="shared" si="31"/>
        <v>0</v>
      </c>
      <c r="AE82" s="220">
        <f t="shared" si="32"/>
        <v>0</v>
      </c>
      <c r="AF82" s="220">
        <f t="shared" si="33"/>
        <v>0</v>
      </c>
      <c r="AG82" s="220">
        <f t="shared" si="34"/>
        <v>0</v>
      </c>
      <c r="AH82" s="220">
        <f t="shared" si="35"/>
        <v>0</v>
      </c>
    </row>
    <row r="83" spans="1:34" ht="12.75" customHeight="1" x14ac:dyDescent="0.35">
      <c r="A83" s="6"/>
      <c r="B83" s="402" t="s">
        <v>83</v>
      </c>
      <c r="C83" s="403"/>
      <c r="D83" s="403"/>
      <c r="E83" s="403"/>
      <c r="F83" s="403"/>
      <c r="G83" s="403"/>
      <c r="H83" s="403"/>
      <c r="I83" s="403"/>
      <c r="J83" s="403"/>
      <c r="K83" s="403"/>
      <c r="L83" s="404"/>
      <c r="M83" s="160"/>
      <c r="N83" s="181">
        <v>0</v>
      </c>
      <c r="O83" s="182">
        <f>0.0292</f>
        <v>2.92E-2</v>
      </c>
      <c r="P83" s="182">
        <f t="shared" ref="P83:S83" si="36">O83*1.02</f>
        <v>2.9784000000000001E-2</v>
      </c>
      <c r="Q83" s="182">
        <f t="shared" si="36"/>
        <v>3.0379680000000003E-2</v>
      </c>
      <c r="R83" s="182">
        <f t="shared" si="36"/>
        <v>3.0987273600000004E-2</v>
      </c>
      <c r="S83" s="182">
        <f t="shared" si="36"/>
        <v>3.1607019072000003E-2</v>
      </c>
      <c r="T83" s="237">
        <v>0</v>
      </c>
      <c r="U83" s="237">
        <v>0</v>
      </c>
      <c r="V83" s="237">
        <v>0</v>
      </c>
      <c r="W83" s="220">
        <f t="shared" si="24"/>
        <v>0</v>
      </c>
      <c r="X83" s="220">
        <f t="shared" si="25"/>
        <v>0</v>
      </c>
      <c r="Y83" s="220">
        <f t="shared" si="26"/>
        <v>0</v>
      </c>
      <c r="Z83" s="220">
        <f t="shared" si="27"/>
        <v>0</v>
      </c>
      <c r="AA83" s="220">
        <f t="shared" si="28"/>
        <v>0</v>
      </c>
      <c r="AB83" s="220">
        <f t="shared" si="29"/>
        <v>0</v>
      </c>
      <c r="AC83" s="220">
        <f t="shared" si="30"/>
        <v>0</v>
      </c>
      <c r="AD83" s="220">
        <f t="shared" si="31"/>
        <v>0</v>
      </c>
      <c r="AE83" s="220">
        <f t="shared" si="32"/>
        <v>0</v>
      </c>
      <c r="AF83" s="220">
        <f t="shared" si="33"/>
        <v>0</v>
      </c>
      <c r="AG83" s="220">
        <f t="shared" si="34"/>
        <v>0</v>
      </c>
      <c r="AH83" s="220">
        <f t="shared" si="35"/>
        <v>0</v>
      </c>
    </row>
    <row r="84" spans="1:34" ht="12.75" customHeight="1" x14ac:dyDescent="0.35">
      <c r="B84" s="402" t="s">
        <v>84</v>
      </c>
      <c r="C84" s="403"/>
      <c r="D84" s="403"/>
      <c r="E84" s="403"/>
      <c r="F84" s="403"/>
      <c r="G84" s="403"/>
      <c r="H84" s="403"/>
      <c r="I84" s="403"/>
      <c r="J84" s="403"/>
      <c r="K84" s="403"/>
      <c r="L84" s="404"/>
      <c r="M84" s="160"/>
      <c r="N84" s="181">
        <v>0</v>
      </c>
      <c r="O84" s="182">
        <v>0</v>
      </c>
      <c r="P84" s="182">
        <v>0</v>
      </c>
      <c r="Q84" s="182">
        <v>0</v>
      </c>
      <c r="R84" s="182">
        <v>0</v>
      </c>
      <c r="S84" s="182">
        <v>0</v>
      </c>
      <c r="T84" s="237">
        <v>0</v>
      </c>
      <c r="U84" s="237">
        <v>0</v>
      </c>
      <c r="V84" s="237">
        <v>0</v>
      </c>
      <c r="W84" s="220">
        <f t="shared" si="24"/>
        <v>0</v>
      </c>
      <c r="X84" s="220">
        <f t="shared" si="25"/>
        <v>0</v>
      </c>
      <c r="Y84" s="220">
        <f t="shared" si="26"/>
        <v>0</v>
      </c>
      <c r="Z84" s="220">
        <f t="shared" si="27"/>
        <v>0</v>
      </c>
      <c r="AA84" s="220">
        <f t="shared" si="28"/>
        <v>0</v>
      </c>
      <c r="AB84" s="220">
        <f t="shared" si="29"/>
        <v>0</v>
      </c>
      <c r="AC84" s="220">
        <f t="shared" si="30"/>
        <v>0</v>
      </c>
      <c r="AD84" s="220">
        <f t="shared" si="31"/>
        <v>0</v>
      </c>
      <c r="AE84" s="220">
        <f t="shared" si="32"/>
        <v>0</v>
      </c>
      <c r="AF84" s="220">
        <f t="shared" si="33"/>
        <v>0</v>
      </c>
      <c r="AG84" s="220">
        <f t="shared" si="34"/>
        <v>0</v>
      </c>
      <c r="AH84" s="220">
        <f t="shared" si="35"/>
        <v>0</v>
      </c>
    </row>
    <row r="85" spans="1:34" ht="12.75" customHeight="1" x14ac:dyDescent="0.35">
      <c r="B85" s="395" t="s">
        <v>85</v>
      </c>
      <c r="C85" s="396"/>
      <c r="D85" s="396"/>
      <c r="E85" s="396"/>
      <c r="F85" s="396"/>
      <c r="G85" s="396"/>
      <c r="H85" s="396"/>
      <c r="I85" s="396"/>
      <c r="J85" s="396"/>
      <c r="K85" s="396"/>
      <c r="L85" s="397"/>
      <c r="M85" s="160"/>
      <c r="N85" s="181">
        <v>0</v>
      </c>
      <c r="O85" s="182">
        <v>0</v>
      </c>
      <c r="P85" s="182">
        <v>0</v>
      </c>
      <c r="Q85" s="182">
        <v>0</v>
      </c>
      <c r="R85" s="182">
        <v>0</v>
      </c>
      <c r="S85" s="182">
        <v>0</v>
      </c>
      <c r="T85" s="237">
        <v>0</v>
      </c>
      <c r="U85" s="237">
        <v>0</v>
      </c>
      <c r="V85" s="237">
        <v>0</v>
      </c>
      <c r="W85" s="220">
        <f t="shared" si="24"/>
        <v>0</v>
      </c>
      <c r="X85" s="220">
        <f t="shared" si="25"/>
        <v>0</v>
      </c>
      <c r="Y85" s="220">
        <f t="shared" si="26"/>
        <v>0</v>
      </c>
      <c r="Z85" s="220">
        <f t="shared" si="27"/>
        <v>0</v>
      </c>
      <c r="AA85" s="220">
        <f t="shared" si="28"/>
        <v>0</v>
      </c>
      <c r="AB85" s="220">
        <f t="shared" si="29"/>
        <v>0</v>
      </c>
      <c r="AC85" s="220">
        <f t="shared" si="30"/>
        <v>0</v>
      </c>
      <c r="AD85" s="220">
        <f t="shared" si="31"/>
        <v>0</v>
      </c>
      <c r="AE85" s="220">
        <f t="shared" si="32"/>
        <v>0</v>
      </c>
      <c r="AF85" s="220">
        <f t="shared" si="33"/>
        <v>0</v>
      </c>
      <c r="AG85" s="220">
        <f t="shared" si="34"/>
        <v>0</v>
      </c>
      <c r="AH85" s="220">
        <f t="shared" si="35"/>
        <v>0</v>
      </c>
    </row>
    <row r="86" spans="1:34" ht="12.75" customHeight="1" x14ac:dyDescent="0.35">
      <c r="B86" s="395" t="s">
        <v>86</v>
      </c>
      <c r="C86" s="405"/>
      <c r="D86" s="405"/>
      <c r="E86" s="405"/>
      <c r="F86" s="405"/>
      <c r="G86" s="405"/>
      <c r="H86" s="405"/>
      <c r="I86" s="405"/>
      <c r="J86" s="405"/>
      <c r="K86" s="405"/>
      <c r="L86" s="406"/>
      <c r="M86" s="160"/>
      <c r="N86" s="181">
        <v>0</v>
      </c>
      <c r="O86" s="182">
        <v>0</v>
      </c>
      <c r="P86" s="182">
        <v>0</v>
      </c>
      <c r="Q86" s="182">
        <v>0</v>
      </c>
      <c r="R86" s="182">
        <v>0</v>
      </c>
      <c r="S86" s="182">
        <v>0</v>
      </c>
      <c r="T86" s="237">
        <v>0</v>
      </c>
      <c r="U86" s="237">
        <v>0</v>
      </c>
      <c r="V86" s="237">
        <v>0</v>
      </c>
      <c r="W86" s="220">
        <f t="shared" si="24"/>
        <v>0</v>
      </c>
      <c r="X86" s="220">
        <f t="shared" si="25"/>
        <v>0</v>
      </c>
      <c r="Y86" s="220">
        <f t="shared" si="26"/>
        <v>0</v>
      </c>
      <c r="Z86" s="220">
        <f t="shared" si="27"/>
        <v>0</v>
      </c>
      <c r="AA86" s="220">
        <f t="shared" si="28"/>
        <v>0</v>
      </c>
      <c r="AB86" s="220">
        <f t="shared" si="29"/>
        <v>0</v>
      </c>
      <c r="AC86" s="220">
        <f t="shared" si="30"/>
        <v>0</v>
      </c>
      <c r="AD86" s="220">
        <f t="shared" si="31"/>
        <v>0</v>
      </c>
      <c r="AE86" s="220">
        <f t="shared" si="32"/>
        <v>0</v>
      </c>
      <c r="AF86" s="220">
        <f t="shared" si="33"/>
        <v>0</v>
      </c>
      <c r="AG86" s="220">
        <f t="shared" si="34"/>
        <v>0</v>
      </c>
      <c r="AH86" s="220">
        <f t="shared" si="35"/>
        <v>0</v>
      </c>
    </row>
    <row r="87" spans="1:34" ht="12.75" customHeight="1" x14ac:dyDescent="0.35">
      <c r="B87" s="395" t="s">
        <v>87</v>
      </c>
      <c r="C87" s="396"/>
      <c r="D87" s="396"/>
      <c r="E87" s="396"/>
      <c r="F87" s="396"/>
      <c r="G87" s="396"/>
      <c r="H87" s="396"/>
      <c r="I87" s="396"/>
      <c r="J87" s="396"/>
      <c r="K87" s="396"/>
      <c r="L87" s="397"/>
      <c r="M87" s="160"/>
      <c r="N87" s="181">
        <v>0</v>
      </c>
      <c r="O87" s="182">
        <v>0</v>
      </c>
      <c r="P87" s="182">
        <v>0</v>
      </c>
      <c r="Q87" s="182">
        <v>0</v>
      </c>
      <c r="R87" s="182">
        <v>0</v>
      </c>
      <c r="S87" s="182">
        <v>0</v>
      </c>
      <c r="T87" s="237">
        <v>0</v>
      </c>
      <c r="U87" s="237">
        <v>0</v>
      </c>
      <c r="V87" s="237">
        <v>0</v>
      </c>
      <c r="W87" s="220">
        <f t="shared" si="24"/>
        <v>0</v>
      </c>
      <c r="X87" s="220">
        <f t="shared" si="25"/>
        <v>0</v>
      </c>
      <c r="Y87" s="220">
        <f t="shared" si="26"/>
        <v>0</v>
      </c>
      <c r="Z87" s="220">
        <f t="shared" si="27"/>
        <v>0</v>
      </c>
      <c r="AA87" s="220">
        <f t="shared" si="28"/>
        <v>0</v>
      </c>
      <c r="AB87" s="220">
        <f t="shared" si="29"/>
        <v>0</v>
      </c>
      <c r="AC87" s="220">
        <f t="shared" si="30"/>
        <v>0</v>
      </c>
      <c r="AD87" s="220">
        <f t="shared" si="31"/>
        <v>0</v>
      </c>
      <c r="AE87" s="220">
        <f t="shared" si="32"/>
        <v>0</v>
      </c>
      <c r="AF87" s="220">
        <f t="shared" si="33"/>
        <v>0</v>
      </c>
      <c r="AG87" s="220">
        <f t="shared" si="34"/>
        <v>0</v>
      </c>
      <c r="AH87" s="220">
        <f t="shared" si="35"/>
        <v>0</v>
      </c>
    </row>
    <row r="88" spans="1:34" ht="12.75" customHeight="1" x14ac:dyDescent="0.35">
      <c r="B88" s="395" t="s">
        <v>88</v>
      </c>
      <c r="C88" s="396"/>
      <c r="D88" s="396"/>
      <c r="E88" s="396"/>
      <c r="F88" s="396"/>
      <c r="G88" s="396"/>
      <c r="H88" s="396"/>
      <c r="I88" s="396"/>
      <c r="J88" s="396"/>
      <c r="K88" s="396"/>
      <c r="L88" s="397"/>
      <c r="M88" s="160"/>
      <c r="N88" s="181">
        <v>0</v>
      </c>
      <c r="O88" s="182">
        <v>0</v>
      </c>
      <c r="P88" s="182">
        <v>0</v>
      </c>
      <c r="Q88" s="182">
        <v>0</v>
      </c>
      <c r="R88" s="182">
        <v>0</v>
      </c>
      <c r="S88" s="182">
        <v>0</v>
      </c>
      <c r="T88" s="237">
        <v>0</v>
      </c>
      <c r="U88" s="237">
        <v>0</v>
      </c>
      <c r="V88" s="237">
        <v>0</v>
      </c>
      <c r="W88" s="220">
        <f t="shared" si="24"/>
        <v>0</v>
      </c>
      <c r="X88" s="220">
        <f t="shared" si="25"/>
        <v>0</v>
      </c>
      <c r="Y88" s="220">
        <f t="shared" si="26"/>
        <v>0</v>
      </c>
      <c r="Z88" s="220">
        <f t="shared" si="27"/>
        <v>0</v>
      </c>
      <c r="AA88" s="220">
        <f t="shared" si="28"/>
        <v>0</v>
      </c>
      <c r="AB88" s="220">
        <f t="shared" si="29"/>
        <v>0</v>
      </c>
      <c r="AC88" s="220">
        <f t="shared" si="30"/>
        <v>0</v>
      </c>
      <c r="AD88" s="220">
        <f t="shared" si="31"/>
        <v>0</v>
      </c>
      <c r="AE88" s="220">
        <f t="shared" si="32"/>
        <v>0</v>
      </c>
      <c r="AF88" s="220">
        <f t="shared" si="33"/>
        <v>0</v>
      </c>
      <c r="AG88" s="220">
        <f t="shared" si="34"/>
        <v>0</v>
      </c>
      <c r="AH88" s="220">
        <f t="shared" si="35"/>
        <v>0</v>
      </c>
    </row>
    <row r="89" spans="1:34" ht="12.75" customHeight="1" x14ac:dyDescent="0.35">
      <c r="B89" s="402" t="s">
        <v>89</v>
      </c>
      <c r="C89" s="403"/>
      <c r="D89" s="403"/>
      <c r="E89" s="403"/>
      <c r="F89" s="403"/>
      <c r="G89" s="403"/>
      <c r="H89" s="403"/>
      <c r="I89" s="403"/>
      <c r="J89" s="403"/>
      <c r="K89" s="403"/>
      <c r="L89" s="404"/>
      <c r="M89" s="160"/>
      <c r="N89" s="181">
        <v>0</v>
      </c>
      <c r="O89" s="182">
        <v>0</v>
      </c>
      <c r="P89" s="182">
        <v>0</v>
      </c>
      <c r="Q89" s="182">
        <v>0</v>
      </c>
      <c r="R89" s="182">
        <v>0</v>
      </c>
      <c r="S89" s="182">
        <v>0</v>
      </c>
      <c r="T89" s="237">
        <v>0</v>
      </c>
      <c r="U89" s="237">
        <v>0</v>
      </c>
      <c r="V89" s="237">
        <v>0</v>
      </c>
      <c r="W89" s="220">
        <f t="shared" si="24"/>
        <v>0</v>
      </c>
      <c r="X89" s="220">
        <f t="shared" si="25"/>
        <v>0</v>
      </c>
      <c r="Y89" s="220">
        <f t="shared" si="26"/>
        <v>0</v>
      </c>
      <c r="Z89" s="220">
        <f t="shared" si="27"/>
        <v>0</v>
      </c>
      <c r="AA89" s="220">
        <f t="shared" si="28"/>
        <v>0</v>
      </c>
      <c r="AB89" s="220">
        <f t="shared" si="29"/>
        <v>0</v>
      </c>
      <c r="AC89" s="220">
        <f t="shared" si="30"/>
        <v>0</v>
      </c>
      <c r="AD89" s="220">
        <f t="shared" si="31"/>
        <v>0</v>
      </c>
      <c r="AE89" s="220">
        <f t="shared" si="32"/>
        <v>0</v>
      </c>
      <c r="AF89" s="220">
        <f t="shared" si="33"/>
        <v>0</v>
      </c>
      <c r="AG89" s="220">
        <f t="shared" si="34"/>
        <v>0</v>
      </c>
      <c r="AH89" s="220">
        <f t="shared" si="35"/>
        <v>0</v>
      </c>
    </row>
    <row r="90" spans="1:34" ht="12.75" customHeight="1" x14ac:dyDescent="0.35">
      <c r="B90" s="395" t="s">
        <v>90</v>
      </c>
      <c r="C90" s="396"/>
      <c r="D90" s="396"/>
      <c r="E90" s="396"/>
      <c r="F90" s="396"/>
      <c r="G90" s="396"/>
      <c r="H90" s="396"/>
      <c r="I90" s="396"/>
      <c r="J90" s="396"/>
      <c r="K90" s="396"/>
      <c r="L90" s="397"/>
      <c r="M90" s="160"/>
      <c r="N90" s="181">
        <v>0</v>
      </c>
      <c r="O90" s="182">
        <v>0</v>
      </c>
      <c r="P90" s="182">
        <v>0</v>
      </c>
      <c r="Q90" s="182">
        <v>0</v>
      </c>
      <c r="R90" s="182">
        <v>0</v>
      </c>
      <c r="S90" s="182">
        <v>0</v>
      </c>
      <c r="T90" s="237">
        <v>0</v>
      </c>
      <c r="U90" s="237">
        <v>0</v>
      </c>
      <c r="V90" s="237">
        <v>0</v>
      </c>
      <c r="W90" s="220">
        <f t="shared" si="24"/>
        <v>0</v>
      </c>
      <c r="X90" s="220">
        <f t="shared" si="25"/>
        <v>0</v>
      </c>
      <c r="Y90" s="220">
        <f t="shared" si="26"/>
        <v>0</v>
      </c>
      <c r="Z90" s="220">
        <f t="shared" si="27"/>
        <v>0</v>
      </c>
      <c r="AA90" s="220">
        <f t="shared" si="28"/>
        <v>0</v>
      </c>
      <c r="AB90" s="220">
        <f t="shared" si="29"/>
        <v>0</v>
      </c>
      <c r="AC90" s="220">
        <f t="shared" si="30"/>
        <v>0</v>
      </c>
      <c r="AD90" s="220">
        <f t="shared" si="31"/>
        <v>0</v>
      </c>
      <c r="AE90" s="220">
        <f t="shared" si="32"/>
        <v>0</v>
      </c>
      <c r="AF90" s="220">
        <f t="shared" si="33"/>
        <v>0</v>
      </c>
      <c r="AG90" s="220">
        <f t="shared" si="34"/>
        <v>0</v>
      </c>
      <c r="AH90" s="220">
        <f t="shared" si="35"/>
        <v>0</v>
      </c>
    </row>
    <row r="91" spans="1:34" ht="12.75" customHeight="1" x14ac:dyDescent="0.35">
      <c r="B91" s="407" t="s">
        <v>91</v>
      </c>
      <c r="C91" s="408"/>
      <c r="D91" s="408"/>
      <c r="E91" s="408"/>
      <c r="F91" s="408"/>
      <c r="G91" s="408"/>
      <c r="H91" s="408"/>
      <c r="I91" s="408"/>
      <c r="J91" s="408"/>
      <c r="K91" s="408"/>
      <c r="L91" s="409"/>
      <c r="M91" s="6"/>
      <c r="N91" s="90">
        <v>0</v>
      </c>
      <c r="O91" s="91">
        <v>0</v>
      </c>
      <c r="P91" s="91">
        <v>0</v>
      </c>
      <c r="Q91" s="91">
        <v>0</v>
      </c>
      <c r="R91" s="91">
        <v>0</v>
      </c>
      <c r="S91" s="91">
        <v>0</v>
      </c>
      <c r="T91" s="237">
        <v>0</v>
      </c>
      <c r="U91" s="237">
        <v>0</v>
      </c>
      <c r="V91" s="237">
        <v>0</v>
      </c>
      <c r="W91" s="237">
        <v>0</v>
      </c>
      <c r="X91" s="237">
        <v>0</v>
      </c>
      <c r="Y91" s="237">
        <v>0</v>
      </c>
      <c r="Z91" s="237">
        <v>0</v>
      </c>
      <c r="AA91" s="237">
        <v>0</v>
      </c>
      <c r="AB91" s="237">
        <v>0</v>
      </c>
      <c r="AC91" s="237">
        <v>0</v>
      </c>
      <c r="AD91" s="237">
        <v>0</v>
      </c>
      <c r="AE91" s="237">
        <v>0</v>
      </c>
      <c r="AF91" s="237">
        <v>0</v>
      </c>
      <c r="AG91" s="237">
        <v>0</v>
      </c>
      <c r="AH91" s="237">
        <v>0</v>
      </c>
    </row>
    <row r="92" spans="1:34" s="30" customFormat="1" ht="12.75" customHeight="1" x14ac:dyDescent="0.3">
      <c r="B92" s="30" t="s">
        <v>78</v>
      </c>
      <c r="C92" s="43"/>
      <c r="D92" s="43"/>
      <c r="E92" s="43"/>
      <c r="F92" s="43"/>
      <c r="G92" s="43"/>
      <c r="H92" s="43"/>
      <c r="I92" s="43"/>
      <c r="J92" s="43"/>
      <c r="K92" s="43"/>
      <c r="L92" s="43"/>
      <c r="N92" s="42">
        <f t="shared" ref="N92:S92" si="37">SUM(N79:N91)</f>
        <v>0</v>
      </c>
      <c r="O92" s="42">
        <f t="shared" si="37"/>
        <v>2.92E-2</v>
      </c>
      <c r="P92" s="42">
        <f t="shared" si="37"/>
        <v>2.9784000000000001E-2</v>
      </c>
      <c r="Q92" s="42">
        <f t="shared" si="37"/>
        <v>3.0379680000000003E-2</v>
      </c>
      <c r="R92" s="42">
        <f t="shared" si="37"/>
        <v>3.0987273600000004E-2</v>
      </c>
      <c r="S92" s="42">
        <f t="shared" si="37"/>
        <v>3.1607019072000003E-2</v>
      </c>
      <c r="T92" s="42">
        <f>IF($B$12&gt;5,SUM(T79:T91),"")</f>
        <v>0</v>
      </c>
      <c r="U92" s="42">
        <f>IF($B$12&gt;6,SUM(U79:U91),"")</f>
        <v>0</v>
      </c>
      <c r="V92" s="42">
        <f>IF($B$12&gt;7,SUM(V79:V91),"")</f>
        <v>0</v>
      </c>
      <c r="W92" s="42">
        <f>IF($B$12&gt;8,SUM(W79:W91),"")</f>
        <v>0</v>
      </c>
      <c r="X92" s="42">
        <f>IF($B$12&gt;9,SUM(X79:X91),"")</f>
        <v>0</v>
      </c>
      <c r="Y92" s="42">
        <f>IF($B$12&gt;10,SUM(Y79:Y91),"")</f>
        <v>0</v>
      </c>
      <c r="Z92" s="42">
        <f>IF($B$12&gt;11,SUM(Z79:Z91),"")</f>
        <v>0</v>
      </c>
      <c r="AA92" s="42">
        <f>IF($B$12&gt;12,SUM(AA79:AA91),"")</f>
        <v>0</v>
      </c>
      <c r="AB92" s="42">
        <f>IF($B$12&gt;13,SUM(AB79:AB91),"")</f>
        <v>0</v>
      </c>
      <c r="AC92" s="42">
        <f>IF($B$12&gt;14,SUM(AC79:AC91),"")</f>
        <v>0</v>
      </c>
      <c r="AD92" s="42">
        <f>IF($B$12&gt;15,SUM(AD79:AD91),"")</f>
        <v>0</v>
      </c>
      <c r="AE92" s="42">
        <f>IF($B$12&gt;16,SUM(AE79:AE91),"")</f>
        <v>0</v>
      </c>
      <c r="AF92" s="42">
        <f>IF($B$12&gt;17,SUM(AF79:AF91),"")</f>
        <v>0</v>
      </c>
      <c r="AG92" s="42">
        <f>IF($B$12&gt;18,SUM(AG79:AG91),"")</f>
        <v>0</v>
      </c>
      <c r="AH92" s="42">
        <f>IF($B$12&gt;19,SUM(AH79:AH91),"")</f>
        <v>0</v>
      </c>
    </row>
    <row r="93" spans="1:34" s="30" customFormat="1" ht="12.75" customHeight="1" x14ac:dyDescent="0.3">
      <c r="B93" s="43"/>
      <c r="C93" s="43"/>
      <c r="D93" s="43"/>
      <c r="E93" s="43"/>
      <c r="F93" s="43"/>
      <c r="G93" s="43"/>
      <c r="H93" s="43"/>
      <c r="I93" s="43"/>
      <c r="J93" s="43"/>
      <c r="K93" s="43"/>
      <c r="L93" s="43"/>
      <c r="N93" s="42"/>
      <c r="O93" s="42"/>
      <c r="P93" s="42"/>
      <c r="Q93" s="42"/>
      <c r="R93" s="42"/>
      <c r="S93" s="42"/>
      <c r="T93" s="42"/>
      <c r="U93" s="42"/>
      <c r="V93" s="42"/>
      <c r="W93" s="154"/>
      <c r="X93" s="154"/>
      <c r="Y93" s="154"/>
      <c r="Z93" s="154"/>
      <c r="AA93" s="6"/>
      <c r="AB93" s="6"/>
      <c r="AC93" s="6"/>
    </row>
    <row r="94" spans="1:34" s="30" customFormat="1" ht="12.75" customHeight="1" x14ac:dyDescent="0.3">
      <c r="A94" s="30" t="str">
        <f>IF(Hulpblad_overig!B42=0,"Verwachte kosten (+) en opbrengsten (-) biomassa en bijproducten (€)","U vraagt niet aan voor biomassa, regels 94 t/m 106 kunt u overslaan!")</f>
        <v>U vraagt niet aan voor biomassa, regels 94 t/m 106 kunt u overslaan!</v>
      </c>
      <c r="B94" s="43"/>
      <c r="C94" s="43"/>
      <c r="D94" s="43"/>
      <c r="E94" s="43"/>
      <c r="F94" s="43"/>
      <c r="G94" s="43"/>
      <c r="H94" s="43"/>
      <c r="I94" s="43"/>
      <c r="J94" s="43"/>
      <c r="K94" s="43"/>
      <c r="L94" s="43"/>
      <c r="N94" s="43"/>
      <c r="O94" s="43"/>
      <c r="P94" s="43"/>
      <c r="Q94" s="43"/>
      <c r="R94" s="43"/>
      <c r="S94" s="43"/>
      <c r="T94" s="43"/>
      <c r="U94" s="43"/>
      <c r="V94" s="43"/>
      <c r="W94" s="11"/>
      <c r="X94" s="11"/>
      <c r="Y94" s="11"/>
      <c r="Z94" s="11"/>
      <c r="AA94" s="6"/>
      <c r="AB94" s="6"/>
      <c r="AC94" s="6"/>
    </row>
    <row r="95" spans="1:34" s="30" customFormat="1" ht="12.75" customHeight="1" x14ac:dyDescent="0.3">
      <c r="B95" s="43"/>
      <c r="C95" s="43"/>
      <c r="D95" s="43"/>
      <c r="E95" s="43"/>
      <c r="F95" s="43"/>
      <c r="G95" s="43"/>
      <c r="H95" s="43"/>
      <c r="I95" s="43"/>
      <c r="J95" s="43"/>
      <c r="K95" s="43"/>
      <c r="L95" s="43"/>
      <c r="N95" s="43"/>
      <c r="O95" s="43"/>
      <c r="P95" s="43"/>
      <c r="Q95" s="43"/>
      <c r="R95" s="43"/>
      <c r="S95" s="43"/>
      <c r="T95" s="43"/>
      <c r="U95" s="43"/>
      <c r="V95" s="43"/>
      <c r="W95" s="11"/>
      <c r="X95" s="11"/>
      <c r="Y95" s="11"/>
      <c r="Z95" s="11"/>
      <c r="AA95" s="6"/>
      <c r="AB95" s="6"/>
      <c r="AC95" s="6"/>
    </row>
    <row r="96" spans="1:34" s="30" customFormat="1" ht="12.75" customHeight="1" x14ac:dyDescent="0.3">
      <c r="B96" s="410" t="s">
        <v>92</v>
      </c>
      <c r="C96" s="410"/>
      <c r="D96" s="43"/>
      <c r="E96" s="43"/>
      <c r="F96" s="43"/>
      <c r="G96" s="43"/>
      <c r="H96" s="43"/>
      <c r="I96" s="43"/>
      <c r="J96" s="43"/>
      <c r="K96" s="43"/>
      <c r="L96" s="43"/>
      <c r="N96" s="43"/>
      <c r="O96" s="43"/>
      <c r="P96" s="43"/>
      <c r="Q96" s="43"/>
      <c r="R96" s="43"/>
      <c r="S96" s="43"/>
      <c r="T96" s="43"/>
      <c r="U96" s="43"/>
      <c r="V96" s="43"/>
      <c r="W96" s="11"/>
      <c r="X96" s="11"/>
      <c r="Y96" s="11"/>
      <c r="Z96" s="11"/>
      <c r="AA96" s="6"/>
      <c r="AB96" s="6"/>
      <c r="AC96" s="6"/>
    </row>
    <row r="97" spans="1:34" s="30" customFormat="1" ht="12.75" customHeight="1" x14ac:dyDescent="0.3">
      <c r="A97" s="12"/>
      <c r="B97" s="411"/>
      <c r="C97" s="411"/>
      <c r="D97" s="43"/>
      <c r="E97" s="12" t="s">
        <v>93</v>
      </c>
      <c r="F97" s="16"/>
      <c r="G97" s="43"/>
      <c r="H97" s="412" t="s">
        <v>94</v>
      </c>
      <c r="I97" s="412"/>
      <c r="J97" s="412"/>
      <c r="K97" s="12"/>
      <c r="L97" s="12" t="s">
        <v>95</v>
      </c>
      <c r="W97" s="6"/>
      <c r="X97" s="6"/>
      <c r="Y97" s="6"/>
      <c r="Z97" s="6"/>
      <c r="AA97" s="6"/>
      <c r="AB97" s="6"/>
      <c r="AC97" s="6"/>
    </row>
    <row r="98" spans="1:34" s="30" customFormat="1" ht="12.75" customHeight="1" x14ac:dyDescent="0.3">
      <c r="A98" s="155">
        <f>Hulpblad_overig!B42</f>
        <v>1</v>
      </c>
      <c r="B98" s="289"/>
      <c r="C98" s="291"/>
      <c r="D98" s="43"/>
      <c r="E98" s="194">
        <v>0</v>
      </c>
      <c r="F98" s="43"/>
      <c r="G98" s="43"/>
      <c r="H98" s="413">
        <v>0</v>
      </c>
      <c r="I98" s="414"/>
      <c r="J98" s="415"/>
      <c r="K98" s="43"/>
      <c r="L98" s="192">
        <v>0.02</v>
      </c>
      <c r="M98" s="68"/>
      <c r="N98" s="42"/>
      <c r="O98" s="57">
        <f>IF($A$98=0,(E98*H98),0)</f>
        <v>0</v>
      </c>
      <c r="P98" s="57">
        <f>O98*(1+$L98)</f>
        <v>0</v>
      </c>
      <c r="Q98" s="57">
        <f t="shared" ref="Q98:S98" si="38">P98*(1+$L98)</f>
        <v>0</v>
      </c>
      <c r="R98" s="57">
        <f t="shared" si="38"/>
        <v>0</v>
      </c>
      <c r="S98" s="57">
        <f t="shared" si="38"/>
        <v>0</v>
      </c>
      <c r="T98" s="57">
        <f t="shared" ref="T98:T107" si="39">IF($B$12&gt;5,S98*(1+$L98),"")</f>
        <v>0</v>
      </c>
      <c r="U98" s="57">
        <f t="shared" ref="U98:U107" si="40">IF($B$12&gt;6,T98*(1+$L98),"")</f>
        <v>0</v>
      </c>
      <c r="V98" s="57">
        <f t="shared" ref="V98:V107" si="41">IF($B$12&gt;7,U98*(1+$L98),"")</f>
        <v>0</v>
      </c>
      <c r="W98" s="57">
        <f t="shared" ref="W98:W107" si="42">IF($B$12&gt;8,V98*(1+$L98),"")</f>
        <v>0</v>
      </c>
      <c r="X98" s="57">
        <f>IF($B$12&gt;9,W98*(1+$L98),"")</f>
        <v>0</v>
      </c>
      <c r="Y98" s="57">
        <f>IF($B$12&gt;10,X98*(1+$L98),"")</f>
        <v>0</v>
      </c>
      <c r="Z98" s="57">
        <f>IF($B$12&gt;11,Y98*(1+$L98),"")</f>
        <v>0</v>
      </c>
      <c r="AA98" s="57">
        <f t="shared" ref="AA98" si="43">IF($B$12&gt;12,Z98*(1+$L98),"")</f>
        <v>0</v>
      </c>
      <c r="AB98" s="57">
        <f>IF($B$12&gt;13,AA98*(1+$L98),"")</f>
        <v>0</v>
      </c>
      <c r="AC98" s="57">
        <f>IF($B$12&gt;14,AB98*(1+$L98),"")</f>
        <v>0</v>
      </c>
      <c r="AD98" s="57">
        <f>IF($B$12&gt;15,AC98*(1+$L98),"")</f>
        <v>0</v>
      </c>
      <c r="AE98" s="57">
        <f>IF($B$12&gt;16,AD98*(1+$L98),"")</f>
        <v>0</v>
      </c>
      <c r="AF98" s="57">
        <f>IF($B$12&gt;17,AE98*(1+$L98),"")</f>
        <v>0</v>
      </c>
      <c r="AG98" s="57">
        <f>IF($B$12&gt;18,AF98*(1+$L98),"")</f>
        <v>0</v>
      </c>
      <c r="AH98" s="57">
        <f>IF($B$12&gt;19,AG98*(1+$L98),"")</f>
        <v>0</v>
      </c>
    </row>
    <row r="99" spans="1:34" s="30" customFormat="1" ht="12.75" customHeight="1" x14ac:dyDescent="0.3">
      <c r="B99" s="273"/>
      <c r="C99" s="275"/>
      <c r="D99" s="43"/>
      <c r="E99" s="10">
        <v>0</v>
      </c>
      <c r="F99" s="43"/>
      <c r="G99" s="43"/>
      <c r="H99" s="416">
        <v>0</v>
      </c>
      <c r="I99" s="417"/>
      <c r="J99" s="418"/>
      <c r="K99" s="43"/>
      <c r="L99" s="196">
        <v>0.02</v>
      </c>
      <c r="M99" s="68"/>
      <c r="N99" s="42"/>
      <c r="O99" s="57">
        <f t="shared" ref="O99:O107" si="44">IF($A$98=0,(E99*H99),0)</f>
        <v>0</v>
      </c>
      <c r="P99" s="57">
        <f t="shared" ref="P99:S107" si="45">O99*(1+$L99)</f>
        <v>0</v>
      </c>
      <c r="Q99" s="57">
        <f t="shared" si="45"/>
        <v>0</v>
      </c>
      <c r="R99" s="57">
        <f t="shared" si="45"/>
        <v>0</v>
      </c>
      <c r="S99" s="57">
        <f t="shared" si="45"/>
        <v>0</v>
      </c>
      <c r="T99" s="57">
        <f t="shared" si="39"/>
        <v>0</v>
      </c>
      <c r="U99" s="57">
        <f t="shared" si="40"/>
        <v>0</v>
      </c>
      <c r="V99" s="57">
        <f t="shared" si="41"/>
        <v>0</v>
      </c>
      <c r="W99" s="57">
        <f t="shared" si="42"/>
        <v>0</v>
      </c>
      <c r="X99" s="57">
        <f t="shared" ref="X99:X107" si="46">IF($B$12&gt;9,W99*(1+$L99),"")</f>
        <v>0</v>
      </c>
      <c r="Y99" s="57">
        <f t="shared" ref="Y99:Y107" si="47">IF($B$12&gt;10,X99*(1+$L99),"")</f>
        <v>0</v>
      </c>
      <c r="Z99" s="57">
        <f t="shared" ref="Z99:Z107" si="48">IF($B$12&gt;11,Y99*(1+$L99),"")</f>
        <v>0</v>
      </c>
      <c r="AA99" s="57">
        <f t="shared" ref="AA99:AA107" si="49">IF($B$12&gt;12,Z99*(1+$L99),"")</f>
        <v>0</v>
      </c>
      <c r="AB99" s="57">
        <f t="shared" ref="AB99:AB107" si="50">IF($B$12&gt;13,AA99*(1+$L99),"")</f>
        <v>0</v>
      </c>
      <c r="AC99" s="57">
        <f t="shared" ref="AC99:AC107" si="51">IF($B$12&gt;14,AB99*(1+$L99),"")</f>
        <v>0</v>
      </c>
      <c r="AD99" s="57">
        <f t="shared" ref="AD99:AD107" si="52">IF($B$12&gt;15,AC99*(1+$L99),"")</f>
        <v>0</v>
      </c>
      <c r="AE99" s="57">
        <f t="shared" ref="AE99:AE107" si="53">IF($B$12&gt;16,AD99*(1+$L99),"")</f>
        <v>0</v>
      </c>
      <c r="AF99" s="57">
        <f t="shared" ref="AF99:AF107" si="54">IF($B$12&gt;17,AE99*(1+$L99),"")</f>
        <v>0</v>
      </c>
      <c r="AG99" s="57">
        <f t="shared" ref="AG99:AG107" si="55">IF($B$12&gt;18,AF99*(1+$L99),"")</f>
        <v>0</v>
      </c>
      <c r="AH99" s="57">
        <f t="shared" ref="AH99:AH107" si="56">IF($B$12&gt;19,AG99*(1+$L99),"")</f>
        <v>0</v>
      </c>
    </row>
    <row r="100" spans="1:34" s="30" customFormat="1" ht="12.75" customHeight="1" x14ac:dyDescent="0.35">
      <c r="B100" s="273"/>
      <c r="C100" s="275"/>
      <c r="D100" s="43"/>
      <c r="E100" s="10">
        <v>0</v>
      </c>
      <c r="F100" s="43"/>
      <c r="G100" s="43"/>
      <c r="H100" s="419">
        <v>0</v>
      </c>
      <c r="I100" s="420"/>
      <c r="J100" s="421"/>
      <c r="K100" s="43"/>
      <c r="L100" s="196">
        <v>0.02</v>
      </c>
      <c r="M100" s="68"/>
      <c r="N100" s="42"/>
      <c r="O100" s="57">
        <f t="shared" si="44"/>
        <v>0</v>
      </c>
      <c r="P100" s="57">
        <f t="shared" si="45"/>
        <v>0</v>
      </c>
      <c r="Q100" s="57">
        <f t="shared" si="45"/>
        <v>0</v>
      </c>
      <c r="R100" s="57">
        <f t="shared" si="45"/>
        <v>0</v>
      </c>
      <c r="S100" s="57">
        <f t="shared" si="45"/>
        <v>0</v>
      </c>
      <c r="T100" s="57">
        <f t="shared" si="39"/>
        <v>0</v>
      </c>
      <c r="U100" s="57">
        <f t="shared" si="40"/>
        <v>0</v>
      </c>
      <c r="V100" s="57">
        <f t="shared" si="41"/>
        <v>0</v>
      </c>
      <c r="W100" s="57">
        <f t="shared" si="42"/>
        <v>0</v>
      </c>
      <c r="X100" s="57">
        <f t="shared" si="46"/>
        <v>0</v>
      </c>
      <c r="Y100" s="57">
        <f t="shared" si="47"/>
        <v>0</v>
      </c>
      <c r="Z100" s="57">
        <f t="shared" si="48"/>
        <v>0</v>
      </c>
      <c r="AA100" s="57">
        <f t="shared" si="49"/>
        <v>0</v>
      </c>
      <c r="AB100" s="57">
        <f t="shared" si="50"/>
        <v>0</v>
      </c>
      <c r="AC100" s="57">
        <f t="shared" si="51"/>
        <v>0</v>
      </c>
      <c r="AD100" s="57">
        <f t="shared" si="52"/>
        <v>0</v>
      </c>
      <c r="AE100" s="57">
        <f t="shared" si="53"/>
        <v>0</v>
      </c>
      <c r="AF100" s="57">
        <f t="shared" si="54"/>
        <v>0</v>
      </c>
      <c r="AG100" s="57">
        <f t="shared" si="55"/>
        <v>0</v>
      </c>
      <c r="AH100" s="57">
        <f t="shared" si="56"/>
        <v>0</v>
      </c>
    </row>
    <row r="101" spans="1:34" s="30" customFormat="1" ht="12.75" customHeight="1" x14ac:dyDescent="0.35">
      <c r="B101" s="273"/>
      <c r="C101" s="275"/>
      <c r="D101" s="43"/>
      <c r="E101" s="10">
        <v>0</v>
      </c>
      <c r="F101" s="43"/>
      <c r="G101" s="43"/>
      <c r="H101" s="419">
        <v>0</v>
      </c>
      <c r="I101" s="420"/>
      <c r="J101" s="421"/>
      <c r="K101" s="43"/>
      <c r="L101" s="196">
        <v>0.02</v>
      </c>
      <c r="M101" s="68"/>
      <c r="N101" s="42"/>
      <c r="O101" s="57">
        <f t="shared" si="44"/>
        <v>0</v>
      </c>
      <c r="P101" s="57">
        <f t="shared" si="45"/>
        <v>0</v>
      </c>
      <c r="Q101" s="57">
        <f t="shared" si="45"/>
        <v>0</v>
      </c>
      <c r="R101" s="57">
        <f t="shared" si="45"/>
        <v>0</v>
      </c>
      <c r="S101" s="57">
        <f t="shared" si="45"/>
        <v>0</v>
      </c>
      <c r="T101" s="57">
        <f t="shared" si="39"/>
        <v>0</v>
      </c>
      <c r="U101" s="57">
        <f t="shared" si="40"/>
        <v>0</v>
      </c>
      <c r="V101" s="57">
        <f t="shared" si="41"/>
        <v>0</v>
      </c>
      <c r="W101" s="57">
        <f t="shared" si="42"/>
        <v>0</v>
      </c>
      <c r="X101" s="57">
        <f t="shared" si="46"/>
        <v>0</v>
      </c>
      <c r="Y101" s="57">
        <f t="shared" si="47"/>
        <v>0</v>
      </c>
      <c r="Z101" s="57">
        <f t="shared" si="48"/>
        <v>0</v>
      </c>
      <c r="AA101" s="57">
        <f t="shared" si="49"/>
        <v>0</v>
      </c>
      <c r="AB101" s="57">
        <f t="shared" si="50"/>
        <v>0</v>
      </c>
      <c r="AC101" s="57">
        <f t="shared" si="51"/>
        <v>0</v>
      </c>
      <c r="AD101" s="57">
        <f t="shared" si="52"/>
        <v>0</v>
      </c>
      <c r="AE101" s="57">
        <f t="shared" si="53"/>
        <v>0</v>
      </c>
      <c r="AF101" s="57">
        <f t="shared" si="54"/>
        <v>0</v>
      </c>
      <c r="AG101" s="57">
        <f t="shared" si="55"/>
        <v>0</v>
      </c>
      <c r="AH101" s="57">
        <f t="shared" si="56"/>
        <v>0</v>
      </c>
    </row>
    <row r="102" spans="1:34" s="30" customFormat="1" ht="12.75" customHeight="1" x14ac:dyDescent="0.35">
      <c r="B102" s="273"/>
      <c r="C102" s="275"/>
      <c r="D102" s="43"/>
      <c r="E102" s="10">
        <v>0</v>
      </c>
      <c r="F102" s="43"/>
      <c r="G102" s="43"/>
      <c r="H102" s="419">
        <v>0</v>
      </c>
      <c r="I102" s="420"/>
      <c r="J102" s="421"/>
      <c r="K102" s="43"/>
      <c r="L102" s="196">
        <v>0.02</v>
      </c>
      <c r="M102" s="68"/>
      <c r="N102" s="42"/>
      <c r="O102" s="57">
        <f t="shared" si="44"/>
        <v>0</v>
      </c>
      <c r="P102" s="57">
        <f t="shared" si="45"/>
        <v>0</v>
      </c>
      <c r="Q102" s="57">
        <f t="shared" si="45"/>
        <v>0</v>
      </c>
      <c r="R102" s="57">
        <f t="shared" si="45"/>
        <v>0</v>
      </c>
      <c r="S102" s="57">
        <f t="shared" si="45"/>
        <v>0</v>
      </c>
      <c r="T102" s="57">
        <f t="shared" si="39"/>
        <v>0</v>
      </c>
      <c r="U102" s="57">
        <f t="shared" si="40"/>
        <v>0</v>
      </c>
      <c r="V102" s="57">
        <f t="shared" si="41"/>
        <v>0</v>
      </c>
      <c r="W102" s="57">
        <f t="shared" si="42"/>
        <v>0</v>
      </c>
      <c r="X102" s="57">
        <f t="shared" si="46"/>
        <v>0</v>
      </c>
      <c r="Y102" s="57">
        <f t="shared" si="47"/>
        <v>0</v>
      </c>
      <c r="Z102" s="57">
        <f t="shared" si="48"/>
        <v>0</v>
      </c>
      <c r="AA102" s="57">
        <f t="shared" si="49"/>
        <v>0</v>
      </c>
      <c r="AB102" s="57">
        <f t="shared" si="50"/>
        <v>0</v>
      </c>
      <c r="AC102" s="57">
        <f t="shared" si="51"/>
        <v>0</v>
      </c>
      <c r="AD102" s="57">
        <f t="shared" si="52"/>
        <v>0</v>
      </c>
      <c r="AE102" s="57">
        <f t="shared" si="53"/>
        <v>0</v>
      </c>
      <c r="AF102" s="57">
        <f t="shared" si="54"/>
        <v>0</v>
      </c>
      <c r="AG102" s="57">
        <f t="shared" si="55"/>
        <v>0</v>
      </c>
      <c r="AH102" s="57">
        <f t="shared" si="56"/>
        <v>0</v>
      </c>
    </row>
    <row r="103" spans="1:34" s="30" customFormat="1" ht="12.75" customHeight="1" x14ac:dyDescent="0.35">
      <c r="B103" s="273"/>
      <c r="C103" s="275"/>
      <c r="D103" s="43"/>
      <c r="E103" s="10">
        <v>0</v>
      </c>
      <c r="F103" s="43"/>
      <c r="G103" s="43"/>
      <c r="H103" s="419">
        <v>0</v>
      </c>
      <c r="I103" s="420"/>
      <c r="J103" s="421"/>
      <c r="K103" s="43"/>
      <c r="L103" s="196">
        <v>0.02</v>
      </c>
      <c r="M103" s="68"/>
      <c r="N103" s="42"/>
      <c r="O103" s="57">
        <f t="shared" si="44"/>
        <v>0</v>
      </c>
      <c r="P103" s="57">
        <f t="shared" si="45"/>
        <v>0</v>
      </c>
      <c r="Q103" s="57">
        <f t="shared" si="45"/>
        <v>0</v>
      </c>
      <c r="R103" s="57">
        <f t="shared" si="45"/>
        <v>0</v>
      </c>
      <c r="S103" s="57">
        <f t="shared" si="45"/>
        <v>0</v>
      </c>
      <c r="T103" s="57">
        <f t="shared" si="39"/>
        <v>0</v>
      </c>
      <c r="U103" s="57">
        <f t="shared" si="40"/>
        <v>0</v>
      </c>
      <c r="V103" s="57">
        <f t="shared" si="41"/>
        <v>0</v>
      </c>
      <c r="W103" s="57">
        <f t="shared" si="42"/>
        <v>0</v>
      </c>
      <c r="X103" s="57">
        <f t="shared" si="46"/>
        <v>0</v>
      </c>
      <c r="Y103" s="57">
        <f t="shared" si="47"/>
        <v>0</v>
      </c>
      <c r="Z103" s="57">
        <f t="shared" si="48"/>
        <v>0</v>
      </c>
      <c r="AA103" s="57">
        <f t="shared" si="49"/>
        <v>0</v>
      </c>
      <c r="AB103" s="57">
        <f t="shared" si="50"/>
        <v>0</v>
      </c>
      <c r="AC103" s="57">
        <f t="shared" si="51"/>
        <v>0</v>
      </c>
      <c r="AD103" s="57">
        <f t="shared" si="52"/>
        <v>0</v>
      </c>
      <c r="AE103" s="57">
        <f t="shared" si="53"/>
        <v>0</v>
      </c>
      <c r="AF103" s="57">
        <f t="shared" si="54"/>
        <v>0</v>
      </c>
      <c r="AG103" s="57">
        <f t="shared" si="55"/>
        <v>0</v>
      </c>
      <c r="AH103" s="57">
        <f t="shared" si="56"/>
        <v>0</v>
      </c>
    </row>
    <row r="104" spans="1:34" s="30" customFormat="1" ht="12.75" customHeight="1" x14ac:dyDescent="0.3">
      <c r="B104" s="273"/>
      <c r="C104" s="275"/>
      <c r="D104" s="43"/>
      <c r="E104" s="10">
        <v>0</v>
      </c>
      <c r="F104" s="43"/>
      <c r="G104" s="43"/>
      <c r="H104" s="416">
        <v>0</v>
      </c>
      <c r="I104" s="417"/>
      <c r="J104" s="418"/>
      <c r="K104" s="43"/>
      <c r="L104" s="196">
        <v>0.02</v>
      </c>
      <c r="M104" s="68"/>
      <c r="N104" s="42"/>
      <c r="O104" s="57">
        <f t="shared" si="44"/>
        <v>0</v>
      </c>
      <c r="P104" s="57">
        <f t="shared" si="45"/>
        <v>0</v>
      </c>
      <c r="Q104" s="57">
        <f t="shared" si="45"/>
        <v>0</v>
      </c>
      <c r="R104" s="57">
        <f t="shared" si="45"/>
        <v>0</v>
      </c>
      <c r="S104" s="57">
        <f t="shared" si="45"/>
        <v>0</v>
      </c>
      <c r="T104" s="57">
        <f t="shared" si="39"/>
        <v>0</v>
      </c>
      <c r="U104" s="57">
        <f t="shared" si="40"/>
        <v>0</v>
      </c>
      <c r="V104" s="57">
        <f t="shared" si="41"/>
        <v>0</v>
      </c>
      <c r="W104" s="57">
        <f t="shared" si="42"/>
        <v>0</v>
      </c>
      <c r="X104" s="57">
        <f t="shared" si="46"/>
        <v>0</v>
      </c>
      <c r="Y104" s="57">
        <f t="shared" si="47"/>
        <v>0</v>
      </c>
      <c r="Z104" s="57">
        <f t="shared" si="48"/>
        <v>0</v>
      </c>
      <c r="AA104" s="57">
        <f t="shared" si="49"/>
        <v>0</v>
      </c>
      <c r="AB104" s="57">
        <f t="shared" si="50"/>
        <v>0</v>
      </c>
      <c r="AC104" s="57">
        <f t="shared" si="51"/>
        <v>0</v>
      </c>
      <c r="AD104" s="57">
        <f t="shared" si="52"/>
        <v>0</v>
      </c>
      <c r="AE104" s="57">
        <f t="shared" si="53"/>
        <v>0</v>
      </c>
      <c r="AF104" s="57">
        <f t="shared" si="54"/>
        <v>0</v>
      </c>
      <c r="AG104" s="57">
        <f t="shared" si="55"/>
        <v>0</v>
      </c>
      <c r="AH104" s="57">
        <f t="shared" si="56"/>
        <v>0</v>
      </c>
    </row>
    <row r="105" spans="1:34" s="30" customFormat="1" ht="12.75" customHeight="1" x14ac:dyDescent="0.3">
      <c r="B105" s="273"/>
      <c r="C105" s="275"/>
      <c r="D105" s="43"/>
      <c r="E105" s="10">
        <v>0</v>
      </c>
      <c r="F105" s="43"/>
      <c r="G105" s="43"/>
      <c r="H105" s="416">
        <v>0</v>
      </c>
      <c r="I105" s="417"/>
      <c r="J105" s="418"/>
      <c r="K105" s="43"/>
      <c r="L105" s="196">
        <v>0.02</v>
      </c>
      <c r="M105" s="68"/>
      <c r="N105" s="42"/>
      <c r="O105" s="57">
        <f t="shared" si="44"/>
        <v>0</v>
      </c>
      <c r="P105" s="57">
        <f t="shared" si="45"/>
        <v>0</v>
      </c>
      <c r="Q105" s="57">
        <f t="shared" si="45"/>
        <v>0</v>
      </c>
      <c r="R105" s="57">
        <f t="shared" si="45"/>
        <v>0</v>
      </c>
      <c r="S105" s="57">
        <f t="shared" si="45"/>
        <v>0</v>
      </c>
      <c r="T105" s="57">
        <f t="shared" si="39"/>
        <v>0</v>
      </c>
      <c r="U105" s="57">
        <f t="shared" si="40"/>
        <v>0</v>
      </c>
      <c r="V105" s="57">
        <f t="shared" si="41"/>
        <v>0</v>
      </c>
      <c r="W105" s="57">
        <f t="shared" si="42"/>
        <v>0</v>
      </c>
      <c r="X105" s="57">
        <f t="shared" si="46"/>
        <v>0</v>
      </c>
      <c r="Y105" s="57">
        <f t="shared" si="47"/>
        <v>0</v>
      </c>
      <c r="Z105" s="57">
        <f t="shared" si="48"/>
        <v>0</v>
      </c>
      <c r="AA105" s="57">
        <f t="shared" si="49"/>
        <v>0</v>
      </c>
      <c r="AB105" s="57">
        <f t="shared" si="50"/>
        <v>0</v>
      </c>
      <c r="AC105" s="57">
        <f t="shared" si="51"/>
        <v>0</v>
      </c>
      <c r="AD105" s="57">
        <f t="shared" si="52"/>
        <v>0</v>
      </c>
      <c r="AE105" s="57">
        <f t="shared" si="53"/>
        <v>0</v>
      </c>
      <c r="AF105" s="57">
        <f t="shared" si="54"/>
        <v>0</v>
      </c>
      <c r="AG105" s="57">
        <f t="shared" si="55"/>
        <v>0</v>
      </c>
      <c r="AH105" s="57">
        <f t="shared" si="56"/>
        <v>0</v>
      </c>
    </row>
    <row r="106" spans="1:34" s="30" customFormat="1" ht="12.75" customHeight="1" x14ac:dyDescent="0.3">
      <c r="B106" s="273"/>
      <c r="C106" s="275"/>
      <c r="D106" s="43"/>
      <c r="E106" s="10">
        <v>0</v>
      </c>
      <c r="F106" s="43"/>
      <c r="G106" s="43"/>
      <c r="H106" s="416">
        <v>0</v>
      </c>
      <c r="I106" s="417"/>
      <c r="J106" s="418"/>
      <c r="K106" s="43"/>
      <c r="L106" s="196">
        <v>0.02</v>
      </c>
      <c r="M106" s="68"/>
      <c r="N106" s="42"/>
      <c r="O106" s="57">
        <f t="shared" si="44"/>
        <v>0</v>
      </c>
      <c r="P106" s="57">
        <f t="shared" si="45"/>
        <v>0</v>
      </c>
      <c r="Q106" s="57">
        <f t="shared" si="45"/>
        <v>0</v>
      </c>
      <c r="R106" s="57">
        <f t="shared" si="45"/>
        <v>0</v>
      </c>
      <c r="S106" s="57">
        <f t="shared" si="45"/>
        <v>0</v>
      </c>
      <c r="T106" s="57">
        <f t="shared" si="39"/>
        <v>0</v>
      </c>
      <c r="U106" s="57">
        <f t="shared" si="40"/>
        <v>0</v>
      </c>
      <c r="V106" s="57">
        <f t="shared" si="41"/>
        <v>0</v>
      </c>
      <c r="W106" s="57">
        <f t="shared" si="42"/>
        <v>0</v>
      </c>
      <c r="X106" s="57">
        <f t="shared" si="46"/>
        <v>0</v>
      </c>
      <c r="Y106" s="57">
        <f t="shared" si="47"/>
        <v>0</v>
      </c>
      <c r="Z106" s="57">
        <f t="shared" si="48"/>
        <v>0</v>
      </c>
      <c r="AA106" s="57">
        <f t="shared" si="49"/>
        <v>0</v>
      </c>
      <c r="AB106" s="57">
        <f t="shared" si="50"/>
        <v>0</v>
      </c>
      <c r="AC106" s="57">
        <f t="shared" si="51"/>
        <v>0</v>
      </c>
      <c r="AD106" s="57">
        <f t="shared" si="52"/>
        <v>0</v>
      </c>
      <c r="AE106" s="57">
        <f t="shared" si="53"/>
        <v>0</v>
      </c>
      <c r="AF106" s="57">
        <f t="shared" si="54"/>
        <v>0</v>
      </c>
      <c r="AG106" s="57">
        <f t="shared" si="55"/>
        <v>0</v>
      </c>
      <c r="AH106" s="57">
        <f t="shared" si="56"/>
        <v>0</v>
      </c>
    </row>
    <row r="107" spans="1:34" s="30" customFormat="1" ht="12.75" customHeight="1" x14ac:dyDescent="0.3">
      <c r="B107" s="294"/>
      <c r="C107" s="422"/>
      <c r="D107" s="43"/>
      <c r="E107" s="195">
        <v>0</v>
      </c>
      <c r="F107" s="43"/>
      <c r="G107" s="43"/>
      <c r="H107" s="423">
        <v>0</v>
      </c>
      <c r="I107" s="424"/>
      <c r="J107" s="425"/>
      <c r="K107" s="43"/>
      <c r="L107" s="193">
        <v>0.02</v>
      </c>
      <c r="N107" s="42"/>
      <c r="O107" s="57">
        <f t="shared" si="44"/>
        <v>0</v>
      </c>
      <c r="P107" s="57">
        <f t="shared" si="45"/>
        <v>0</v>
      </c>
      <c r="Q107" s="57">
        <f t="shared" si="45"/>
        <v>0</v>
      </c>
      <c r="R107" s="57">
        <f t="shared" si="45"/>
        <v>0</v>
      </c>
      <c r="S107" s="57">
        <f t="shared" si="45"/>
        <v>0</v>
      </c>
      <c r="T107" s="57">
        <f t="shared" si="39"/>
        <v>0</v>
      </c>
      <c r="U107" s="57">
        <f t="shared" si="40"/>
        <v>0</v>
      </c>
      <c r="V107" s="57">
        <f t="shared" si="41"/>
        <v>0</v>
      </c>
      <c r="W107" s="57">
        <f t="shared" si="42"/>
        <v>0</v>
      </c>
      <c r="X107" s="57">
        <f t="shared" si="46"/>
        <v>0</v>
      </c>
      <c r="Y107" s="57">
        <f t="shared" si="47"/>
        <v>0</v>
      </c>
      <c r="Z107" s="57">
        <f t="shared" si="48"/>
        <v>0</v>
      </c>
      <c r="AA107" s="57">
        <f t="shared" si="49"/>
        <v>0</v>
      </c>
      <c r="AB107" s="57">
        <f t="shared" si="50"/>
        <v>0</v>
      </c>
      <c r="AC107" s="57">
        <f t="shared" si="51"/>
        <v>0</v>
      </c>
      <c r="AD107" s="57">
        <f t="shared" si="52"/>
        <v>0</v>
      </c>
      <c r="AE107" s="57">
        <f t="shared" si="53"/>
        <v>0</v>
      </c>
      <c r="AF107" s="57">
        <f t="shared" si="54"/>
        <v>0</v>
      </c>
      <c r="AG107" s="57">
        <f t="shared" si="55"/>
        <v>0</v>
      </c>
      <c r="AH107" s="57">
        <f t="shared" si="56"/>
        <v>0</v>
      </c>
    </row>
    <row r="108" spans="1:34" s="30" customFormat="1" ht="12.75" customHeight="1" x14ac:dyDescent="0.3">
      <c r="B108" s="30" t="s">
        <v>96</v>
      </c>
      <c r="C108" s="43"/>
      <c r="D108" s="43"/>
      <c r="E108" s="43"/>
      <c r="F108" s="43"/>
      <c r="G108" s="43"/>
      <c r="H108" s="43"/>
      <c r="I108" s="43"/>
      <c r="L108" s="43"/>
      <c r="N108" s="42"/>
      <c r="O108" s="9">
        <f t="shared" ref="O108:S108" si="57">SUM(O98:O107)</f>
        <v>0</v>
      </c>
      <c r="P108" s="42">
        <f t="shared" si="57"/>
        <v>0</v>
      </c>
      <c r="Q108" s="42">
        <f t="shared" si="57"/>
        <v>0</v>
      </c>
      <c r="R108" s="42">
        <f t="shared" si="57"/>
        <v>0</v>
      </c>
      <c r="S108" s="42">
        <f t="shared" si="57"/>
        <v>0</v>
      </c>
      <c r="T108" s="42">
        <f>IF($B$12&gt;5,SUM(T98:T107),"")</f>
        <v>0</v>
      </c>
      <c r="U108" s="42">
        <f>IF($B$12&gt;6,SUM(U98:U107),"")</f>
        <v>0</v>
      </c>
      <c r="V108" s="42">
        <f>IF($B$12&gt;7,SUM(V98:V107),"")</f>
        <v>0</v>
      </c>
      <c r="W108" s="42">
        <f>IF($B$12&gt;8,SUM(W98:W107),"")</f>
        <v>0</v>
      </c>
      <c r="X108" s="42">
        <f>IF($B$12&gt;9,SUM(X98:X107),"")</f>
        <v>0</v>
      </c>
      <c r="Y108" s="42">
        <f>IF($B$12&gt;10,SUM(Y98:Y107),"")</f>
        <v>0</v>
      </c>
      <c r="Z108" s="42">
        <f>IF($B$12&gt;11,SUM(Z98:Z107),"")</f>
        <v>0</v>
      </c>
      <c r="AA108" s="42">
        <f>IF($B$12&gt;12,SUM(AA98:AA107),"")</f>
        <v>0</v>
      </c>
      <c r="AB108" s="42">
        <f>IF($B$12&gt;13,SUM(AB98:AB107),"")</f>
        <v>0</v>
      </c>
      <c r="AC108" s="42">
        <f>IF($B$12&gt;14,SUM(AC98:AC107),"")</f>
        <v>0</v>
      </c>
      <c r="AD108" s="42">
        <f>IF($B$12&gt;15,SUM(AD98:AD107),"")</f>
        <v>0</v>
      </c>
      <c r="AE108" s="42">
        <f>IF($B$12&gt;16,SUM(AE98:AE107),"")</f>
        <v>0</v>
      </c>
      <c r="AF108" s="42">
        <f>IF($B$12&gt;17,SUM(AF98:AF107),"")</f>
        <v>0</v>
      </c>
      <c r="AG108" s="42">
        <f>IF($B$12&gt;18,SUM(AG98:AG107),"")</f>
        <v>0</v>
      </c>
      <c r="AH108" s="42">
        <f>IF($B$12&gt;19,SUM(AH98:AH107),"")</f>
        <v>0</v>
      </c>
    </row>
    <row r="109" spans="1:34" s="30" customFormat="1" ht="12.75" customHeight="1" x14ac:dyDescent="0.3">
      <c r="C109" s="43"/>
      <c r="D109" s="43"/>
      <c r="E109" s="43"/>
      <c r="F109" s="43"/>
      <c r="G109" s="43"/>
      <c r="H109" s="43"/>
      <c r="I109" s="43"/>
      <c r="L109" s="43"/>
      <c r="N109" s="42"/>
      <c r="O109" s="9"/>
      <c r="P109" s="42"/>
      <c r="Q109" s="42"/>
      <c r="R109" s="42"/>
      <c r="S109" s="42"/>
      <c r="T109" s="42"/>
      <c r="U109" s="42"/>
      <c r="V109" s="42"/>
      <c r="W109" s="154"/>
      <c r="X109" s="154"/>
      <c r="Y109" s="154"/>
      <c r="Z109" s="154"/>
      <c r="AA109" s="154"/>
      <c r="AB109" s="154"/>
      <c r="AC109" s="154"/>
    </row>
    <row r="110" spans="1:34" s="30" customFormat="1" ht="12.75" customHeight="1" x14ac:dyDescent="0.3">
      <c r="A110" s="30" t="str">
        <f>IF(Hulpblad_overig!B45=0,"Verwachte kosten (+) en opbrengsten (-) CO₂ transport en opslag (€)","U vraagt niet aan voor CO₂ afvang- en opslag, regels 110 t/m 113 kunt u overslaan!")</f>
        <v>U vraagt niet aan voor CO₂ afvang- en opslag, regels 110 t/m 113 kunt u overslaan!</v>
      </c>
      <c r="C110" s="43"/>
      <c r="D110" s="43"/>
      <c r="E110" s="43"/>
      <c r="F110" s="43"/>
      <c r="G110" s="43"/>
      <c r="H110" s="43"/>
      <c r="I110" s="43"/>
      <c r="L110" s="43"/>
      <c r="N110" s="42"/>
      <c r="O110" s="9"/>
      <c r="P110" s="42"/>
      <c r="Q110" s="42"/>
      <c r="R110" s="42"/>
      <c r="S110" s="42"/>
      <c r="T110" s="42"/>
      <c r="U110" s="42"/>
      <c r="V110" s="42"/>
      <c r="W110" s="154"/>
      <c r="X110" s="154"/>
      <c r="Y110" s="154"/>
      <c r="Z110" s="154"/>
      <c r="AA110" s="154"/>
      <c r="AB110" s="154"/>
      <c r="AC110" s="154"/>
    </row>
    <row r="111" spans="1:34" s="30" customFormat="1" ht="12.75" customHeight="1" x14ac:dyDescent="0.3">
      <c r="B111" s="367" t="s">
        <v>97</v>
      </c>
      <c r="C111" s="367"/>
      <c r="D111" s="43"/>
      <c r="E111" s="43"/>
      <c r="F111" s="43"/>
      <c r="G111" s="43"/>
      <c r="H111" s="43"/>
      <c r="I111" s="43"/>
      <c r="L111" s="43"/>
      <c r="N111" s="42"/>
      <c r="O111" s="9"/>
      <c r="P111" s="42"/>
      <c r="Q111" s="42"/>
      <c r="R111" s="42"/>
      <c r="S111" s="42"/>
      <c r="T111" s="42"/>
      <c r="U111" s="42"/>
      <c r="V111" s="42"/>
      <c r="W111" s="154"/>
      <c r="X111" s="154"/>
      <c r="Y111" s="154"/>
      <c r="Z111" s="154"/>
      <c r="AA111" s="154"/>
      <c r="AB111" s="154"/>
      <c r="AC111" s="154"/>
    </row>
    <row r="112" spans="1:34" s="30" customFormat="1" ht="12.75" customHeight="1" x14ac:dyDescent="0.3">
      <c r="B112" s="379"/>
      <c r="C112" s="379"/>
      <c r="D112" s="43"/>
      <c r="E112" s="12" t="s">
        <v>93</v>
      </c>
      <c r="F112" s="43"/>
      <c r="G112" s="43"/>
      <c r="H112" s="370" t="s">
        <v>94</v>
      </c>
      <c r="I112" s="370"/>
      <c r="J112" s="370"/>
      <c r="L112" s="12" t="s">
        <v>95</v>
      </c>
      <c r="N112" s="42"/>
      <c r="O112" s="9"/>
      <c r="P112" s="42"/>
      <c r="Q112" s="42"/>
      <c r="R112" s="42"/>
      <c r="S112" s="42"/>
      <c r="T112" s="42"/>
      <c r="U112" s="42"/>
      <c r="V112" s="42"/>
      <c r="W112" s="154"/>
      <c r="X112" s="154"/>
      <c r="Y112" s="154"/>
      <c r="Z112" s="154"/>
      <c r="AA112" s="154"/>
      <c r="AB112" s="154"/>
      <c r="AC112" s="154"/>
    </row>
    <row r="113" spans="1:34" s="30" customFormat="1" ht="12.75" customHeight="1" x14ac:dyDescent="0.3">
      <c r="A113" s="156">
        <f>Hulpblad_overig!B45</f>
        <v>1</v>
      </c>
      <c r="B113" s="289" t="s">
        <v>98</v>
      </c>
      <c r="C113" s="291"/>
      <c r="D113" s="43"/>
      <c r="E113" s="194">
        <v>0</v>
      </c>
      <c r="F113" s="43"/>
      <c r="G113" s="43"/>
      <c r="H113" s="413">
        <v>0</v>
      </c>
      <c r="I113" s="414"/>
      <c r="J113" s="415"/>
      <c r="L113" s="192">
        <v>0.02</v>
      </c>
      <c r="N113" s="42"/>
      <c r="O113" s="53">
        <f>IF($A$113=0,(E113*H113),0)</f>
        <v>0</v>
      </c>
      <c r="P113" s="57">
        <f t="shared" ref="P113:S114" si="58">O113*(1+$L113)</f>
        <v>0</v>
      </c>
      <c r="Q113" s="57">
        <f t="shared" si="58"/>
        <v>0</v>
      </c>
      <c r="R113" s="57">
        <f t="shared" si="58"/>
        <v>0</v>
      </c>
      <c r="S113" s="57">
        <f t="shared" si="58"/>
        <v>0</v>
      </c>
      <c r="T113" s="57">
        <f>IF($B$12&gt;5,S113*(1+$L113),"")</f>
        <v>0</v>
      </c>
      <c r="U113" s="57">
        <f>IF($B$12&gt;6,T113*(1+$L113),"")</f>
        <v>0</v>
      </c>
      <c r="V113" s="57">
        <f>IF($B$12&gt;7,U113*(1+$L113),"")</f>
        <v>0</v>
      </c>
      <c r="W113" s="57">
        <f t="shared" ref="W113:W114" si="59">IF($B$12&gt;8,V113*(1+$L113),"")</f>
        <v>0</v>
      </c>
      <c r="X113" s="57">
        <f>IF($B$12&gt;9,W113*(1+$L113),"")</f>
        <v>0</v>
      </c>
      <c r="Y113" s="57">
        <f>IF($B$12&gt;10,X113*(1+$L113),"")</f>
        <v>0</v>
      </c>
      <c r="Z113" s="57">
        <f>IF($B$12&gt;11,Y113*(1+$L113),"")</f>
        <v>0</v>
      </c>
      <c r="AA113" s="57">
        <f>IF($B$12&gt;12,Z113*(1+$L113),"")</f>
        <v>0</v>
      </c>
      <c r="AB113" s="57">
        <f>IF($B$12&gt;13,AA113*(1+$L113),"")</f>
        <v>0</v>
      </c>
      <c r="AC113" s="57">
        <f>IF($B$12&gt;14,AB113*(1+$L113),"")</f>
        <v>0</v>
      </c>
      <c r="AD113" s="57">
        <f>IF($B$12&gt;15,AC113*(1+$L113),"")</f>
        <v>0</v>
      </c>
      <c r="AE113" s="57">
        <f>IF($B$12&gt;16,AD113*(1+$L113),"")</f>
        <v>0</v>
      </c>
      <c r="AF113" s="57">
        <f>IF($B$12&gt;17,AE113*(1+$L113),"")</f>
        <v>0</v>
      </c>
      <c r="AG113" s="57">
        <f>IF($B$12&gt;18,AF113*(1+$L113),"")</f>
        <v>0</v>
      </c>
      <c r="AH113" s="57">
        <f>IF($B$12&gt;19,AG113*(1+$L113),"")</f>
        <v>0</v>
      </c>
    </row>
    <row r="114" spans="1:34" s="30" customFormat="1" ht="12.75" customHeight="1" x14ac:dyDescent="0.3">
      <c r="B114" s="294" t="s">
        <v>99</v>
      </c>
      <c r="C114" s="422"/>
      <c r="D114" s="43"/>
      <c r="E114" s="195">
        <v>0</v>
      </c>
      <c r="F114" s="43"/>
      <c r="G114" s="43"/>
      <c r="H114" s="423">
        <v>0</v>
      </c>
      <c r="I114" s="424"/>
      <c r="J114" s="425"/>
      <c r="L114" s="193">
        <v>0.02</v>
      </c>
      <c r="N114" s="42"/>
      <c r="O114" s="53">
        <f>IF($A$113=0,(E114*H114),0)</f>
        <v>0</v>
      </c>
      <c r="P114" s="57">
        <f t="shared" si="58"/>
        <v>0</v>
      </c>
      <c r="Q114" s="57">
        <f t="shared" si="58"/>
        <v>0</v>
      </c>
      <c r="R114" s="57">
        <f t="shared" si="58"/>
        <v>0</v>
      </c>
      <c r="S114" s="57">
        <f t="shared" si="58"/>
        <v>0</v>
      </c>
      <c r="T114" s="57">
        <f>IF($B$12&gt;5,S114*(1+$L114),"")</f>
        <v>0</v>
      </c>
      <c r="U114" s="57">
        <f>IF($B$12&gt;6,T114*(1+$L114),"")</f>
        <v>0</v>
      </c>
      <c r="V114" s="57">
        <f>IF($B$12&gt;7,U114*(1+$L114),"")</f>
        <v>0</v>
      </c>
      <c r="W114" s="57">
        <f t="shared" si="59"/>
        <v>0</v>
      </c>
      <c r="X114" s="57">
        <f>IF($B$12&gt;9,W114*(1+$L114),"")</f>
        <v>0</v>
      </c>
      <c r="Y114" s="57">
        <f>IF($B$12&gt;10,X114*(1+$L114),"")</f>
        <v>0</v>
      </c>
      <c r="Z114" s="57">
        <f>IF($B$12&gt;11,Y114*(1+$L114),"")</f>
        <v>0</v>
      </c>
      <c r="AA114" s="57">
        <f>IF($B$12&gt;12,Z114*(1+$L114),"")</f>
        <v>0</v>
      </c>
      <c r="AB114" s="57">
        <f>IF($B$12&gt;13,AA114*(1+$L114),"")</f>
        <v>0</v>
      </c>
      <c r="AC114" s="57">
        <f>IF($B$12&gt;14,AB114*(1+$L114),"")</f>
        <v>0</v>
      </c>
      <c r="AD114" s="57">
        <f>IF($B$12&gt;15,AC114*(1+$L114),"")</f>
        <v>0</v>
      </c>
      <c r="AE114" s="57">
        <f>IF($B$12&gt;16,AD114*(1+$L114),"")</f>
        <v>0</v>
      </c>
      <c r="AF114" s="57">
        <f>IF($B$12&gt;17,AE114*(1+$L114),"")</f>
        <v>0</v>
      </c>
      <c r="AG114" s="57">
        <f>IF($B$12&gt;18,AF114*(1+$L114),"")</f>
        <v>0</v>
      </c>
      <c r="AH114" s="57">
        <f>IF($B$12&gt;19,AG114*(1+$L114),"")</f>
        <v>0</v>
      </c>
    </row>
    <row r="115" spans="1:34" s="30" customFormat="1" ht="12.75" customHeight="1" x14ac:dyDescent="0.3">
      <c r="A115" s="12"/>
      <c r="B115" s="30" t="s">
        <v>100</v>
      </c>
      <c r="C115" s="43"/>
      <c r="D115" s="43"/>
      <c r="E115" s="43"/>
      <c r="F115" s="43"/>
      <c r="G115" s="43"/>
      <c r="H115" s="157"/>
      <c r="I115" s="43"/>
      <c r="J115" s="43"/>
      <c r="K115" s="43"/>
      <c r="L115" s="43"/>
      <c r="N115" s="42"/>
      <c r="O115" s="42">
        <f>SUM(O113:O114)</f>
        <v>0</v>
      </c>
      <c r="P115" s="42">
        <f t="shared" ref="P115:S115" si="60">SUM(P113:P114)</f>
        <v>0</v>
      </c>
      <c r="Q115" s="42">
        <f t="shared" si="60"/>
        <v>0</v>
      </c>
      <c r="R115" s="42">
        <f t="shared" si="60"/>
        <v>0</v>
      </c>
      <c r="S115" s="42">
        <f t="shared" si="60"/>
        <v>0</v>
      </c>
      <c r="T115" s="42">
        <f>IF($B$12&gt;5,SUM(T113:T114),"")</f>
        <v>0</v>
      </c>
      <c r="U115" s="42">
        <f>IF($B$12&gt;6,SUM(U113:U114),"")</f>
        <v>0</v>
      </c>
      <c r="V115" s="42">
        <f>IF($B$12&gt;7,SUM(V113:V114),"")</f>
        <v>0</v>
      </c>
      <c r="W115" s="42">
        <f>IF($B$12&gt;8,SUM(W113:W114),"")</f>
        <v>0</v>
      </c>
      <c r="X115" s="42">
        <f>IF($B$12&gt;9,SUM(X113:X114),"")</f>
        <v>0</v>
      </c>
      <c r="Y115" s="42">
        <f>IF($B$12&gt;10,SUM(Y113:Y114),"")</f>
        <v>0</v>
      </c>
      <c r="Z115" s="42">
        <f>IF($B$12&gt;11,SUM(Z113:Z114),"")</f>
        <v>0</v>
      </c>
      <c r="AA115" s="42">
        <f>IF($B$12&gt;12,SUM(AA113:AA114),"")</f>
        <v>0</v>
      </c>
      <c r="AB115" s="42">
        <f>IF($B$12&gt;13,SUM(AB113:AB114),"")</f>
        <v>0</v>
      </c>
      <c r="AC115" s="42">
        <f>IF($B$12&gt;14,SUM(AC113:AC114),"")</f>
        <v>0</v>
      </c>
      <c r="AD115" s="42">
        <f>IF($B$12&gt;15,SUM(AD113:AD114),"")</f>
        <v>0</v>
      </c>
      <c r="AE115" s="42">
        <f>IF($B$12&gt;16,SUM(AE113:AE114),"")</f>
        <v>0</v>
      </c>
      <c r="AF115" s="42">
        <f>IF($B$12&gt;17,SUM(AF113:AF114),"")</f>
        <v>0</v>
      </c>
      <c r="AG115" s="42">
        <f>IF($B$12&gt;18,SUM(AG113:AG114),"")</f>
        <v>0</v>
      </c>
      <c r="AH115" s="42">
        <f>IF($B$12&gt;19,SUM(AH113:AH114),"")</f>
        <v>0</v>
      </c>
    </row>
    <row r="116" spans="1:34" s="30" customFormat="1" ht="12.75" customHeight="1" x14ac:dyDescent="0.3">
      <c r="A116" s="12"/>
      <c r="B116" s="43"/>
      <c r="C116" s="43"/>
      <c r="D116" s="43"/>
      <c r="E116" s="43"/>
      <c r="F116" s="43"/>
      <c r="G116" s="43"/>
      <c r="H116" s="157"/>
      <c r="I116" s="43"/>
      <c r="J116" s="43"/>
      <c r="K116" s="43"/>
      <c r="L116" s="43"/>
      <c r="N116" s="42"/>
      <c r="O116" s="42"/>
      <c r="P116" s="42"/>
      <c r="Q116" s="42"/>
      <c r="R116" s="42"/>
      <c r="S116" s="42"/>
      <c r="T116" s="42"/>
      <c r="U116" s="42"/>
      <c r="V116" s="42"/>
      <c r="W116" s="42"/>
      <c r="X116" s="154"/>
      <c r="Y116" s="154"/>
      <c r="Z116" s="154"/>
      <c r="AA116" s="154"/>
      <c r="AB116" s="154"/>
      <c r="AC116" s="154"/>
    </row>
    <row r="117" spans="1:34" s="30" customFormat="1" ht="12.75" customHeight="1" x14ac:dyDescent="0.3">
      <c r="A117" s="30" t="s">
        <v>101</v>
      </c>
      <c r="B117" s="43"/>
      <c r="C117" s="43"/>
      <c r="D117" s="43"/>
      <c r="E117" s="43"/>
      <c r="F117" s="43"/>
      <c r="G117" s="43"/>
      <c r="H117" s="43"/>
      <c r="I117" s="43"/>
      <c r="J117" s="43"/>
      <c r="K117" s="43"/>
      <c r="L117" s="157"/>
      <c r="N117" s="42">
        <f>N92</f>
        <v>0</v>
      </c>
      <c r="O117" s="42">
        <f t="shared" ref="O117:S117" si="61">O92+O108+O115</f>
        <v>2.92E-2</v>
      </c>
      <c r="P117" s="42">
        <f t="shared" si="61"/>
        <v>2.9784000000000001E-2</v>
      </c>
      <c r="Q117" s="42">
        <f t="shared" si="61"/>
        <v>3.0379680000000003E-2</v>
      </c>
      <c r="R117" s="42">
        <f t="shared" si="61"/>
        <v>3.0987273600000004E-2</v>
      </c>
      <c r="S117" s="42">
        <f t="shared" si="61"/>
        <v>3.1607019072000003E-2</v>
      </c>
      <c r="T117" s="42">
        <f>IF($B$12&gt;5,T92+T108+T115,"")</f>
        <v>0</v>
      </c>
      <c r="U117" s="42">
        <f>IF($B$12&gt;6,U92+U108+U115,"")</f>
        <v>0</v>
      </c>
      <c r="V117" s="42">
        <f>IF($B$12&gt;7,V92+V108+V115,"")</f>
        <v>0</v>
      </c>
      <c r="W117" s="42">
        <f>IF($B$12&gt;8,W92+W108+W115,"")</f>
        <v>0</v>
      </c>
      <c r="X117" s="42">
        <f>IF($B$12&gt;9,X92+X108+X115,"")</f>
        <v>0</v>
      </c>
      <c r="Y117" s="42">
        <f>IF($B$12&gt;10,Y92+Y108+Y115,"")</f>
        <v>0</v>
      </c>
      <c r="Z117" s="42">
        <f>IF($B$12&gt;11,Z92+Z108+Z115,"")</f>
        <v>0</v>
      </c>
      <c r="AA117" s="42">
        <f>IF($B$12&gt;12,AA92+AA108+AA115,"")</f>
        <v>0</v>
      </c>
      <c r="AB117" s="42">
        <f>IF($B$12&gt;13,AB92+AB108+AB115,"")</f>
        <v>0</v>
      </c>
      <c r="AC117" s="42">
        <f>IF($B$12&gt;14,AC92+AC108+AC115,"")</f>
        <v>0</v>
      </c>
      <c r="AD117" s="42">
        <f>IF($B$12&gt;15,AD92+AD108+AD115,"")</f>
        <v>0</v>
      </c>
      <c r="AE117" s="42">
        <f>IF($B$12&gt;16,AE92+AE108+AE115,"")</f>
        <v>0</v>
      </c>
      <c r="AF117" s="42">
        <f>IF($B$12&gt;17,AF92+AF108+AF115,"")</f>
        <v>0</v>
      </c>
      <c r="AG117" s="42">
        <f>IF($B$12&gt;18,AG92+AG108+AG115,"")</f>
        <v>0</v>
      </c>
      <c r="AH117" s="42">
        <f>IF($B$12&gt;19,AH92+AH108+AH115,"")</f>
        <v>0</v>
      </c>
    </row>
    <row r="118" spans="1:34" s="30" customFormat="1" ht="12.75" customHeight="1" x14ac:dyDescent="0.4">
      <c r="B118" s="16" t="s">
        <v>397</v>
      </c>
      <c r="C118" s="43"/>
      <c r="D118" s="43"/>
      <c r="E118" s="16"/>
      <c r="F118" s="43"/>
      <c r="G118" s="43"/>
      <c r="H118" s="43"/>
      <c r="I118" s="43"/>
      <c r="J118" s="158"/>
      <c r="K118" s="43"/>
      <c r="L118" s="43"/>
      <c r="N118" s="43"/>
      <c r="O118" s="43"/>
      <c r="P118" s="43"/>
      <c r="Q118" s="43"/>
      <c r="R118" s="43"/>
      <c r="S118" s="43"/>
      <c r="T118" s="43"/>
      <c r="U118" s="43"/>
      <c r="V118" s="43"/>
      <c r="W118" s="11"/>
      <c r="X118" s="11"/>
      <c r="Y118" s="11"/>
      <c r="Z118" s="11"/>
      <c r="AA118" s="154"/>
      <c r="AB118" s="154"/>
      <c r="AC118" s="154"/>
    </row>
    <row r="119" spans="1:34" ht="12.75" customHeight="1" x14ac:dyDescent="0.35">
      <c r="A119" s="12" t="s">
        <v>102</v>
      </c>
      <c r="B119" s="426">
        <f>B12</f>
        <v>20</v>
      </c>
      <c r="C119" s="427"/>
      <c r="M119" s="164"/>
      <c r="N119" s="163"/>
      <c r="O119" s="57">
        <f>$N$27/$B$119</f>
        <v>0</v>
      </c>
      <c r="P119" s="57">
        <f>$N$27/$B$119</f>
        <v>0</v>
      </c>
      <c r="Q119" s="57">
        <f>$N$27/$B$119</f>
        <v>0</v>
      </c>
      <c r="R119" s="57">
        <f>$N$27/$B$119</f>
        <v>0</v>
      </c>
      <c r="S119" s="57">
        <f>$N$27/$B$119</f>
        <v>0</v>
      </c>
      <c r="T119" s="57">
        <f>IF($B$12&gt;5,IF($B$119&gt;=T36,$N$27/$B$119,0),"")</f>
        <v>0</v>
      </c>
      <c r="U119" s="57">
        <f>IF($B$12&gt;6,IF($B$119&gt;=U36,$N$27/$B$119,0),"")</f>
        <v>0</v>
      </c>
      <c r="V119" s="57">
        <f>IF($B$12&gt;7,IF($B$119&gt;=V36,$N$27/$B$119,0),"")</f>
        <v>0</v>
      </c>
      <c r="W119" s="57">
        <f>IF($B$12&gt;8,IF($B$119&gt;=W36,$N$27/$B$119,0),"")</f>
        <v>0</v>
      </c>
      <c r="X119" s="57">
        <f>IF($B$12&gt;9,IF($B$119&gt;=X36,$N$27/$B$119,0),"")</f>
        <v>0</v>
      </c>
      <c r="Y119" s="57">
        <f>IF($B$12&gt;10,IF($B$119&gt;=Y36,$N$27/$B$119,0),"")</f>
        <v>0</v>
      </c>
      <c r="Z119" s="57">
        <f>IF($B$12&gt;11,IF($B$119&gt;=Z36,$N$27/$B$119,0),"")</f>
        <v>0</v>
      </c>
      <c r="AA119" s="57">
        <f>IF($B$12&gt;12,IF($B$119&gt;=AA36,$N$27/$B$119,0),"")</f>
        <v>0</v>
      </c>
      <c r="AB119" s="57">
        <f>IF($B$12&gt;13,IF($B$119&gt;=AB36,$N$27/$B$119,0),"")</f>
        <v>0</v>
      </c>
      <c r="AC119" s="57">
        <f>IF($B$12&gt;14,IF($B$119&gt;=AC36,$N$27/$B$119,0),"")</f>
        <v>0</v>
      </c>
      <c r="AD119" s="57">
        <f>IF($B$12&gt;15,IF($B$119&gt;=AD36,$N$27/$B$119,0),"")</f>
        <v>0</v>
      </c>
      <c r="AE119" s="57">
        <f>IF($B$12&gt;16,IF($B$119&gt;=AE36,$N$27/$B$119,0),"")</f>
        <v>0</v>
      </c>
      <c r="AF119" s="57">
        <f>IF($B$12&gt;17,IF($B$119&gt;=AF36,$N$27/$B$119,0),"")</f>
        <v>0</v>
      </c>
      <c r="AG119" s="57">
        <f>IF($B$12&gt;18,IF($B$119&gt;=AG36,$N$27/$B$119,0),"")</f>
        <v>0</v>
      </c>
      <c r="AH119" s="57">
        <f>IF($B$12&gt;19,IF($B$119&gt;=AH36,$N$27/$B$119,0),"")</f>
        <v>0</v>
      </c>
    </row>
    <row r="120" spans="1:34" ht="12.75" hidden="1" customHeight="1" x14ac:dyDescent="0.35">
      <c r="A120" s="12" t="s">
        <v>103</v>
      </c>
      <c r="L120" s="12"/>
      <c r="M120" s="160"/>
      <c r="N120" s="163"/>
      <c r="O120" s="57">
        <f t="shared" ref="O120:V120" si="62">IF(O36&gt;$E$34,0,IPMT($L$34,O36,$E$34,$L$31))*-1</f>
        <v>0</v>
      </c>
      <c r="P120" s="57">
        <f t="shared" si="62"/>
        <v>0</v>
      </c>
      <c r="Q120" s="57">
        <f t="shared" si="62"/>
        <v>0</v>
      </c>
      <c r="R120" s="57">
        <f t="shared" si="62"/>
        <v>0</v>
      </c>
      <c r="S120" s="57">
        <f t="shared" si="62"/>
        <v>0</v>
      </c>
      <c r="T120" s="57">
        <f t="shared" si="62"/>
        <v>0</v>
      </c>
      <c r="U120" s="57">
        <f t="shared" si="62"/>
        <v>0</v>
      </c>
      <c r="V120" s="57">
        <f t="shared" si="62"/>
        <v>0</v>
      </c>
      <c r="W120" s="57">
        <f>IF($B$12&gt;8,IF(W36&gt;$E$34,0,IPMT($L$34,W36,$E$34,$L$31))*-1,"")</f>
        <v>0</v>
      </c>
      <c r="X120" s="57">
        <f>IF($B$12&gt;9,IF(X36&gt;$E$34,0,IPMT($L$34,X36,$E$34,$L$31))*-1,"")</f>
        <v>0</v>
      </c>
      <c r="Y120" s="57">
        <f>IF($B$12&gt;10,IF(Y36&gt;$E$34,0,IPMT($L$34,Y36,$E$34,$L$31))*-1,"")</f>
        <v>0</v>
      </c>
      <c r="Z120" s="57">
        <f>IF($B$12&gt;11,IF(Z36&gt;$E$34,0,IPMT($L$34,Z36,$E$34,$L$31))*-1,"")</f>
        <v>0</v>
      </c>
      <c r="AA120" s="57">
        <f>IF($B$12&gt;12,IF(AA36&gt;$E$34,0,IPMT($L$34,AA36,$E$34,$L$31))*-1,"")</f>
        <v>0</v>
      </c>
      <c r="AB120" s="57">
        <f>IF($B$12&gt;13,IF(AB36&gt;$E$34,0,IPMT($L$34,AB36,$E$34,$L$31))*-1,"")</f>
        <v>0</v>
      </c>
      <c r="AC120" s="57">
        <f>IF($B$12&gt;14,IF(AC36&gt;$E$34,0,IPMT($L$34,AC36,$E$34,$L$31))*-1,"")</f>
        <v>0</v>
      </c>
      <c r="AD120" s="57">
        <f>IF($B$12&gt;15,IF(AD36&gt;$E$34,0,IPMT($L$34,AD36,$E$34,$L$31))*-1,"")</f>
        <v>0</v>
      </c>
      <c r="AE120" s="57">
        <f>IF($B$12&gt;16,IF(AE36&gt;$E$34,0,IPMT($L$34,AE36,$E$34,$L$31))*-1,"")</f>
        <v>0</v>
      </c>
      <c r="AF120" s="57">
        <f>IF($B$12&gt;17,IF(AF36&gt;$E$34,0,IPMT($L$34,AF36,$E$34,$L$31))*-1,"")</f>
        <v>0</v>
      </c>
      <c r="AG120" s="57">
        <f>IF($B$12&gt;18,IF(AG36&gt;$E$34,0,IPMT($L$34,AG36,$E$34,$L$31))*-1,"")</f>
        <v>0</v>
      </c>
      <c r="AH120" s="57">
        <f>IF($B$12&gt;19,IF(AH36&gt;$E$34,0,IPMT($L$34,AH36,$E$34,$L$31))*-1,"")</f>
        <v>0</v>
      </c>
    </row>
    <row r="121" spans="1:34" ht="12.75" hidden="1" customHeight="1" x14ac:dyDescent="0.35">
      <c r="A121" s="12" t="s">
        <v>104</v>
      </c>
      <c r="M121" s="160"/>
      <c r="N121" s="163"/>
      <c r="O121" s="57">
        <f t="shared" ref="O121:V121" si="63">IF(O36&gt;$E$34,0,PPMT($L$34,O36,$E$34,$L$31))*-1</f>
        <v>0</v>
      </c>
      <c r="P121" s="57">
        <f t="shared" si="63"/>
        <v>0</v>
      </c>
      <c r="Q121" s="57">
        <f t="shared" si="63"/>
        <v>0</v>
      </c>
      <c r="R121" s="57">
        <f t="shared" si="63"/>
        <v>0</v>
      </c>
      <c r="S121" s="57">
        <f t="shared" si="63"/>
        <v>0</v>
      </c>
      <c r="T121" s="57">
        <f t="shared" si="63"/>
        <v>0</v>
      </c>
      <c r="U121" s="57">
        <f t="shared" si="63"/>
        <v>0</v>
      </c>
      <c r="V121" s="57">
        <f t="shared" si="63"/>
        <v>0</v>
      </c>
      <c r="W121" s="57">
        <f>IF($B$12&gt;8,IF(W36&gt;$E$34,0,PPMT($L$34,W36,$E$34,$L$31))*-1,"")</f>
        <v>0</v>
      </c>
      <c r="X121" s="57">
        <f>IF($B$12&gt;9,IF(X36&gt;$E$34,0,PPMT($L$34,X36,$E$34,$L$31))*-1,"")</f>
        <v>0</v>
      </c>
      <c r="Y121" s="57">
        <f>IF($B$12&gt;10,IF(Y36&gt;$E$34,0,PPMT($L$34,Y36,$E$34,$L$31))*-1,"")</f>
        <v>0</v>
      </c>
      <c r="Z121" s="57">
        <f>IF($B$12&gt;11,IF(Z36&gt;$E$34,0,PPMT($L$34,Z36,$E$34,$L$31))*-1,"")</f>
        <v>0</v>
      </c>
      <c r="AA121" s="57">
        <f>IF($B$12&gt;12,IF(AA36&gt;$E$34,0,PPMT($L$34,AA36,$E$34,$L$31))*-1,"")</f>
        <v>0</v>
      </c>
      <c r="AB121" s="57">
        <f>IF($B$12&gt;13,IF(AB36&gt;$E$34,0,PPMT($L$34,AB36,$E$34,$L$31))*-1,"")</f>
        <v>0</v>
      </c>
      <c r="AC121" s="57">
        <f>IF($B$12&gt;14,IF(AC36&gt;$E$34,0,PPMT($L$34,AC36,$E$34,$L$31))*-1,"")</f>
        <v>0</v>
      </c>
      <c r="AD121" s="57">
        <f>IF($B$12&gt;15,IF(AD36&gt;$E$34,0,PPMT($L$34,AD36,$E$34,$L$31))*-1,"")</f>
        <v>0</v>
      </c>
      <c r="AE121" s="57">
        <f>IF($B$12&gt;16,IF(AE36&gt;$E$34,0,PPMT($L$34,AE36,$E$34,$L$31))*-1,"")</f>
        <v>0</v>
      </c>
      <c r="AF121" s="57">
        <f>IF($B$12&gt;17,IF(AF36&gt;$E$34,0,PPMT($L$34,AF36,$E$34,$L$31))*-1,"")</f>
        <v>0</v>
      </c>
      <c r="AG121" s="57">
        <f>IF($B$12&gt;18,IF(AG36&gt;$E$34,0,PPMT($L$34,AG36,$E$34,$L$31))*-1,"")</f>
        <v>0</v>
      </c>
      <c r="AH121" s="57">
        <f>IF($B$12&gt;19,IF(AH36&gt;$E$34,0,PPMT($L$34,AH36,$E$34,$L$31))*-1,"")</f>
        <v>0</v>
      </c>
    </row>
    <row r="122" spans="1:34" ht="12.75" hidden="1" customHeight="1" x14ac:dyDescent="0.35">
      <c r="A122" s="12" t="s">
        <v>105</v>
      </c>
      <c r="M122" s="160"/>
      <c r="N122" s="163"/>
      <c r="O122" s="57" t="e">
        <f>$L$31*$L$34</f>
        <v>#DIV/0!</v>
      </c>
      <c r="P122" s="57" t="e">
        <f t="shared" ref="P122:V122" si="64">O124*$L$34</f>
        <v>#DIV/0!</v>
      </c>
      <c r="Q122" s="57" t="e">
        <f t="shared" si="64"/>
        <v>#DIV/0!</v>
      </c>
      <c r="R122" s="57" t="e">
        <f t="shared" si="64"/>
        <v>#DIV/0!</v>
      </c>
      <c r="S122" s="57" t="e">
        <f t="shared" si="64"/>
        <v>#DIV/0!</v>
      </c>
      <c r="T122" s="57" t="e">
        <f t="shared" si="64"/>
        <v>#DIV/0!</v>
      </c>
      <c r="U122" s="57" t="e">
        <f t="shared" si="64"/>
        <v>#DIV/0!</v>
      </c>
      <c r="V122" s="57" t="e">
        <f t="shared" si="64"/>
        <v>#DIV/0!</v>
      </c>
      <c r="W122" s="57" t="e">
        <f>IF($B$12&gt;8,V124*$L$34,"")</f>
        <v>#DIV/0!</v>
      </c>
      <c r="X122" s="57" t="e">
        <f>IF($B$12&gt;9,W124*$L$34,"")</f>
        <v>#DIV/0!</v>
      </c>
      <c r="Y122" s="57" t="e">
        <f>IF($B$12&gt;10,X124*$L$34,"")</f>
        <v>#DIV/0!</v>
      </c>
      <c r="Z122" s="57" t="e">
        <f>IF($B$12&gt;11,Y124*$L$34,"")</f>
        <v>#DIV/0!</v>
      </c>
      <c r="AA122" s="57" t="e">
        <f>IF($B$12&gt;12,Z124*$L$34,"")</f>
        <v>#DIV/0!</v>
      </c>
      <c r="AB122" s="57" t="e">
        <f>IF($B$12&gt;13,AA124*$L$34,"")</f>
        <v>#DIV/0!</v>
      </c>
      <c r="AC122" s="57" t="e">
        <f>IF($B$12&gt;14,AB124*$L$34,"")</f>
        <v>#DIV/0!</v>
      </c>
      <c r="AD122" s="57" t="e">
        <f>IF($B$12&gt;15,AC124*$L$34,"")</f>
        <v>#DIV/0!</v>
      </c>
      <c r="AE122" s="57" t="e">
        <f>IF($B$12&gt;16,AD124*$L$34,"")</f>
        <v>#DIV/0!</v>
      </c>
      <c r="AF122" s="57" t="e">
        <f>IF($B$12&gt;17,AE124*$L$34,"")</f>
        <v>#DIV/0!</v>
      </c>
      <c r="AG122" s="57" t="e">
        <f>IF($B$12&gt;18,AF124*$L$34,"")</f>
        <v>#DIV/0!</v>
      </c>
      <c r="AH122" s="57" t="e">
        <f>IF($B$12&gt;19,AG124*$L$34,"")</f>
        <v>#DIV/0!</v>
      </c>
    </row>
    <row r="123" spans="1:34" ht="12.75" hidden="1" customHeight="1" x14ac:dyDescent="0.35">
      <c r="A123" s="12" t="s">
        <v>106</v>
      </c>
      <c r="M123" s="160"/>
      <c r="N123" s="163"/>
      <c r="O123" s="57">
        <f t="shared" ref="O123:V123" si="65">IF(O36&gt;$E$34,0,$L$31/$E34)</f>
        <v>0</v>
      </c>
      <c r="P123" s="57">
        <f t="shared" si="65"/>
        <v>0</v>
      </c>
      <c r="Q123" s="57">
        <f t="shared" si="65"/>
        <v>0</v>
      </c>
      <c r="R123" s="57">
        <f t="shared" si="65"/>
        <v>0</v>
      </c>
      <c r="S123" s="57">
        <f t="shared" si="65"/>
        <v>0</v>
      </c>
      <c r="T123" s="57">
        <f t="shared" si="65"/>
        <v>0</v>
      </c>
      <c r="U123" s="57">
        <f t="shared" si="65"/>
        <v>0</v>
      </c>
      <c r="V123" s="57">
        <f t="shared" si="65"/>
        <v>0</v>
      </c>
      <c r="W123" s="57">
        <f>IF($B$12&gt;8,IF(W36&gt;$E$34,0,$L$31/$E34),"")</f>
        <v>0</v>
      </c>
      <c r="X123" s="57">
        <f>IF($B$12&gt;9,IF(X36&gt;$E$34,0,$L$31/$E34),"")</f>
        <v>0</v>
      </c>
      <c r="Y123" s="57">
        <f>IF($B$12&gt;10,IF(Y36&gt;$E$34,0,$L$31/$E34),"")</f>
        <v>0</v>
      </c>
      <c r="Z123" s="57">
        <f>IF($B$12&gt;11,IF(Z36&gt;$E$34,0,$L$31/$E34),"")</f>
        <v>0</v>
      </c>
      <c r="AA123" s="57">
        <f>IF($B$12&gt;12,IF(AA36&gt;$E$34,0,$L$31/$E34),"")</f>
        <v>0</v>
      </c>
      <c r="AB123" s="57">
        <f>IF($B$12&gt;13,IF(AB36&gt;$E$34,0,$L$31/$E34),"")</f>
        <v>0</v>
      </c>
      <c r="AC123" s="57">
        <f>IF($B$12&gt;14,IF(AC36&gt;$E$34,0,$L$31/$E34),"")</f>
        <v>0</v>
      </c>
      <c r="AD123" s="57">
        <f>IF($B$12&gt;15,IF(AD36&gt;$E$34,0,$L$31/$E34),"")</f>
        <v>0</v>
      </c>
      <c r="AE123" s="57">
        <f>IF($B$12&gt;16,IF(AE36&gt;$E$34,0,$L$31/$E34),"")</f>
        <v>0</v>
      </c>
      <c r="AF123" s="57">
        <f>IF($B$12&gt;17,IF(AF36&gt;$E$34,0,$L$31/$E34),"")</f>
        <v>0</v>
      </c>
      <c r="AG123" s="57">
        <f>IF($B$12&gt;18,IF(AG36&gt;$E$34,0,$L$31/$E34),"")</f>
        <v>0</v>
      </c>
      <c r="AH123" s="57">
        <f>IF($B$12&gt;19,IF(AH36&gt;$E$34,0,$L$31/$E34),"")</f>
        <v>0</v>
      </c>
    </row>
    <row r="124" spans="1:34" ht="12.75" hidden="1" customHeight="1" x14ac:dyDescent="0.35">
      <c r="A124" s="12" t="s">
        <v>107</v>
      </c>
      <c r="M124" s="160"/>
      <c r="N124" s="163"/>
      <c r="O124" s="57" t="e">
        <f>$L$31-O123</f>
        <v>#DIV/0!</v>
      </c>
      <c r="P124" s="57" t="e">
        <f>O124-P123</f>
        <v>#DIV/0!</v>
      </c>
      <c r="Q124" s="57" t="e">
        <f t="shared" ref="Q124:V124" si="66">P124-Q123</f>
        <v>#DIV/0!</v>
      </c>
      <c r="R124" s="57" t="e">
        <f t="shared" si="66"/>
        <v>#DIV/0!</v>
      </c>
      <c r="S124" s="57" t="e">
        <f t="shared" si="66"/>
        <v>#DIV/0!</v>
      </c>
      <c r="T124" s="57" t="e">
        <f t="shared" si="66"/>
        <v>#DIV/0!</v>
      </c>
      <c r="U124" s="57" t="e">
        <f t="shared" si="66"/>
        <v>#DIV/0!</v>
      </c>
      <c r="V124" s="57" t="e">
        <f t="shared" si="66"/>
        <v>#DIV/0!</v>
      </c>
      <c r="W124" s="57" t="e">
        <f>IF($B$12&gt;8,V124-W123,"")</f>
        <v>#DIV/0!</v>
      </c>
      <c r="X124" s="57" t="e">
        <f>IF($B$12&gt;9,W124-X123,"")</f>
        <v>#DIV/0!</v>
      </c>
      <c r="Y124" s="57" t="e">
        <f>IF($B$12&gt;10,X124-Y123,"")</f>
        <v>#DIV/0!</v>
      </c>
      <c r="Z124" s="57" t="e">
        <f>IF($B$12&gt;11,Y124-Z123,"")</f>
        <v>#DIV/0!</v>
      </c>
      <c r="AA124" s="57" t="e">
        <f>IF($B$12&gt;12,Z124-AA123,"")</f>
        <v>#DIV/0!</v>
      </c>
      <c r="AB124" s="57" t="e">
        <f>IF($B$12&gt;13,AA124-AB123,"")</f>
        <v>#DIV/0!</v>
      </c>
      <c r="AC124" s="57" t="e">
        <f>IF($B$12&gt;14,AB124-AC123,"")</f>
        <v>#DIV/0!</v>
      </c>
      <c r="AD124" s="57" t="e">
        <f>IF($B$12&gt;15,AC124-AD123,"")</f>
        <v>#DIV/0!</v>
      </c>
      <c r="AE124" s="57" t="e">
        <f>IF($B$12&gt;16,AD124-AE123,"")</f>
        <v>#DIV/0!</v>
      </c>
      <c r="AF124" s="57" t="e">
        <f>IF($B$12&gt;17,AE124-AF123,"")</f>
        <v>#DIV/0!</v>
      </c>
      <c r="AG124" s="57" t="e">
        <f>IF($B$12&gt;18,AF124-AG123,"")</f>
        <v>#DIV/0!</v>
      </c>
      <c r="AH124" s="57" t="e">
        <f>IF($B$12&gt;19,AG124-AH123,"")</f>
        <v>#DIV/0!</v>
      </c>
    </row>
    <row r="125" spans="1:34" ht="12.75" hidden="1" customHeight="1" x14ac:dyDescent="0.35">
      <c r="A125" s="12"/>
      <c r="M125" s="160"/>
      <c r="N125" s="163"/>
      <c r="O125" s="57"/>
      <c r="P125" s="57"/>
      <c r="Q125" s="57"/>
      <c r="R125" s="57"/>
      <c r="S125" s="57"/>
      <c r="T125" s="57"/>
      <c r="U125" s="57"/>
      <c r="V125" s="57"/>
      <c r="W125" s="213"/>
      <c r="X125" s="213"/>
      <c r="Y125" s="213"/>
      <c r="Z125" s="213"/>
      <c r="AA125" s="213"/>
      <c r="AB125" s="213"/>
      <c r="AC125" s="213"/>
    </row>
    <row r="126" spans="1:34" ht="12.75" customHeight="1" x14ac:dyDescent="0.35">
      <c r="A126" s="12" t="str">
        <f>IF(Hulpblad_overig!$A$32=1,A120,IF(Hulpblad_overig!$A$32=2,A122,0))</f>
        <v>Rentelasten annuïteitenlening</v>
      </c>
      <c r="B126" s="62">
        <f>E34</f>
        <v>0</v>
      </c>
      <c r="C126" s="70" t="s">
        <v>108</v>
      </c>
      <c r="D126" s="70"/>
      <c r="E126" s="70"/>
      <c r="F126" s="70"/>
      <c r="G126" s="70"/>
      <c r="H126" s="70"/>
      <c r="I126" s="71"/>
      <c r="J126" s="71"/>
      <c r="K126" s="61"/>
      <c r="M126" s="160"/>
      <c r="N126" s="163"/>
      <c r="O126" s="57">
        <f>IF(Hulpblad_overig!$A$32=1,O120,IF(Hulpblad_overig!$A$32=2,O122,0))</f>
        <v>0</v>
      </c>
      <c r="P126" s="57">
        <f>IF(Hulpblad_overig!$A$32=1,P120,IF(Hulpblad_overig!$A$32=2,P122,0))</f>
        <v>0</v>
      </c>
      <c r="Q126" s="57">
        <f>IF(Hulpblad_overig!$A$32=1,Q120,IF(Hulpblad_overig!$A$32=2,Q122,0))</f>
        <v>0</v>
      </c>
      <c r="R126" s="57">
        <f>IF(Hulpblad_overig!$A$32=1,R120,IF(Hulpblad_overig!$A$32=2,R122,0))</f>
        <v>0</v>
      </c>
      <c r="S126" s="57">
        <f>IF(Hulpblad_overig!$A$32=1,S120,IF(Hulpblad_overig!$A$32=2,S122,0))</f>
        <v>0</v>
      </c>
      <c r="T126" s="57">
        <f>IF($B$12&gt;5,IF(Hulpblad_overig!$A$32=1,T120,IF(Hulpblad_overig!$A$32=2,T122,0)),"")</f>
        <v>0</v>
      </c>
      <c r="U126" s="57">
        <f>IF($B$12&gt;6,IF(Hulpblad_overig!$A$32=1,U120,IF(Hulpblad_overig!$A$32=2,U122,0)),"")</f>
        <v>0</v>
      </c>
      <c r="V126" s="57">
        <f>IF($B$12&gt;7,IF(Hulpblad_overig!$A$32=1,V120,IF(Hulpblad_overig!$A$32=2,V122,0)),"")</f>
        <v>0</v>
      </c>
      <c r="W126" s="57">
        <f>IF($B$12&gt;8,IF(Hulpblad_overig!$A$32=1,W120,IF(Hulpblad_overig!$A$32=2,W122,0)),"")</f>
        <v>0</v>
      </c>
      <c r="X126" s="57">
        <f>IF($B$12&gt;9,IF(Hulpblad_overig!$A$32=1,X120,IF(Hulpblad_overig!$A$32=2,X122,0)),"")</f>
        <v>0</v>
      </c>
      <c r="Y126" s="57">
        <f>IF($B$12&gt;10,IF(Hulpblad_overig!$A$32=1,Y120,IF(Hulpblad_overig!$A$32=2,Y122,0)),"")</f>
        <v>0</v>
      </c>
      <c r="Z126" s="57">
        <f>IF($B$12&gt;11,IF(Hulpblad_overig!$A$32=1,Z120,IF(Hulpblad_overig!$A$32=2,Z122,0)),"")</f>
        <v>0</v>
      </c>
      <c r="AA126" s="57">
        <f>IF($B$12&gt;12,IF(Hulpblad_overig!$A$32=1,AA120,IF(Hulpblad_overig!$A$32=2,AA122,0)),"")</f>
        <v>0</v>
      </c>
      <c r="AB126" s="57">
        <f>IF($B$12&gt;13,IF(Hulpblad_overig!$A$32=1,AB120,IF(Hulpblad_overig!$A$32=2,AB122,0)),"")</f>
        <v>0</v>
      </c>
      <c r="AC126" s="57">
        <f>IF($B$12&gt;14,IF(Hulpblad_overig!$A$32=1,AC120,IF(Hulpblad_overig!$A$32=2,AC122,0)),"")</f>
        <v>0</v>
      </c>
      <c r="AD126" s="57">
        <f>IF($B$12&gt;15,IF(Hulpblad_overig!$A$32=1,AD120,IF(Hulpblad_overig!$A$32=2,AD122,0)),"")</f>
        <v>0</v>
      </c>
      <c r="AE126" s="57">
        <f>IF($B$12&gt;16,IF(Hulpblad_overig!$A$32=1,AE120,IF(Hulpblad_overig!$A$32=2,AE122,0)),"")</f>
        <v>0</v>
      </c>
      <c r="AF126" s="57">
        <f>IF($B$12&gt;17,IF(Hulpblad_overig!$A$32=1,AF120,IF(Hulpblad_overig!$A$32=2,AF122,0)),"")</f>
        <v>0</v>
      </c>
      <c r="AG126" s="57">
        <f>IF($B$12&gt;18,IF(Hulpblad_overig!$A$32=1,AG120,IF(Hulpblad_overig!$A$32=2,AG122,0)),"")</f>
        <v>0</v>
      </c>
      <c r="AH126" s="57">
        <f>IF($B$12&gt;19,IF(Hulpblad_overig!$A$32=1,AH120,IF(Hulpblad_overig!$A$32=2,AH122,0)),"")</f>
        <v>0</v>
      </c>
    </row>
    <row r="127" spans="1:34" ht="12.75" customHeight="1" x14ac:dyDescent="0.35">
      <c r="A127" s="12" t="str">
        <f>IF(Hulpblad_overig!$A$32=1,A121,IF(Hulpblad_overig!$A$32=2,A123,0))</f>
        <v>Aflossingen annuïteitenlening</v>
      </c>
      <c r="B127" s="69">
        <f>E34</f>
        <v>0</v>
      </c>
      <c r="C127" s="70" t="s">
        <v>108</v>
      </c>
      <c r="D127" s="70"/>
      <c r="E127" s="70"/>
      <c r="F127" s="70"/>
      <c r="G127" s="70"/>
      <c r="H127" s="70"/>
      <c r="I127" s="71"/>
      <c r="J127" s="71"/>
      <c r="K127" s="61"/>
      <c r="M127" s="160"/>
      <c r="N127" s="163"/>
      <c r="O127" s="57">
        <f>IF(Hulpblad_overig!$A$32=1,O121,IF(Hulpblad_overig!$A$32=2,O123,0))</f>
        <v>0</v>
      </c>
      <c r="P127" s="57">
        <f>IF(Hulpblad_overig!$A$32=1,P121,IF(Hulpblad_overig!$A$32=2,P123,0))</f>
        <v>0</v>
      </c>
      <c r="Q127" s="57">
        <f>IF(Hulpblad_overig!$A$32=1,Q121,IF(Hulpblad_overig!$A$32=2,Q123,0))</f>
        <v>0</v>
      </c>
      <c r="R127" s="57">
        <f>IF(Hulpblad_overig!$A$32=1,R121,IF(Hulpblad_overig!$A$32=2,R123,0))</f>
        <v>0</v>
      </c>
      <c r="S127" s="57">
        <f>IF(Hulpblad_overig!$A$32=1,S121,IF(Hulpblad_overig!$A$32=2,S123,0))</f>
        <v>0</v>
      </c>
      <c r="T127" s="57">
        <f>IF($B$12&gt;5,IF(Hulpblad_overig!$A$32=1,T121,IF(Hulpblad_overig!$A$32=2,T123,0)),"")</f>
        <v>0</v>
      </c>
      <c r="U127" s="57">
        <f>IF($B$12&gt;6,IF(Hulpblad_overig!$A$32=1,U121,IF(Hulpblad_overig!$A$32=2,U123,0)),"")</f>
        <v>0</v>
      </c>
      <c r="V127" s="57">
        <f>IF($B$12&gt;7,IF(Hulpblad_overig!$A$32=1,V121,IF(Hulpblad_overig!$A$32=2,V123,0)),"")</f>
        <v>0</v>
      </c>
      <c r="W127" s="57">
        <f>IF($B$12&gt;8,IF(Hulpblad_overig!$A$32=1,W121,IF(Hulpblad_overig!$A$32=2,W123,0)),"")</f>
        <v>0</v>
      </c>
      <c r="X127" s="57">
        <f>IF($B$12&gt;9,IF(Hulpblad_overig!$A$32=1,X121,IF(Hulpblad_overig!$A$32=2,X123,0)),"")</f>
        <v>0</v>
      </c>
      <c r="Y127" s="57">
        <f>IF($B$12&gt;10,IF(Hulpblad_overig!$A$32=1,Y121,IF(Hulpblad_overig!$A$32=2,Y123,0)),"")</f>
        <v>0</v>
      </c>
      <c r="Z127" s="57">
        <f>IF($B$12&gt;11,IF(Hulpblad_overig!$A$32=1,Z121,IF(Hulpblad_overig!$A$32=2,Z123,0)),"")</f>
        <v>0</v>
      </c>
      <c r="AA127" s="57">
        <f>IF($B$12&gt;12,IF(Hulpblad_overig!$A$32=1,AA121,IF(Hulpblad_overig!$A$32=2,AA123,0)),"")</f>
        <v>0</v>
      </c>
      <c r="AB127" s="57">
        <f>IF($B$12&gt;13,IF(Hulpblad_overig!$A$32=1,AB121,IF(Hulpblad_overig!$A$32=2,AB123,0)),"")</f>
        <v>0</v>
      </c>
      <c r="AC127" s="57">
        <f>IF($B$12&gt;14,IF(Hulpblad_overig!$A$32=1,AC121,IF(Hulpblad_overig!$A$32=2,AC123,0)),"")</f>
        <v>0</v>
      </c>
      <c r="AD127" s="57">
        <f>IF($B$12&gt;15,IF(Hulpblad_overig!$A$32=1,AD121,IF(Hulpblad_overig!$A$32=2,AD123,0)),"")</f>
        <v>0</v>
      </c>
      <c r="AE127" s="57">
        <f>IF($B$12&gt;16,IF(Hulpblad_overig!$A$32=1,AE121,IF(Hulpblad_overig!$A$32=2,AE123,0)),"")</f>
        <v>0</v>
      </c>
      <c r="AF127" s="57">
        <f>IF($B$12&gt;17,IF(Hulpblad_overig!$A$32=1,AF121,IF(Hulpblad_overig!$A$32=2,AF123,0)),"")</f>
        <v>0</v>
      </c>
      <c r="AG127" s="57">
        <f>IF($B$12&gt;18,IF(Hulpblad_overig!$A$32=1,AG121,IF(Hulpblad_overig!$A$32=2,AG123,0)),"")</f>
        <v>0</v>
      </c>
      <c r="AH127" s="57">
        <f>IF($B$12&gt;19,IF(Hulpblad_overig!$A$32=1,AH121,IF(Hulpblad_overig!$A$32=2,AH123,0)),"")</f>
        <v>0</v>
      </c>
    </row>
    <row r="128" spans="1:34" ht="12.75" customHeight="1" x14ac:dyDescent="0.35">
      <c r="A128" s="12"/>
      <c r="M128" s="160"/>
      <c r="N128" s="163"/>
      <c r="O128" s="163"/>
      <c r="P128" s="163"/>
      <c r="Q128" s="163"/>
      <c r="R128" s="163"/>
      <c r="S128" s="163"/>
      <c r="T128" s="163"/>
      <c r="U128" s="163"/>
      <c r="V128" s="163"/>
      <c r="W128" s="213"/>
      <c r="X128" s="213"/>
      <c r="Y128" s="213"/>
      <c r="Z128" s="213"/>
      <c r="AA128" s="213"/>
      <c r="AB128" s="213"/>
      <c r="AC128" s="213"/>
    </row>
    <row r="129" spans="1:34" s="30" customFormat="1" ht="12.75" customHeight="1" x14ac:dyDescent="0.3">
      <c r="A129" s="66" t="s">
        <v>109</v>
      </c>
      <c r="N129" s="42">
        <f t="shared" ref="N129:S129" si="67">N117+N119+N126</f>
        <v>0</v>
      </c>
      <c r="O129" s="42">
        <f t="shared" si="67"/>
        <v>2.92E-2</v>
      </c>
      <c r="P129" s="42">
        <f t="shared" si="67"/>
        <v>2.9784000000000001E-2</v>
      </c>
      <c r="Q129" s="42">
        <f t="shared" si="67"/>
        <v>3.0379680000000003E-2</v>
      </c>
      <c r="R129" s="42">
        <f t="shared" si="67"/>
        <v>3.0987273600000004E-2</v>
      </c>
      <c r="S129" s="42">
        <f t="shared" si="67"/>
        <v>3.1607019072000003E-2</v>
      </c>
      <c r="T129" s="42">
        <f>IF($B$12&gt;5,T117+T119+T126,"")</f>
        <v>0</v>
      </c>
      <c r="U129" s="42">
        <f>IF($B$12&gt;6,U117+U119+U126,"")</f>
        <v>0</v>
      </c>
      <c r="V129" s="42">
        <f>IF($B$12&gt;7,V117+V119+V126,"")</f>
        <v>0</v>
      </c>
      <c r="W129" s="42">
        <f>IF($B$12&gt;8,W117+W119+W126,"")</f>
        <v>0</v>
      </c>
      <c r="X129" s="42">
        <f>IF($B$12&gt;9,X117+X119+X126,"")</f>
        <v>0</v>
      </c>
      <c r="Y129" s="42">
        <f>IF($B$12&gt;10,Y117+Y119+Y126,"")</f>
        <v>0</v>
      </c>
      <c r="Z129" s="42">
        <f>IF($B$12&gt;11,Z117+Z119+Z126,"")</f>
        <v>0</v>
      </c>
      <c r="AA129" s="42">
        <f>IF($B$12&gt;12,AA117+AA119+AA126,"")</f>
        <v>0</v>
      </c>
      <c r="AB129" s="42">
        <f>IF($B$12&gt;13,AB117+AB119+AB126,"")</f>
        <v>0</v>
      </c>
      <c r="AC129" s="42">
        <f>IF($B$12&gt;14,AC117+AC119+AC126,"")</f>
        <v>0</v>
      </c>
      <c r="AD129" s="42">
        <f>IF($B$12&gt;15,AD117+AD119+AD126,"")</f>
        <v>0</v>
      </c>
      <c r="AE129" s="42">
        <f>IF($B$12&gt;16,AE117+AE119+AE126,"")</f>
        <v>0</v>
      </c>
      <c r="AF129" s="42">
        <f>IF($B$12&gt;17,AF117+AF119+AF126,"")</f>
        <v>0</v>
      </c>
      <c r="AG129" s="42">
        <f>IF($B$12&gt;18,AG117+AG119+AG126,"")</f>
        <v>0</v>
      </c>
      <c r="AH129" s="42">
        <f>IF($B$12&gt;19,AH117+AH119+AH126,"")</f>
        <v>0</v>
      </c>
    </row>
    <row r="130" spans="1:34" s="30" customFormat="1" ht="12.75" customHeight="1" x14ac:dyDescent="0.3">
      <c r="N130" s="42"/>
      <c r="O130" s="42"/>
      <c r="P130" s="42"/>
      <c r="Q130" s="42"/>
      <c r="R130" s="42"/>
      <c r="S130" s="42"/>
      <c r="T130" s="42"/>
      <c r="U130" s="42"/>
      <c r="V130" s="42"/>
      <c r="W130" s="154"/>
      <c r="X130" s="154"/>
      <c r="Y130" s="154"/>
      <c r="Z130" s="154"/>
      <c r="AA130" s="154"/>
      <c r="AB130" s="154"/>
      <c r="AC130" s="154"/>
    </row>
    <row r="131" spans="1:34" s="30" customFormat="1" ht="12.75" customHeight="1" x14ac:dyDescent="0.3">
      <c r="A131" s="30" t="s">
        <v>110</v>
      </c>
      <c r="N131" s="42">
        <f t="shared" ref="N131:S131" si="68">N75-N129</f>
        <v>0</v>
      </c>
      <c r="O131" s="42">
        <f t="shared" si="68"/>
        <v>-2.92E-2</v>
      </c>
      <c r="P131" s="42">
        <f t="shared" si="68"/>
        <v>-2.9784000000000001E-2</v>
      </c>
      <c r="Q131" s="42">
        <f t="shared" si="68"/>
        <v>-3.0379680000000003E-2</v>
      </c>
      <c r="R131" s="42">
        <f t="shared" si="68"/>
        <v>-3.0987273600000004E-2</v>
      </c>
      <c r="S131" s="42">
        <f t="shared" si="68"/>
        <v>-3.1607019072000003E-2</v>
      </c>
      <c r="T131" s="42">
        <f>IF($B$12&gt;5,T75-T129,"")</f>
        <v>0</v>
      </c>
      <c r="U131" s="42">
        <f>IF($B$12&gt;6,U75-U129,"")</f>
        <v>0</v>
      </c>
      <c r="V131" s="42">
        <f>IF($B$12&gt;7,V75-V129,"")</f>
        <v>0</v>
      </c>
      <c r="W131" s="42">
        <f>IF($B$12&gt;8,W75-W129,"")</f>
        <v>0</v>
      </c>
      <c r="X131" s="42">
        <f>IF($B$12&gt;9,X75-X129,"")</f>
        <v>0</v>
      </c>
      <c r="Y131" s="42">
        <f>IF($B$12&gt;10,Y75-Y129,"")</f>
        <v>0</v>
      </c>
      <c r="Z131" s="42">
        <f>IF($B$12&gt;11,Z75-Z129,"")</f>
        <v>0</v>
      </c>
      <c r="AA131" s="42">
        <f>IF($B$12&gt;12,AA75-AA129,"")</f>
        <v>0</v>
      </c>
      <c r="AB131" s="42">
        <f>IF($B$12&gt;13,AB75-AB129,"")</f>
        <v>0</v>
      </c>
      <c r="AC131" s="42">
        <f>IF($B$12&gt;14,AC75-AC129,"")</f>
        <v>0</v>
      </c>
      <c r="AD131" s="42">
        <f>IF($B$12&gt;15,AD75-AD129,"")</f>
        <v>0</v>
      </c>
      <c r="AE131" s="42">
        <f>IF($B$12&gt;16,AE75-AE129,"")</f>
        <v>0</v>
      </c>
      <c r="AF131" s="42">
        <f>IF($B$12&gt;17,AF75-AF129,"")</f>
        <v>0</v>
      </c>
      <c r="AG131" s="42">
        <f>IF($B$12&gt;18,AG75-AG129,"")</f>
        <v>0</v>
      </c>
      <c r="AH131" s="42">
        <f>IF($B$12&gt;19,AH75-AH129,"")</f>
        <v>0</v>
      </c>
    </row>
    <row r="132" spans="1:34" s="30" customFormat="1" ht="12.75" customHeight="1" x14ac:dyDescent="0.3">
      <c r="N132" s="42"/>
      <c r="O132" s="42"/>
      <c r="P132" s="42"/>
      <c r="Q132" s="42"/>
      <c r="R132" s="42"/>
      <c r="S132" s="42"/>
      <c r="T132" s="42"/>
      <c r="U132" s="42"/>
      <c r="V132" s="42"/>
      <c r="W132" s="154"/>
      <c r="X132" s="154"/>
      <c r="Y132" s="154"/>
      <c r="Z132" s="154"/>
      <c r="AA132" s="154"/>
      <c r="AB132" s="154"/>
      <c r="AC132" s="154"/>
    </row>
    <row r="133" spans="1:34" ht="12.75" customHeight="1" x14ac:dyDescent="0.35">
      <c r="A133" s="12" t="s">
        <v>111</v>
      </c>
      <c r="L133" s="183">
        <v>0</v>
      </c>
      <c r="M133" s="164"/>
      <c r="N133" s="163"/>
      <c r="O133" s="163"/>
      <c r="P133" s="163"/>
      <c r="Q133" s="163"/>
      <c r="R133" s="163"/>
      <c r="S133" s="163"/>
      <c r="T133" s="163"/>
      <c r="U133" s="163"/>
      <c r="V133" s="163"/>
      <c r="W133" s="213"/>
      <c r="X133" s="213"/>
      <c r="Y133" s="213"/>
      <c r="Z133" s="213"/>
      <c r="AA133" s="213"/>
      <c r="AB133" s="213"/>
      <c r="AC133" s="213"/>
    </row>
    <row r="134" spans="1:34" ht="12.75" customHeight="1" x14ac:dyDescent="0.35">
      <c r="A134" s="12" t="s">
        <v>112</v>
      </c>
      <c r="K134" s="30"/>
      <c r="M134" s="164"/>
      <c r="N134" s="163"/>
      <c r="O134" s="163">
        <f>IF(AND(O131&gt;0,N135&gt;0),MIN(O131,N135),0)</f>
        <v>0</v>
      </c>
      <c r="P134" s="163">
        <f t="shared" ref="P134:S134" si="69">IF(AND(P131&gt;0,O135&gt;0),MIN(P131,O135),0)</f>
        <v>0</v>
      </c>
      <c r="Q134" s="163">
        <f t="shared" si="69"/>
        <v>0</v>
      </c>
      <c r="R134" s="163">
        <f t="shared" si="69"/>
        <v>0</v>
      </c>
      <c r="S134" s="163">
        <f t="shared" si="69"/>
        <v>0</v>
      </c>
      <c r="T134" s="57">
        <f>IF($B$12&gt;5,IF(AND(T131&gt;0,S135&gt;0),MIN(T131,S135),0),"")</f>
        <v>0</v>
      </c>
      <c r="U134" s="57">
        <f>IF($B$12&gt;6,IF(AND(U131&gt;0,T135&gt;0),MIN(U131,T135),0),"")</f>
        <v>0</v>
      </c>
      <c r="V134" s="57">
        <f>IF($B$12&gt;7,IF(AND(V131&gt;0,U135&gt;0),MIN(V131,U135),0),"")</f>
        <v>0</v>
      </c>
      <c r="W134" s="57">
        <f>IF($B$12&gt;8,IF(AND(W131&gt;0,V135&gt;0),MIN(W131,V135),0),"")</f>
        <v>0</v>
      </c>
      <c r="X134" s="57">
        <f>IF($B$12&gt;9,IF(AND(X131&gt;0,W135&gt;0),MIN(X131,W135),0),"")</f>
        <v>0</v>
      </c>
      <c r="Y134" s="57">
        <f>IF($B$12&gt;10,IF(AND(Y131&gt;0,X135&gt;0),MIN(Y131,X135),0),"")</f>
        <v>0</v>
      </c>
      <c r="Z134" s="57">
        <f>IF($B$12&gt;11,IF(AND(Z131&gt;0,Y135&gt;0),MIN(Z131,Y135),0),"")</f>
        <v>0</v>
      </c>
      <c r="AA134" s="57">
        <f>IF($B$12&gt;12,IF(AND(AA131&gt;0,Z135&gt;0),MIN(AA131,Z135),0),"")</f>
        <v>0</v>
      </c>
      <c r="AB134" s="57">
        <f>IF($B$12&gt;13,IF(AND(AB131&gt;0,AA135&gt;0),MIN(AB131,AA135),0),"")</f>
        <v>0</v>
      </c>
      <c r="AC134" s="57">
        <f>IF($B$12&gt;14,IF(AND(AC131&gt;0,AB135&gt;0),MIN(AC131,AB135),0),"")</f>
        <v>0</v>
      </c>
      <c r="AD134" s="57">
        <f>IF($B$12&gt;15,IF(AND(AD131&gt;0,AC135&gt;0),MIN(AD131,AC135),0),"")</f>
        <v>0</v>
      </c>
      <c r="AE134" s="57">
        <f>IF($B$12&gt;16,IF(AND(AE131&gt;0,AD135&gt;0),MIN(AE131,AD135),0),"")</f>
        <v>0</v>
      </c>
      <c r="AF134" s="57">
        <f>IF($B$12&gt;17,IF(AND(AF131&gt;0,AE135&gt;0),MIN(AF131,AE135),0),"")</f>
        <v>0</v>
      </c>
      <c r="AG134" s="57">
        <f>IF($B$12&gt;18,IF(AND(AG131&gt;0,AF135&gt;0),MIN(AG131,AF135),0),"")</f>
        <v>0</v>
      </c>
      <c r="AH134" s="57">
        <f>IF($B$12&gt;19,IF(AND(AH131&gt;0,AG135&gt;0),MIN(AH131,AG135),0),"")</f>
        <v>0</v>
      </c>
    </row>
    <row r="135" spans="1:34" ht="12.75" customHeight="1" x14ac:dyDescent="0.35">
      <c r="A135" s="12" t="s">
        <v>113</v>
      </c>
      <c r="M135" s="163"/>
      <c r="N135" s="163">
        <f>L133</f>
        <v>0</v>
      </c>
      <c r="O135" s="163">
        <f>IF(O36&lt;10,IF((N135-O134)&lt;0,0,(N135-O134)),0)</f>
        <v>0</v>
      </c>
      <c r="P135" s="163">
        <f>IF(P36&lt;10,IF((O135-P134)&lt;0,0,(O135-P134)),0)</f>
        <v>0</v>
      </c>
      <c r="Q135" s="163">
        <f>IF(Q36&lt;10,IF((P135-Q134)&lt;0,0,(P135-Q134)),0)</f>
        <v>0</v>
      </c>
      <c r="R135" s="163">
        <f>IF(R36&lt;10,IF((Q135-R134)&lt;0,0,(Q135-R134)),0)</f>
        <v>0</v>
      </c>
      <c r="S135" s="163">
        <f>IF(S36&lt;10,IF((R135-S134)&lt;0,0,(R135-S134)),0)</f>
        <v>0</v>
      </c>
      <c r="T135" s="57">
        <f>IF($B$12&gt;5,IF(T36&lt;10,IF((S135-T134)&lt;0,0,(S135-T134)),0),"")</f>
        <v>0</v>
      </c>
      <c r="U135" s="57">
        <f>IF($B$12&gt;6,IF(U36&lt;10,IF((T135-U134)&lt;0,0,(T135-U134)),0),"")</f>
        <v>0</v>
      </c>
      <c r="V135" s="57">
        <f>IF($B$12&gt;7,IF(V36&lt;10,IF((U135-V134)&lt;0,0,(U135-V134)),0),"")</f>
        <v>0</v>
      </c>
      <c r="W135" s="57">
        <f>IF($B$12&gt;8,IF(W36&lt;10,IF((V135-W134)&lt;0,0,(V135-W134)),0),"")</f>
        <v>0</v>
      </c>
      <c r="X135" s="57">
        <f>IF($B$12&gt;9,IF(X36&lt;10,IF((W135-X134)&lt;0,0,(W135-X134)),0),"")</f>
        <v>0</v>
      </c>
      <c r="Y135" s="57">
        <f>IF($B$12&gt;10,IF(Y36&lt;10,IF((X135-Y134)&lt;0,0,(X135-Y134)),0),"")</f>
        <v>0</v>
      </c>
      <c r="Z135" s="57">
        <f>IF($B$12&gt;11,IF(Z36&lt;10,IF((Y135-Z134)&lt;0,0,(Y135-Z134)),0),"")</f>
        <v>0</v>
      </c>
      <c r="AA135" s="57">
        <f>IF($B$12&gt;12,IF(AA36&lt;10,IF((Z135-AA134)&lt;0,0,(Z135-AA134)),0),"")</f>
        <v>0</v>
      </c>
      <c r="AB135" s="57">
        <f>IF($B$12&gt;13,IF(AB36&lt;10,IF((AA135-AB134)&lt;0,0,(AA135-AB134)),0),"")</f>
        <v>0</v>
      </c>
      <c r="AC135" s="57">
        <f>IF($B$12&gt;14,IF(AC36&lt;10,IF((AB135-AC134)&lt;0,0,(AB135-AC134)),0),"")</f>
        <v>0</v>
      </c>
      <c r="AD135" s="57">
        <f>IF($B$12&gt;15,IF(AD36&lt;10,IF((AC135-AD134)&lt;0,0,(AC135-AD134)),0),"")</f>
        <v>0</v>
      </c>
      <c r="AE135" s="57">
        <f>IF($B$12&gt;16,IF(AE36&lt;10,IF((AD135-AE134)&lt;0,0,(AD135-AE134)),0),"")</f>
        <v>0</v>
      </c>
      <c r="AF135" s="57">
        <f>IF($B$12&gt;17,IF(AF36&lt;10,IF((AE135-AF134)&lt;0,0,(AE135-AF134)),0),"")</f>
        <v>0</v>
      </c>
      <c r="AG135" s="57">
        <f>IF($B$12&gt;18,IF(AG36&lt;10,IF((AF135-AG134)&lt;0,0,(AF135-AG134)),0),"")</f>
        <v>0</v>
      </c>
      <c r="AH135" s="57">
        <f>IF($B$12&gt;19,IF(AH36&lt;10,IF((AG135-AH134)&lt;0,0,(AG135-AH134)),0),"")</f>
        <v>0</v>
      </c>
    </row>
    <row r="136" spans="1:34" s="30" customFormat="1" ht="12.75" customHeight="1" x14ac:dyDescent="0.3">
      <c r="A136" s="12" t="s">
        <v>114</v>
      </c>
      <c r="B136" s="12"/>
      <c r="C136" s="12"/>
      <c r="D136" s="12"/>
      <c r="E136" s="12"/>
      <c r="F136" s="12"/>
      <c r="G136" s="12"/>
      <c r="H136" s="12"/>
      <c r="I136" s="12"/>
      <c r="J136" s="12"/>
      <c r="K136" s="12"/>
      <c r="L136" s="12"/>
      <c r="M136" s="12"/>
      <c r="N136" s="57"/>
      <c r="O136" s="57">
        <f>IF(N131&lt;0,-N131,0)</f>
        <v>0</v>
      </c>
      <c r="P136" s="57">
        <f t="shared" ref="P136:S136" si="70">IF(O138&lt;0,-O138,0)</f>
        <v>2.92E-2</v>
      </c>
      <c r="Q136" s="57">
        <f t="shared" si="70"/>
        <v>5.8984000000000002E-2</v>
      </c>
      <c r="R136" s="57">
        <f t="shared" si="70"/>
        <v>8.9363680000000001E-2</v>
      </c>
      <c r="S136" s="57">
        <f t="shared" si="70"/>
        <v>0.1203509536</v>
      </c>
      <c r="T136" s="57">
        <f>IF($B$12&gt;5,IF(S138&lt;0,-S138,0),"")</f>
        <v>0.15195797267200001</v>
      </c>
      <c r="U136" s="57">
        <f>IF($B$12&gt;6,IF(T138&lt;0,-T138,0),"")</f>
        <v>0.15195797267200001</v>
      </c>
      <c r="V136" s="57">
        <f>IF($B$12&gt;7,IF(U138&lt;0,-U138,0),"")</f>
        <v>0.15195797267200001</v>
      </c>
      <c r="W136" s="57">
        <f>IF($B$12&gt;8,IF(V138&lt;0,-V138,0),"")</f>
        <v>0.15195797267200001</v>
      </c>
      <c r="X136" s="57">
        <f>IF($B$12&gt;9,IF(W138&lt;0,-W138,0),"")</f>
        <v>0.15195797267200001</v>
      </c>
      <c r="Y136" s="57">
        <f>IF($B$12&gt;10,IF(X138&lt;0,-X138,0),"")</f>
        <v>0.15195797267200001</v>
      </c>
      <c r="Z136" s="57">
        <f>IF($B$12&gt;11,IF(Y138&lt;0,-Y138,0),"")</f>
        <v>0.15195797267200001</v>
      </c>
      <c r="AA136" s="57">
        <f>IF($B$12&gt;12,IF(Z138&lt;0,-Z138,0),"")</f>
        <v>0.15195797267200001</v>
      </c>
      <c r="AB136" s="57">
        <f>IF($B$12&gt;13,IF(AA138&lt;0,-AA138,0),"")</f>
        <v>0.15195797267200001</v>
      </c>
      <c r="AC136" s="57">
        <f>IF($B$12&gt;14,IF(AB138&lt;0,-AB138,0),"")</f>
        <v>0.15195797267200001</v>
      </c>
      <c r="AD136" s="57">
        <f>IF($B$12&gt;15,IF(AC138&lt;0,-AC138,0),"")</f>
        <v>0.15195797267200001</v>
      </c>
      <c r="AE136" s="57">
        <f>IF($B$12&gt;16,IF(AD138&lt;0,-AD138,0),"")</f>
        <v>0.15195797267200001</v>
      </c>
      <c r="AF136" s="57">
        <f>IF($B$12&gt;17,IF(AE138&lt;0,-AE138,0),"")</f>
        <v>0.15195797267200001</v>
      </c>
      <c r="AG136" s="57">
        <f>IF($B$12&gt;18,IF(AF138&lt;0,-AF138,0),"")</f>
        <v>0.15195797267200001</v>
      </c>
      <c r="AH136" s="57">
        <f>IF($B$12&gt;19,IF(AG138&lt;0,-AG138,0),"")</f>
        <v>0.15195797267200001</v>
      </c>
    </row>
    <row r="137" spans="1:34" ht="12.75" customHeight="1" x14ac:dyDescent="0.35">
      <c r="A137" s="12"/>
      <c r="M137" s="163"/>
      <c r="N137" s="163"/>
      <c r="O137" s="163"/>
      <c r="P137" s="163"/>
      <c r="Q137" s="163"/>
      <c r="R137" s="163"/>
      <c r="S137" s="163"/>
      <c r="T137" s="163"/>
      <c r="U137" s="163"/>
      <c r="V137" s="163"/>
      <c r="W137" s="213"/>
      <c r="X137" s="213"/>
      <c r="Y137" s="213"/>
      <c r="Z137" s="213"/>
      <c r="AA137" s="213"/>
      <c r="AB137" s="213"/>
      <c r="AC137" s="213"/>
    </row>
    <row r="138" spans="1:34" s="30" customFormat="1" ht="12.75" customHeight="1" x14ac:dyDescent="0.3">
      <c r="A138" s="30" t="s">
        <v>115</v>
      </c>
      <c r="N138" s="42">
        <f>N131-N134</f>
        <v>0</v>
      </c>
      <c r="O138" s="42">
        <f>O131-O134</f>
        <v>-2.92E-2</v>
      </c>
      <c r="P138" s="42">
        <f>P131-P134-P136</f>
        <v>-5.8984000000000002E-2</v>
      </c>
      <c r="Q138" s="42">
        <f t="shared" ref="Q138:S138" si="71">Q131-Q134-Q136</f>
        <v>-8.9363680000000001E-2</v>
      </c>
      <c r="R138" s="42">
        <f t="shared" si="71"/>
        <v>-0.1203509536</v>
      </c>
      <c r="S138" s="42">
        <f t="shared" si="71"/>
        <v>-0.15195797267200001</v>
      </c>
      <c r="T138" s="42">
        <f>IF($B$12&gt;5,T131-T134-T136,"")</f>
        <v>-0.15195797267200001</v>
      </c>
      <c r="U138" s="42">
        <f>IF($B$12&gt;6,U131-U134-U136,"")</f>
        <v>-0.15195797267200001</v>
      </c>
      <c r="V138" s="42">
        <f>IF($B$12&gt;7,V131-V134-V136,"")</f>
        <v>-0.15195797267200001</v>
      </c>
      <c r="W138" s="42">
        <f>IF($B$12&gt;8,W131-W134-W136,"")</f>
        <v>-0.15195797267200001</v>
      </c>
      <c r="X138" s="42">
        <f>IF($B$12&gt;9,X131-X134-X136,"")</f>
        <v>-0.15195797267200001</v>
      </c>
      <c r="Y138" s="42">
        <f>IF($B$12&gt;10,Y131-Y134-Y136,"")</f>
        <v>-0.15195797267200001</v>
      </c>
      <c r="Z138" s="42">
        <f>IF($B$12&gt;11,Z131-Z134-Z136,"")</f>
        <v>-0.15195797267200001</v>
      </c>
      <c r="AA138" s="42">
        <f>IF($B$12&gt;12,AA131-AA134-AA136,"")</f>
        <v>-0.15195797267200001</v>
      </c>
      <c r="AB138" s="42">
        <f>IF($B$12&gt;13,AB131-AB134-AB136,"")</f>
        <v>-0.15195797267200001</v>
      </c>
      <c r="AC138" s="42">
        <f>IF($B$12&gt;14,AC131-AC134-AC136,"")</f>
        <v>-0.15195797267200001</v>
      </c>
      <c r="AD138" s="42">
        <f>IF($B$12&gt;15,AD131-AD134-AD136,"")</f>
        <v>-0.15195797267200001</v>
      </c>
      <c r="AE138" s="42">
        <f>IF($B$12&gt;16,AE131-AE134-AE136,"")</f>
        <v>-0.15195797267200001</v>
      </c>
      <c r="AF138" s="42">
        <f>IF($B$12&gt;17,AF131-AF134-AF136,"")</f>
        <v>-0.15195797267200001</v>
      </c>
      <c r="AG138" s="42">
        <f>IF($B$12&gt;18,AG131-AG134-AG136,"")</f>
        <v>-0.15195797267200001</v>
      </c>
      <c r="AH138" s="42">
        <f>IF($B$12&gt;19,AH131-AH134-AH136,"")</f>
        <v>-0.15195797267200001</v>
      </c>
    </row>
    <row r="139" spans="1:34" ht="12.75" customHeight="1" x14ac:dyDescent="0.35">
      <c r="M139" s="160"/>
      <c r="N139" s="163"/>
      <c r="O139" s="163"/>
      <c r="P139" s="163"/>
      <c r="Q139" s="163"/>
      <c r="R139" s="163"/>
      <c r="S139" s="163"/>
      <c r="T139" s="163"/>
      <c r="U139" s="163"/>
      <c r="V139" s="163"/>
      <c r="W139" s="213"/>
      <c r="X139" s="213"/>
      <c r="Y139" s="213"/>
      <c r="Z139" s="213"/>
      <c r="AA139" s="213"/>
      <c r="AB139" s="213"/>
      <c r="AC139" s="213"/>
    </row>
    <row r="140" spans="1:34" ht="12.75" customHeight="1" x14ac:dyDescent="0.35">
      <c r="A140" s="12" t="s">
        <v>116</v>
      </c>
      <c r="M140" s="160"/>
      <c r="N140" s="163"/>
      <c r="O140" s="163"/>
      <c r="P140" s="163"/>
      <c r="Q140" s="163"/>
      <c r="R140" s="163"/>
      <c r="S140" s="163"/>
      <c r="T140" s="163"/>
      <c r="U140" s="163"/>
      <c r="V140" s="163"/>
      <c r="W140" s="213"/>
      <c r="X140" s="213"/>
      <c r="Y140" s="213"/>
      <c r="Z140" s="213"/>
      <c r="AA140" s="213"/>
      <c r="AB140" s="213"/>
      <c r="AC140" s="213"/>
    </row>
    <row r="141" spans="1:34" ht="12.75" customHeight="1" x14ac:dyDescent="0.35">
      <c r="L141" s="177">
        <v>0.25800000000000001</v>
      </c>
      <c r="M141" s="160"/>
      <c r="N141" s="163"/>
      <c r="O141" s="163"/>
      <c r="P141" s="163"/>
      <c r="Q141" s="163"/>
      <c r="R141" s="163"/>
      <c r="S141" s="163"/>
      <c r="T141" s="163"/>
      <c r="U141" s="163"/>
      <c r="V141" s="163"/>
      <c r="W141" s="213"/>
      <c r="X141" s="213"/>
      <c r="Y141" s="213"/>
      <c r="Z141" s="213"/>
      <c r="AA141" s="213"/>
      <c r="AB141" s="213"/>
      <c r="AC141" s="213"/>
    </row>
    <row r="142" spans="1:34" ht="12.75" customHeight="1" x14ac:dyDescent="0.35">
      <c r="A142" s="4" t="s">
        <v>117</v>
      </c>
      <c r="C142" s="6"/>
      <c r="D142" s="40"/>
      <c r="E142" s="40"/>
      <c r="F142" s="40"/>
      <c r="G142" s="40"/>
      <c r="H142" s="40"/>
      <c r="I142" s="40"/>
      <c r="J142" s="40"/>
      <c r="M142" s="160"/>
      <c r="N142" s="163">
        <f>N138*$L$141</f>
        <v>0</v>
      </c>
      <c r="O142" s="163">
        <f>IF(O138&gt;0,O138*$L$141,0)</f>
        <v>0</v>
      </c>
      <c r="P142" s="163">
        <f t="shared" ref="P142:S142" si="72">IF(P138&gt;0,P138*$L$141,0)</f>
        <v>0</v>
      </c>
      <c r="Q142" s="163">
        <f t="shared" si="72"/>
        <v>0</v>
      </c>
      <c r="R142" s="163">
        <f t="shared" si="72"/>
        <v>0</v>
      </c>
      <c r="S142" s="163">
        <f t="shared" si="72"/>
        <v>0</v>
      </c>
      <c r="T142" s="57">
        <f>IF($B$12&gt;5,IF(T138&gt;0,T138*$L$141,0),"")</f>
        <v>0</v>
      </c>
      <c r="U142" s="57">
        <f>IF($B$12&gt;6,IF(U138&gt;0,U138*$L$141,0),"")</f>
        <v>0</v>
      </c>
      <c r="V142" s="57">
        <f>IF($B$12&gt;7,IF(V138&gt;0,V138*$L$141,0),"")</f>
        <v>0</v>
      </c>
      <c r="W142" s="57">
        <f>IF($B$12&gt;8,IF(W138&gt;0,W138*$L$141,0),"")</f>
        <v>0</v>
      </c>
      <c r="X142" s="57">
        <f>IF($B$12&gt;9,IF(X138&gt;0,X138*$L$141,0),"")</f>
        <v>0</v>
      </c>
      <c r="Y142" s="57">
        <f>IF($B$12&gt;10,IF(Y138&gt;0,Y138*$L$141,0),"")</f>
        <v>0</v>
      </c>
      <c r="Z142" s="57">
        <f>IF($B$12&gt;11,IF(Z138&gt;0,Z138*$L$141,0),"")</f>
        <v>0</v>
      </c>
      <c r="AA142" s="57">
        <f>IF($B$12&gt;12,IF(AA138&gt;0,AA138*$L$141,0),"")</f>
        <v>0</v>
      </c>
      <c r="AB142" s="57">
        <f>IF($B$12&gt;13,IF(AB138&gt;0,AB138*$L$141,0),"")</f>
        <v>0</v>
      </c>
      <c r="AC142" s="57">
        <f>IF($B$12&gt;14,IF(AC138&gt;0,AC138*$L$141,0),"")</f>
        <v>0</v>
      </c>
      <c r="AD142" s="57">
        <f>IF($B$12&gt;15,IF(AD138&gt;0,AD138*$L$141,0),"")</f>
        <v>0</v>
      </c>
      <c r="AE142" s="57">
        <f>IF($B$12&gt;16,IF(AE138&gt;0,AE138*$L$141,0),"")</f>
        <v>0</v>
      </c>
      <c r="AF142" s="57">
        <f>IF($B$12&gt;17,IF(AF138&gt;0,AF138*$L$141,0),"")</f>
        <v>0</v>
      </c>
      <c r="AG142" s="57">
        <f>IF($B$12&gt;18,IF(AG138&gt;0,AG138*$L$141,0),"")</f>
        <v>0</v>
      </c>
      <c r="AH142" s="57">
        <f>IF($B$12&gt;19,IF(AH138&gt;0,AH138*$L$141,0),"")</f>
        <v>0</v>
      </c>
    </row>
    <row r="143" spans="1:34" s="30" customFormat="1" ht="12.75" customHeight="1" x14ac:dyDescent="0.3">
      <c r="A143" s="30" t="s">
        <v>118</v>
      </c>
      <c r="N143" s="42">
        <f t="shared" ref="N143:S143" si="73">N131-N142</f>
        <v>0</v>
      </c>
      <c r="O143" s="42">
        <f t="shared" si="73"/>
        <v>-2.92E-2</v>
      </c>
      <c r="P143" s="42">
        <f t="shared" si="73"/>
        <v>-2.9784000000000001E-2</v>
      </c>
      <c r="Q143" s="42">
        <f t="shared" si="73"/>
        <v>-3.0379680000000003E-2</v>
      </c>
      <c r="R143" s="42">
        <f t="shared" si="73"/>
        <v>-3.0987273600000004E-2</v>
      </c>
      <c r="S143" s="42">
        <f t="shared" si="73"/>
        <v>-3.1607019072000003E-2</v>
      </c>
      <c r="T143" s="42">
        <f>IF($B$12&gt;5,T131-T142,"")</f>
        <v>0</v>
      </c>
      <c r="U143" s="42">
        <f>IF($B$12&gt;6,U131-U142,"")</f>
        <v>0</v>
      </c>
      <c r="V143" s="42">
        <f>IF($B$12&gt;7,V131-V142,"")</f>
        <v>0</v>
      </c>
      <c r="W143" s="42">
        <f>IF($B$12&gt;8,W131-W142,"")</f>
        <v>0</v>
      </c>
      <c r="X143" s="42">
        <f>IF($B$12&gt;9,X131-X142,"")</f>
        <v>0</v>
      </c>
      <c r="Y143" s="42">
        <f>IF($B$12&gt;10,Y131-Y142,"")</f>
        <v>0</v>
      </c>
      <c r="Z143" s="42">
        <f>IF($B$12&gt;11,Z131-Z142,"")</f>
        <v>0</v>
      </c>
      <c r="AA143" s="42">
        <f>IF($B$12&gt;12,AA131-AA142,"")</f>
        <v>0</v>
      </c>
      <c r="AB143" s="42">
        <f>IF($B$12&gt;13,AB131-AB142,"")</f>
        <v>0</v>
      </c>
      <c r="AC143" s="42">
        <f>IF($B$12&gt;14,AC131-AC142,"")</f>
        <v>0</v>
      </c>
      <c r="AD143" s="42">
        <f>IF($B$12&gt;15,AD131-AD142,"")</f>
        <v>0</v>
      </c>
      <c r="AE143" s="42">
        <f>IF($B$12&gt;16,AE131-AE142,"")</f>
        <v>0</v>
      </c>
      <c r="AF143" s="42">
        <f>IF($B$12&gt;17,AF131-AF142,"")</f>
        <v>0</v>
      </c>
      <c r="AG143" s="42">
        <f>IF($B$12&gt;18,AG131-AG142,"")</f>
        <v>0</v>
      </c>
      <c r="AH143" s="42">
        <f>IF($B$12&gt;19,AH131-AH142,"")</f>
        <v>0</v>
      </c>
    </row>
    <row r="144" spans="1:34" s="30" customFormat="1" ht="12.75" customHeight="1" x14ac:dyDescent="0.3">
      <c r="N144" s="42"/>
      <c r="O144" s="42"/>
      <c r="P144" s="42"/>
      <c r="Q144" s="42"/>
      <c r="R144" s="42"/>
      <c r="S144" s="42"/>
      <c r="T144" s="42"/>
      <c r="U144" s="42"/>
      <c r="V144" s="42"/>
      <c r="W144" s="154"/>
      <c r="X144" s="154"/>
      <c r="Y144" s="154"/>
      <c r="Z144" s="154"/>
      <c r="AA144" s="154"/>
      <c r="AB144" s="154"/>
      <c r="AC144" s="154"/>
    </row>
    <row r="145" spans="1:34" s="30" customFormat="1" ht="12.75" customHeight="1" x14ac:dyDescent="0.3">
      <c r="A145" s="30" t="s">
        <v>119</v>
      </c>
      <c r="N145" s="42">
        <f>N143+N119+N126-N27</f>
        <v>0</v>
      </c>
      <c r="O145" s="42">
        <f t="shared" ref="O145:S145" si="74">+O143+O119+O126</f>
        <v>-2.92E-2</v>
      </c>
      <c r="P145" s="42">
        <f t="shared" si="74"/>
        <v>-2.9784000000000001E-2</v>
      </c>
      <c r="Q145" s="42">
        <f t="shared" si="74"/>
        <v>-3.0379680000000003E-2</v>
      </c>
      <c r="R145" s="42">
        <f t="shared" si="74"/>
        <v>-3.0987273600000004E-2</v>
      </c>
      <c r="S145" s="42">
        <f t="shared" si="74"/>
        <v>-3.1607019072000003E-2</v>
      </c>
      <c r="T145" s="42">
        <f>IF($B$12&gt;5,+T143+T119+T126,"")</f>
        <v>0</v>
      </c>
      <c r="U145" s="42">
        <f>IF($B$12&gt;6,+U143+U119+U126,"")</f>
        <v>0</v>
      </c>
      <c r="V145" s="42">
        <f>IF($B$12&gt;7,+V143+V119+V126,"")</f>
        <v>0</v>
      </c>
      <c r="W145" s="42">
        <f>IF($B$12&gt;8,+W143+W119+W126,"")</f>
        <v>0</v>
      </c>
      <c r="X145" s="42">
        <f>IF($B$12&gt;9,+X143+X119+X126,"")</f>
        <v>0</v>
      </c>
      <c r="Y145" s="42">
        <f>IF($B$12&gt;10,+Y143+Y119+Y126,"")</f>
        <v>0</v>
      </c>
      <c r="Z145" s="42">
        <f>IF($B$12&gt;11,+Z143+Z119+Z126,"")</f>
        <v>0</v>
      </c>
      <c r="AA145" s="42">
        <f>IF($B$12&gt;12,+AA143+AA119+AA126,"")</f>
        <v>0</v>
      </c>
      <c r="AB145" s="42">
        <f>IF($B$12&gt;13,+AB143+AB119+AB126,"")</f>
        <v>0</v>
      </c>
      <c r="AC145" s="42">
        <f>IF($B$12&gt;14,+AC143+AC119+AC126,"")</f>
        <v>0</v>
      </c>
      <c r="AD145" s="42">
        <f>IF($B$12&gt;15,+AD143+AD119+AD126,"")</f>
        <v>0</v>
      </c>
      <c r="AE145" s="42">
        <f>IF($B$12&gt;16,+AE143+AE119+AE126,"")</f>
        <v>0</v>
      </c>
      <c r="AF145" s="42">
        <f>IF($B$12&gt;17,+AF143+AF119+AF126,"")</f>
        <v>0</v>
      </c>
      <c r="AG145" s="42">
        <f>IF($B$12&gt;18,+AG143+AG119+AG126,"")</f>
        <v>0</v>
      </c>
      <c r="AH145" s="42">
        <f>IF($B$12&gt;19,+AH143+AH119+AH126,"")</f>
        <v>0</v>
      </c>
    </row>
    <row r="146" spans="1:34" ht="12.75" customHeight="1" thickBot="1" x14ac:dyDescent="0.4">
      <c r="M146" s="160"/>
      <c r="N146" s="163"/>
      <c r="O146" s="163"/>
      <c r="P146" s="163"/>
      <c r="Q146" s="163"/>
      <c r="R146" s="163"/>
      <c r="S146" s="163"/>
      <c r="T146" s="163"/>
      <c r="U146" s="163"/>
      <c r="V146" s="163"/>
      <c r="W146" s="213"/>
      <c r="X146" s="213"/>
      <c r="Y146" s="213"/>
      <c r="Z146" s="213"/>
      <c r="AA146" s="213"/>
      <c r="AB146" s="213"/>
      <c r="AC146" s="213"/>
      <c r="AD146" s="213"/>
      <c r="AE146" s="213"/>
      <c r="AF146" s="213"/>
      <c r="AG146" s="213"/>
      <c r="AH146" s="213"/>
    </row>
    <row r="147" spans="1:34" ht="25" customHeight="1" thickBot="1" x14ac:dyDescent="0.4">
      <c r="A147" s="92" t="s">
        <v>120</v>
      </c>
      <c r="B147" s="93"/>
      <c r="C147" s="93"/>
      <c r="D147" s="94"/>
      <c r="E147" s="94"/>
      <c r="F147" s="94"/>
      <c r="G147" s="94"/>
      <c r="H147" s="94"/>
      <c r="I147" s="94"/>
      <c r="J147" s="94"/>
      <c r="K147" s="94"/>
      <c r="L147" s="96" t="str">
        <f>IF(N27=0,"Geen investeringskosten opgegeven voor deze aanvraag",IRR(N145:AH145,0%))</f>
        <v>Geen investeringskosten opgegeven voor deze aanvraag</v>
      </c>
      <c r="M147" s="166"/>
      <c r="N147" s="167"/>
      <c r="O147" s="168"/>
      <c r="P147" s="168"/>
      <c r="Q147" s="168"/>
      <c r="R147" s="168"/>
      <c r="S147" s="168"/>
      <c r="T147" s="168"/>
      <c r="U147" s="168"/>
      <c r="V147" s="168"/>
      <c r="W147" s="169"/>
      <c r="X147" s="169"/>
      <c r="Y147" s="169"/>
      <c r="Z147" s="169"/>
      <c r="AA147" s="213"/>
      <c r="AB147" s="213"/>
      <c r="AC147" s="213"/>
      <c r="AD147" s="213"/>
      <c r="AE147" s="213"/>
      <c r="AF147" s="213"/>
      <c r="AG147" s="213"/>
      <c r="AH147" s="213"/>
    </row>
    <row r="148" spans="1:34" ht="12.75" customHeight="1" x14ac:dyDescent="0.35">
      <c r="M148" s="160"/>
      <c r="N148" s="160"/>
      <c r="O148" s="160"/>
      <c r="P148" s="160"/>
      <c r="Q148" s="160"/>
      <c r="R148" s="160"/>
      <c r="S148" s="160"/>
      <c r="T148" s="160"/>
      <c r="U148" s="160"/>
      <c r="V148" s="160"/>
      <c r="W148" s="40"/>
      <c r="X148" s="40"/>
      <c r="Y148" s="40"/>
      <c r="Z148" s="40"/>
      <c r="AA148" s="213"/>
      <c r="AB148" s="213"/>
      <c r="AC148" s="213"/>
      <c r="AD148" s="213"/>
      <c r="AE148" s="213"/>
      <c r="AF148" s="213"/>
      <c r="AG148" s="213"/>
      <c r="AH148" s="213"/>
    </row>
    <row r="149" spans="1:34" ht="12.75" customHeight="1" x14ac:dyDescent="0.35">
      <c r="M149" s="160"/>
      <c r="N149" s="160"/>
      <c r="O149" s="160"/>
      <c r="P149" s="160"/>
      <c r="Q149" s="160"/>
      <c r="R149" s="160"/>
      <c r="S149" s="160"/>
      <c r="T149" s="160"/>
      <c r="U149" s="160"/>
      <c r="V149" s="160"/>
      <c r="W149" s="40"/>
      <c r="X149" s="40"/>
      <c r="Y149" s="40"/>
      <c r="Z149" s="40"/>
      <c r="AA149" s="213"/>
      <c r="AB149" s="213"/>
      <c r="AC149" s="213"/>
      <c r="AD149" s="213"/>
      <c r="AE149" s="213"/>
      <c r="AF149" s="213"/>
      <c r="AG149" s="213"/>
      <c r="AH149" s="213"/>
    </row>
    <row r="150" spans="1:34" ht="12.75" customHeight="1" x14ac:dyDescent="0.35">
      <c r="A150" s="30" t="s">
        <v>121</v>
      </c>
      <c r="M150" s="160"/>
      <c r="N150" s="42" t="e">
        <f>-$E$31-N117</f>
        <v>#DIV/0!</v>
      </c>
      <c r="O150" s="42">
        <f t="shared" ref="O150:S150" si="75">+O143+O119-O127</f>
        <v>-2.92E-2</v>
      </c>
      <c r="P150" s="42">
        <f t="shared" si="75"/>
        <v>-2.9784000000000001E-2</v>
      </c>
      <c r="Q150" s="42">
        <f t="shared" si="75"/>
        <v>-3.0379680000000003E-2</v>
      </c>
      <c r="R150" s="42">
        <f t="shared" si="75"/>
        <v>-3.0987273600000004E-2</v>
      </c>
      <c r="S150" s="42">
        <f t="shared" si="75"/>
        <v>-3.1607019072000003E-2</v>
      </c>
      <c r="T150" s="42">
        <f>IF($B$12&gt;5,+T143+T119-T127,"")</f>
        <v>0</v>
      </c>
      <c r="U150" s="42">
        <f>IF($B$12&gt;6,+U143+U119-U127,"")</f>
        <v>0</v>
      </c>
      <c r="V150" s="42">
        <f>IF($B$12&gt;7,+V143+V119-V127,"")</f>
        <v>0</v>
      </c>
      <c r="W150" s="42">
        <f>IF($B$12&gt;8,+W143+W119-W127,"")</f>
        <v>0</v>
      </c>
      <c r="X150" s="42">
        <f>IF($B$12&gt;9,+X143+X119-X127,"")</f>
        <v>0</v>
      </c>
      <c r="Y150" s="42">
        <f>IF($B$12&gt;10,+Y143+Y119-Y127,"")</f>
        <v>0</v>
      </c>
      <c r="Z150" s="42">
        <f>IF($B$12&gt;11,+Z143+Z119-Z127,"")</f>
        <v>0</v>
      </c>
      <c r="AA150" s="42">
        <f>IF($B$12&gt;12,+AA143+AA119-AA127,"")</f>
        <v>0</v>
      </c>
      <c r="AB150" s="42">
        <f>IF($B$12&gt;13,+AB143+AB119-AB127,"")</f>
        <v>0</v>
      </c>
      <c r="AC150" s="42">
        <f>IF($B$12&gt;14,+AC143+AC119-AC127,"")</f>
        <v>0</v>
      </c>
      <c r="AD150" s="42">
        <f>IF($B$12&gt;15,+AD143+AD119-AD127,"")</f>
        <v>0</v>
      </c>
      <c r="AE150" s="42">
        <f>IF($B$12&gt;16,+AE143+AE119-AE127,"")</f>
        <v>0</v>
      </c>
      <c r="AF150" s="42">
        <f>IF($B$12&gt;17,+AF143+AF119-AF127,"")</f>
        <v>0</v>
      </c>
      <c r="AG150" s="42">
        <f>IF($B$12&gt;18,+AG143+AG119-AG127,"")</f>
        <v>0</v>
      </c>
      <c r="AH150" s="42">
        <f>IF($B$12&gt;19,+AH143+AH119-AH127,"")</f>
        <v>0</v>
      </c>
    </row>
    <row r="151" spans="1:34" ht="12.75" customHeight="1" thickBot="1" x14ac:dyDescent="0.4">
      <c r="M151" s="160"/>
      <c r="N151" s="160"/>
      <c r="O151" s="160"/>
      <c r="P151" s="160"/>
      <c r="Q151" s="160"/>
      <c r="R151" s="160"/>
      <c r="S151" s="160"/>
      <c r="T151" s="160"/>
      <c r="U151" s="160"/>
      <c r="V151" s="160"/>
      <c r="W151" s="40"/>
      <c r="X151" s="40"/>
      <c r="Y151" s="40"/>
      <c r="Z151" s="40"/>
      <c r="AA151" s="40"/>
      <c r="AB151" s="40"/>
      <c r="AC151" s="40"/>
      <c r="AD151" s="40"/>
      <c r="AE151" s="40"/>
      <c r="AF151" s="40"/>
      <c r="AG151" s="40"/>
      <c r="AH151" s="40"/>
    </row>
    <row r="152" spans="1:34" ht="24.75" customHeight="1" thickBot="1" x14ac:dyDescent="0.4">
      <c r="A152" s="92" t="s">
        <v>122</v>
      </c>
      <c r="B152" s="95"/>
      <c r="C152" s="95"/>
      <c r="D152" s="95"/>
      <c r="E152" s="95"/>
      <c r="F152" s="95"/>
      <c r="G152" s="95"/>
      <c r="H152" s="95"/>
      <c r="I152" s="95"/>
      <c r="J152" s="95"/>
      <c r="K152" s="95"/>
      <c r="L152" s="96" t="str">
        <f>IF(N27=0,"Geen investeringskosten opgegeven voor deze aanvraag",IF(B31=0%,"n.v.t., geen eigen vermogen",IRR(N150:AH150,0%)))</f>
        <v>Geen investeringskosten opgegeven voor deze aanvraag</v>
      </c>
      <c r="M152" s="160"/>
      <c r="N152" s="160"/>
      <c r="O152" s="170"/>
      <c r="P152" s="160"/>
      <c r="Q152" s="160"/>
      <c r="R152" s="160"/>
      <c r="S152" s="160"/>
      <c r="T152" s="160"/>
      <c r="U152" s="160"/>
      <c r="V152" s="160"/>
      <c r="W152" s="40"/>
      <c r="X152" s="40"/>
      <c r="Y152" s="40"/>
      <c r="Z152" s="40"/>
      <c r="AA152" s="40"/>
      <c r="AB152" s="40"/>
      <c r="AC152" s="40"/>
      <c r="AD152" s="40"/>
      <c r="AE152" s="40"/>
      <c r="AF152" s="40"/>
      <c r="AG152" s="40"/>
      <c r="AH152" s="40"/>
    </row>
    <row r="153" spans="1:34" ht="12.75" customHeight="1" x14ac:dyDescent="0.35">
      <c r="M153" s="160"/>
      <c r="N153" s="160"/>
      <c r="O153" s="160"/>
      <c r="P153" s="160"/>
      <c r="Q153" s="160"/>
      <c r="R153" s="160"/>
      <c r="S153" s="160"/>
      <c r="T153" s="160"/>
      <c r="U153" s="160"/>
      <c r="V153" s="160"/>
      <c r="W153" s="40"/>
      <c r="X153" s="40"/>
      <c r="Y153" s="40"/>
      <c r="Z153" s="40"/>
      <c r="AA153" s="40"/>
      <c r="AB153" s="40"/>
      <c r="AC153" s="40"/>
      <c r="AD153" s="40"/>
      <c r="AE153" s="40"/>
      <c r="AF153" s="40"/>
      <c r="AG153" s="40"/>
      <c r="AH153" s="40"/>
    </row>
    <row r="154" spans="1:34" ht="12.75" customHeight="1" x14ac:dyDescent="0.35">
      <c r="M154" s="160"/>
      <c r="N154" s="160"/>
      <c r="O154" s="160"/>
      <c r="P154" s="160"/>
      <c r="Q154" s="160"/>
      <c r="R154" s="160"/>
      <c r="S154" s="160"/>
      <c r="T154" s="160"/>
      <c r="U154" s="160"/>
      <c r="V154" s="160"/>
      <c r="W154" s="40"/>
      <c r="X154" s="40"/>
      <c r="Y154" s="40"/>
      <c r="Z154" s="40"/>
      <c r="AA154" s="40"/>
      <c r="AB154" s="40"/>
      <c r="AC154" s="40"/>
      <c r="AD154" s="40"/>
      <c r="AE154" s="40"/>
      <c r="AF154" s="40"/>
      <c r="AG154" s="40"/>
      <c r="AH154" s="40"/>
    </row>
    <row r="155" spans="1:34" ht="12.75" customHeight="1" x14ac:dyDescent="0.35">
      <c r="A155" s="30" t="s">
        <v>123</v>
      </c>
      <c r="M155" s="160"/>
      <c r="N155" s="160"/>
      <c r="O155" s="81" t="e">
        <f t="shared" ref="O155:S155" si="76">IF($B$31&lt;100%,IF((O126+O127)=0,"n.v.t.",O145/(O126+O127)),"n.v.t.")</f>
        <v>#DIV/0!</v>
      </c>
      <c r="P155" s="81" t="e">
        <f t="shared" si="76"/>
        <v>#DIV/0!</v>
      </c>
      <c r="Q155" s="81" t="e">
        <f t="shared" si="76"/>
        <v>#DIV/0!</v>
      </c>
      <c r="R155" s="81" t="e">
        <f t="shared" si="76"/>
        <v>#DIV/0!</v>
      </c>
      <c r="S155" s="81" t="e">
        <f t="shared" si="76"/>
        <v>#DIV/0!</v>
      </c>
      <c r="T155" s="81" t="e">
        <f>IF($B$12&gt;5,IF($B$31&lt;100%,IF((T126+T127)=0,"n.v.t.",T145/(T126+T127)),"n.v.t."),"")</f>
        <v>#DIV/0!</v>
      </c>
      <c r="U155" s="81" t="e">
        <f>IF($B$12&gt;6,IF($B$31&lt;100%,IF((U126+U127)=0,"n.v.t.",U145/(U126+U127)),"n.v.t."),"")</f>
        <v>#DIV/0!</v>
      </c>
      <c r="V155" s="81" t="e">
        <f>IF($B$12&gt;7,IF($B$31&lt;100%,IF((V126+V127)=0,"n.v.t.",V145/(V126+V127)),"n.v.t."),"")</f>
        <v>#DIV/0!</v>
      </c>
      <c r="W155" s="81" t="e">
        <f>IF($B$12&gt;8,IF($B$31&lt;100%,IF((W126+W127)=0,"n.v.t.",W145/(W126+W127)),"n.v.t."),"")</f>
        <v>#DIV/0!</v>
      </c>
      <c r="X155" s="81" t="e">
        <f>IF($B$12&gt;9,IF($B$31&lt;100%,IF((X126+X127)=0,"n.v.t.",X145/(X126+X127)),"n.v.t."),"")</f>
        <v>#DIV/0!</v>
      </c>
      <c r="Y155" s="81" t="e">
        <f>IF($B$12&gt;10,IF($B$31&lt;100%,IF((Y126+Y127)=0,"n.v.t.",Y145/(Y126+Y127)),"n.v.t."),"")</f>
        <v>#DIV/0!</v>
      </c>
      <c r="Z155" s="81" t="e">
        <f>IF($B$12&gt;11,IF($B$31&lt;100%,IF((Z126+Z127)=0,"n.v.t.",Z145/(Z126+Z127)),"n.v.t."),"")</f>
        <v>#DIV/0!</v>
      </c>
      <c r="AA155" s="81" t="e">
        <f>IF($B$12&gt;12,IF($B$31&lt;100%,IF((AA126+AA127)=0,"n.v.t.",AA145/(AA126+AA127)),"n.v.t."),"")</f>
        <v>#DIV/0!</v>
      </c>
      <c r="AB155" s="81" t="e">
        <f>IF($B$12&gt;13,IF($B$31&lt;100%,IF((AB126+AB127)=0,"n.v.t.",AB145/(AB126+AB127)),"n.v.t."),"")</f>
        <v>#DIV/0!</v>
      </c>
      <c r="AC155" s="81" t="e">
        <f>IF($B$12&gt;14,IF($B$31&lt;100%,IF((AC126+AC127)=0,"n.v.t.",AC145/(AC126+AC127)),"n.v.t."),"")</f>
        <v>#DIV/0!</v>
      </c>
      <c r="AD155" s="81" t="e">
        <f>IF($B$12&gt;15,IF($B$31&lt;100%,IF((AD126+AD127)=0,"n.v.t.",AD145/(AD126+AD127)),"n.v.t."),"")</f>
        <v>#DIV/0!</v>
      </c>
      <c r="AE155" s="81" t="e">
        <f>IF($B$12&gt;16,IF($B$31&lt;100%,IF((AE126+AE127)=0,"n.v.t.",AE145/(AE126+AE127)),"n.v.t."),"")</f>
        <v>#DIV/0!</v>
      </c>
      <c r="AF155" s="81" t="e">
        <f>IF($B$12&gt;17,IF($B$31&lt;100%,IF((AF126+AF127)=0,"n.v.t.",AF145/(AF126+AF127)),"n.v.t."),"")</f>
        <v>#DIV/0!</v>
      </c>
      <c r="AG155" s="81" t="e">
        <f>IF($B$12&gt;18,IF($B$31&lt;100%,IF((AG126+AG127)=0,"n.v.t.",AG145/(AG126+AG127)),"n.v.t."),"")</f>
        <v>#DIV/0!</v>
      </c>
      <c r="AH155" s="81" t="e">
        <f>IF($B$12&gt;19,IF($B$31&lt;100%,IF((AH126+AH127)=0,"n.v.t.",AH145/(AH126+AH127)),"n.v.t."),"")</f>
        <v>#DIV/0!</v>
      </c>
    </row>
    <row r="156" spans="1:34" ht="12.75" customHeight="1" thickBot="1" x14ac:dyDescent="0.4">
      <c r="M156" s="160"/>
      <c r="N156" s="160"/>
      <c r="O156" s="160"/>
      <c r="P156" s="160"/>
      <c r="Q156" s="160"/>
      <c r="R156" s="160"/>
      <c r="S156" s="160"/>
      <c r="T156" s="160"/>
      <c r="U156" s="160"/>
      <c r="V156" s="160"/>
      <c r="W156" s="40"/>
      <c r="X156" s="40"/>
      <c r="Y156" s="40"/>
      <c r="Z156" s="40"/>
      <c r="AA156" s="40"/>
      <c r="AB156" s="40"/>
      <c r="AC156" s="40"/>
    </row>
    <row r="157" spans="1:34" ht="24.75" customHeight="1" thickBot="1" x14ac:dyDescent="0.4">
      <c r="A157" s="92" t="s">
        <v>124</v>
      </c>
      <c r="B157" s="97"/>
      <c r="C157" s="97"/>
      <c r="D157" s="98"/>
      <c r="E157" s="98"/>
      <c r="F157" s="98"/>
      <c r="G157" s="98"/>
      <c r="H157" s="98"/>
      <c r="I157" s="98"/>
      <c r="J157" s="98"/>
      <c r="K157" s="98"/>
      <c r="L157" s="99" t="str">
        <f>VLOOKUP(E34,Hulpblad_overig!A50:B70,2,FALSE)</f>
        <v>Geen vreemd vermogen of leningduur opgegeven</v>
      </c>
      <c r="M157" s="160"/>
      <c r="N157" s="160"/>
      <c r="O157" s="160"/>
      <c r="P157" s="160"/>
      <c r="Q157" s="160"/>
      <c r="R157" s="160"/>
      <c r="S157" s="160"/>
      <c r="T157" s="160"/>
      <c r="U157" s="160"/>
      <c r="V157" s="160"/>
      <c r="W157" s="160"/>
      <c r="X157" s="160"/>
      <c r="Y157" s="160"/>
      <c r="Z157" s="160"/>
      <c r="AA157" s="160"/>
      <c r="AB157" s="160"/>
      <c r="AC157" s="160"/>
    </row>
    <row r="158" spans="1:34" ht="12.75" customHeight="1" x14ac:dyDescent="0.35">
      <c r="M158" s="160"/>
      <c r="N158" s="160"/>
      <c r="O158" s="221"/>
      <c r="P158" s="160"/>
      <c r="Q158" s="160"/>
      <c r="R158" s="160"/>
      <c r="S158" s="160"/>
      <c r="T158" s="160"/>
      <c r="U158" s="160"/>
      <c r="V158" s="160"/>
      <c r="W158" s="160"/>
      <c r="X158" s="160"/>
      <c r="Y158" s="160"/>
      <c r="Z158" s="160"/>
      <c r="AA158" s="160"/>
      <c r="AB158" s="160"/>
      <c r="AC158" s="160"/>
    </row>
    <row r="159" spans="1:34" ht="12.75" customHeight="1" x14ac:dyDescent="0.35">
      <c r="M159" s="160"/>
      <c r="N159" s="160"/>
      <c r="O159" s="221"/>
      <c r="P159" s="160"/>
      <c r="Q159" s="160"/>
      <c r="R159" s="160"/>
      <c r="S159" s="160"/>
      <c r="T159" s="160"/>
      <c r="U159" s="160"/>
      <c r="V159" s="160"/>
      <c r="W159" s="160"/>
      <c r="X159" s="160"/>
      <c r="Y159" s="160"/>
      <c r="Z159" s="160"/>
      <c r="AA159" s="160"/>
      <c r="AB159" s="160"/>
      <c r="AC159" s="160"/>
    </row>
    <row r="160" spans="1:34" ht="12.75" customHeight="1" x14ac:dyDescent="0.35">
      <c r="M160" s="160"/>
      <c r="N160" s="160"/>
      <c r="O160" s="160"/>
      <c r="P160" s="160"/>
      <c r="Q160" s="160"/>
      <c r="R160" s="160"/>
      <c r="S160" s="160"/>
      <c r="T160" s="160"/>
      <c r="U160" s="160"/>
      <c r="V160" s="160"/>
      <c r="W160" s="160"/>
      <c r="X160" s="160"/>
      <c r="Y160" s="160"/>
      <c r="Z160" s="160"/>
      <c r="AA160" s="160"/>
      <c r="AB160" s="160"/>
      <c r="AC160" s="160"/>
    </row>
    <row r="161" spans="1:29" ht="12.75" customHeight="1" x14ac:dyDescent="0.35">
      <c r="A161" s="428"/>
      <c r="B161" s="429"/>
      <c r="C161" s="429"/>
      <c r="D161" s="429"/>
      <c r="E161" s="429"/>
      <c r="F161" s="429"/>
      <c r="G161" s="429"/>
      <c r="H161" s="429"/>
      <c r="I161" s="429"/>
      <c r="J161" s="429"/>
      <c r="K161" s="429"/>
      <c r="L161" s="430"/>
      <c r="M161" s="160"/>
      <c r="N161" s="160"/>
      <c r="O161" s="221"/>
      <c r="P161" s="160"/>
      <c r="Q161" s="160"/>
      <c r="R161" s="160"/>
      <c r="S161" s="160"/>
      <c r="T161" s="160"/>
      <c r="U161" s="160"/>
      <c r="V161" s="160"/>
      <c r="W161" s="160"/>
      <c r="X161" s="160"/>
      <c r="Y161" s="160"/>
      <c r="Z161" s="160"/>
      <c r="AA161" s="160"/>
      <c r="AB161" s="160"/>
      <c r="AC161" s="160"/>
    </row>
    <row r="162" spans="1:29" ht="12.75" customHeight="1" x14ac:dyDescent="0.35">
      <c r="A162" s="431"/>
      <c r="B162" s="432"/>
      <c r="C162" s="432"/>
      <c r="D162" s="432"/>
      <c r="E162" s="432"/>
      <c r="F162" s="432"/>
      <c r="G162" s="432"/>
      <c r="H162" s="432"/>
      <c r="I162" s="432"/>
      <c r="J162" s="432"/>
      <c r="K162" s="432"/>
      <c r="L162" s="433"/>
      <c r="M162" s="160"/>
      <c r="N162" s="160"/>
      <c r="O162" s="160"/>
      <c r="P162" s="160"/>
      <c r="Q162" s="160"/>
      <c r="R162" s="160"/>
      <c r="S162" s="160"/>
      <c r="T162" s="160"/>
      <c r="U162" s="160"/>
      <c r="V162" s="160"/>
      <c r="W162" s="160"/>
      <c r="X162" s="160"/>
      <c r="Y162" s="160"/>
      <c r="Z162" s="160"/>
      <c r="AA162" s="160"/>
      <c r="AB162" s="160"/>
      <c r="AC162" s="160"/>
    </row>
    <row r="163" spans="1:29" ht="12.75" customHeight="1" x14ac:dyDescent="0.35">
      <c r="A163" s="431"/>
      <c r="B163" s="432"/>
      <c r="C163" s="432"/>
      <c r="D163" s="432"/>
      <c r="E163" s="432"/>
      <c r="F163" s="432"/>
      <c r="G163" s="432"/>
      <c r="H163" s="432"/>
      <c r="I163" s="432"/>
      <c r="J163" s="432"/>
      <c r="K163" s="432"/>
      <c r="L163" s="433"/>
      <c r="M163" s="160"/>
      <c r="N163" s="160"/>
      <c r="O163" s="160"/>
      <c r="P163" s="160"/>
      <c r="Q163" s="160"/>
      <c r="R163" s="160"/>
      <c r="S163" s="160"/>
      <c r="T163" s="160"/>
      <c r="U163" s="160"/>
      <c r="V163" s="160"/>
      <c r="W163" s="160"/>
      <c r="X163" s="160"/>
      <c r="Y163" s="160"/>
      <c r="Z163" s="160"/>
      <c r="AA163" s="160"/>
      <c r="AB163" s="160"/>
      <c r="AC163" s="160"/>
    </row>
    <row r="164" spans="1:29" ht="12.75" customHeight="1" x14ac:dyDescent="0.35">
      <c r="A164" s="431"/>
      <c r="B164" s="432"/>
      <c r="C164" s="432"/>
      <c r="D164" s="432"/>
      <c r="E164" s="432"/>
      <c r="F164" s="432"/>
      <c r="G164" s="432"/>
      <c r="H164" s="432"/>
      <c r="I164" s="432"/>
      <c r="J164" s="432"/>
      <c r="K164" s="432"/>
      <c r="L164" s="433"/>
      <c r="M164" s="160"/>
      <c r="N164" s="160"/>
      <c r="O164" s="160"/>
      <c r="P164" s="160"/>
      <c r="Q164" s="160"/>
      <c r="R164" s="160"/>
      <c r="S164" s="160"/>
      <c r="T164" s="160"/>
      <c r="U164" s="160"/>
      <c r="V164" s="160"/>
      <c r="W164" s="160"/>
      <c r="X164" s="160"/>
      <c r="Y164" s="160"/>
      <c r="Z164" s="160"/>
      <c r="AA164" s="160"/>
      <c r="AB164" s="160"/>
      <c r="AC164" s="160"/>
    </row>
    <row r="165" spans="1:29" ht="12.75" customHeight="1" x14ac:dyDescent="0.35">
      <c r="A165" s="431"/>
      <c r="B165" s="432"/>
      <c r="C165" s="432"/>
      <c r="D165" s="432"/>
      <c r="E165" s="432"/>
      <c r="F165" s="432"/>
      <c r="G165" s="432"/>
      <c r="H165" s="432"/>
      <c r="I165" s="432"/>
      <c r="J165" s="432"/>
      <c r="K165" s="432"/>
      <c r="L165" s="433"/>
      <c r="M165" s="160"/>
      <c r="N165" s="160"/>
      <c r="O165" s="160"/>
      <c r="P165" s="160"/>
      <c r="Q165" s="160"/>
      <c r="R165" s="160"/>
      <c r="S165" s="160"/>
      <c r="T165" s="160"/>
      <c r="U165" s="160"/>
      <c r="V165" s="160"/>
      <c r="W165" s="160"/>
      <c r="X165" s="160"/>
      <c r="Y165" s="160"/>
      <c r="Z165" s="160"/>
      <c r="AA165" s="160"/>
      <c r="AB165" s="160"/>
      <c r="AC165" s="160"/>
    </row>
    <row r="166" spans="1:29" ht="12.75" customHeight="1" x14ac:dyDescent="0.35">
      <c r="A166" s="431"/>
      <c r="B166" s="432"/>
      <c r="C166" s="432"/>
      <c r="D166" s="432"/>
      <c r="E166" s="432"/>
      <c r="F166" s="432"/>
      <c r="G166" s="432"/>
      <c r="H166" s="432"/>
      <c r="I166" s="432"/>
      <c r="J166" s="432"/>
      <c r="K166" s="432"/>
      <c r="L166" s="433"/>
      <c r="M166" s="160"/>
      <c r="N166" s="160"/>
      <c r="O166" s="160"/>
      <c r="P166" s="160"/>
      <c r="Q166" s="160"/>
      <c r="R166" s="160"/>
      <c r="S166" s="160"/>
      <c r="T166" s="160"/>
      <c r="U166" s="160"/>
      <c r="V166" s="160"/>
      <c r="W166" s="160"/>
      <c r="X166" s="160"/>
      <c r="Y166" s="160"/>
      <c r="Z166" s="160"/>
      <c r="AA166" s="160"/>
      <c r="AB166" s="160"/>
      <c r="AC166" s="160"/>
    </row>
    <row r="167" spans="1:29" ht="12.75" customHeight="1" x14ac:dyDescent="0.35">
      <c r="A167" s="434"/>
      <c r="B167" s="435"/>
      <c r="C167" s="435"/>
      <c r="D167" s="435"/>
      <c r="E167" s="435"/>
      <c r="F167" s="435"/>
      <c r="G167" s="435"/>
      <c r="H167" s="435"/>
      <c r="I167" s="435"/>
      <c r="J167" s="435"/>
      <c r="K167" s="435"/>
      <c r="L167" s="436"/>
      <c r="M167" s="160"/>
      <c r="N167" s="160"/>
      <c r="O167" s="160"/>
      <c r="P167" s="160"/>
      <c r="Q167" s="160"/>
      <c r="R167" s="160"/>
      <c r="S167" s="160"/>
      <c r="T167" s="160"/>
      <c r="U167" s="160"/>
      <c r="V167" s="160"/>
      <c r="W167" s="160"/>
      <c r="X167" s="160"/>
      <c r="Y167" s="160"/>
      <c r="Z167" s="160"/>
      <c r="AA167" s="160"/>
      <c r="AB167" s="160"/>
      <c r="AC167" s="160"/>
    </row>
    <row r="168" spans="1:29" x14ac:dyDescent="0.35">
      <c r="M168" s="160"/>
      <c r="N168" s="160"/>
      <c r="O168" s="160"/>
      <c r="P168" s="160"/>
      <c r="Q168" s="160"/>
      <c r="R168" s="160"/>
      <c r="S168" s="160"/>
      <c r="T168" s="160"/>
      <c r="U168" s="160"/>
      <c r="V168" s="160"/>
      <c r="W168" s="160"/>
      <c r="X168" s="160"/>
      <c r="Y168" s="160"/>
      <c r="Z168" s="160"/>
      <c r="AA168" s="160"/>
      <c r="AB168" s="160"/>
      <c r="AC168" s="160"/>
    </row>
    <row r="169" spans="1:29" x14ac:dyDescent="0.35">
      <c r="M169" s="160"/>
      <c r="N169" s="160"/>
      <c r="O169" s="160"/>
      <c r="P169" s="160"/>
      <c r="Q169" s="160"/>
      <c r="R169" s="160"/>
      <c r="S169" s="160"/>
      <c r="T169" s="160"/>
      <c r="U169" s="160"/>
      <c r="V169" s="160"/>
      <c r="W169" s="160"/>
      <c r="X169" s="160"/>
      <c r="Y169" s="160"/>
      <c r="Z169" s="160"/>
      <c r="AA169" s="160"/>
      <c r="AB169" s="160"/>
      <c r="AC169" s="160"/>
    </row>
    <row r="170" spans="1:29" x14ac:dyDescent="0.35">
      <c r="M170" s="160"/>
      <c r="N170" s="160"/>
      <c r="O170" s="160"/>
      <c r="P170" s="160"/>
      <c r="Q170" s="160"/>
      <c r="R170" s="160"/>
      <c r="S170" s="160"/>
      <c r="T170" s="160"/>
      <c r="U170" s="160"/>
      <c r="V170" s="160"/>
      <c r="W170" s="160"/>
      <c r="X170" s="160"/>
      <c r="Y170" s="160"/>
      <c r="Z170" s="160"/>
      <c r="AA170" s="160"/>
      <c r="AB170" s="160"/>
      <c r="AC170" s="160"/>
    </row>
    <row r="171" spans="1:29" x14ac:dyDescent="0.35">
      <c r="M171" s="160"/>
      <c r="N171" s="160"/>
      <c r="O171" s="160"/>
      <c r="P171" s="160"/>
      <c r="Q171" s="160"/>
      <c r="R171" s="160"/>
      <c r="S171" s="160"/>
      <c r="T171" s="160"/>
      <c r="U171" s="160"/>
      <c r="V171" s="160"/>
      <c r="W171" s="160"/>
      <c r="X171" s="160"/>
      <c r="Y171" s="160"/>
      <c r="Z171" s="160"/>
      <c r="AA171" s="160"/>
      <c r="AB171" s="160"/>
      <c r="AC171" s="160"/>
    </row>
    <row r="172" spans="1:29" x14ac:dyDescent="0.35">
      <c r="M172" s="160"/>
      <c r="N172" s="160"/>
      <c r="O172" s="160"/>
      <c r="P172" s="160"/>
      <c r="Q172" s="160"/>
      <c r="R172" s="160"/>
      <c r="S172" s="160"/>
      <c r="T172" s="160"/>
      <c r="U172" s="160"/>
      <c r="V172" s="160"/>
      <c r="W172" s="160"/>
      <c r="X172" s="160"/>
      <c r="Y172" s="160"/>
      <c r="Z172" s="160"/>
      <c r="AA172" s="160"/>
      <c r="AB172" s="160"/>
      <c r="AC172" s="160"/>
    </row>
    <row r="173" spans="1:29" x14ac:dyDescent="0.35">
      <c r="M173" s="160"/>
      <c r="N173" s="160"/>
      <c r="O173" s="160"/>
      <c r="P173" s="160"/>
      <c r="Q173" s="160"/>
      <c r="R173" s="160"/>
      <c r="S173" s="160"/>
      <c r="T173" s="160"/>
      <c r="U173" s="160"/>
      <c r="V173" s="160"/>
      <c r="W173" s="160"/>
      <c r="X173" s="160"/>
      <c r="Y173" s="160"/>
      <c r="Z173" s="160"/>
      <c r="AA173" s="160"/>
      <c r="AB173" s="160"/>
      <c r="AC173" s="160"/>
    </row>
    <row r="174" spans="1:29" x14ac:dyDescent="0.35">
      <c r="M174" s="160"/>
      <c r="N174" s="160"/>
      <c r="O174" s="160"/>
      <c r="P174" s="160"/>
      <c r="Q174" s="160"/>
      <c r="R174" s="160"/>
      <c r="S174" s="160"/>
      <c r="T174" s="160"/>
      <c r="U174" s="160"/>
      <c r="V174" s="160"/>
      <c r="W174" s="160"/>
      <c r="X174" s="160"/>
      <c r="Y174" s="160"/>
      <c r="Z174" s="160"/>
      <c r="AA174" s="160"/>
      <c r="AB174" s="160"/>
      <c r="AC174" s="160"/>
    </row>
    <row r="175" spans="1:29" hidden="1" x14ac:dyDescent="0.35">
      <c r="M175" s="160"/>
      <c r="N175" s="160"/>
      <c r="O175" s="160"/>
      <c r="P175" s="160"/>
      <c r="Q175" s="160"/>
      <c r="R175" s="160"/>
      <c r="S175" s="160"/>
      <c r="T175" s="160"/>
      <c r="U175" s="160"/>
      <c r="V175" s="160"/>
      <c r="W175" s="160"/>
      <c r="X175" s="160"/>
      <c r="Y175" s="160"/>
      <c r="Z175" s="160"/>
      <c r="AA175" s="160"/>
      <c r="AB175" s="160"/>
      <c r="AC175" s="160"/>
    </row>
    <row r="176" spans="1:29" hidden="1" x14ac:dyDescent="0.35">
      <c r="M176" s="160"/>
      <c r="N176" s="160"/>
      <c r="O176" s="160"/>
      <c r="P176" s="160"/>
      <c r="Q176" s="160"/>
      <c r="R176" s="160"/>
      <c r="S176" s="160"/>
      <c r="T176" s="160"/>
      <c r="U176" s="160"/>
      <c r="V176" s="160"/>
      <c r="W176" s="160"/>
      <c r="X176" s="160"/>
      <c r="Y176" s="160"/>
      <c r="Z176" s="160"/>
      <c r="AA176" s="160"/>
      <c r="AB176" s="160"/>
      <c r="AC176" s="160"/>
    </row>
    <row r="177" spans="13:29" hidden="1" x14ac:dyDescent="0.35">
      <c r="M177" s="160"/>
      <c r="N177" s="160"/>
      <c r="O177" s="160"/>
      <c r="P177" s="160"/>
      <c r="Q177" s="160"/>
      <c r="R177" s="160"/>
      <c r="S177" s="160"/>
      <c r="T177" s="160"/>
      <c r="U177" s="160"/>
      <c r="V177" s="160"/>
      <c r="W177" s="160"/>
      <c r="X177" s="160"/>
      <c r="Y177" s="160"/>
      <c r="Z177" s="160"/>
      <c r="AA177" s="160"/>
      <c r="AB177" s="160"/>
      <c r="AC177" s="160"/>
    </row>
    <row r="178" spans="13:29" hidden="1" x14ac:dyDescent="0.35">
      <c r="M178" s="160"/>
      <c r="N178" s="160"/>
      <c r="O178" s="160"/>
      <c r="P178" s="160"/>
      <c r="Q178" s="160"/>
      <c r="R178" s="160"/>
      <c r="S178" s="160"/>
      <c r="T178" s="160"/>
      <c r="U178" s="160"/>
      <c r="V178" s="160"/>
      <c r="W178" s="160"/>
      <c r="X178" s="160"/>
      <c r="Y178" s="160"/>
      <c r="Z178" s="160"/>
      <c r="AA178" s="160"/>
      <c r="AB178" s="160"/>
      <c r="AC178" s="160"/>
    </row>
    <row r="179" spans="13:29" hidden="1" x14ac:dyDescent="0.35">
      <c r="M179" s="160"/>
      <c r="N179" s="160"/>
      <c r="O179" s="160"/>
      <c r="P179" s="160"/>
      <c r="Q179" s="160"/>
      <c r="R179" s="160"/>
      <c r="S179" s="160"/>
      <c r="T179" s="160"/>
      <c r="U179" s="160"/>
      <c r="V179" s="160"/>
      <c r="W179" s="160"/>
      <c r="X179" s="160"/>
      <c r="Y179" s="160"/>
      <c r="Z179" s="160"/>
      <c r="AA179" s="160"/>
      <c r="AB179" s="160"/>
      <c r="AC179" s="160"/>
    </row>
    <row r="180" spans="13:29" hidden="1" x14ac:dyDescent="0.35">
      <c r="M180" s="160"/>
      <c r="N180" s="160"/>
      <c r="O180" s="160"/>
      <c r="P180" s="160"/>
      <c r="Q180" s="160"/>
      <c r="R180" s="160"/>
      <c r="S180" s="160"/>
      <c r="T180" s="160"/>
      <c r="U180" s="160"/>
      <c r="V180" s="160"/>
      <c r="W180" s="160"/>
      <c r="X180" s="160"/>
      <c r="Y180" s="160"/>
      <c r="Z180" s="160"/>
      <c r="AA180" s="160"/>
      <c r="AB180" s="160"/>
      <c r="AC180" s="160"/>
    </row>
  </sheetData>
  <sheetProtection algorithmName="SHA-512" hashValue="cFJUaZL01dn286VJdDxuWDtHIhr4uBSw/UJ+R6RXGOkCsmIum9NBjJ/avAh3/60o1zP2qstAmBV9ee8qdfdNCw==" saltValue="ste1CiG+/pNeyoThG8+xgQ==" spinCount="100000" sheet="1" objects="1" scenarios="1"/>
  <mergeCells count="95">
    <mergeCell ref="B114:C114"/>
    <mergeCell ref="H114:J114"/>
    <mergeCell ref="B119:C119"/>
    <mergeCell ref="A161:L167"/>
    <mergeCell ref="B107:C107"/>
    <mergeCell ref="H107:J107"/>
    <mergeCell ref="B111:C112"/>
    <mergeCell ref="H112:J112"/>
    <mergeCell ref="B113:C113"/>
    <mergeCell ref="H113:J113"/>
    <mergeCell ref="B104:C104"/>
    <mergeCell ref="H104:J104"/>
    <mergeCell ref="B105:C105"/>
    <mergeCell ref="H105:J105"/>
    <mergeCell ref="B106:C106"/>
    <mergeCell ref="H106:J106"/>
    <mergeCell ref="B101:C101"/>
    <mergeCell ref="H101:J101"/>
    <mergeCell ref="B102:C102"/>
    <mergeCell ref="H102:J102"/>
    <mergeCell ref="B103:C103"/>
    <mergeCell ref="H103:J103"/>
    <mergeCell ref="B98:C98"/>
    <mergeCell ref="H98:J98"/>
    <mergeCell ref="B99:C99"/>
    <mergeCell ref="H99:J99"/>
    <mergeCell ref="B100:C100"/>
    <mergeCell ref="H100:J100"/>
    <mergeCell ref="B88:L88"/>
    <mergeCell ref="B89:L89"/>
    <mergeCell ref="B90:L90"/>
    <mergeCell ref="B91:L91"/>
    <mergeCell ref="B96:C97"/>
    <mergeCell ref="H97:J97"/>
    <mergeCell ref="B87:L87"/>
    <mergeCell ref="B71:L71"/>
    <mergeCell ref="B72:L72"/>
    <mergeCell ref="B79:L79"/>
    <mergeCell ref="B80:L80"/>
    <mergeCell ref="B81:L81"/>
    <mergeCell ref="B82:L82"/>
    <mergeCell ref="B83:L83"/>
    <mergeCell ref="B84:L84"/>
    <mergeCell ref="B85:L85"/>
    <mergeCell ref="B86:L86"/>
    <mergeCell ref="H63:J63"/>
    <mergeCell ref="B52:C52"/>
    <mergeCell ref="H52:J52"/>
    <mergeCell ref="M52:N52"/>
    <mergeCell ref="H54:J57"/>
    <mergeCell ref="L54:L57"/>
    <mergeCell ref="H58:J58"/>
    <mergeCell ref="M59:N60"/>
    <mergeCell ref="H60:J62"/>
    <mergeCell ref="L61:L62"/>
    <mergeCell ref="L47:L48"/>
    <mergeCell ref="H48:J48"/>
    <mergeCell ref="H49:J49"/>
    <mergeCell ref="B50:C51"/>
    <mergeCell ref="E50:E51"/>
    <mergeCell ref="H50:J51"/>
    <mergeCell ref="L50:L51"/>
    <mergeCell ref="L38:L39"/>
    <mergeCell ref="E39:G39"/>
    <mergeCell ref="H39:K39"/>
    <mergeCell ref="H40:J40"/>
    <mergeCell ref="H43:J43"/>
    <mergeCell ref="L40:L43"/>
    <mergeCell ref="H44:J44"/>
    <mergeCell ref="B31:C31"/>
    <mergeCell ref="H31:J31"/>
    <mergeCell ref="B33:C33"/>
    <mergeCell ref="H33:J33"/>
    <mergeCell ref="B34:C34"/>
    <mergeCell ref="H34:J34"/>
    <mergeCell ref="H41:J41"/>
    <mergeCell ref="H42:J42"/>
    <mergeCell ref="B23:L23"/>
    <mergeCell ref="B24:L24"/>
    <mergeCell ref="B25:L25"/>
    <mergeCell ref="B26:L26"/>
    <mergeCell ref="B30:C30"/>
    <mergeCell ref="H30:J30"/>
    <mergeCell ref="B22:L22"/>
    <mergeCell ref="B6:L6"/>
    <mergeCell ref="B7:L7"/>
    <mergeCell ref="B8:L8"/>
    <mergeCell ref="B9:L9"/>
    <mergeCell ref="B10:D10"/>
    <mergeCell ref="I12:K12"/>
    <mergeCell ref="B17:L17"/>
    <mergeCell ref="B18:L18"/>
    <mergeCell ref="B19:L19"/>
    <mergeCell ref="B20:L20"/>
    <mergeCell ref="B21:L21"/>
  </mergeCells>
  <conditionalFormatting sqref="B98:C107">
    <cfRule type="expression" dxfId="222" priority="232" stopIfTrue="1">
      <formula>$A$98&gt;0</formula>
    </cfRule>
  </conditionalFormatting>
  <conditionalFormatting sqref="B113:C114">
    <cfRule type="expression" dxfId="221" priority="228" stopIfTrue="1">
      <formula>$A$113&gt;0</formula>
    </cfRule>
  </conditionalFormatting>
  <conditionalFormatting sqref="C54:C56">
    <cfRule type="expression" dxfId="220" priority="355" stopIfTrue="1">
      <formula>E54="Elektriciteit niet-netlevering"</formula>
    </cfRule>
  </conditionalFormatting>
  <conditionalFormatting sqref="E40:E42">
    <cfRule type="expression" dxfId="219" priority="241" stopIfTrue="1">
      <formula>$E$43&gt;0</formula>
    </cfRule>
  </conditionalFormatting>
  <conditionalFormatting sqref="E98:E107">
    <cfRule type="expression" dxfId="217" priority="231" stopIfTrue="1">
      <formula>$A$98&gt;0</formula>
    </cfRule>
  </conditionalFormatting>
  <conditionalFormatting sqref="E113:E114">
    <cfRule type="expression" dxfId="216" priority="227" stopIfTrue="1">
      <formula>$A$113&gt;0</formula>
    </cfRule>
  </conditionalFormatting>
  <conditionalFormatting sqref="E53:F53">
    <cfRule type="expression" dxfId="215" priority="218" stopIfTrue="1">
      <formula>A53="Elektriciteit niet-netlevering"</formula>
    </cfRule>
  </conditionalFormatting>
  <conditionalFormatting sqref="H60">
    <cfRule type="expression" dxfId="214" priority="353" stopIfTrue="1">
      <formula>B14="Geen ETS-correctie"</formula>
    </cfRule>
  </conditionalFormatting>
  <conditionalFormatting sqref="H40:J43">
    <cfRule type="expression" dxfId="213" priority="27">
      <formula>E40&gt;0</formula>
    </cfRule>
  </conditionalFormatting>
  <conditionalFormatting sqref="H44:J44">
    <cfRule type="expression" dxfId="212" priority="257" stopIfTrue="1">
      <formula>OR($E$44=0,A44="Productie afvang en opslag CO₂ (ton/jaar)")</formula>
    </cfRule>
  </conditionalFormatting>
  <conditionalFormatting sqref="H49:J49 L49">
    <cfRule type="expression" dxfId="211" priority="224" stopIfTrue="1">
      <formula>$B$7="Geen ETS-correctie"</formula>
    </cfRule>
  </conditionalFormatting>
  <conditionalFormatting sqref="H52:J52">
    <cfRule type="expression" dxfId="210" priority="360" stopIfTrue="1">
      <formula>#REF!="Elektriciteit netlevering"</formula>
    </cfRule>
  </conditionalFormatting>
  <conditionalFormatting sqref="H58:J58">
    <cfRule type="expression" dxfId="209" priority="359" stopIfTrue="1">
      <formula>#REF!="Elektriciteit netlevering"</formula>
    </cfRule>
    <cfRule type="expression" dxfId="208" priority="358">
      <formula>A44="Productie afvang en opslag CO₂ (ton/jaar)"</formula>
    </cfRule>
  </conditionalFormatting>
  <conditionalFormatting sqref="H59:J59">
    <cfRule type="expression" dxfId="207" priority="356" stopIfTrue="1">
      <formula>B12="Geen ETS-correctie"</formula>
    </cfRule>
  </conditionalFormatting>
  <conditionalFormatting sqref="H63:J64">
    <cfRule type="expression" dxfId="206" priority="222" stopIfTrue="1">
      <formula>B7="Geen ETS-correctie"</formula>
    </cfRule>
  </conditionalFormatting>
  <conditionalFormatting sqref="H65:J65">
    <cfRule type="expression" dxfId="205" priority="365" stopIfTrue="1">
      <formula>B8="Geen ETS-correctie"</formula>
    </cfRule>
  </conditionalFormatting>
  <conditionalFormatting sqref="H66:J67">
    <cfRule type="expression" dxfId="204" priority="357" stopIfTrue="1">
      <formula>B12="Geen ETS-correctie"</formula>
    </cfRule>
  </conditionalFormatting>
  <conditionalFormatting sqref="H68:J68">
    <cfRule type="expression" dxfId="203" priority="362" stopIfTrue="1">
      <formula>B13="Geen ETS-correctie"</formula>
    </cfRule>
  </conditionalFormatting>
  <conditionalFormatting sqref="H98:J107">
    <cfRule type="expression" dxfId="202" priority="230" stopIfTrue="1">
      <formula>$A$98&gt;0</formula>
    </cfRule>
  </conditionalFormatting>
  <conditionalFormatting sqref="H113:J114">
    <cfRule type="expression" dxfId="201" priority="226" stopIfTrue="1">
      <formula>$A$113&gt;0</formula>
    </cfRule>
  </conditionalFormatting>
  <conditionalFormatting sqref="L40">
    <cfRule type="expression" dxfId="200" priority="31">
      <formula>OR(E40&gt;0,E41&gt;0,E42&gt;0,E43&gt;0)</formula>
    </cfRule>
  </conditionalFormatting>
  <conditionalFormatting sqref="L44">
    <cfRule type="expression" dxfId="199" priority="233" stopIfTrue="1">
      <formula>OR($E$44=0,A44="Productie afvang en opslag CO₂ (ton/jaar)")</formula>
    </cfRule>
  </conditionalFormatting>
  <conditionalFormatting sqref="L58">
    <cfRule type="expression" dxfId="198" priority="216">
      <formula>A44="Productie afvang en opslag CO₂ (ton/jaar)"</formula>
    </cfRule>
  </conditionalFormatting>
  <conditionalFormatting sqref="L63:L64">
    <cfRule type="expression" dxfId="197" priority="221" stopIfTrue="1">
      <formula>B7="Geen ETS-correctie"</formula>
    </cfRule>
  </conditionalFormatting>
  <conditionalFormatting sqref="L65">
    <cfRule type="expression" dxfId="196" priority="367" stopIfTrue="1">
      <formula>B8="Geen ETS-correctie"</formula>
    </cfRule>
  </conditionalFormatting>
  <conditionalFormatting sqref="L98:L107">
    <cfRule type="expression" dxfId="195" priority="229" stopIfTrue="1">
      <formula>$A$98&gt;0</formula>
    </cfRule>
  </conditionalFormatting>
  <conditionalFormatting sqref="L113:L114">
    <cfRule type="expression" dxfId="194" priority="225" stopIfTrue="1">
      <formula>$A$113&gt;0</formula>
    </cfRule>
  </conditionalFormatting>
  <conditionalFormatting sqref="S71:S72">
    <cfRule type="expression" dxfId="193" priority="26">
      <formula>$B$12=5</formula>
    </cfRule>
  </conditionalFormatting>
  <conditionalFormatting sqref="S79:S91">
    <cfRule type="expression" dxfId="192" priority="25">
      <formula>$B$12=5</formula>
    </cfRule>
  </conditionalFormatting>
  <conditionalFormatting sqref="T71">
    <cfRule type="expression" dxfId="191" priority="23">
      <formula>$B$12&gt;5</formula>
    </cfRule>
  </conditionalFormatting>
  <conditionalFormatting sqref="T71:T72">
    <cfRule type="expression" dxfId="190" priority="24">
      <formula>$B$12=6</formula>
    </cfRule>
  </conditionalFormatting>
  <conditionalFormatting sqref="T72">
    <cfRule type="expression" dxfId="189" priority="22">
      <formula>$B$12&gt;5</formula>
    </cfRule>
  </conditionalFormatting>
  <conditionalFormatting sqref="T79">
    <cfRule type="expression" dxfId="188" priority="10">
      <formula>$B$12&gt;5</formula>
    </cfRule>
  </conditionalFormatting>
  <conditionalFormatting sqref="T79:T91">
    <cfRule type="expression" dxfId="187" priority="4">
      <formula>$B$12=6</formula>
    </cfRule>
  </conditionalFormatting>
  <conditionalFormatting sqref="T80:T90">
    <cfRule type="expression" dxfId="186" priority="15">
      <formula>$B$12&gt;5</formula>
    </cfRule>
  </conditionalFormatting>
  <conditionalFormatting sqref="T91">
    <cfRule type="expression" dxfId="185" priority="5">
      <formula>$B$12&gt;5</formula>
    </cfRule>
  </conditionalFormatting>
  <conditionalFormatting sqref="U71">
    <cfRule type="expression" dxfId="184" priority="19">
      <formula>$B$12&gt;6</formula>
    </cfRule>
  </conditionalFormatting>
  <conditionalFormatting sqref="U71:U72">
    <cfRule type="expression" dxfId="183" priority="21">
      <formula>$B$12=7</formula>
    </cfRule>
  </conditionalFormatting>
  <conditionalFormatting sqref="U72">
    <cfRule type="expression" dxfId="182" priority="18">
      <formula>$B$12&gt;6</formula>
    </cfRule>
  </conditionalFormatting>
  <conditionalFormatting sqref="U79">
    <cfRule type="expression" dxfId="181" priority="8">
      <formula>$B$12&gt;6</formula>
    </cfRule>
  </conditionalFormatting>
  <conditionalFormatting sqref="U79:U91">
    <cfRule type="expression" dxfId="180" priority="2">
      <formula>$B$12=7</formula>
    </cfRule>
  </conditionalFormatting>
  <conditionalFormatting sqref="U80:U90">
    <cfRule type="expression" dxfId="179" priority="13">
      <formula>$B$12&gt;6</formula>
    </cfRule>
  </conditionalFormatting>
  <conditionalFormatting sqref="U91">
    <cfRule type="expression" dxfId="178" priority="3">
      <formula>$B$12&gt;6</formula>
    </cfRule>
  </conditionalFormatting>
  <conditionalFormatting sqref="V71">
    <cfRule type="expression" dxfId="177" priority="17">
      <formula>$B$12&gt;7</formula>
    </cfRule>
    <cfRule type="expression" dxfId="176" priority="215">
      <formula>B12=8</formula>
    </cfRule>
  </conditionalFormatting>
  <conditionalFormatting sqref="V72">
    <cfRule type="expression" dxfId="175" priority="214">
      <formula>B12=8</formula>
    </cfRule>
    <cfRule type="expression" dxfId="174" priority="16">
      <formula>$B$12&gt;7</formula>
    </cfRule>
  </conditionalFormatting>
  <conditionalFormatting sqref="V79">
    <cfRule type="expression" dxfId="173" priority="6">
      <formula>$B$12&gt;7</formula>
    </cfRule>
    <cfRule type="expression" dxfId="172" priority="139">
      <formula>B12=8</formula>
    </cfRule>
  </conditionalFormatting>
  <conditionalFormatting sqref="V80:V90">
    <cfRule type="expression" dxfId="171" priority="11">
      <formula>$B$12&gt;7</formula>
    </cfRule>
    <cfRule type="expression" dxfId="170" priority="140">
      <formula>$B$12=8</formula>
    </cfRule>
  </conditionalFormatting>
  <conditionalFormatting sqref="V91">
    <cfRule type="expression" dxfId="169" priority="1">
      <formula>$B$12&gt;7</formula>
    </cfRule>
    <cfRule type="expression" dxfId="168" priority="138">
      <formula>B12=8</formula>
    </cfRule>
  </conditionalFormatting>
  <conditionalFormatting sqref="W71">
    <cfRule type="expression" dxfId="167" priority="213">
      <formula>B12&gt;8</formula>
    </cfRule>
    <cfRule type="expression" dxfId="166" priority="212">
      <formula>B12&gt;8</formula>
    </cfRule>
    <cfRule type="expression" dxfId="165" priority="211">
      <formula>B12=9</formula>
    </cfRule>
  </conditionalFormatting>
  <conditionalFormatting sqref="W72">
    <cfRule type="expression" dxfId="164" priority="210">
      <formula>B12&gt;8</formula>
    </cfRule>
    <cfRule type="expression" dxfId="163" priority="209">
      <formula>B12&gt;8</formula>
    </cfRule>
    <cfRule type="expression" dxfId="162" priority="207">
      <formula>B12=9</formula>
    </cfRule>
  </conditionalFormatting>
  <conditionalFormatting sqref="W79">
    <cfRule type="expression" dxfId="161" priority="137">
      <formula>B12&gt;8</formula>
    </cfRule>
    <cfRule type="expression" dxfId="160" priority="337" stopIfTrue="1">
      <formula>B12&gt;8</formula>
    </cfRule>
    <cfRule type="expression" dxfId="159" priority="136">
      <formula>B12=9</formula>
    </cfRule>
  </conditionalFormatting>
  <conditionalFormatting sqref="W80:W90">
    <cfRule type="expression" dxfId="158" priority="126">
      <formula>$B$12=9</formula>
    </cfRule>
    <cfRule type="expression" dxfId="157" priority="127">
      <formula>$B$12&gt;8</formula>
    </cfRule>
  </conditionalFormatting>
  <conditionalFormatting sqref="W91">
    <cfRule type="expression" dxfId="156" priority="135">
      <formula>B12&gt;8</formula>
    </cfRule>
    <cfRule type="expression" dxfId="155" priority="134">
      <formula>B12=9</formula>
    </cfRule>
    <cfRule type="expression" dxfId="154" priority="334" stopIfTrue="1">
      <formula>B12&gt;8</formula>
    </cfRule>
  </conditionalFormatting>
  <conditionalFormatting sqref="X71">
    <cfRule type="expression" dxfId="153" priority="204">
      <formula>B12=10</formula>
    </cfRule>
    <cfRule type="expression" dxfId="152" priority="205">
      <formula>B12&gt;9</formula>
    </cfRule>
    <cfRule type="expression" dxfId="151" priority="206">
      <formula>B12&gt;9</formula>
    </cfRule>
  </conditionalFormatting>
  <conditionalFormatting sqref="X72">
    <cfRule type="expression" dxfId="150" priority="203">
      <formula>B12&gt;9</formula>
    </cfRule>
    <cfRule type="expression" dxfId="149" priority="201">
      <formula>B12=10</formula>
    </cfRule>
    <cfRule type="expression" dxfId="148" priority="202">
      <formula>B12&gt;9</formula>
    </cfRule>
  </conditionalFormatting>
  <conditionalFormatting sqref="X79">
    <cfRule type="expression" dxfId="147" priority="117">
      <formula>B12&gt;9</formula>
    </cfRule>
    <cfRule type="expression" dxfId="146" priority="116">
      <formula>B12&gt;9</formula>
    </cfRule>
    <cfRule type="expression" dxfId="145" priority="115">
      <formula>B12=10</formula>
    </cfRule>
  </conditionalFormatting>
  <conditionalFormatting sqref="X80:X90">
    <cfRule type="expression" dxfId="144" priority="124">
      <formula>$B$12=10</formula>
    </cfRule>
    <cfRule type="expression" dxfId="143" priority="125">
      <formula>$B$12&gt;9</formula>
    </cfRule>
  </conditionalFormatting>
  <conditionalFormatting sqref="X81:X90">
    <cfRule type="expression" dxfId="142" priority="129">
      <formula>B13&gt;9</formula>
    </cfRule>
  </conditionalFormatting>
  <conditionalFormatting sqref="X91">
    <cfRule type="expression" dxfId="141" priority="112">
      <formula>B12=10</formula>
    </cfRule>
    <cfRule type="expression" dxfId="140" priority="113">
      <formula>B12&gt;9</formula>
    </cfRule>
    <cfRule type="expression" dxfId="139" priority="114">
      <formula>B12&gt;9</formula>
    </cfRule>
  </conditionalFormatting>
  <conditionalFormatting sqref="Y71">
    <cfRule type="expression" dxfId="138" priority="198">
      <formula>B12=11</formula>
    </cfRule>
    <cfRule type="expression" dxfId="137" priority="200">
      <formula>B12&gt;10</formula>
    </cfRule>
    <cfRule type="expression" dxfId="136" priority="199">
      <formula>B12&gt;10</formula>
    </cfRule>
  </conditionalFormatting>
  <conditionalFormatting sqref="Y72">
    <cfRule type="expression" dxfId="135" priority="197">
      <formula>B12&gt;10</formula>
    </cfRule>
    <cfRule type="expression" dxfId="134" priority="196">
      <formula>B12&gt;10</formula>
    </cfRule>
    <cfRule type="expression" priority="195">
      <formula>B12=11</formula>
    </cfRule>
  </conditionalFormatting>
  <conditionalFormatting sqref="Y79">
    <cfRule type="expression" dxfId="133" priority="109">
      <formula>B12=11</formula>
    </cfRule>
    <cfRule type="expression" dxfId="132" priority="110">
      <formula>B12&gt;10</formula>
    </cfRule>
    <cfRule type="expression" dxfId="131" priority="111">
      <formula>B12&gt;10</formula>
    </cfRule>
  </conditionalFormatting>
  <conditionalFormatting sqref="Y80:Y90">
    <cfRule type="expression" dxfId="130" priority="122">
      <formula>$B$12=11</formula>
    </cfRule>
    <cfRule type="expression" dxfId="129" priority="123">
      <formula>$B$12&gt;10</formula>
    </cfRule>
  </conditionalFormatting>
  <conditionalFormatting sqref="Y91">
    <cfRule type="expression" dxfId="128" priority="106">
      <formula>B12=11</formula>
    </cfRule>
    <cfRule type="expression" dxfId="127" priority="107">
      <formula>B12&gt;10</formula>
    </cfRule>
    <cfRule type="expression" dxfId="126" priority="108">
      <formula>B12&gt;10</formula>
    </cfRule>
  </conditionalFormatting>
  <conditionalFormatting sqref="Z71">
    <cfRule type="expression" dxfId="125" priority="194">
      <formula>B12&gt;11</formula>
    </cfRule>
    <cfRule type="expression" dxfId="124" priority="193">
      <formula>B12&gt;11</formula>
    </cfRule>
    <cfRule type="expression" dxfId="123" priority="192">
      <formula>B12=12</formula>
    </cfRule>
  </conditionalFormatting>
  <conditionalFormatting sqref="Z72">
    <cfRule type="expression" dxfId="122" priority="191">
      <formula>B12&gt;11</formula>
    </cfRule>
    <cfRule type="expression" dxfId="121" priority="190">
      <formula>B12&gt;11</formula>
    </cfRule>
    <cfRule type="expression" dxfId="120" priority="189">
      <formula>B12=12</formula>
    </cfRule>
  </conditionalFormatting>
  <conditionalFormatting sqref="Z79">
    <cfRule type="expression" dxfId="119" priority="104">
      <formula>B12&gt;11</formula>
    </cfRule>
    <cfRule type="expression" dxfId="118" priority="105">
      <formula>B12&gt;11</formula>
    </cfRule>
    <cfRule type="expression" dxfId="117" priority="103">
      <formula>B12=12</formula>
    </cfRule>
  </conditionalFormatting>
  <conditionalFormatting sqref="Z80:Z90">
    <cfRule type="expression" dxfId="116" priority="120">
      <formula>$B$12=12</formula>
    </cfRule>
    <cfRule type="expression" dxfId="115" priority="121">
      <formula>$B$12&gt;11</formula>
    </cfRule>
  </conditionalFormatting>
  <conditionalFormatting sqref="Z91">
    <cfRule type="expression" dxfId="114" priority="101">
      <formula>B12&gt;11</formula>
    </cfRule>
    <cfRule type="expression" dxfId="113" priority="102">
      <formula>B12&gt;11</formula>
    </cfRule>
    <cfRule type="expression" dxfId="112" priority="100">
      <formula>B12=12</formula>
    </cfRule>
  </conditionalFormatting>
  <conditionalFormatting sqref="AA71">
    <cfRule type="expression" dxfId="111" priority="188">
      <formula>B12&gt;12</formula>
    </cfRule>
    <cfRule type="expression" dxfId="110" priority="187">
      <formula>B12&gt;12</formula>
    </cfRule>
    <cfRule type="expression" dxfId="109" priority="186">
      <formula>B12=13</formula>
    </cfRule>
  </conditionalFormatting>
  <conditionalFormatting sqref="AA72">
    <cfRule type="expression" dxfId="108" priority="185">
      <formula>B12&gt;12</formula>
    </cfRule>
    <cfRule type="expression" dxfId="107" priority="184">
      <formula>B12&gt;12</formula>
    </cfRule>
    <cfRule type="expression" dxfId="106" priority="183">
      <formula>B12=13</formula>
    </cfRule>
  </conditionalFormatting>
  <conditionalFormatting sqref="AA79">
    <cfRule type="expression" dxfId="105" priority="98">
      <formula>B12&gt;12</formula>
    </cfRule>
    <cfRule type="expression" dxfId="104" priority="97">
      <formula>B12=13</formula>
    </cfRule>
    <cfRule type="expression" dxfId="103" priority="99">
      <formula>B12&gt;12</formula>
    </cfRule>
  </conditionalFormatting>
  <conditionalFormatting sqref="AA80:AA90">
    <cfRule type="expression" dxfId="102" priority="118">
      <formula>$B$12=13</formula>
    </cfRule>
    <cfRule type="expression" dxfId="101" priority="119">
      <formula>$B$12&gt;12</formula>
    </cfRule>
  </conditionalFormatting>
  <conditionalFormatting sqref="AA91">
    <cfRule type="expression" dxfId="100" priority="94">
      <formula>B12=13</formula>
    </cfRule>
    <cfRule type="expression" dxfId="99" priority="95">
      <formula>B12&gt;12</formula>
    </cfRule>
    <cfRule type="expression" dxfId="98" priority="96">
      <formula>B12&gt;12</formula>
    </cfRule>
  </conditionalFormatting>
  <conditionalFormatting sqref="AB71">
    <cfRule type="expression" dxfId="97" priority="182">
      <formula>B12&gt;13</formula>
    </cfRule>
    <cfRule type="expression" dxfId="96" priority="180">
      <formula>B12=14</formula>
    </cfRule>
    <cfRule type="expression" dxfId="95" priority="181">
      <formula>B12&gt;13</formula>
    </cfRule>
  </conditionalFormatting>
  <conditionalFormatting sqref="AB72">
    <cfRule type="expression" dxfId="94" priority="179">
      <formula>B12&gt;13</formula>
    </cfRule>
    <cfRule type="expression" dxfId="93" priority="178">
      <formula>+B12&gt;13</formula>
    </cfRule>
    <cfRule type="expression" dxfId="92" priority="177">
      <formula>B12=14</formula>
    </cfRule>
  </conditionalFormatting>
  <conditionalFormatting sqref="AB79">
    <cfRule type="expression" dxfId="91" priority="89">
      <formula>B12=14</formula>
    </cfRule>
    <cfRule type="expression" dxfId="90" priority="90">
      <formula>B12&gt;13</formula>
    </cfRule>
    <cfRule type="expression" dxfId="89" priority="91">
      <formula>B12&gt;13</formula>
    </cfRule>
  </conditionalFormatting>
  <conditionalFormatting sqref="AB80:AB90">
    <cfRule type="expression" dxfId="88" priority="92">
      <formula>$B$12=14</formula>
    </cfRule>
    <cfRule type="expression" dxfId="87" priority="93">
      <formula>$B$12&gt;13</formula>
    </cfRule>
  </conditionalFormatting>
  <conditionalFormatting sqref="AB91">
    <cfRule type="expression" dxfId="86" priority="87">
      <formula>B12&gt;13</formula>
    </cfRule>
    <cfRule type="expression" dxfId="85" priority="86">
      <formula>B12=14</formula>
    </cfRule>
    <cfRule type="expression" dxfId="84" priority="88">
      <formula>B12&gt;13</formula>
    </cfRule>
  </conditionalFormatting>
  <conditionalFormatting sqref="AC71">
    <cfRule type="expression" dxfId="83" priority="174">
      <formula>B12=15</formula>
    </cfRule>
    <cfRule type="expression" dxfId="82" priority="175">
      <formula>B12&gt;14</formula>
    </cfRule>
    <cfRule type="expression" dxfId="81" priority="176">
      <formula>B12&gt;14</formula>
    </cfRule>
  </conditionalFormatting>
  <conditionalFormatting sqref="AC72">
    <cfRule type="expression" dxfId="80" priority="171">
      <formula>B12=15</formula>
    </cfRule>
    <cfRule type="expression" dxfId="79" priority="172">
      <formula>B12&gt;14</formula>
    </cfRule>
    <cfRule type="expression" dxfId="78" priority="173">
      <formula>B12&gt;14</formula>
    </cfRule>
  </conditionalFormatting>
  <conditionalFormatting sqref="AC79">
    <cfRule type="expression" dxfId="77" priority="81">
      <formula>B12=15</formula>
    </cfRule>
    <cfRule type="expression" dxfId="76" priority="83">
      <formula>B12&gt;14</formula>
    </cfRule>
    <cfRule type="expression" dxfId="75" priority="82">
      <formula>B12&gt;14</formula>
    </cfRule>
  </conditionalFormatting>
  <conditionalFormatting sqref="AC80:AC90">
    <cfRule type="expression" dxfId="74" priority="85">
      <formula>$B$12&gt;14</formula>
    </cfRule>
    <cfRule type="expression" dxfId="73" priority="84">
      <formula>$B$12=15</formula>
    </cfRule>
  </conditionalFormatting>
  <conditionalFormatting sqref="AC91">
    <cfRule type="expression" dxfId="72" priority="79">
      <formula>B12&gt;14</formula>
    </cfRule>
    <cfRule type="expression" dxfId="71" priority="78">
      <formula>B12=15</formula>
    </cfRule>
    <cfRule type="expression" dxfId="70" priority="80">
      <formula>B12&gt;14</formula>
    </cfRule>
  </conditionalFormatting>
  <conditionalFormatting sqref="AD71">
    <cfRule type="expression" dxfId="69" priority="169">
      <formula>B12&gt;15</formula>
    </cfRule>
    <cfRule type="expression" dxfId="68" priority="170">
      <formula>B12&gt;15</formula>
    </cfRule>
    <cfRule type="expression" dxfId="67" priority="168">
      <formula>B12=16</formula>
    </cfRule>
  </conditionalFormatting>
  <conditionalFormatting sqref="AD72">
    <cfRule type="expression" dxfId="66" priority="166">
      <formula>B12&gt;15</formula>
    </cfRule>
    <cfRule type="expression" dxfId="65" priority="167">
      <formula>B12&gt;15</formula>
    </cfRule>
    <cfRule type="expression" dxfId="64" priority="165">
      <formula>B12=16</formula>
    </cfRule>
  </conditionalFormatting>
  <conditionalFormatting sqref="AD79">
    <cfRule type="expression" dxfId="63" priority="73">
      <formula>B12&gt;15</formula>
    </cfRule>
    <cfRule type="expression" dxfId="62" priority="75">
      <formula>B12&gt;15</formula>
    </cfRule>
    <cfRule type="expression" dxfId="61" priority="74">
      <formula>B12=16</formula>
    </cfRule>
  </conditionalFormatting>
  <conditionalFormatting sqref="AD80:AD90">
    <cfRule type="expression" dxfId="60" priority="76">
      <formula>$B$12=16</formula>
    </cfRule>
    <cfRule type="expression" dxfId="59" priority="77">
      <formula>$B$12&gt;15</formula>
    </cfRule>
  </conditionalFormatting>
  <conditionalFormatting sqref="AD91">
    <cfRule type="expression" dxfId="58" priority="70">
      <formula>B12=16</formula>
    </cfRule>
    <cfRule type="expression" dxfId="57" priority="71">
      <formula>B12&gt;15</formula>
    </cfRule>
    <cfRule type="expression" dxfId="56" priority="72">
      <formula>B12&gt;15</formula>
    </cfRule>
  </conditionalFormatting>
  <conditionalFormatting sqref="AE71">
    <cfRule type="expression" dxfId="55" priority="163">
      <formula>B12&gt;16</formula>
    </cfRule>
    <cfRule type="expression" dxfId="54" priority="164">
      <formula>B12&gt;16</formula>
    </cfRule>
    <cfRule type="expression" dxfId="53" priority="162">
      <formula>B12=17</formula>
    </cfRule>
  </conditionalFormatting>
  <conditionalFormatting sqref="AE72">
    <cfRule type="expression" dxfId="52" priority="161">
      <formula>B12&gt;16</formula>
    </cfRule>
    <cfRule type="expression" dxfId="51" priority="160">
      <formula>B12&gt;16</formula>
    </cfRule>
    <cfRule type="expression" dxfId="50" priority="159">
      <formula>B12=17</formula>
    </cfRule>
  </conditionalFormatting>
  <conditionalFormatting sqref="AE79">
    <cfRule type="expression" dxfId="49" priority="67">
      <formula>B12&gt;16</formula>
    </cfRule>
    <cfRule type="expression" dxfId="48" priority="66">
      <formula>B12&gt;16</formula>
    </cfRule>
    <cfRule type="expression" dxfId="47" priority="65">
      <formula>"B12=17"</formula>
    </cfRule>
  </conditionalFormatting>
  <conditionalFormatting sqref="AE80:AE90">
    <cfRule type="expression" dxfId="46" priority="69">
      <formula>$B$12&gt;16</formula>
    </cfRule>
    <cfRule type="expression" dxfId="45" priority="68">
      <formula>$B$12=17</formula>
    </cfRule>
  </conditionalFormatting>
  <conditionalFormatting sqref="AE91">
    <cfRule type="expression" dxfId="44" priority="64">
      <formula>B12&gt;16</formula>
    </cfRule>
    <cfRule type="expression" dxfId="43" priority="63">
      <formula>B12&gt;16</formula>
    </cfRule>
    <cfRule type="expression" dxfId="42" priority="62">
      <formula>B12=17</formula>
    </cfRule>
  </conditionalFormatting>
  <conditionalFormatting sqref="AF71">
    <cfRule type="expression" dxfId="41" priority="158">
      <formula>B12&gt;17</formula>
    </cfRule>
    <cfRule type="expression" dxfId="40" priority="157">
      <formula>B12&gt;17</formula>
    </cfRule>
    <cfRule type="expression" dxfId="39" priority="156">
      <formula>B12=18</formula>
    </cfRule>
  </conditionalFormatting>
  <conditionalFormatting sqref="AF72">
    <cfRule type="expression" dxfId="38" priority="155">
      <formula>B12&gt;17</formula>
    </cfRule>
    <cfRule type="expression" dxfId="37" priority="154">
      <formula>B12&gt;17</formula>
    </cfRule>
    <cfRule type="expression" dxfId="36" priority="153">
      <formula>B12=18</formula>
    </cfRule>
  </conditionalFormatting>
  <conditionalFormatting sqref="AF79">
    <cfRule type="expression" dxfId="35" priority="57">
      <formula>B12=18</formula>
    </cfRule>
    <cfRule type="expression" dxfId="34" priority="59">
      <formula>B12&gt;17</formula>
    </cfRule>
    <cfRule type="expression" dxfId="33" priority="58">
      <formula>B12&gt;17</formula>
    </cfRule>
  </conditionalFormatting>
  <conditionalFormatting sqref="AF80:AF90">
    <cfRule type="expression" dxfId="32" priority="61">
      <formula>$B$12&gt;17</formula>
    </cfRule>
    <cfRule type="expression" dxfId="31" priority="60">
      <formula>B12=18</formula>
    </cfRule>
  </conditionalFormatting>
  <conditionalFormatting sqref="AF91">
    <cfRule type="expression" dxfId="30" priority="56">
      <formula>+B12&gt;17</formula>
    </cfRule>
    <cfRule type="expression" dxfId="29" priority="54">
      <formula>B12=18</formula>
    </cfRule>
    <cfRule type="expression" dxfId="28" priority="55">
      <formula>B12&gt;17</formula>
    </cfRule>
  </conditionalFormatting>
  <conditionalFormatting sqref="AG71">
    <cfRule type="expression" dxfId="27" priority="150">
      <formula>B12=19</formula>
    </cfRule>
    <cfRule type="expression" dxfId="26" priority="152">
      <formula>B12&gt;18</formula>
    </cfRule>
    <cfRule type="expression" dxfId="25" priority="151">
      <formula>B12&gt;18</formula>
    </cfRule>
  </conditionalFormatting>
  <conditionalFormatting sqref="AG72">
    <cfRule type="expression" dxfId="24" priority="148">
      <formula>B12&gt;18</formula>
    </cfRule>
    <cfRule type="expression" dxfId="23" priority="149">
      <formula>B12&gt;18</formula>
    </cfRule>
    <cfRule type="expression" dxfId="22" priority="147">
      <formula>B12=19</formula>
    </cfRule>
  </conditionalFormatting>
  <conditionalFormatting sqref="AG79">
    <cfRule type="expression" dxfId="21" priority="51">
      <formula>B12&gt;18</formula>
    </cfRule>
    <cfRule type="expression" dxfId="20" priority="50">
      <formula>B12&gt;18</formula>
    </cfRule>
    <cfRule type="expression" dxfId="19" priority="49">
      <formula>B12=19</formula>
    </cfRule>
  </conditionalFormatting>
  <conditionalFormatting sqref="AG80:AG90">
    <cfRule type="expression" dxfId="18" priority="52">
      <formula>$B$12=19</formula>
    </cfRule>
    <cfRule type="expression" dxfId="17" priority="53">
      <formula>$B$12&gt;18</formula>
    </cfRule>
  </conditionalFormatting>
  <conditionalFormatting sqref="AG91">
    <cfRule type="expression" dxfId="16" priority="48">
      <formula>B12&gt;18</formula>
    </cfRule>
    <cfRule type="expression" dxfId="15" priority="47">
      <formula>B12&gt;18</formula>
    </cfRule>
    <cfRule type="expression" dxfId="14" priority="46">
      <formula>B12=19</formula>
    </cfRule>
  </conditionalFormatting>
  <conditionalFormatting sqref="AH71">
    <cfRule type="expression" dxfId="13" priority="146">
      <formula>B12&gt;19</formula>
    </cfRule>
    <cfRule type="expression" dxfId="12" priority="145">
      <formula>B12&gt;19</formula>
    </cfRule>
    <cfRule type="expression" dxfId="11" priority="144">
      <formula>B12=20</formula>
    </cfRule>
  </conditionalFormatting>
  <conditionalFormatting sqref="AH72">
    <cfRule type="expression" dxfId="10" priority="142">
      <formula>+B12&gt;19</formula>
    </cfRule>
    <cfRule type="expression" dxfId="9" priority="141">
      <formula>B12=20</formula>
    </cfRule>
    <cfRule type="expression" dxfId="8" priority="143">
      <formula>B12&gt;19</formula>
    </cfRule>
  </conditionalFormatting>
  <conditionalFormatting sqref="AH79">
    <cfRule type="expression" dxfId="7" priority="41">
      <formula>B12=20</formula>
    </cfRule>
    <cfRule type="expression" dxfId="6" priority="42">
      <formula>B12&gt;19</formula>
    </cfRule>
    <cfRule type="expression" dxfId="5" priority="43">
      <formula>B12&gt;19</formula>
    </cfRule>
  </conditionalFormatting>
  <conditionalFormatting sqref="AH80:AH90">
    <cfRule type="expression" dxfId="4" priority="45">
      <formula>$B$12&gt;19</formula>
    </cfRule>
    <cfRule type="expression" dxfId="3" priority="44">
      <formula>$B$12=20</formula>
    </cfRule>
  </conditionalFormatting>
  <conditionalFormatting sqref="AH91">
    <cfRule type="expression" dxfId="2" priority="40">
      <formula>B12&gt;19</formula>
    </cfRule>
    <cfRule type="expression" dxfId="1" priority="39">
      <formula>B12&gt;19</formula>
    </cfRule>
    <cfRule type="expression" dxfId="0" priority="38">
      <formula>B12=20</formula>
    </cfRule>
  </conditionalFormatting>
  <dataValidations count="8">
    <dataValidation type="decimal" allowBlank="1" showInputMessage="1" showErrorMessage="1" error="U kunt maximaal een percentage van 3,0% invullen. Klik op &quot;Annuleren&quot; en vul een ander percentage in. "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86 JH65586 TD65586 ACZ65586 AMV65586 AWR65586 BGN65586 BQJ65586 CAF65586 CKB65586 CTX65586 DDT65586 DNP65586 DXL65586 EHH65586 ERD65586 FAZ65586 FKV65586 FUR65586 GEN65586 GOJ65586 GYF65586 HIB65586 HRX65586 IBT65586 ILP65586 IVL65586 JFH65586 JPD65586 JYZ65586 KIV65586 KSR65586 LCN65586 LMJ65586 LWF65586 MGB65586 MPX65586 MZT65586 NJP65586 NTL65586 ODH65586 OND65586 OWZ65586 PGV65586 PQR65586 QAN65586 QKJ65586 QUF65586 REB65586 RNX65586 RXT65586 SHP65586 SRL65586 TBH65586 TLD65586 TUZ65586 UEV65586 UOR65586 UYN65586 VIJ65586 VSF65586 WCB65586 WLX65586 WVT65586 L131122 JH131122 TD131122 ACZ131122 AMV131122 AWR131122 BGN131122 BQJ131122 CAF131122 CKB131122 CTX131122 DDT131122 DNP131122 DXL131122 EHH131122 ERD131122 FAZ131122 FKV131122 FUR131122 GEN131122 GOJ131122 GYF131122 HIB131122 HRX131122 IBT131122 ILP131122 IVL131122 JFH131122 JPD131122 JYZ131122 KIV131122 KSR131122 LCN131122 LMJ131122 LWF131122 MGB131122 MPX131122 MZT131122 NJP131122 NTL131122 ODH131122 OND131122 OWZ131122 PGV131122 PQR131122 QAN131122 QKJ131122 QUF131122 REB131122 RNX131122 RXT131122 SHP131122 SRL131122 TBH131122 TLD131122 TUZ131122 UEV131122 UOR131122 UYN131122 VIJ131122 VSF131122 WCB131122 WLX131122 WVT131122 L196658 JH196658 TD196658 ACZ196658 AMV196658 AWR196658 BGN196658 BQJ196658 CAF196658 CKB196658 CTX196658 DDT196658 DNP196658 DXL196658 EHH196658 ERD196658 FAZ196658 FKV196658 FUR196658 GEN196658 GOJ196658 GYF196658 HIB196658 HRX196658 IBT196658 ILP196658 IVL196658 JFH196658 JPD196658 JYZ196658 KIV196658 KSR196658 LCN196658 LMJ196658 LWF196658 MGB196658 MPX196658 MZT196658 NJP196658 NTL196658 ODH196658 OND196658 OWZ196658 PGV196658 PQR196658 QAN196658 QKJ196658 QUF196658 REB196658 RNX196658 RXT196658 SHP196658 SRL196658 TBH196658 TLD196658 TUZ196658 UEV196658 UOR196658 UYN196658 VIJ196658 VSF196658 WCB196658 WLX196658 WVT196658 L262194 JH262194 TD262194 ACZ262194 AMV262194 AWR262194 BGN262194 BQJ262194 CAF262194 CKB262194 CTX262194 DDT262194 DNP262194 DXL262194 EHH262194 ERD262194 FAZ262194 FKV262194 FUR262194 GEN262194 GOJ262194 GYF262194 HIB262194 HRX262194 IBT262194 ILP262194 IVL262194 JFH262194 JPD262194 JYZ262194 KIV262194 KSR262194 LCN262194 LMJ262194 LWF262194 MGB262194 MPX262194 MZT262194 NJP262194 NTL262194 ODH262194 OND262194 OWZ262194 PGV262194 PQR262194 QAN262194 QKJ262194 QUF262194 REB262194 RNX262194 RXT262194 SHP262194 SRL262194 TBH262194 TLD262194 TUZ262194 UEV262194 UOR262194 UYN262194 VIJ262194 VSF262194 WCB262194 WLX262194 WVT262194 L327730 JH327730 TD327730 ACZ327730 AMV327730 AWR327730 BGN327730 BQJ327730 CAF327730 CKB327730 CTX327730 DDT327730 DNP327730 DXL327730 EHH327730 ERD327730 FAZ327730 FKV327730 FUR327730 GEN327730 GOJ327730 GYF327730 HIB327730 HRX327730 IBT327730 ILP327730 IVL327730 JFH327730 JPD327730 JYZ327730 KIV327730 KSR327730 LCN327730 LMJ327730 LWF327730 MGB327730 MPX327730 MZT327730 NJP327730 NTL327730 ODH327730 OND327730 OWZ327730 PGV327730 PQR327730 QAN327730 QKJ327730 QUF327730 REB327730 RNX327730 RXT327730 SHP327730 SRL327730 TBH327730 TLD327730 TUZ327730 UEV327730 UOR327730 UYN327730 VIJ327730 VSF327730 WCB327730 WLX327730 WVT327730 L393266 JH393266 TD393266 ACZ393266 AMV393266 AWR393266 BGN393266 BQJ393266 CAF393266 CKB393266 CTX393266 DDT393266 DNP393266 DXL393266 EHH393266 ERD393266 FAZ393266 FKV393266 FUR393266 GEN393266 GOJ393266 GYF393266 HIB393266 HRX393266 IBT393266 ILP393266 IVL393266 JFH393266 JPD393266 JYZ393266 KIV393266 KSR393266 LCN393266 LMJ393266 LWF393266 MGB393266 MPX393266 MZT393266 NJP393266 NTL393266 ODH393266 OND393266 OWZ393266 PGV393266 PQR393266 QAN393266 QKJ393266 QUF393266 REB393266 RNX393266 RXT393266 SHP393266 SRL393266 TBH393266 TLD393266 TUZ393266 UEV393266 UOR393266 UYN393266 VIJ393266 VSF393266 WCB393266 WLX393266 WVT393266 L458802 JH458802 TD458802 ACZ458802 AMV458802 AWR458802 BGN458802 BQJ458802 CAF458802 CKB458802 CTX458802 DDT458802 DNP458802 DXL458802 EHH458802 ERD458802 FAZ458802 FKV458802 FUR458802 GEN458802 GOJ458802 GYF458802 HIB458802 HRX458802 IBT458802 ILP458802 IVL458802 JFH458802 JPD458802 JYZ458802 KIV458802 KSR458802 LCN458802 LMJ458802 LWF458802 MGB458802 MPX458802 MZT458802 NJP458802 NTL458802 ODH458802 OND458802 OWZ458802 PGV458802 PQR458802 QAN458802 QKJ458802 QUF458802 REB458802 RNX458802 RXT458802 SHP458802 SRL458802 TBH458802 TLD458802 TUZ458802 UEV458802 UOR458802 UYN458802 VIJ458802 VSF458802 WCB458802 WLX458802 WVT458802 L524338 JH524338 TD524338 ACZ524338 AMV524338 AWR524338 BGN524338 BQJ524338 CAF524338 CKB524338 CTX524338 DDT524338 DNP524338 DXL524338 EHH524338 ERD524338 FAZ524338 FKV524338 FUR524338 GEN524338 GOJ524338 GYF524338 HIB524338 HRX524338 IBT524338 ILP524338 IVL524338 JFH524338 JPD524338 JYZ524338 KIV524338 KSR524338 LCN524338 LMJ524338 LWF524338 MGB524338 MPX524338 MZT524338 NJP524338 NTL524338 ODH524338 OND524338 OWZ524338 PGV524338 PQR524338 QAN524338 QKJ524338 QUF524338 REB524338 RNX524338 RXT524338 SHP524338 SRL524338 TBH524338 TLD524338 TUZ524338 UEV524338 UOR524338 UYN524338 VIJ524338 VSF524338 WCB524338 WLX524338 WVT524338 L589874 JH589874 TD589874 ACZ589874 AMV589874 AWR589874 BGN589874 BQJ589874 CAF589874 CKB589874 CTX589874 DDT589874 DNP589874 DXL589874 EHH589874 ERD589874 FAZ589874 FKV589874 FUR589874 GEN589874 GOJ589874 GYF589874 HIB589874 HRX589874 IBT589874 ILP589874 IVL589874 JFH589874 JPD589874 JYZ589874 KIV589874 KSR589874 LCN589874 LMJ589874 LWF589874 MGB589874 MPX589874 MZT589874 NJP589874 NTL589874 ODH589874 OND589874 OWZ589874 PGV589874 PQR589874 QAN589874 QKJ589874 QUF589874 REB589874 RNX589874 RXT589874 SHP589874 SRL589874 TBH589874 TLD589874 TUZ589874 UEV589874 UOR589874 UYN589874 VIJ589874 VSF589874 WCB589874 WLX589874 WVT589874 L655410 JH655410 TD655410 ACZ655410 AMV655410 AWR655410 BGN655410 BQJ655410 CAF655410 CKB655410 CTX655410 DDT655410 DNP655410 DXL655410 EHH655410 ERD655410 FAZ655410 FKV655410 FUR655410 GEN655410 GOJ655410 GYF655410 HIB655410 HRX655410 IBT655410 ILP655410 IVL655410 JFH655410 JPD655410 JYZ655410 KIV655410 KSR655410 LCN655410 LMJ655410 LWF655410 MGB655410 MPX655410 MZT655410 NJP655410 NTL655410 ODH655410 OND655410 OWZ655410 PGV655410 PQR655410 QAN655410 QKJ655410 QUF655410 REB655410 RNX655410 RXT655410 SHP655410 SRL655410 TBH655410 TLD655410 TUZ655410 UEV655410 UOR655410 UYN655410 VIJ655410 VSF655410 WCB655410 WLX655410 WVT655410 L720946 JH720946 TD720946 ACZ720946 AMV720946 AWR720946 BGN720946 BQJ720946 CAF720946 CKB720946 CTX720946 DDT720946 DNP720946 DXL720946 EHH720946 ERD720946 FAZ720946 FKV720946 FUR720946 GEN720946 GOJ720946 GYF720946 HIB720946 HRX720946 IBT720946 ILP720946 IVL720946 JFH720946 JPD720946 JYZ720946 KIV720946 KSR720946 LCN720946 LMJ720946 LWF720946 MGB720946 MPX720946 MZT720946 NJP720946 NTL720946 ODH720946 OND720946 OWZ720946 PGV720946 PQR720946 QAN720946 QKJ720946 QUF720946 REB720946 RNX720946 RXT720946 SHP720946 SRL720946 TBH720946 TLD720946 TUZ720946 UEV720946 UOR720946 UYN720946 VIJ720946 VSF720946 WCB720946 WLX720946 WVT720946 L786482 JH786482 TD786482 ACZ786482 AMV786482 AWR786482 BGN786482 BQJ786482 CAF786482 CKB786482 CTX786482 DDT786482 DNP786482 DXL786482 EHH786482 ERD786482 FAZ786482 FKV786482 FUR786482 GEN786482 GOJ786482 GYF786482 HIB786482 HRX786482 IBT786482 ILP786482 IVL786482 JFH786482 JPD786482 JYZ786482 KIV786482 KSR786482 LCN786482 LMJ786482 LWF786482 MGB786482 MPX786482 MZT786482 NJP786482 NTL786482 ODH786482 OND786482 OWZ786482 PGV786482 PQR786482 QAN786482 QKJ786482 QUF786482 REB786482 RNX786482 RXT786482 SHP786482 SRL786482 TBH786482 TLD786482 TUZ786482 UEV786482 UOR786482 UYN786482 VIJ786482 VSF786482 WCB786482 WLX786482 WVT786482 L852018 JH852018 TD852018 ACZ852018 AMV852018 AWR852018 BGN852018 BQJ852018 CAF852018 CKB852018 CTX852018 DDT852018 DNP852018 DXL852018 EHH852018 ERD852018 FAZ852018 FKV852018 FUR852018 GEN852018 GOJ852018 GYF852018 HIB852018 HRX852018 IBT852018 ILP852018 IVL852018 JFH852018 JPD852018 JYZ852018 KIV852018 KSR852018 LCN852018 LMJ852018 LWF852018 MGB852018 MPX852018 MZT852018 NJP852018 NTL852018 ODH852018 OND852018 OWZ852018 PGV852018 PQR852018 QAN852018 QKJ852018 QUF852018 REB852018 RNX852018 RXT852018 SHP852018 SRL852018 TBH852018 TLD852018 TUZ852018 UEV852018 UOR852018 UYN852018 VIJ852018 VSF852018 WCB852018 WLX852018 WVT852018 L917554 JH917554 TD917554 ACZ917554 AMV917554 AWR917554 BGN917554 BQJ917554 CAF917554 CKB917554 CTX917554 DDT917554 DNP917554 DXL917554 EHH917554 ERD917554 FAZ917554 FKV917554 FUR917554 GEN917554 GOJ917554 GYF917554 HIB917554 HRX917554 IBT917554 ILP917554 IVL917554 JFH917554 JPD917554 JYZ917554 KIV917554 KSR917554 LCN917554 LMJ917554 LWF917554 MGB917554 MPX917554 MZT917554 NJP917554 NTL917554 ODH917554 OND917554 OWZ917554 PGV917554 PQR917554 QAN917554 QKJ917554 QUF917554 REB917554 RNX917554 RXT917554 SHP917554 SRL917554 TBH917554 TLD917554 TUZ917554 UEV917554 UOR917554 UYN917554 VIJ917554 VSF917554 WCB917554 WLX917554 WVT917554 L983090 JH983090 TD983090 ACZ983090 AMV983090 AWR983090 BGN983090 BQJ983090 CAF983090 CKB983090 CTX983090 DDT983090 DNP983090 DXL983090 EHH983090 ERD983090 FAZ983090 FKV983090 FUR983090 GEN983090 GOJ983090 GYF983090 HIB983090 HRX983090 IBT983090 ILP983090 IVL983090 JFH983090 JPD983090 JYZ983090 KIV983090 KSR983090 LCN983090 LMJ983090 LWF983090 MGB983090 MPX983090 MZT983090 NJP983090 NTL983090 ODH983090 OND983090 OWZ983090 PGV983090 PQR983090 QAN983090 QKJ983090 QUF983090 REB983090 RNX983090 RXT983090 SHP983090 SRL983090 TBH983090 TLD983090 TUZ983090 UEV983090 UOR983090 UYN983090 VIJ983090 VSF983090 WCB983090 WLX983090 WVT983090" xr:uid="{BAB5037A-2106-4132-A206-359E19D50A95}">
      <formula1>0</formula1>
      <formula2>0.05</formula2>
    </dataValidation>
    <dataValidation type="decimal" allowBlank="1" showErrorMessage="1" error="U kunt maximaal een percentage van 3,0% invullen. Klik op &quot;Annuleren&quot; en vul een ander percentage in. " prompt="U kunt maximaal een percentage van 3,0% invullen. Klik op &quot;Annuleren&quot; en vul een ander percentage in. " sqref="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83 JH65583 TD65583 ACZ65583 AMV65583 AWR65583 BGN65583 BQJ65583 CAF65583 CKB65583 CTX65583 DDT65583 DNP65583 DXL65583 EHH65583 ERD65583 FAZ65583 FKV65583 FUR65583 GEN65583 GOJ65583 GYF65583 HIB65583 HRX65583 IBT65583 ILP65583 IVL65583 JFH65583 JPD65583 JYZ65583 KIV65583 KSR65583 LCN65583 LMJ65583 LWF65583 MGB65583 MPX65583 MZT65583 NJP65583 NTL65583 ODH65583 OND65583 OWZ65583 PGV65583 PQR65583 QAN65583 QKJ65583 QUF65583 REB65583 RNX65583 RXT65583 SHP65583 SRL65583 TBH65583 TLD65583 TUZ65583 UEV65583 UOR65583 UYN65583 VIJ65583 VSF65583 WCB65583 WLX65583 WVT65583 L131119 JH131119 TD131119 ACZ131119 AMV131119 AWR131119 BGN131119 BQJ131119 CAF131119 CKB131119 CTX131119 DDT131119 DNP131119 DXL131119 EHH131119 ERD131119 FAZ131119 FKV131119 FUR131119 GEN131119 GOJ131119 GYF131119 HIB131119 HRX131119 IBT131119 ILP131119 IVL131119 JFH131119 JPD131119 JYZ131119 KIV131119 KSR131119 LCN131119 LMJ131119 LWF131119 MGB131119 MPX131119 MZT131119 NJP131119 NTL131119 ODH131119 OND131119 OWZ131119 PGV131119 PQR131119 QAN131119 QKJ131119 QUF131119 REB131119 RNX131119 RXT131119 SHP131119 SRL131119 TBH131119 TLD131119 TUZ131119 UEV131119 UOR131119 UYN131119 VIJ131119 VSF131119 WCB131119 WLX131119 WVT131119 L196655 JH196655 TD196655 ACZ196655 AMV196655 AWR196655 BGN196655 BQJ196655 CAF196655 CKB196655 CTX196655 DDT196655 DNP196655 DXL196655 EHH196655 ERD196655 FAZ196655 FKV196655 FUR196655 GEN196655 GOJ196655 GYF196655 HIB196655 HRX196655 IBT196655 ILP196655 IVL196655 JFH196655 JPD196655 JYZ196655 KIV196655 KSR196655 LCN196655 LMJ196655 LWF196655 MGB196655 MPX196655 MZT196655 NJP196655 NTL196655 ODH196655 OND196655 OWZ196655 PGV196655 PQR196655 QAN196655 QKJ196655 QUF196655 REB196655 RNX196655 RXT196655 SHP196655 SRL196655 TBH196655 TLD196655 TUZ196655 UEV196655 UOR196655 UYN196655 VIJ196655 VSF196655 WCB196655 WLX196655 WVT196655 L262191 JH262191 TD262191 ACZ262191 AMV262191 AWR262191 BGN262191 BQJ262191 CAF262191 CKB262191 CTX262191 DDT262191 DNP262191 DXL262191 EHH262191 ERD262191 FAZ262191 FKV262191 FUR262191 GEN262191 GOJ262191 GYF262191 HIB262191 HRX262191 IBT262191 ILP262191 IVL262191 JFH262191 JPD262191 JYZ262191 KIV262191 KSR262191 LCN262191 LMJ262191 LWF262191 MGB262191 MPX262191 MZT262191 NJP262191 NTL262191 ODH262191 OND262191 OWZ262191 PGV262191 PQR262191 QAN262191 QKJ262191 QUF262191 REB262191 RNX262191 RXT262191 SHP262191 SRL262191 TBH262191 TLD262191 TUZ262191 UEV262191 UOR262191 UYN262191 VIJ262191 VSF262191 WCB262191 WLX262191 WVT262191 L327727 JH327727 TD327727 ACZ327727 AMV327727 AWR327727 BGN327727 BQJ327727 CAF327727 CKB327727 CTX327727 DDT327727 DNP327727 DXL327727 EHH327727 ERD327727 FAZ327727 FKV327727 FUR327727 GEN327727 GOJ327727 GYF327727 HIB327727 HRX327727 IBT327727 ILP327727 IVL327727 JFH327727 JPD327727 JYZ327727 KIV327727 KSR327727 LCN327727 LMJ327727 LWF327727 MGB327727 MPX327727 MZT327727 NJP327727 NTL327727 ODH327727 OND327727 OWZ327727 PGV327727 PQR327727 QAN327727 QKJ327727 QUF327727 REB327727 RNX327727 RXT327727 SHP327727 SRL327727 TBH327727 TLD327727 TUZ327727 UEV327727 UOR327727 UYN327727 VIJ327727 VSF327727 WCB327727 WLX327727 WVT327727 L393263 JH393263 TD393263 ACZ393263 AMV393263 AWR393263 BGN393263 BQJ393263 CAF393263 CKB393263 CTX393263 DDT393263 DNP393263 DXL393263 EHH393263 ERD393263 FAZ393263 FKV393263 FUR393263 GEN393263 GOJ393263 GYF393263 HIB393263 HRX393263 IBT393263 ILP393263 IVL393263 JFH393263 JPD393263 JYZ393263 KIV393263 KSR393263 LCN393263 LMJ393263 LWF393263 MGB393263 MPX393263 MZT393263 NJP393263 NTL393263 ODH393263 OND393263 OWZ393263 PGV393263 PQR393263 QAN393263 QKJ393263 QUF393263 REB393263 RNX393263 RXT393263 SHP393263 SRL393263 TBH393263 TLD393263 TUZ393263 UEV393263 UOR393263 UYN393263 VIJ393263 VSF393263 WCB393263 WLX393263 WVT393263 L458799 JH458799 TD458799 ACZ458799 AMV458799 AWR458799 BGN458799 BQJ458799 CAF458799 CKB458799 CTX458799 DDT458799 DNP458799 DXL458799 EHH458799 ERD458799 FAZ458799 FKV458799 FUR458799 GEN458799 GOJ458799 GYF458799 HIB458799 HRX458799 IBT458799 ILP458799 IVL458799 JFH458799 JPD458799 JYZ458799 KIV458799 KSR458799 LCN458799 LMJ458799 LWF458799 MGB458799 MPX458799 MZT458799 NJP458799 NTL458799 ODH458799 OND458799 OWZ458799 PGV458799 PQR458799 QAN458799 QKJ458799 QUF458799 REB458799 RNX458799 RXT458799 SHP458799 SRL458799 TBH458799 TLD458799 TUZ458799 UEV458799 UOR458799 UYN458799 VIJ458799 VSF458799 WCB458799 WLX458799 WVT458799 L524335 JH524335 TD524335 ACZ524335 AMV524335 AWR524335 BGN524335 BQJ524335 CAF524335 CKB524335 CTX524335 DDT524335 DNP524335 DXL524335 EHH524335 ERD524335 FAZ524335 FKV524335 FUR524335 GEN524335 GOJ524335 GYF524335 HIB524335 HRX524335 IBT524335 ILP524335 IVL524335 JFH524335 JPD524335 JYZ524335 KIV524335 KSR524335 LCN524335 LMJ524335 LWF524335 MGB524335 MPX524335 MZT524335 NJP524335 NTL524335 ODH524335 OND524335 OWZ524335 PGV524335 PQR524335 QAN524335 QKJ524335 QUF524335 REB524335 RNX524335 RXT524335 SHP524335 SRL524335 TBH524335 TLD524335 TUZ524335 UEV524335 UOR524335 UYN524335 VIJ524335 VSF524335 WCB524335 WLX524335 WVT524335 L589871 JH589871 TD589871 ACZ589871 AMV589871 AWR589871 BGN589871 BQJ589871 CAF589871 CKB589871 CTX589871 DDT589871 DNP589871 DXL589871 EHH589871 ERD589871 FAZ589871 FKV589871 FUR589871 GEN589871 GOJ589871 GYF589871 HIB589871 HRX589871 IBT589871 ILP589871 IVL589871 JFH589871 JPD589871 JYZ589871 KIV589871 KSR589871 LCN589871 LMJ589871 LWF589871 MGB589871 MPX589871 MZT589871 NJP589871 NTL589871 ODH589871 OND589871 OWZ589871 PGV589871 PQR589871 QAN589871 QKJ589871 QUF589871 REB589871 RNX589871 RXT589871 SHP589871 SRL589871 TBH589871 TLD589871 TUZ589871 UEV589871 UOR589871 UYN589871 VIJ589871 VSF589871 WCB589871 WLX589871 WVT589871 L655407 JH655407 TD655407 ACZ655407 AMV655407 AWR655407 BGN655407 BQJ655407 CAF655407 CKB655407 CTX655407 DDT655407 DNP655407 DXL655407 EHH655407 ERD655407 FAZ655407 FKV655407 FUR655407 GEN655407 GOJ655407 GYF655407 HIB655407 HRX655407 IBT655407 ILP655407 IVL655407 JFH655407 JPD655407 JYZ655407 KIV655407 KSR655407 LCN655407 LMJ655407 LWF655407 MGB655407 MPX655407 MZT655407 NJP655407 NTL655407 ODH655407 OND655407 OWZ655407 PGV655407 PQR655407 QAN655407 QKJ655407 QUF655407 REB655407 RNX655407 RXT655407 SHP655407 SRL655407 TBH655407 TLD655407 TUZ655407 UEV655407 UOR655407 UYN655407 VIJ655407 VSF655407 WCB655407 WLX655407 WVT655407 L720943 JH720943 TD720943 ACZ720943 AMV720943 AWR720943 BGN720943 BQJ720943 CAF720943 CKB720943 CTX720943 DDT720943 DNP720943 DXL720943 EHH720943 ERD720943 FAZ720943 FKV720943 FUR720943 GEN720943 GOJ720943 GYF720943 HIB720943 HRX720943 IBT720943 ILP720943 IVL720943 JFH720943 JPD720943 JYZ720943 KIV720943 KSR720943 LCN720943 LMJ720943 LWF720943 MGB720943 MPX720943 MZT720943 NJP720943 NTL720943 ODH720943 OND720943 OWZ720943 PGV720943 PQR720943 QAN720943 QKJ720943 QUF720943 REB720943 RNX720943 RXT720943 SHP720943 SRL720943 TBH720943 TLD720943 TUZ720943 UEV720943 UOR720943 UYN720943 VIJ720943 VSF720943 WCB720943 WLX720943 WVT720943 L786479 JH786479 TD786479 ACZ786479 AMV786479 AWR786479 BGN786479 BQJ786479 CAF786479 CKB786479 CTX786479 DDT786479 DNP786479 DXL786479 EHH786479 ERD786479 FAZ786479 FKV786479 FUR786479 GEN786479 GOJ786479 GYF786479 HIB786479 HRX786479 IBT786479 ILP786479 IVL786479 JFH786479 JPD786479 JYZ786479 KIV786479 KSR786479 LCN786479 LMJ786479 LWF786479 MGB786479 MPX786479 MZT786479 NJP786479 NTL786479 ODH786479 OND786479 OWZ786479 PGV786479 PQR786479 QAN786479 QKJ786479 QUF786479 REB786479 RNX786479 RXT786479 SHP786479 SRL786479 TBH786479 TLD786479 TUZ786479 UEV786479 UOR786479 UYN786479 VIJ786479 VSF786479 WCB786479 WLX786479 WVT786479 L852015 JH852015 TD852015 ACZ852015 AMV852015 AWR852015 BGN852015 BQJ852015 CAF852015 CKB852015 CTX852015 DDT852015 DNP852015 DXL852015 EHH852015 ERD852015 FAZ852015 FKV852015 FUR852015 GEN852015 GOJ852015 GYF852015 HIB852015 HRX852015 IBT852015 ILP852015 IVL852015 JFH852015 JPD852015 JYZ852015 KIV852015 KSR852015 LCN852015 LMJ852015 LWF852015 MGB852015 MPX852015 MZT852015 NJP852015 NTL852015 ODH852015 OND852015 OWZ852015 PGV852015 PQR852015 QAN852015 QKJ852015 QUF852015 REB852015 RNX852015 RXT852015 SHP852015 SRL852015 TBH852015 TLD852015 TUZ852015 UEV852015 UOR852015 UYN852015 VIJ852015 VSF852015 WCB852015 WLX852015 WVT852015 L917551 JH917551 TD917551 ACZ917551 AMV917551 AWR917551 BGN917551 BQJ917551 CAF917551 CKB917551 CTX917551 DDT917551 DNP917551 DXL917551 EHH917551 ERD917551 FAZ917551 FKV917551 FUR917551 GEN917551 GOJ917551 GYF917551 HIB917551 HRX917551 IBT917551 ILP917551 IVL917551 JFH917551 JPD917551 JYZ917551 KIV917551 KSR917551 LCN917551 LMJ917551 LWF917551 MGB917551 MPX917551 MZT917551 NJP917551 NTL917551 ODH917551 OND917551 OWZ917551 PGV917551 PQR917551 QAN917551 QKJ917551 QUF917551 REB917551 RNX917551 RXT917551 SHP917551 SRL917551 TBH917551 TLD917551 TUZ917551 UEV917551 UOR917551 UYN917551 VIJ917551 VSF917551 WCB917551 WLX917551 WVT917551 L983087 JH983087 TD983087 ACZ983087 AMV983087 AWR983087 BGN983087 BQJ983087 CAF983087 CKB983087 CTX983087 DDT983087 DNP983087 DXL983087 EHH983087 ERD983087 FAZ983087 FKV983087 FUR983087 GEN983087 GOJ983087 GYF983087 HIB983087 HRX983087 IBT983087 ILP983087 IVL983087 JFH983087 JPD983087 JYZ983087 KIV983087 KSR983087 LCN983087 LMJ983087 LWF983087 MGB983087 MPX983087 MZT983087 NJP983087 NTL983087 ODH983087 OND983087 OWZ983087 PGV983087 PQR983087 QAN983087 QKJ983087 QUF983087 REB983087 RNX983087 RXT983087 SHP983087 SRL983087 TBH983087 TLD983087 TUZ983087 UEV983087 UOR983087 UYN983087 VIJ983087 VSF983087 WCB983087 WLX983087 WVT983087" xr:uid="{A90A478C-69A9-4069-9A88-E9868C1ADCBA}">
      <formula1>0</formula1>
      <formula2>0.05</formula2>
    </dataValidation>
    <dataValidation type="decimal" allowBlank="1" showErrorMessage="1" error="U kunt maximaal een percentage van 3,0% invullen. Klik op &quot;Annuleren&quot; en vul een ander percentage in. " prompt="U kunt maximaal een percentage van 3,0% invullen. Klik op &quot;Annuleren&quot; en vul een ander percentage in. " sqref="WVT983080:WVT983082 L65576:L65578 JH65576:JH65578 TD65576:TD65578 ACZ65576:ACZ65578 AMV65576:AMV65578 AWR65576:AWR65578 BGN65576:BGN65578 BQJ65576:BQJ65578 CAF65576:CAF65578 CKB65576:CKB65578 CTX65576:CTX65578 DDT65576:DDT65578 DNP65576:DNP65578 DXL65576:DXL65578 EHH65576:EHH65578 ERD65576:ERD65578 FAZ65576:FAZ65578 FKV65576:FKV65578 FUR65576:FUR65578 GEN65576:GEN65578 GOJ65576:GOJ65578 GYF65576:GYF65578 HIB65576:HIB65578 HRX65576:HRX65578 IBT65576:IBT65578 ILP65576:ILP65578 IVL65576:IVL65578 JFH65576:JFH65578 JPD65576:JPD65578 JYZ65576:JYZ65578 KIV65576:KIV65578 KSR65576:KSR65578 LCN65576:LCN65578 LMJ65576:LMJ65578 LWF65576:LWF65578 MGB65576:MGB65578 MPX65576:MPX65578 MZT65576:MZT65578 NJP65576:NJP65578 NTL65576:NTL65578 ODH65576:ODH65578 OND65576:OND65578 OWZ65576:OWZ65578 PGV65576:PGV65578 PQR65576:PQR65578 QAN65576:QAN65578 QKJ65576:QKJ65578 QUF65576:QUF65578 REB65576:REB65578 RNX65576:RNX65578 RXT65576:RXT65578 SHP65576:SHP65578 SRL65576:SRL65578 TBH65576:TBH65578 TLD65576:TLD65578 TUZ65576:TUZ65578 UEV65576:UEV65578 UOR65576:UOR65578 UYN65576:UYN65578 VIJ65576:VIJ65578 VSF65576:VSF65578 WCB65576:WCB65578 WLX65576:WLX65578 WVT65576:WVT65578 L131112:L131114 JH131112:JH131114 TD131112:TD131114 ACZ131112:ACZ131114 AMV131112:AMV131114 AWR131112:AWR131114 BGN131112:BGN131114 BQJ131112:BQJ131114 CAF131112:CAF131114 CKB131112:CKB131114 CTX131112:CTX131114 DDT131112:DDT131114 DNP131112:DNP131114 DXL131112:DXL131114 EHH131112:EHH131114 ERD131112:ERD131114 FAZ131112:FAZ131114 FKV131112:FKV131114 FUR131112:FUR131114 GEN131112:GEN131114 GOJ131112:GOJ131114 GYF131112:GYF131114 HIB131112:HIB131114 HRX131112:HRX131114 IBT131112:IBT131114 ILP131112:ILP131114 IVL131112:IVL131114 JFH131112:JFH131114 JPD131112:JPD131114 JYZ131112:JYZ131114 KIV131112:KIV131114 KSR131112:KSR131114 LCN131112:LCN131114 LMJ131112:LMJ131114 LWF131112:LWF131114 MGB131112:MGB131114 MPX131112:MPX131114 MZT131112:MZT131114 NJP131112:NJP131114 NTL131112:NTL131114 ODH131112:ODH131114 OND131112:OND131114 OWZ131112:OWZ131114 PGV131112:PGV131114 PQR131112:PQR131114 QAN131112:QAN131114 QKJ131112:QKJ131114 QUF131112:QUF131114 REB131112:REB131114 RNX131112:RNX131114 RXT131112:RXT131114 SHP131112:SHP131114 SRL131112:SRL131114 TBH131112:TBH131114 TLD131112:TLD131114 TUZ131112:TUZ131114 UEV131112:UEV131114 UOR131112:UOR131114 UYN131112:UYN131114 VIJ131112:VIJ131114 VSF131112:VSF131114 WCB131112:WCB131114 WLX131112:WLX131114 WVT131112:WVT131114 L196648:L196650 JH196648:JH196650 TD196648:TD196650 ACZ196648:ACZ196650 AMV196648:AMV196650 AWR196648:AWR196650 BGN196648:BGN196650 BQJ196648:BQJ196650 CAF196648:CAF196650 CKB196648:CKB196650 CTX196648:CTX196650 DDT196648:DDT196650 DNP196648:DNP196650 DXL196648:DXL196650 EHH196648:EHH196650 ERD196648:ERD196650 FAZ196648:FAZ196650 FKV196648:FKV196650 FUR196648:FUR196650 GEN196648:GEN196650 GOJ196648:GOJ196650 GYF196648:GYF196650 HIB196648:HIB196650 HRX196648:HRX196650 IBT196648:IBT196650 ILP196648:ILP196650 IVL196648:IVL196650 JFH196648:JFH196650 JPD196648:JPD196650 JYZ196648:JYZ196650 KIV196648:KIV196650 KSR196648:KSR196650 LCN196648:LCN196650 LMJ196648:LMJ196650 LWF196648:LWF196650 MGB196648:MGB196650 MPX196648:MPX196650 MZT196648:MZT196650 NJP196648:NJP196650 NTL196648:NTL196650 ODH196648:ODH196650 OND196648:OND196650 OWZ196648:OWZ196650 PGV196648:PGV196650 PQR196648:PQR196650 QAN196648:QAN196650 QKJ196648:QKJ196650 QUF196648:QUF196650 REB196648:REB196650 RNX196648:RNX196650 RXT196648:RXT196650 SHP196648:SHP196650 SRL196648:SRL196650 TBH196648:TBH196650 TLD196648:TLD196650 TUZ196648:TUZ196650 UEV196648:UEV196650 UOR196648:UOR196650 UYN196648:UYN196650 VIJ196648:VIJ196650 VSF196648:VSF196650 WCB196648:WCB196650 WLX196648:WLX196650 WVT196648:WVT196650 L262184:L262186 JH262184:JH262186 TD262184:TD262186 ACZ262184:ACZ262186 AMV262184:AMV262186 AWR262184:AWR262186 BGN262184:BGN262186 BQJ262184:BQJ262186 CAF262184:CAF262186 CKB262184:CKB262186 CTX262184:CTX262186 DDT262184:DDT262186 DNP262184:DNP262186 DXL262184:DXL262186 EHH262184:EHH262186 ERD262184:ERD262186 FAZ262184:FAZ262186 FKV262184:FKV262186 FUR262184:FUR262186 GEN262184:GEN262186 GOJ262184:GOJ262186 GYF262184:GYF262186 HIB262184:HIB262186 HRX262184:HRX262186 IBT262184:IBT262186 ILP262184:ILP262186 IVL262184:IVL262186 JFH262184:JFH262186 JPD262184:JPD262186 JYZ262184:JYZ262186 KIV262184:KIV262186 KSR262184:KSR262186 LCN262184:LCN262186 LMJ262184:LMJ262186 LWF262184:LWF262186 MGB262184:MGB262186 MPX262184:MPX262186 MZT262184:MZT262186 NJP262184:NJP262186 NTL262184:NTL262186 ODH262184:ODH262186 OND262184:OND262186 OWZ262184:OWZ262186 PGV262184:PGV262186 PQR262184:PQR262186 QAN262184:QAN262186 QKJ262184:QKJ262186 QUF262184:QUF262186 REB262184:REB262186 RNX262184:RNX262186 RXT262184:RXT262186 SHP262184:SHP262186 SRL262184:SRL262186 TBH262184:TBH262186 TLD262184:TLD262186 TUZ262184:TUZ262186 UEV262184:UEV262186 UOR262184:UOR262186 UYN262184:UYN262186 VIJ262184:VIJ262186 VSF262184:VSF262186 WCB262184:WCB262186 WLX262184:WLX262186 WVT262184:WVT262186 L327720:L327722 JH327720:JH327722 TD327720:TD327722 ACZ327720:ACZ327722 AMV327720:AMV327722 AWR327720:AWR327722 BGN327720:BGN327722 BQJ327720:BQJ327722 CAF327720:CAF327722 CKB327720:CKB327722 CTX327720:CTX327722 DDT327720:DDT327722 DNP327720:DNP327722 DXL327720:DXL327722 EHH327720:EHH327722 ERD327720:ERD327722 FAZ327720:FAZ327722 FKV327720:FKV327722 FUR327720:FUR327722 GEN327720:GEN327722 GOJ327720:GOJ327722 GYF327720:GYF327722 HIB327720:HIB327722 HRX327720:HRX327722 IBT327720:IBT327722 ILP327720:ILP327722 IVL327720:IVL327722 JFH327720:JFH327722 JPD327720:JPD327722 JYZ327720:JYZ327722 KIV327720:KIV327722 KSR327720:KSR327722 LCN327720:LCN327722 LMJ327720:LMJ327722 LWF327720:LWF327722 MGB327720:MGB327722 MPX327720:MPX327722 MZT327720:MZT327722 NJP327720:NJP327722 NTL327720:NTL327722 ODH327720:ODH327722 OND327720:OND327722 OWZ327720:OWZ327722 PGV327720:PGV327722 PQR327720:PQR327722 QAN327720:QAN327722 QKJ327720:QKJ327722 QUF327720:QUF327722 REB327720:REB327722 RNX327720:RNX327722 RXT327720:RXT327722 SHP327720:SHP327722 SRL327720:SRL327722 TBH327720:TBH327722 TLD327720:TLD327722 TUZ327720:TUZ327722 UEV327720:UEV327722 UOR327720:UOR327722 UYN327720:UYN327722 VIJ327720:VIJ327722 VSF327720:VSF327722 WCB327720:WCB327722 WLX327720:WLX327722 WVT327720:WVT327722 L393256:L393258 JH393256:JH393258 TD393256:TD393258 ACZ393256:ACZ393258 AMV393256:AMV393258 AWR393256:AWR393258 BGN393256:BGN393258 BQJ393256:BQJ393258 CAF393256:CAF393258 CKB393256:CKB393258 CTX393256:CTX393258 DDT393256:DDT393258 DNP393256:DNP393258 DXL393256:DXL393258 EHH393256:EHH393258 ERD393256:ERD393258 FAZ393256:FAZ393258 FKV393256:FKV393258 FUR393256:FUR393258 GEN393256:GEN393258 GOJ393256:GOJ393258 GYF393256:GYF393258 HIB393256:HIB393258 HRX393256:HRX393258 IBT393256:IBT393258 ILP393256:ILP393258 IVL393256:IVL393258 JFH393256:JFH393258 JPD393256:JPD393258 JYZ393256:JYZ393258 KIV393256:KIV393258 KSR393256:KSR393258 LCN393256:LCN393258 LMJ393256:LMJ393258 LWF393256:LWF393258 MGB393256:MGB393258 MPX393256:MPX393258 MZT393256:MZT393258 NJP393256:NJP393258 NTL393256:NTL393258 ODH393256:ODH393258 OND393256:OND393258 OWZ393256:OWZ393258 PGV393256:PGV393258 PQR393256:PQR393258 QAN393256:QAN393258 QKJ393256:QKJ393258 QUF393256:QUF393258 REB393256:REB393258 RNX393256:RNX393258 RXT393256:RXT393258 SHP393256:SHP393258 SRL393256:SRL393258 TBH393256:TBH393258 TLD393256:TLD393258 TUZ393256:TUZ393258 UEV393256:UEV393258 UOR393256:UOR393258 UYN393256:UYN393258 VIJ393256:VIJ393258 VSF393256:VSF393258 WCB393256:WCB393258 WLX393256:WLX393258 WVT393256:WVT393258 L458792:L458794 JH458792:JH458794 TD458792:TD458794 ACZ458792:ACZ458794 AMV458792:AMV458794 AWR458792:AWR458794 BGN458792:BGN458794 BQJ458792:BQJ458794 CAF458792:CAF458794 CKB458792:CKB458794 CTX458792:CTX458794 DDT458792:DDT458794 DNP458792:DNP458794 DXL458792:DXL458794 EHH458792:EHH458794 ERD458792:ERD458794 FAZ458792:FAZ458794 FKV458792:FKV458794 FUR458792:FUR458794 GEN458792:GEN458794 GOJ458792:GOJ458794 GYF458792:GYF458794 HIB458792:HIB458794 HRX458792:HRX458794 IBT458792:IBT458794 ILP458792:ILP458794 IVL458792:IVL458794 JFH458792:JFH458794 JPD458792:JPD458794 JYZ458792:JYZ458794 KIV458792:KIV458794 KSR458792:KSR458794 LCN458792:LCN458794 LMJ458792:LMJ458794 LWF458792:LWF458794 MGB458792:MGB458794 MPX458792:MPX458794 MZT458792:MZT458794 NJP458792:NJP458794 NTL458792:NTL458794 ODH458792:ODH458794 OND458792:OND458794 OWZ458792:OWZ458794 PGV458792:PGV458794 PQR458792:PQR458794 QAN458792:QAN458794 QKJ458792:QKJ458794 QUF458792:QUF458794 REB458792:REB458794 RNX458792:RNX458794 RXT458792:RXT458794 SHP458792:SHP458794 SRL458792:SRL458794 TBH458792:TBH458794 TLD458792:TLD458794 TUZ458792:TUZ458794 UEV458792:UEV458794 UOR458792:UOR458794 UYN458792:UYN458794 VIJ458792:VIJ458794 VSF458792:VSF458794 WCB458792:WCB458794 WLX458792:WLX458794 WVT458792:WVT458794 L524328:L524330 JH524328:JH524330 TD524328:TD524330 ACZ524328:ACZ524330 AMV524328:AMV524330 AWR524328:AWR524330 BGN524328:BGN524330 BQJ524328:BQJ524330 CAF524328:CAF524330 CKB524328:CKB524330 CTX524328:CTX524330 DDT524328:DDT524330 DNP524328:DNP524330 DXL524328:DXL524330 EHH524328:EHH524330 ERD524328:ERD524330 FAZ524328:FAZ524330 FKV524328:FKV524330 FUR524328:FUR524330 GEN524328:GEN524330 GOJ524328:GOJ524330 GYF524328:GYF524330 HIB524328:HIB524330 HRX524328:HRX524330 IBT524328:IBT524330 ILP524328:ILP524330 IVL524328:IVL524330 JFH524328:JFH524330 JPD524328:JPD524330 JYZ524328:JYZ524330 KIV524328:KIV524330 KSR524328:KSR524330 LCN524328:LCN524330 LMJ524328:LMJ524330 LWF524328:LWF524330 MGB524328:MGB524330 MPX524328:MPX524330 MZT524328:MZT524330 NJP524328:NJP524330 NTL524328:NTL524330 ODH524328:ODH524330 OND524328:OND524330 OWZ524328:OWZ524330 PGV524328:PGV524330 PQR524328:PQR524330 QAN524328:QAN524330 QKJ524328:QKJ524330 QUF524328:QUF524330 REB524328:REB524330 RNX524328:RNX524330 RXT524328:RXT524330 SHP524328:SHP524330 SRL524328:SRL524330 TBH524328:TBH524330 TLD524328:TLD524330 TUZ524328:TUZ524330 UEV524328:UEV524330 UOR524328:UOR524330 UYN524328:UYN524330 VIJ524328:VIJ524330 VSF524328:VSF524330 WCB524328:WCB524330 WLX524328:WLX524330 WVT524328:WVT524330 L589864:L589866 JH589864:JH589866 TD589864:TD589866 ACZ589864:ACZ589866 AMV589864:AMV589866 AWR589864:AWR589866 BGN589864:BGN589866 BQJ589864:BQJ589866 CAF589864:CAF589866 CKB589864:CKB589866 CTX589864:CTX589866 DDT589864:DDT589866 DNP589864:DNP589866 DXL589864:DXL589866 EHH589864:EHH589866 ERD589864:ERD589866 FAZ589864:FAZ589866 FKV589864:FKV589866 FUR589864:FUR589866 GEN589864:GEN589866 GOJ589864:GOJ589866 GYF589864:GYF589866 HIB589864:HIB589866 HRX589864:HRX589866 IBT589864:IBT589866 ILP589864:ILP589866 IVL589864:IVL589866 JFH589864:JFH589866 JPD589864:JPD589866 JYZ589864:JYZ589866 KIV589864:KIV589866 KSR589864:KSR589866 LCN589864:LCN589866 LMJ589864:LMJ589866 LWF589864:LWF589866 MGB589864:MGB589866 MPX589864:MPX589866 MZT589864:MZT589866 NJP589864:NJP589866 NTL589864:NTL589866 ODH589864:ODH589866 OND589864:OND589866 OWZ589864:OWZ589866 PGV589864:PGV589866 PQR589864:PQR589866 QAN589864:QAN589866 QKJ589864:QKJ589866 QUF589864:QUF589866 REB589864:REB589866 RNX589864:RNX589866 RXT589864:RXT589866 SHP589864:SHP589866 SRL589864:SRL589866 TBH589864:TBH589866 TLD589864:TLD589866 TUZ589864:TUZ589866 UEV589864:UEV589866 UOR589864:UOR589866 UYN589864:UYN589866 VIJ589864:VIJ589866 VSF589864:VSF589866 WCB589864:WCB589866 WLX589864:WLX589866 WVT589864:WVT589866 L655400:L655402 JH655400:JH655402 TD655400:TD655402 ACZ655400:ACZ655402 AMV655400:AMV655402 AWR655400:AWR655402 BGN655400:BGN655402 BQJ655400:BQJ655402 CAF655400:CAF655402 CKB655400:CKB655402 CTX655400:CTX655402 DDT655400:DDT655402 DNP655400:DNP655402 DXL655400:DXL655402 EHH655400:EHH655402 ERD655400:ERD655402 FAZ655400:FAZ655402 FKV655400:FKV655402 FUR655400:FUR655402 GEN655400:GEN655402 GOJ655400:GOJ655402 GYF655400:GYF655402 HIB655400:HIB655402 HRX655400:HRX655402 IBT655400:IBT655402 ILP655400:ILP655402 IVL655400:IVL655402 JFH655400:JFH655402 JPD655400:JPD655402 JYZ655400:JYZ655402 KIV655400:KIV655402 KSR655400:KSR655402 LCN655400:LCN655402 LMJ655400:LMJ655402 LWF655400:LWF655402 MGB655400:MGB655402 MPX655400:MPX655402 MZT655400:MZT655402 NJP655400:NJP655402 NTL655400:NTL655402 ODH655400:ODH655402 OND655400:OND655402 OWZ655400:OWZ655402 PGV655400:PGV655402 PQR655400:PQR655402 QAN655400:QAN655402 QKJ655400:QKJ655402 QUF655400:QUF655402 REB655400:REB655402 RNX655400:RNX655402 RXT655400:RXT655402 SHP655400:SHP655402 SRL655400:SRL655402 TBH655400:TBH655402 TLD655400:TLD655402 TUZ655400:TUZ655402 UEV655400:UEV655402 UOR655400:UOR655402 UYN655400:UYN655402 VIJ655400:VIJ655402 VSF655400:VSF655402 WCB655400:WCB655402 WLX655400:WLX655402 WVT655400:WVT655402 L720936:L720938 JH720936:JH720938 TD720936:TD720938 ACZ720936:ACZ720938 AMV720936:AMV720938 AWR720936:AWR720938 BGN720936:BGN720938 BQJ720936:BQJ720938 CAF720936:CAF720938 CKB720936:CKB720938 CTX720936:CTX720938 DDT720936:DDT720938 DNP720936:DNP720938 DXL720936:DXL720938 EHH720936:EHH720938 ERD720936:ERD720938 FAZ720936:FAZ720938 FKV720936:FKV720938 FUR720936:FUR720938 GEN720936:GEN720938 GOJ720936:GOJ720938 GYF720936:GYF720938 HIB720936:HIB720938 HRX720936:HRX720938 IBT720936:IBT720938 ILP720936:ILP720938 IVL720936:IVL720938 JFH720936:JFH720938 JPD720936:JPD720938 JYZ720936:JYZ720938 KIV720936:KIV720938 KSR720936:KSR720938 LCN720936:LCN720938 LMJ720936:LMJ720938 LWF720936:LWF720938 MGB720936:MGB720938 MPX720936:MPX720938 MZT720936:MZT720938 NJP720936:NJP720938 NTL720936:NTL720938 ODH720936:ODH720938 OND720936:OND720938 OWZ720936:OWZ720938 PGV720936:PGV720938 PQR720936:PQR720938 QAN720936:QAN720938 QKJ720936:QKJ720938 QUF720936:QUF720938 REB720936:REB720938 RNX720936:RNX720938 RXT720936:RXT720938 SHP720936:SHP720938 SRL720936:SRL720938 TBH720936:TBH720938 TLD720936:TLD720938 TUZ720936:TUZ720938 UEV720936:UEV720938 UOR720936:UOR720938 UYN720936:UYN720938 VIJ720936:VIJ720938 VSF720936:VSF720938 WCB720936:WCB720938 WLX720936:WLX720938 WVT720936:WVT720938 L786472:L786474 JH786472:JH786474 TD786472:TD786474 ACZ786472:ACZ786474 AMV786472:AMV786474 AWR786472:AWR786474 BGN786472:BGN786474 BQJ786472:BQJ786474 CAF786472:CAF786474 CKB786472:CKB786474 CTX786472:CTX786474 DDT786472:DDT786474 DNP786472:DNP786474 DXL786472:DXL786474 EHH786472:EHH786474 ERD786472:ERD786474 FAZ786472:FAZ786474 FKV786472:FKV786474 FUR786472:FUR786474 GEN786472:GEN786474 GOJ786472:GOJ786474 GYF786472:GYF786474 HIB786472:HIB786474 HRX786472:HRX786474 IBT786472:IBT786474 ILP786472:ILP786474 IVL786472:IVL786474 JFH786472:JFH786474 JPD786472:JPD786474 JYZ786472:JYZ786474 KIV786472:KIV786474 KSR786472:KSR786474 LCN786472:LCN786474 LMJ786472:LMJ786474 LWF786472:LWF786474 MGB786472:MGB786474 MPX786472:MPX786474 MZT786472:MZT786474 NJP786472:NJP786474 NTL786472:NTL786474 ODH786472:ODH786474 OND786472:OND786474 OWZ786472:OWZ786474 PGV786472:PGV786474 PQR786472:PQR786474 QAN786472:QAN786474 QKJ786472:QKJ786474 QUF786472:QUF786474 REB786472:REB786474 RNX786472:RNX786474 RXT786472:RXT786474 SHP786472:SHP786474 SRL786472:SRL786474 TBH786472:TBH786474 TLD786472:TLD786474 TUZ786472:TUZ786474 UEV786472:UEV786474 UOR786472:UOR786474 UYN786472:UYN786474 VIJ786472:VIJ786474 VSF786472:VSF786474 WCB786472:WCB786474 WLX786472:WLX786474 WVT786472:WVT786474 L852008:L852010 JH852008:JH852010 TD852008:TD852010 ACZ852008:ACZ852010 AMV852008:AMV852010 AWR852008:AWR852010 BGN852008:BGN852010 BQJ852008:BQJ852010 CAF852008:CAF852010 CKB852008:CKB852010 CTX852008:CTX852010 DDT852008:DDT852010 DNP852008:DNP852010 DXL852008:DXL852010 EHH852008:EHH852010 ERD852008:ERD852010 FAZ852008:FAZ852010 FKV852008:FKV852010 FUR852008:FUR852010 GEN852008:GEN852010 GOJ852008:GOJ852010 GYF852008:GYF852010 HIB852008:HIB852010 HRX852008:HRX852010 IBT852008:IBT852010 ILP852008:ILP852010 IVL852008:IVL852010 JFH852008:JFH852010 JPD852008:JPD852010 JYZ852008:JYZ852010 KIV852008:KIV852010 KSR852008:KSR852010 LCN852008:LCN852010 LMJ852008:LMJ852010 LWF852008:LWF852010 MGB852008:MGB852010 MPX852008:MPX852010 MZT852008:MZT852010 NJP852008:NJP852010 NTL852008:NTL852010 ODH852008:ODH852010 OND852008:OND852010 OWZ852008:OWZ852010 PGV852008:PGV852010 PQR852008:PQR852010 QAN852008:QAN852010 QKJ852008:QKJ852010 QUF852008:QUF852010 REB852008:REB852010 RNX852008:RNX852010 RXT852008:RXT852010 SHP852008:SHP852010 SRL852008:SRL852010 TBH852008:TBH852010 TLD852008:TLD852010 TUZ852008:TUZ852010 UEV852008:UEV852010 UOR852008:UOR852010 UYN852008:UYN852010 VIJ852008:VIJ852010 VSF852008:VSF852010 WCB852008:WCB852010 WLX852008:WLX852010 WVT852008:WVT852010 L917544:L917546 JH917544:JH917546 TD917544:TD917546 ACZ917544:ACZ917546 AMV917544:AMV917546 AWR917544:AWR917546 BGN917544:BGN917546 BQJ917544:BQJ917546 CAF917544:CAF917546 CKB917544:CKB917546 CTX917544:CTX917546 DDT917544:DDT917546 DNP917544:DNP917546 DXL917544:DXL917546 EHH917544:EHH917546 ERD917544:ERD917546 FAZ917544:FAZ917546 FKV917544:FKV917546 FUR917544:FUR917546 GEN917544:GEN917546 GOJ917544:GOJ917546 GYF917544:GYF917546 HIB917544:HIB917546 HRX917544:HRX917546 IBT917544:IBT917546 ILP917544:ILP917546 IVL917544:IVL917546 JFH917544:JFH917546 JPD917544:JPD917546 JYZ917544:JYZ917546 KIV917544:KIV917546 KSR917544:KSR917546 LCN917544:LCN917546 LMJ917544:LMJ917546 LWF917544:LWF917546 MGB917544:MGB917546 MPX917544:MPX917546 MZT917544:MZT917546 NJP917544:NJP917546 NTL917544:NTL917546 ODH917544:ODH917546 OND917544:OND917546 OWZ917544:OWZ917546 PGV917544:PGV917546 PQR917544:PQR917546 QAN917544:QAN917546 QKJ917544:QKJ917546 QUF917544:QUF917546 REB917544:REB917546 RNX917544:RNX917546 RXT917544:RXT917546 SHP917544:SHP917546 SRL917544:SRL917546 TBH917544:TBH917546 TLD917544:TLD917546 TUZ917544:TUZ917546 UEV917544:UEV917546 UOR917544:UOR917546 UYN917544:UYN917546 VIJ917544:VIJ917546 VSF917544:VSF917546 WCB917544:WCB917546 WLX917544:WLX917546 WVT917544:WVT917546 L983080:L983082 JH983080:JH983082 TD983080:TD983082 ACZ983080:ACZ983082 AMV983080:AMV983082 AWR983080:AWR983082 BGN983080:BGN983082 BQJ983080:BQJ983082 CAF983080:CAF983082 CKB983080:CKB983082 CTX983080:CTX983082 DDT983080:DDT983082 DNP983080:DNP983082 DXL983080:DXL983082 EHH983080:EHH983082 ERD983080:ERD983082 FAZ983080:FAZ983082 FKV983080:FKV983082 FUR983080:FUR983082 GEN983080:GEN983082 GOJ983080:GOJ983082 GYF983080:GYF983082 HIB983080:HIB983082 HRX983080:HRX983082 IBT983080:IBT983082 ILP983080:ILP983082 IVL983080:IVL983082 JFH983080:JFH983082 JPD983080:JPD983082 JYZ983080:JYZ983082 KIV983080:KIV983082 KSR983080:KSR983082 LCN983080:LCN983082 LMJ983080:LMJ983082 LWF983080:LWF983082 MGB983080:MGB983082 MPX983080:MPX983082 MZT983080:MZT983082 NJP983080:NJP983082 NTL983080:NTL983082 ODH983080:ODH983082 OND983080:OND983082 OWZ983080:OWZ983082 PGV983080:PGV983082 PQR983080:PQR983082 QAN983080:QAN983082 QKJ983080:QKJ983082 QUF983080:QUF983082 REB983080:REB983082 RNX983080:RNX983082 RXT983080:RXT983082 SHP983080:SHP983082 SRL983080:SRL983082 TBH983080:TBH983082 TLD983080:TLD983082 TUZ983080:TUZ983082 UEV983080:UEV983082 UOR983080:UOR983082 UYN983080:UYN983082 VIJ983080:VIJ983082 VSF983080:VSF983082 WCB983080:WCB983082 WLX983080:WLX983082 WVT40:WVT44 JH40:JH44 TD40:TD44 ACZ40:ACZ44 AMV40:AMV44 AWR40:AWR44 BGN40:BGN44 BQJ40:BQJ44 CAF40:CAF44 CKB40:CKB44 CTX40:CTX44 DDT40:DDT44 DNP40:DNP44 DXL40:DXL44 EHH40:EHH44 ERD40:ERD44 FAZ40:FAZ44 FKV40:FKV44 FUR40:FUR44 GEN40:GEN44 GOJ40:GOJ44 GYF40:GYF44 HIB40:HIB44 HRX40:HRX44 IBT40:IBT44 ILP40:ILP44 IVL40:IVL44 JFH40:JFH44 JPD40:JPD44 JYZ40:JYZ44 KIV40:KIV44 KSR40:KSR44 LCN40:LCN44 LMJ40:LMJ44 LWF40:LWF44 MGB40:MGB44 MPX40:MPX44 MZT40:MZT44 NJP40:NJP44 NTL40:NTL44 ODH40:ODH44 OND40:OND44 OWZ40:OWZ44 PGV40:PGV44 PQR40:PQR44 QAN40:QAN44 QKJ40:QKJ44 QUF40:QUF44 REB40:REB44 RNX40:RNX44 RXT40:RXT44 SHP40:SHP44 SRL40:SRL44 TBH40:TBH44 TLD40:TLD44 TUZ40:TUZ44 UEV40:UEV44 UOR40:UOR44 UYN40:UYN44 VIJ40:VIJ44 VSF40:VSF44 WCB40:WCB44 WLX40:WLX44 L40 L44" xr:uid="{2C8B5BE5-C519-4366-9FE6-C45E1385E7F6}">
      <formula1>0</formula1>
      <formula2>0.03</formula2>
    </dataValidation>
    <dataValidation type="whole" allowBlank="1" showInputMessage="1" showErrorMessage="1" error="U moet hier een 1 of 2 invullen." sqref="H34 JD34 SZ34 ACV34 AMR34 AWN34 BGJ34 BQF34 CAB34 CJX34 CTT34 DDP34 DNL34 DXH34 EHD34 EQZ34 FAV34 FKR34 FUN34 GEJ34 GOF34 GYB34 HHX34 HRT34 IBP34 ILL34 IVH34 JFD34 JOZ34 JYV34 KIR34 KSN34 LCJ34 LMF34 LWB34 MFX34 MPT34 MZP34 NJL34 NTH34 ODD34 OMZ34 OWV34 PGR34 PQN34 QAJ34 QKF34 QUB34 RDX34 RNT34 RXP34 SHL34 SRH34 TBD34 TKZ34 TUV34 UER34 UON34 UYJ34 VIF34 VSB34 WBX34 WLT34 WVP34 H65570 JD65570 SZ65570 ACV65570 AMR65570 AWN65570 BGJ65570 BQF65570 CAB65570 CJX65570 CTT65570 DDP65570 DNL65570 DXH65570 EHD65570 EQZ65570 FAV65570 FKR65570 FUN65570 GEJ65570 GOF65570 GYB65570 HHX65570 HRT65570 IBP65570 ILL65570 IVH65570 JFD65570 JOZ65570 JYV65570 KIR65570 KSN65570 LCJ65570 LMF65570 LWB65570 MFX65570 MPT65570 MZP65570 NJL65570 NTH65570 ODD65570 OMZ65570 OWV65570 PGR65570 PQN65570 QAJ65570 QKF65570 QUB65570 RDX65570 RNT65570 RXP65570 SHL65570 SRH65570 TBD65570 TKZ65570 TUV65570 UER65570 UON65570 UYJ65570 VIF65570 VSB65570 WBX65570 WLT65570 WVP65570 H131106 JD131106 SZ131106 ACV131106 AMR131106 AWN131106 BGJ131106 BQF131106 CAB131106 CJX131106 CTT131106 DDP131106 DNL131106 DXH131106 EHD131106 EQZ131106 FAV131106 FKR131106 FUN131106 GEJ131106 GOF131106 GYB131106 HHX131106 HRT131106 IBP131106 ILL131106 IVH131106 JFD131106 JOZ131106 JYV131106 KIR131106 KSN131106 LCJ131106 LMF131106 LWB131106 MFX131106 MPT131106 MZP131106 NJL131106 NTH131106 ODD131106 OMZ131106 OWV131106 PGR131106 PQN131106 QAJ131106 QKF131106 QUB131106 RDX131106 RNT131106 RXP131106 SHL131106 SRH131106 TBD131106 TKZ131106 TUV131106 UER131106 UON131106 UYJ131106 VIF131106 VSB131106 WBX131106 WLT131106 WVP131106 H196642 JD196642 SZ196642 ACV196642 AMR196642 AWN196642 BGJ196642 BQF196642 CAB196642 CJX196642 CTT196642 DDP196642 DNL196642 DXH196642 EHD196642 EQZ196642 FAV196642 FKR196642 FUN196642 GEJ196642 GOF196642 GYB196642 HHX196642 HRT196642 IBP196642 ILL196642 IVH196642 JFD196642 JOZ196642 JYV196642 KIR196642 KSN196642 LCJ196642 LMF196642 LWB196642 MFX196642 MPT196642 MZP196642 NJL196642 NTH196642 ODD196642 OMZ196642 OWV196642 PGR196642 PQN196642 QAJ196642 QKF196642 QUB196642 RDX196642 RNT196642 RXP196642 SHL196642 SRH196642 TBD196642 TKZ196642 TUV196642 UER196642 UON196642 UYJ196642 VIF196642 VSB196642 WBX196642 WLT196642 WVP196642 H262178 JD262178 SZ262178 ACV262178 AMR262178 AWN262178 BGJ262178 BQF262178 CAB262178 CJX262178 CTT262178 DDP262178 DNL262178 DXH262178 EHD262178 EQZ262178 FAV262178 FKR262178 FUN262178 GEJ262178 GOF262178 GYB262178 HHX262178 HRT262178 IBP262178 ILL262178 IVH262178 JFD262178 JOZ262178 JYV262178 KIR262178 KSN262178 LCJ262178 LMF262178 LWB262178 MFX262178 MPT262178 MZP262178 NJL262178 NTH262178 ODD262178 OMZ262178 OWV262178 PGR262178 PQN262178 QAJ262178 QKF262178 QUB262178 RDX262178 RNT262178 RXP262178 SHL262178 SRH262178 TBD262178 TKZ262178 TUV262178 UER262178 UON262178 UYJ262178 VIF262178 VSB262178 WBX262178 WLT262178 WVP262178 H327714 JD327714 SZ327714 ACV327714 AMR327714 AWN327714 BGJ327714 BQF327714 CAB327714 CJX327714 CTT327714 DDP327714 DNL327714 DXH327714 EHD327714 EQZ327714 FAV327714 FKR327714 FUN327714 GEJ327714 GOF327714 GYB327714 HHX327714 HRT327714 IBP327714 ILL327714 IVH327714 JFD327714 JOZ327714 JYV327714 KIR327714 KSN327714 LCJ327714 LMF327714 LWB327714 MFX327714 MPT327714 MZP327714 NJL327714 NTH327714 ODD327714 OMZ327714 OWV327714 PGR327714 PQN327714 QAJ327714 QKF327714 QUB327714 RDX327714 RNT327714 RXP327714 SHL327714 SRH327714 TBD327714 TKZ327714 TUV327714 UER327714 UON327714 UYJ327714 VIF327714 VSB327714 WBX327714 WLT327714 WVP327714 H393250 JD393250 SZ393250 ACV393250 AMR393250 AWN393250 BGJ393250 BQF393250 CAB393250 CJX393250 CTT393250 DDP393250 DNL393250 DXH393250 EHD393250 EQZ393250 FAV393250 FKR393250 FUN393250 GEJ393250 GOF393250 GYB393250 HHX393250 HRT393250 IBP393250 ILL393250 IVH393250 JFD393250 JOZ393250 JYV393250 KIR393250 KSN393250 LCJ393250 LMF393250 LWB393250 MFX393250 MPT393250 MZP393250 NJL393250 NTH393250 ODD393250 OMZ393250 OWV393250 PGR393250 PQN393250 QAJ393250 QKF393250 QUB393250 RDX393250 RNT393250 RXP393250 SHL393250 SRH393250 TBD393250 TKZ393250 TUV393250 UER393250 UON393250 UYJ393250 VIF393250 VSB393250 WBX393250 WLT393250 WVP393250 H458786 JD458786 SZ458786 ACV458786 AMR458786 AWN458786 BGJ458786 BQF458786 CAB458786 CJX458786 CTT458786 DDP458786 DNL458786 DXH458786 EHD458786 EQZ458786 FAV458786 FKR458786 FUN458786 GEJ458786 GOF458786 GYB458786 HHX458786 HRT458786 IBP458786 ILL458786 IVH458786 JFD458786 JOZ458786 JYV458786 KIR458786 KSN458786 LCJ458786 LMF458786 LWB458786 MFX458786 MPT458786 MZP458786 NJL458786 NTH458786 ODD458786 OMZ458786 OWV458786 PGR458786 PQN458786 QAJ458786 QKF458786 QUB458786 RDX458786 RNT458786 RXP458786 SHL458786 SRH458786 TBD458786 TKZ458786 TUV458786 UER458786 UON458786 UYJ458786 VIF458786 VSB458786 WBX458786 WLT458786 WVP458786 H524322 JD524322 SZ524322 ACV524322 AMR524322 AWN524322 BGJ524322 BQF524322 CAB524322 CJX524322 CTT524322 DDP524322 DNL524322 DXH524322 EHD524322 EQZ524322 FAV524322 FKR524322 FUN524322 GEJ524322 GOF524322 GYB524322 HHX524322 HRT524322 IBP524322 ILL524322 IVH524322 JFD524322 JOZ524322 JYV524322 KIR524322 KSN524322 LCJ524322 LMF524322 LWB524322 MFX524322 MPT524322 MZP524322 NJL524322 NTH524322 ODD524322 OMZ524322 OWV524322 PGR524322 PQN524322 QAJ524322 QKF524322 QUB524322 RDX524322 RNT524322 RXP524322 SHL524322 SRH524322 TBD524322 TKZ524322 TUV524322 UER524322 UON524322 UYJ524322 VIF524322 VSB524322 WBX524322 WLT524322 WVP524322 H589858 JD589858 SZ589858 ACV589858 AMR589858 AWN589858 BGJ589858 BQF589858 CAB589858 CJX589858 CTT589858 DDP589858 DNL589858 DXH589858 EHD589858 EQZ589858 FAV589858 FKR589858 FUN589858 GEJ589858 GOF589858 GYB589858 HHX589858 HRT589858 IBP589858 ILL589858 IVH589858 JFD589858 JOZ589858 JYV589858 KIR589858 KSN589858 LCJ589858 LMF589858 LWB589858 MFX589858 MPT589858 MZP589858 NJL589858 NTH589858 ODD589858 OMZ589858 OWV589858 PGR589858 PQN589858 QAJ589858 QKF589858 QUB589858 RDX589858 RNT589858 RXP589858 SHL589858 SRH589858 TBD589858 TKZ589858 TUV589858 UER589858 UON589858 UYJ589858 VIF589858 VSB589858 WBX589858 WLT589858 WVP589858 H655394 JD655394 SZ655394 ACV655394 AMR655394 AWN655394 BGJ655394 BQF655394 CAB655394 CJX655394 CTT655394 DDP655394 DNL655394 DXH655394 EHD655394 EQZ655394 FAV655394 FKR655394 FUN655394 GEJ655394 GOF655394 GYB655394 HHX655394 HRT655394 IBP655394 ILL655394 IVH655394 JFD655394 JOZ655394 JYV655394 KIR655394 KSN655394 LCJ655394 LMF655394 LWB655394 MFX655394 MPT655394 MZP655394 NJL655394 NTH655394 ODD655394 OMZ655394 OWV655394 PGR655394 PQN655394 QAJ655394 QKF655394 QUB655394 RDX655394 RNT655394 RXP655394 SHL655394 SRH655394 TBD655394 TKZ655394 TUV655394 UER655394 UON655394 UYJ655394 VIF655394 VSB655394 WBX655394 WLT655394 WVP655394 H720930 JD720930 SZ720930 ACV720930 AMR720930 AWN720930 BGJ720930 BQF720930 CAB720930 CJX720930 CTT720930 DDP720930 DNL720930 DXH720930 EHD720930 EQZ720930 FAV720930 FKR720930 FUN720930 GEJ720930 GOF720930 GYB720930 HHX720930 HRT720930 IBP720930 ILL720930 IVH720930 JFD720930 JOZ720930 JYV720930 KIR720930 KSN720930 LCJ720930 LMF720930 LWB720930 MFX720930 MPT720930 MZP720930 NJL720930 NTH720930 ODD720930 OMZ720930 OWV720930 PGR720930 PQN720930 QAJ720930 QKF720930 QUB720930 RDX720930 RNT720930 RXP720930 SHL720930 SRH720930 TBD720930 TKZ720930 TUV720930 UER720930 UON720930 UYJ720930 VIF720930 VSB720930 WBX720930 WLT720930 WVP720930 H786466 JD786466 SZ786466 ACV786466 AMR786466 AWN786466 BGJ786466 BQF786466 CAB786466 CJX786466 CTT786466 DDP786466 DNL786466 DXH786466 EHD786466 EQZ786466 FAV786466 FKR786466 FUN786466 GEJ786466 GOF786466 GYB786466 HHX786466 HRT786466 IBP786466 ILL786466 IVH786466 JFD786466 JOZ786466 JYV786466 KIR786466 KSN786466 LCJ786466 LMF786466 LWB786466 MFX786466 MPT786466 MZP786466 NJL786466 NTH786466 ODD786466 OMZ786466 OWV786466 PGR786466 PQN786466 QAJ786466 QKF786466 QUB786466 RDX786466 RNT786466 RXP786466 SHL786466 SRH786466 TBD786466 TKZ786466 TUV786466 UER786466 UON786466 UYJ786466 VIF786466 VSB786466 WBX786466 WLT786466 WVP786466 H852002 JD852002 SZ852002 ACV852002 AMR852002 AWN852002 BGJ852002 BQF852002 CAB852002 CJX852002 CTT852002 DDP852002 DNL852002 DXH852002 EHD852002 EQZ852002 FAV852002 FKR852002 FUN852002 GEJ852002 GOF852002 GYB852002 HHX852002 HRT852002 IBP852002 ILL852002 IVH852002 JFD852002 JOZ852002 JYV852002 KIR852002 KSN852002 LCJ852002 LMF852002 LWB852002 MFX852002 MPT852002 MZP852002 NJL852002 NTH852002 ODD852002 OMZ852002 OWV852002 PGR852002 PQN852002 QAJ852002 QKF852002 QUB852002 RDX852002 RNT852002 RXP852002 SHL852002 SRH852002 TBD852002 TKZ852002 TUV852002 UER852002 UON852002 UYJ852002 VIF852002 VSB852002 WBX852002 WLT852002 WVP852002 H917538 JD917538 SZ917538 ACV917538 AMR917538 AWN917538 BGJ917538 BQF917538 CAB917538 CJX917538 CTT917538 DDP917538 DNL917538 DXH917538 EHD917538 EQZ917538 FAV917538 FKR917538 FUN917538 GEJ917538 GOF917538 GYB917538 HHX917538 HRT917538 IBP917538 ILL917538 IVH917538 JFD917538 JOZ917538 JYV917538 KIR917538 KSN917538 LCJ917538 LMF917538 LWB917538 MFX917538 MPT917538 MZP917538 NJL917538 NTH917538 ODD917538 OMZ917538 OWV917538 PGR917538 PQN917538 QAJ917538 QKF917538 QUB917538 RDX917538 RNT917538 RXP917538 SHL917538 SRH917538 TBD917538 TKZ917538 TUV917538 UER917538 UON917538 UYJ917538 VIF917538 VSB917538 WBX917538 WLT917538 WVP917538 H983074 JD983074 SZ983074 ACV983074 AMR983074 AWN983074 BGJ983074 BQF983074 CAB983074 CJX983074 CTT983074 DDP983074 DNL983074 DXH983074 EHD983074 EQZ983074 FAV983074 FKR983074 FUN983074 GEJ983074 GOF983074 GYB983074 HHX983074 HRT983074 IBP983074 ILL983074 IVH983074 JFD983074 JOZ983074 JYV983074 KIR983074 KSN983074 LCJ983074 LMF983074 LWB983074 MFX983074 MPT983074 MZP983074 NJL983074 NTH983074 ODD983074 OMZ983074 OWV983074 PGR983074 PQN983074 QAJ983074 QKF983074 QUB983074 RDX983074 RNT983074 RXP983074 SHL983074 SRH983074 TBD983074 TKZ983074 TUV983074 UER983074 UON983074 UYJ983074 VIF983074 VSB983074 WBX983074 WLT983074 WVP983074" xr:uid="{010F7B85-A746-44C5-A4A9-6CB0858E6550}">
      <formula1>1</formula1>
      <formula2>2</formula2>
    </dataValidation>
    <dataValidation type="whole" allowBlank="1" showInputMessage="1" showErrorMessage="1" error="U moet hier een geheel aantal jaren met een maximum van de subsidielooptijd invullen." sqref="WVM983074 JA34 SW34 ACS34 AMO34 AWK34 BGG34 BQC34 BZY34 CJU34 CTQ34 DDM34 DNI34 DXE34 EHA34 EQW34 FAS34 FKO34 FUK34 GEG34 GOC34 GXY34 HHU34 HRQ34 IBM34 ILI34 IVE34 JFA34 JOW34 JYS34 KIO34 KSK34 LCG34 LMC34 LVY34 MFU34 MPQ34 MZM34 NJI34 NTE34 ODA34 OMW34 OWS34 PGO34 PQK34 QAG34 QKC34 QTY34 RDU34 RNQ34 RXM34 SHI34 SRE34 TBA34 TKW34 TUS34 UEO34 UOK34 UYG34 VIC34 VRY34 WBU34 WLQ34 WVM34 E65570 JA65570 SW65570 ACS65570 AMO65570 AWK65570 BGG65570 BQC65570 BZY65570 CJU65570 CTQ65570 DDM65570 DNI65570 DXE65570 EHA65570 EQW65570 FAS65570 FKO65570 FUK65570 GEG65570 GOC65570 GXY65570 HHU65570 HRQ65570 IBM65570 ILI65570 IVE65570 JFA65570 JOW65570 JYS65570 KIO65570 KSK65570 LCG65570 LMC65570 LVY65570 MFU65570 MPQ65570 MZM65570 NJI65570 NTE65570 ODA65570 OMW65570 OWS65570 PGO65570 PQK65570 QAG65570 QKC65570 QTY65570 RDU65570 RNQ65570 RXM65570 SHI65570 SRE65570 TBA65570 TKW65570 TUS65570 UEO65570 UOK65570 UYG65570 VIC65570 VRY65570 WBU65570 WLQ65570 WVM65570 E131106 JA131106 SW131106 ACS131106 AMO131106 AWK131106 BGG131106 BQC131106 BZY131106 CJU131106 CTQ131106 DDM131106 DNI131106 DXE131106 EHA131106 EQW131106 FAS131106 FKO131106 FUK131106 GEG131106 GOC131106 GXY131106 HHU131106 HRQ131106 IBM131106 ILI131106 IVE131106 JFA131106 JOW131106 JYS131106 KIO131106 KSK131106 LCG131106 LMC131106 LVY131106 MFU131106 MPQ131106 MZM131106 NJI131106 NTE131106 ODA131106 OMW131106 OWS131106 PGO131106 PQK131106 QAG131106 QKC131106 QTY131106 RDU131106 RNQ131106 RXM131106 SHI131106 SRE131106 TBA131106 TKW131106 TUS131106 UEO131106 UOK131106 UYG131106 VIC131106 VRY131106 WBU131106 WLQ131106 WVM131106 E196642 JA196642 SW196642 ACS196642 AMO196642 AWK196642 BGG196642 BQC196642 BZY196642 CJU196642 CTQ196642 DDM196642 DNI196642 DXE196642 EHA196642 EQW196642 FAS196642 FKO196642 FUK196642 GEG196642 GOC196642 GXY196642 HHU196642 HRQ196642 IBM196642 ILI196642 IVE196642 JFA196642 JOW196642 JYS196642 KIO196642 KSK196642 LCG196642 LMC196642 LVY196642 MFU196642 MPQ196642 MZM196642 NJI196642 NTE196642 ODA196642 OMW196642 OWS196642 PGO196642 PQK196642 QAG196642 QKC196642 QTY196642 RDU196642 RNQ196642 RXM196642 SHI196642 SRE196642 TBA196642 TKW196642 TUS196642 UEO196642 UOK196642 UYG196642 VIC196642 VRY196642 WBU196642 WLQ196642 WVM196642 E262178 JA262178 SW262178 ACS262178 AMO262178 AWK262178 BGG262178 BQC262178 BZY262178 CJU262178 CTQ262178 DDM262178 DNI262178 DXE262178 EHA262178 EQW262178 FAS262178 FKO262178 FUK262178 GEG262178 GOC262178 GXY262178 HHU262178 HRQ262178 IBM262178 ILI262178 IVE262178 JFA262178 JOW262178 JYS262178 KIO262178 KSK262178 LCG262178 LMC262178 LVY262178 MFU262178 MPQ262178 MZM262178 NJI262178 NTE262178 ODA262178 OMW262178 OWS262178 PGO262178 PQK262178 QAG262178 QKC262178 QTY262178 RDU262178 RNQ262178 RXM262178 SHI262178 SRE262178 TBA262178 TKW262178 TUS262178 UEO262178 UOK262178 UYG262178 VIC262178 VRY262178 WBU262178 WLQ262178 WVM262178 E327714 JA327714 SW327714 ACS327714 AMO327714 AWK327714 BGG327714 BQC327714 BZY327714 CJU327714 CTQ327714 DDM327714 DNI327714 DXE327714 EHA327714 EQW327714 FAS327714 FKO327714 FUK327714 GEG327714 GOC327714 GXY327714 HHU327714 HRQ327714 IBM327714 ILI327714 IVE327714 JFA327714 JOW327714 JYS327714 KIO327714 KSK327714 LCG327714 LMC327714 LVY327714 MFU327714 MPQ327714 MZM327714 NJI327714 NTE327714 ODA327714 OMW327714 OWS327714 PGO327714 PQK327714 QAG327714 QKC327714 QTY327714 RDU327714 RNQ327714 RXM327714 SHI327714 SRE327714 TBA327714 TKW327714 TUS327714 UEO327714 UOK327714 UYG327714 VIC327714 VRY327714 WBU327714 WLQ327714 WVM327714 E393250 JA393250 SW393250 ACS393250 AMO393250 AWK393250 BGG393250 BQC393250 BZY393250 CJU393250 CTQ393250 DDM393250 DNI393250 DXE393250 EHA393250 EQW393250 FAS393250 FKO393250 FUK393250 GEG393250 GOC393250 GXY393250 HHU393250 HRQ393250 IBM393250 ILI393250 IVE393250 JFA393250 JOW393250 JYS393250 KIO393250 KSK393250 LCG393250 LMC393250 LVY393250 MFU393250 MPQ393250 MZM393250 NJI393250 NTE393250 ODA393250 OMW393250 OWS393250 PGO393250 PQK393250 QAG393250 QKC393250 QTY393250 RDU393250 RNQ393250 RXM393250 SHI393250 SRE393250 TBA393250 TKW393250 TUS393250 UEO393250 UOK393250 UYG393250 VIC393250 VRY393250 WBU393250 WLQ393250 WVM393250 E458786 JA458786 SW458786 ACS458786 AMO458786 AWK458786 BGG458786 BQC458786 BZY458786 CJU458786 CTQ458786 DDM458786 DNI458786 DXE458786 EHA458786 EQW458786 FAS458786 FKO458786 FUK458786 GEG458786 GOC458786 GXY458786 HHU458786 HRQ458786 IBM458786 ILI458786 IVE458786 JFA458786 JOW458786 JYS458786 KIO458786 KSK458786 LCG458786 LMC458786 LVY458786 MFU458786 MPQ458786 MZM458786 NJI458786 NTE458786 ODA458786 OMW458786 OWS458786 PGO458786 PQK458786 QAG458786 QKC458786 QTY458786 RDU458786 RNQ458786 RXM458786 SHI458786 SRE458786 TBA458786 TKW458786 TUS458786 UEO458786 UOK458786 UYG458786 VIC458786 VRY458786 WBU458786 WLQ458786 WVM458786 E524322 JA524322 SW524322 ACS524322 AMO524322 AWK524322 BGG524322 BQC524322 BZY524322 CJU524322 CTQ524322 DDM524322 DNI524322 DXE524322 EHA524322 EQW524322 FAS524322 FKO524322 FUK524322 GEG524322 GOC524322 GXY524322 HHU524322 HRQ524322 IBM524322 ILI524322 IVE524322 JFA524322 JOW524322 JYS524322 KIO524322 KSK524322 LCG524322 LMC524322 LVY524322 MFU524322 MPQ524322 MZM524322 NJI524322 NTE524322 ODA524322 OMW524322 OWS524322 PGO524322 PQK524322 QAG524322 QKC524322 QTY524322 RDU524322 RNQ524322 RXM524322 SHI524322 SRE524322 TBA524322 TKW524322 TUS524322 UEO524322 UOK524322 UYG524322 VIC524322 VRY524322 WBU524322 WLQ524322 WVM524322 E589858 JA589858 SW589858 ACS589858 AMO589858 AWK589858 BGG589858 BQC589858 BZY589858 CJU589858 CTQ589858 DDM589858 DNI589858 DXE589858 EHA589858 EQW589858 FAS589858 FKO589858 FUK589858 GEG589858 GOC589858 GXY589858 HHU589858 HRQ589858 IBM589858 ILI589858 IVE589858 JFA589858 JOW589858 JYS589858 KIO589858 KSK589858 LCG589858 LMC589858 LVY589858 MFU589858 MPQ589858 MZM589858 NJI589858 NTE589858 ODA589858 OMW589858 OWS589858 PGO589858 PQK589858 QAG589858 QKC589858 QTY589858 RDU589858 RNQ589858 RXM589858 SHI589858 SRE589858 TBA589858 TKW589858 TUS589858 UEO589858 UOK589858 UYG589858 VIC589858 VRY589858 WBU589858 WLQ589858 WVM589858 E655394 JA655394 SW655394 ACS655394 AMO655394 AWK655394 BGG655394 BQC655394 BZY655394 CJU655394 CTQ655394 DDM655394 DNI655394 DXE655394 EHA655394 EQW655394 FAS655394 FKO655394 FUK655394 GEG655394 GOC655394 GXY655394 HHU655394 HRQ655394 IBM655394 ILI655394 IVE655394 JFA655394 JOW655394 JYS655394 KIO655394 KSK655394 LCG655394 LMC655394 LVY655394 MFU655394 MPQ655394 MZM655394 NJI655394 NTE655394 ODA655394 OMW655394 OWS655394 PGO655394 PQK655394 QAG655394 QKC655394 QTY655394 RDU655394 RNQ655394 RXM655394 SHI655394 SRE655394 TBA655394 TKW655394 TUS655394 UEO655394 UOK655394 UYG655394 VIC655394 VRY655394 WBU655394 WLQ655394 WVM655394 E720930 JA720930 SW720930 ACS720930 AMO720930 AWK720930 BGG720930 BQC720930 BZY720930 CJU720930 CTQ720930 DDM720930 DNI720930 DXE720930 EHA720930 EQW720930 FAS720930 FKO720930 FUK720930 GEG720930 GOC720930 GXY720930 HHU720930 HRQ720930 IBM720930 ILI720930 IVE720930 JFA720930 JOW720930 JYS720930 KIO720930 KSK720930 LCG720930 LMC720930 LVY720930 MFU720930 MPQ720930 MZM720930 NJI720930 NTE720930 ODA720930 OMW720930 OWS720930 PGO720930 PQK720930 QAG720930 QKC720930 QTY720930 RDU720930 RNQ720930 RXM720930 SHI720930 SRE720930 TBA720930 TKW720930 TUS720930 UEO720930 UOK720930 UYG720930 VIC720930 VRY720930 WBU720930 WLQ720930 WVM720930 E786466 JA786466 SW786466 ACS786466 AMO786466 AWK786466 BGG786466 BQC786466 BZY786466 CJU786466 CTQ786466 DDM786466 DNI786466 DXE786466 EHA786466 EQW786466 FAS786466 FKO786466 FUK786466 GEG786466 GOC786466 GXY786466 HHU786466 HRQ786466 IBM786466 ILI786466 IVE786466 JFA786466 JOW786466 JYS786466 KIO786466 KSK786466 LCG786466 LMC786466 LVY786466 MFU786466 MPQ786466 MZM786466 NJI786466 NTE786466 ODA786466 OMW786466 OWS786466 PGO786466 PQK786466 QAG786466 QKC786466 QTY786466 RDU786466 RNQ786466 RXM786466 SHI786466 SRE786466 TBA786466 TKW786466 TUS786466 UEO786466 UOK786466 UYG786466 VIC786466 VRY786466 WBU786466 WLQ786466 WVM786466 E852002 JA852002 SW852002 ACS852002 AMO852002 AWK852002 BGG852002 BQC852002 BZY852002 CJU852002 CTQ852002 DDM852002 DNI852002 DXE852002 EHA852002 EQW852002 FAS852002 FKO852002 FUK852002 GEG852002 GOC852002 GXY852002 HHU852002 HRQ852002 IBM852002 ILI852002 IVE852002 JFA852002 JOW852002 JYS852002 KIO852002 KSK852002 LCG852002 LMC852002 LVY852002 MFU852002 MPQ852002 MZM852002 NJI852002 NTE852002 ODA852002 OMW852002 OWS852002 PGO852002 PQK852002 QAG852002 QKC852002 QTY852002 RDU852002 RNQ852002 RXM852002 SHI852002 SRE852002 TBA852002 TKW852002 TUS852002 UEO852002 UOK852002 UYG852002 VIC852002 VRY852002 WBU852002 WLQ852002 WVM852002 E917538 JA917538 SW917538 ACS917538 AMO917538 AWK917538 BGG917538 BQC917538 BZY917538 CJU917538 CTQ917538 DDM917538 DNI917538 DXE917538 EHA917538 EQW917538 FAS917538 FKO917538 FUK917538 GEG917538 GOC917538 GXY917538 HHU917538 HRQ917538 IBM917538 ILI917538 IVE917538 JFA917538 JOW917538 JYS917538 KIO917538 KSK917538 LCG917538 LMC917538 LVY917538 MFU917538 MPQ917538 MZM917538 NJI917538 NTE917538 ODA917538 OMW917538 OWS917538 PGO917538 PQK917538 QAG917538 QKC917538 QTY917538 RDU917538 RNQ917538 RXM917538 SHI917538 SRE917538 TBA917538 TKW917538 TUS917538 UEO917538 UOK917538 UYG917538 VIC917538 VRY917538 WBU917538 WLQ917538 WVM917538 E983074 JA983074 SW983074 ACS983074 AMO983074 AWK983074 BGG983074 BQC983074 BZY983074 CJU983074 CTQ983074 DDM983074 DNI983074 DXE983074 EHA983074 EQW983074 FAS983074 FKO983074 FUK983074 GEG983074 GOC983074 GXY983074 HHU983074 HRQ983074 IBM983074 ILI983074 IVE983074 JFA983074 JOW983074 JYS983074 KIO983074 KSK983074 LCG983074 LMC983074 LVY983074 MFU983074 MPQ983074 MZM983074 NJI983074 NTE983074 ODA983074 OMW983074 OWS983074 PGO983074 PQK983074 QAG983074 QKC983074 QTY983074 RDU983074 RNQ983074 RXM983074 SHI983074 SRE983074 TBA983074 TKW983074 TUS983074 UEO983074 UOK983074 UYG983074 VIC983074 VRY983074 WBU983074 WLQ983074" xr:uid="{535AD22C-A322-4CC2-9149-A2A8A86EF78B}">
      <formula1>0</formula1>
      <formula2>15</formula2>
    </dataValidation>
    <dataValidation type="decimal" allowBlank="1" showInputMessage="1" showErrorMessage="1" error="U kunt maximaal een percentage van 3,0% invullen. Klik op &quot;Annuleren&quot; en vul een ander percentage in. " sqref="L65587:L65588 JH65587:JH65588 TD65587:TD65588 ACZ65587:ACZ65588 AMV65587:AMV65588 AWR65587:AWR65588 BGN65587:BGN65588 BQJ65587:BQJ65588 CAF65587:CAF65588 CKB65587:CKB65588 CTX65587:CTX65588 DDT65587:DDT65588 DNP65587:DNP65588 DXL65587:DXL65588 EHH65587:EHH65588 ERD65587:ERD65588 FAZ65587:FAZ65588 FKV65587:FKV65588 FUR65587:FUR65588 GEN65587:GEN65588 GOJ65587:GOJ65588 GYF65587:GYF65588 HIB65587:HIB65588 HRX65587:HRX65588 IBT65587:IBT65588 ILP65587:ILP65588 IVL65587:IVL65588 JFH65587:JFH65588 JPD65587:JPD65588 JYZ65587:JYZ65588 KIV65587:KIV65588 KSR65587:KSR65588 LCN65587:LCN65588 LMJ65587:LMJ65588 LWF65587:LWF65588 MGB65587:MGB65588 MPX65587:MPX65588 MZT65587:MZT65588 NJP65587:NJP65588 NTL65587:NTL65588 ODH65587:ODH65588 OND65587:OND65588 OWZ65587:OWZ65588 PGV65587:PGV65588 PQR65587:PQR65588 QAN65587:QAN65588 QKJ65587:QKJ65588 QUF65587:QUF65588 REB65587:REB65588 RNX65587:RNX65588 RXT65587:RXT65588 SHP65587:SHP65588 SRL65587:SRL65588 TBH65587:TBH65588 TLD65587:TLD65588 TUZ65587:TUZ65588 UEV65587:UEV65588 UOR65587:UOR65588 UYN65587:UYN65588 VIJ65587:VIJ65588 VSF65587:VSF65588 WCB65587:WCB65588 WLX65587:WLX65588 WVT65587:WVT65588 L131123:L131124 JH131123:JH131124 TD131123:TD131124 ACZ131123:ACZ131124 AMV131123:AMV131124 AWR131123:AWR131124 BGN131123:BGN131124 BQJ131123:BQJ131124 CAF131123:CAF131124 CKB131123:CKB131124 CTX131123:CTX131124 DDT131123:DDT131124 DNP131123:DNP131124 DXL131123:DXL131124 EHH131123:EHH131124 ERD131123:ERD131124 FAZ131123:FAZ131124 FKV131123:FKV131124 FUR131123:FUR131124 GEN131123:GEN131124 GOJ131123:GOJ131124 GYF131123:GYF131124 HIB131123:HIB131124 HRX131123:HRX131124 IBT131123:IBT131124 ILP131123:ILP131124 IVL131123:IVL131124 JFH131123:JFH131124 JPD131123:JPD131124 JYZ131123:JYZ131124 KIV131123:KIV131124 KSR131123:KSR131124 LCN131123:LCN131124 LMJ131123:LMJ131124 LWF131123:LWF131124 MGB131123:MGB131124 MPX131123:MPX131124 MZT131123:MZT131124 NJP131123:NJP131124 NTL131123:NTL131124 ODH131123:ODH131124 OND131123:OND131124 OWZ131123:OWZ131124 PGV131123:PGV131124 PQR131123:PQR131124 QAN131123:QAN131124 QKJ131123:QKJ131124 QUF131123:QUF131124 REB131123:REB131124 RNX131123:RNX131124 RXT131123:RXT131124 SHP131123:SHP131124 SRL131123:SRL131124 TBH131123:TBH131124 TLD131123:TLD131124 TUZ131123:TUZ131124 UEV131123:UEV131124 UOR131123:UOR131124 UYN131123:UYN131124 VIJ131123:VIJ131124 VSF131123:VSF131124 WCB131123:WCB131124 WLX131123:WLX131124 WVT131123:WVT131124 L196659:L196660 JH196659:JH196660 TD196659:TD196660 ACZ196659:ACZ196660 AMV196659:AMV196660 AWR196659:AWR196660 BGN196659:BGN196660 BQJ196659:BQJ196660 CAF196659:CAF196660 CKB196659:CKB196660 CTX196659:CTX196660 DDT196659:DDT196660 DNP196659:DNP196660 DXL196659:DXL196660 EHH196659:EHH196660 ERD196659:ERD196660 FAZ196659:FAZ196660 FKV196659:FKV196660 FUR196659:FUR196660 GEN196659:GEN196660 GOJ196659:GOJ196660 GYF196659:GYF196660 HIB196659:HIB196660 HRX196659:HRX196660 IBT196659:IBT196660 ILP196659:ILP196660 IVL196659:IVL196660 JFH196659:JFH196660 JPD196659:JPD196660 JYZ196659:JYZ196660 KIV196659:KIV196660 KSR196659:KSR196660 LCN196659:LCN196660 LMJ196659:LMJ196660 LWF196659:LWF196660 MGB196659:MGB196660 MPX196659:MPX196660 MZT196659:MZT196660 NJP196659:NJP196660 NTL196659:NTL196660 ODH196659:ODH196660 OND196659:OND196660 OWZ196659:OWZ196660 PGV196659:PGV196660 PQR196659:PQR196660 QAN196659:QAN196660 QKJ196659:QKJ196660 QUF196659:QUF196660 REB196659:REB196660 RNX196659:RNX196660 RXT196659:RXT196660 SHP196659:SHP196660 SRL196659:SRL196660 TBH196659:TBH196660 TLD196659:TLD196660 TUZ196659:TUZ196660 UEV196659:UEV196660 UOR196659:UOR196660 UYN196659:UYN196660 VIJ196659:VIJ196660 VSF196659:VSF196660 WCB196659:WCB196660 WLX196659:WLX196660 WVT196659:WVT196660 L262195:L262196 JH262195:JH262196 TD262195:TD262196 ACZ262195:ACZ262196 AMV262195:AMV262196 AWR262195:AWR262196 BGN262195:BGN262196 BQJ262195:BQJ262196 CAF262195:CAF262196 CKB262195:CKB262196 CTX262195:CTX262196 DDT262195:DDT262196 DNP262195:DNP262196 DXL262195:DXL262196 EHH262195:EHH262196 ERD262195:ERD262196 FAZ262195:FAZ262196 FKV262195:FKV262196 FUR262195:FUR262196 GEN262195:GEN262196 GOJ262195:GOJ262196 GYF262195:GYF262196 HIB262195:HIB262196 HRX262195:HRX262196 IBT262195:IBT262196 ILP262195:ILP262196 IVL262195:IVL262196 JFH262195:JFH262196 JPD262195:JPD262196 JYZ262195:JYZ262196 KIV262195:KIV262196 KSR262195:KSR262196 LCN262195:LCN262196 LMJ262195:LMJ262196 LWF262195:LWF262196 MGB262195:MGB262196 MPX262195:MPX262196 MZT262195:MZT262196 NJP262195:NJP262196 NTL262195:NTL262196 ODH262195:ODH262196 OND262195:OND262196 OWZ262195:OWZ262196 PGV262195:PGV262196 PQR262195:PQR262196 QAN262195:QAN262196 QKJ262195:QKJ262196 QUF262195:QUF262196 REB262195:REB262196 RNX262195:RNX262196 RXT262195:RXT262196 SHP262195:SHP262196 SRL262195:SRL262196 TBH262195:TBH262196 TLD262195:TLD262196 TUZ262195:TUZ262196 UEV262195:UEV262196 UOR262195:UOR262196 UYN262195:UYN262196 VIJ262195:VIJ262196 VSF262195:VSF262196 WCB262195:WCB262196 WLX262195:WLX262196 WVT262195:WVT262196 L327731:L327732 JH327731:JH327732 TD327731:TD327732 ACZ327731:ACZ327732 AMV327731:AMV327732 AWR327731:AWR327732 BGN327731:BGN327732 BQJ327731:BQJ327732 CAF327731:CAF327732 CKB327731:CKB327732 CTX327731:CTX327732 DDT327731:DDT327732 DNP327731:DNP327732 DXL327731:DXL327732 EHH327731:EHH327732 ERD327731:ERD327732 FAZ327731:FAZ327732 FKV327731:FKV327732 FUR327731:FUR327732 GEN327731:GEN327732 GOJ327731:GOJ327732 GYF327731:GYF327732 HIB327731:HIB327732 HRX327731:HRX327732 IBT327731:IBT327732 ILP327731:ILP327732 IVL327731:IVL327732 JFH327731:JFH327732 JPD327731:JPD327732 JYZ327731:JYZ327732 KIV327731:KIV327732 KSR327731:KSR327732 LCN327731:LCN327732 LMJ327731:LMJ327732 LWF327731:LWF327732 MGB327731:MGB327732 MPX327731:MPX327732 MZT327731:MZT327732 NJP327731:NJP327732 NTL327731:NTL327732 ODH327731:ODH327732 OND327731:OND327732 OWZ327731:OWZ327732 PGV327731:PGV327732 PQR327731:PQR327732 QAN327731:QAN327732 QKJ327731:QKJ327732 QUF327731:QUF327732 REB327731:REB327732 RNX327731:RNX327732 RXT327731:RXT327732 SHP327731:SHP327732 SRL327731:SRL327732 TBH327731:TBH327732 TLD327731:TLD327732 TUZ327731:TUZ327732 UEV327731:UEV327732 UOR327731:UOR327732 UYN327731:UYN327732 VIJ327731:VIJ327732 VSF327731:VSF327732 WCB327731:WCB327732 WLX327731:WLX327732 WVT327731:WVT327732 L393267:L393268 JH393267:JH393268 TD393267:TD393268 ACZ393267:ACZ393268 AMV393267:AMV393268 AWR393267:AWR393268 BGN393267:BGN393268 BQJ393267:BQJ393268 CAF393267:CAF393268 CKB393267:CKB393268 CTX393267:CTX393268 DDT393267:DDT393268 DNP393267:DNP393268 DXL393267:DXL393268 EHH393267:EHH393268 ERD393267:ERD393268 FAZ393267:FAZ393268 FKV393267:FKV393268 FUR393267:FUR393268 GEN393267:GEN393268 GOJ393267:GOJ393268 GYF393267:GYF393268 HIB393267:HIB393268 HRX393267:HRX393268 IBT393267:IBT393268 ILP393267:ILP393268 IVL393267:IVL393268 JFH393267:JFH393268 JPD393267:JPD393268 JYZ393267:JYZ393268 KIV393267:KIV393268 KSR393267:KSR393268 LCN393267:LCN393268 LMJ393267:LMJ393268 LWF393267:LWF393268 MGB393267:MGB393268 MPX393267:MPX393268 MZT393267:MZT393268 NJP393267:NJP393268 NTL393267:NTL393268 ODH393267:ODH393268 OND393267:OND393268 OWZ393267:OWZ393268 PGV393267:PGV393268 PQR393267:PQR393268 QAN393267:QAN393268 QKJ393267:QKJ393268 QUF393267:QUF393268 REB393267:REB393268 RNX393267:RNX393268 RXT393267:RXT393268 SHP393267:SHP393268 SRL393267:SRL393268 TBH393267:TBH393268 TLD393267:TLD393268 TUZ393267:TUZ393268 UEV393267:UEV393268 UOR393267:UOR393268 UYN393267:UYN393268 VIJ393267:VIJ393268 VSF393267:VSF393268 WCB393267:WCB393268 WLX393267:WLX393268 WVT393267:WVT393268 L458803:L458804 JH458803:JH458804 TD458803:TD458804 ACZ458803:ACZ458804 AMV458803:AMV458804 AWR458803:AWR458804 BGN458803:BGN458804 BQJ458803:BQJ458804 CAF458803:CAF458804 CKB458803:CKB458804 CTX458803:CTX458804 DDT458803:DDT458804 DNP458803:DNP458804 DXL458803:DXL458804 EHH458803:EHH458804 ERD458803:ERD458804 FAZ458803:FAZ458804 FKV458803:FKV458804 FUR458803:FUR458804 GEN458803:GEN458804 GOJ458803:GOJ458804 GYF458803:GYF458804 HIB458803:HIB458804 HRX458803:HRX458804 IBT458803:IBT458804 ILP458803:ILP458804 IVL458803:IVL458804 JFH458803:JFH458804 JPD458803:JPD458804 JYZ458803:JYZ458804 KIV458803:KIV458804 KSR458803:KSR458804 LCN458803:LCN458804 LMJ458803:LMJ458804 LWF458803:LWF458804 MGB458803:MGB458804 MPX458803:MPX458804 MZT458803:MZT458804 NJP458803:NJP458804 NTL458803:NTL458804 ODH458803:ODH458804 OND458803:OND458804 OWZ458803:OWZ458804 PGV458803:PGV458804 PQR458803:PQR458804 QAN458803:QAN458804 QKJ458803:QKJ458804 QUF458803:QUF458804 REB458803:REB458804 RNX458803:RNX458804 RXT458803:RXT458804 SHP458803:SHP458804 SRL458803:SRL458804 TBH458803:TBH458804 TLD458803:TLD458804 TUZ458803:TUZ458804 UEV458803:UEV458804 UOR458803:UOR458804 UYN458803:UYN458804 VIJ458803:VIJ458804 VSF458803:VSF458804 WCB458803:WCB458804 WLX458803:WLX458804 WVT458803:WVT458804 L524339:L524340 JH524339:JH524340 TD524339:TD524340 ACZ524339:ACZ524340 AMV524339:AMV524340 AWR524339:AWR524340 BGN524339:BGN524340 BQJ524339:BQJ524340 CAF524339:CAF524340 CKB524339:CKB524340 CTX524339:CTX524340 DDT524339:DDT524340 DNP524339:DNP524340 DXL524339:DXL524340 EHH524339:EHH524340 ERD524339:ERD524340 FAZ524339:FAZ524340 FKV524339:FKV524340 FUR524339:FUR524340 GEN524339:GEN524340 GOJ524339:GOJ524340 GYF524339:GYF524340 HIB524339:HIB524340 HRX524339:HRX524340 IBT524339:IBT524340 ILP524339:ILP524340 IVL524339:IVL524340 JFH524339:JFH524340 JPD524339:JPD524340 JYZ524339:JYZ524340 KIV524339:KIV524340 KSR524339:KSR524340 LCN524339:LCN524340 LMJ524339:LMJ524340 LWF524339:LWF524340 MGB524339:MGB524340 MPX524339:MPX524340 MZT524339:MZT524340 NJP524339:NJP524340 NTL524339:NTL524340 ODH524339:ODH524340 OND524339:OND524340 OWZ524339:OWZ524340 PGV524339:PGV524340 PQR524339:PQR524340 QAN524339:QAN524340 QKJ524339:QKJ524340 QUF524339:QUF524340 REB524339:REB524340 RNX524339:RNX524340 RXT524339:RXT524340 SHP524339:SHP524340 SRL524339:SRL524340 TBH524339:TBH524340 TLD524339:TLD524340 TUZ524339:TUZ524340 UEV524339:UEV524340 UOR524339:UOR524340 UYN524339:UYN524340 VIJ524339:VIJ524340 VSF524339:VSF524340 WCB524339:WCB524340 WLX524339:WLX524340 WVT524339:WVT524340 L589875:L589876 JH589875:JH589876 TD589875:TD589876 ACZ589875:ACZ589876 AMV589875:AMV589876 AWR589875:AWR589876 BGN589875:BGN589876 BQJ589875:BQJ589876 CAF589875:CAF589876 CKB589875:CKB589876 CTX589875:CTX589876 DDT589875:DDT589876 DNP589875:DNP589876 DXL589875:DXL589876 EHH589875:EHH589876 ERD589875:ERD589876 FAZ589875:FAZ589876 FKV589875:FKV589876 FUR589875:FUR589876 GEN589875:GEN589876 GOJ589875:GOJ589876 GYF589875:GYF589876 HIB589875:HIB589876 HRX589875:HRX589876 IBT589875:IBT589876 ILP589875:ILP589876 IVL589875:IVL589876 JFH589875:JFH589876 JPD589875:JPD589876 JYZ589875:JYZ589876 KIV589875:KIV589876 KSR589875:KSR589876 LCN589875:LCN589876 LMJ589875:LMJ589876 LWF589875:LWF589876 MGB589875:MGB589876 MPX589875:MPX589876 MZT589875:MZT589876 NJP589875:NJP589876 NTL589875:NTL589876 ODH589875:ODH589876 OND589875:OND589876 OWZ589875:OWZ589876 PGV589875:PGV589876 PQR589875:PQR589876 QAN589875:QAN589876 QKJ589875:QKJ589876 QUF589875:QUF589876 REB589875:REB589876 RNX589875:RNX589876 RXT589875:RXT589876 SHP589875:SHP589876 SRL589875:SRL589876 TBH589875:TBH589876 TLD589875:TLD589876 TUZ589875:TUZ589876 UEV589875:UEV589876 UOR589875:UOR589876 UYN589875:UYN589876 VIJ589875:VIJ589876 VSF589875:VSF589876 WCB589875:WCB589876 WLX589875:WLX589876 WVT589875:WVT589876 L655411:L655412 JH655411:JH655412 TD655411:TD655412 ACZ655411:ACZ655412 AMV655411:AMV655412 AWR655411:AWR655412 BGN655411:BGN655412 BQJ655411:BQJ655412 CAF655411:CAF655412 CKB655411:CKB655412 CTX655411:CTX655412 DDT655411:DDT655412 DNP655411:DNP655412 DXL655411:DXL655412 EHH655411:EHH655412 ERD655411:ERD655412 FAZ655411:FAZ655412 FKV655411:FKV655412 FUR655411:FUR655412 GEN655411:GEN655412 GOJ655411:GOJ655412 GYF655411:GYF655412 HIB655411:HIB655412 HRX655411:HRX655412 IBT655411:IBT655412 ILP655411:ILP655412 IVL655411:IVL655412 JFH655411:JFH655412 JPD655411:JPD655412 JYZ655411:JYZ655412 KIV655411:KIV655412 KSR655411:KSR655412 LCN655411:LCN655412 LMJ655411:LMJ655412 LWF655411:LWF655412 MGB655411:MGB655412 MPX655411:MPX655412 MZT655411:MZT655412 NJP655411:NJP655412 NTL655411:NTL655412 ODH655411:ODH655412 OND655411:OND655412 OWZ655411:OWZ655412 PGV655411:PGV655412 PQR655411:PQR655412 QAN655411:QAN655412 QKJ655411:QKJ655412 QUF655411:QUF655412 REB655411:REB655412 RNX655411:RNX655412 RXT655411:RXT655412 SHP655411:SHP655412 SRL655411:SRL655412 TBH655411:TBH655412 TLD655411:TLD655412 TUZ655411:TUZ655412 UEV655411:UEV655412 UOR655411:UOR655412 UYN655411:UYN655412 VIJ655411:VIJ655412 VSF655411:VSF655412 WCB655411:WCB655412 WLX655411:WLX655412 WVT655411:WVT655412 L720947:L720948 JH720947:JH720948 TD720947:TD720948 ACZ720947:ACZ720948 AMV720947:AMV720948 AWR720947:AWR720948 BGN720947:BGN720948 BQJ720947:BQJ720948 CAF720947:CAF720948 CKB720947:CKB720948 CTX720947:CTX720948 DDT720947:DDT720948 DNP720947:DNP720948 DXL720947:DXL720948 EHH720947:EHH720948 ERD720947:ERD720948 FAZ720947:FAZ720948 FKV720947:FKV720948 FUR720947:FUR720948 GEN720947:GEN720948 GOJ720947:GOJ720948 GYF720947:GYF720948 HIB720947:HIB720948 HRX720947:HRX720948 IBT720947:IBT720948 ILP720947:ILP720948 IVL720947:IVL720948 JFH720947:JFH720948 JPD720947:JPD720948 JYZ720947:JYZ720948 KIV720947:KIV720948 KSR720947:KSR720948 LCN720947:LCN720948 LMJ720947:LMJ720948 LWF720947:LWF720948 MGB720947:MGB720948 MPX720947:MPX720948 MZT720947:MZT720948 NJP720947:NJP720948 NTL720947:NTL720948 ODH720947:ODH720948 OND720947:OND720948 OWZ720947:OWZ720948 PGV720947:PGV720948 PQR720947:PQR720948 QAN720947:QAN720948 QKJ720947:QKJ720948 QUF720947:QUF720948 REB720947:REB720948 RNX720947:RNX720948 RXT720947:RXT720948 SHP720947:SHP720948 SRL720947:SRL720948 TBH720947:TBH720948 TLD720947:TLD720948 TUZ720947:TUZ720948 UEV720947:UEV720948 UOR720947:UOR720948 UYN720947:UYN720948 VIJ720947:VIJ720948 VSF720947:VSF720948 WCB720947:WCB720948 WLX720947:WLX720948 WVT720947:WVT720948 L786483:L786484 JH786483:JH786484 TD786483:TD786484 ACZ786483:ACZ786484 AMV786483:AMV786484 AWR786483:AWR786484 BGN786483:BGN786484 BQJ786483:BQJ786484 CAF786483:CAF786484 CKB786483:CKB786484 CTX786483:CTX786484 DDT786483:DDT786484 DNP786483:DNP786484 DXL786483:DXL786484 EHH786483:EHH786484 ERD786483:ERD786484 FAZ786483:FAZ786484 FKV786483:FKV786484 FUR786483:FUR786484 GEN786483:GEN786484 GOJ786483:GOJ786484 GYF786483:GYF786484 HIB786483:HIB786484 HRX786483:HRX786484 IBT786483:IBT786484 ILP786483:ILP786484 IVL786483:IVL786484 JFH786483:JFH786484 JPD786483:JPD786484 JYZ786483:JYZ786484 KIV786483:KIV786484 KSR786483:KSR786484 LCN786483:LCN786484 LMJ786483:LMJ786484 LWF786483:LWF786484 MGB786483:MGB786484 MPX786483:MPX786484 MZT786483:MZT786484 NJP786483:NJP786484 NTL786483:NTL786484 ODH786483:ODH786484 OND786483:OND786484 OWZ786483:OWZ786484 PGV786483:PGV786484 PQR786483:PQR786484 QAN786483:QAN786484 QKJ786483:QKJ786484 QUF786483:QUF786484 REB786483:REB786484 RNX786483:RNX786484 RXT786483:RXT786484 SHP786483:SHP786484 SRL786483:SRL786484 TBH786483:TBH786484 TLD786483:TLD786484 TUZ786483:TUZ786484 UEV786483:UEV786484 UOR786483:UOR786484 UYN786483:UYN786484 VIJ786483:VIJ786484 VSF786483:VSF786484 WCB786483:WCB786484 WLX786483:WLX786484 WVT786483:WVT786484 L852019:L852020 JH852019:JH852020 TD852019:TD852020 ACZ852019:ACZ852020 AMV852019:AMV852020 AWR852019:AWR852020 BGN852019:BGN852020 BQJ852019:BQJ852020 CAF852019:CAF852020 CKB852019:CKB852020 CTX852019:CTX852020 DDT852019:DDT852020 DNP852019:DNP852020 DXL852019:DXL852020 EHH852019:EHH852020 ERD852019:ERD852020 FAZ852019:FAZ852020 FKV852019:FKV852020 FUR852019:FUR852020 GEN852019:GEN852020 GOJ852019:GOJ852020 GYF852019:GYF852020 HIB852019:HIB852020 HRX852019:HRX852020 IBT852019:IBT852020 ILP852019:ILP852020 IVL852019:IVL852020 JFH852019:JFH852020 JPD852019:JPD852020 JYZ852019:JYZ852020 KIV852019:KIV852020 KSR852019:KSR852020 LCN852019:LCN852020 LMJ852019:LMJ852020 LWF852019:LWF852020 MGB852019:MGB852020 MPX852019:MPX852020 MZT852019:MZT852020 NJP852019:NJP852020 NTL852019:NTL852020 ODH852019:ODH852020 OND852019:OND852020 OWZ852019:OWZ852020 PGV852019:PGV852020 PQR852019:PQR852020 QAN852019:QAN852020 QKJ852019:QKJ852020 QUF852019:QUF852020 REB852019:REB852020 RNX852019:RNX852020 RXT852019:RXT852020 SHP852019:SHP852020 SRL852019:SRL852020 TBH852019:TBH852020 TLD852019:TLD852020 TUZ852019:TUZ852020 UEV852019:UEV852020 UOR852019:UOR852020 UYN852019:UYN852020 VIJ852019:VIJ852020 VSF852019:VSF852020 WCB852019:WCB852020 WLX852019:WLX852020 WVT852019:WVT852020 L917555:L917556 JH917555:JH917556 TD917555:TD917556 ACZ917555:ACZ917556 AMV917555:AMV917556 AWR917555:AWR917556 BGN917555:BGN917556 BQJ917555:BQJ917556 CAF917555:CAF917556 CKB917555:CKB917556 CTX917555:CTX917556 DDT917555:DDT917556 DNP917555:DNP917556 DXL917555:DXL917556 EHH917555:EHH917556 ERD917555:ERD917556 FAZ917555:FAZ917556 FKV917555:FKV917556 FUR917555:FUR917556 GEN917555:GEN917556 GOJ917555:GOJ917556 GYF917555:GYF917556 HIB917555:HIB917556 HRX917555:HRX917556 IBT917555:IBT917556 ILP917555:ILP917556 IVL917555:IVL917556 JFH917555:JFH917556 JPD917555:JPD917556 JYZ917555:JYZ917556 KIV917555:KIV917556 KSR917555:KSR917556 LCN917555:LCN917556 LMJ917555:LMJ917556 LWF917555:LWF917556 MGB917555:MGB917556 MPX917555:MPX917556 MZT917555:MZT917556 NJP917555:NJP917556 NTL917555:NTL917556 ODH917555:ODH917556 OND917555:OND917556 OWZ917555:OWZ917556 PGV917555:PGV917556 PQR917555:PQR917556 QAN917555:QAN917556 QKJ917555:QKJ917556 QUF917555:QUF917556 REB917555:REB917556 RNX917555:RNX917556 RXT917555:RXT917556 SHP917555:SHP917556 SRL917555:SRL917556 TBH917555:TBH917556 TLD917555:TLD917556 TUZ917555:TUZ917556 UEV917555:UEV917556 UOR917555:UOR917556 UYN917555:UYN917556 VIJ917555:VIJ917556 VSF917555:VSF917556 WCB917555:WCB917556 WLX917555:WLX917556 WVT917555:WVT917556 L983091:L983092 JH983091:JH983092 TD983091:TD983092 ACZ983091:ACZ983092 AMV983091:AMV983092 AWR983091:AWR983092 BGN983091:BGN983092 BQJ983091:BQJ983092 CAF983091:CAF983092 CKB983091:CKB983092 CTX983091:CTX983092 DDT983091:DDT983092 DNP983091:DNP983092 DXL983091:DXL983092 EHH983091:EHH983092 ERD983091:ERD983092 FAZ983091:FAZ983092 FKV983091:FKV983092 FUR983091:FUR983092 GEN983091:GEN983092 GOJ983091:GOJ983092 GYF983091:GYF983092 HIB983091:HIB983092 HRX983091:HRX983092 IBT983091:IBT983092 ILP983091:ILP983092 IVL983091:IVL983092 JFH983091:JFH983092 JPD983091:JPD983092 JYZ983091:JYZ983092 KIV983091:KIV983092 KSR983091:KSR983092 LCN983091:LCN983092 LMJ983091:LMJ983092 LWF983091:LWF983092 MGB983091:MGB983092 MPX983091:MPX983092 MZT983091:MZT983092 NJP983091:NJP983092 NTL983091:NTL983092 ODH983091:ODH983092 OND983091:OND983092 OWZ983091:OWZ983092 PGV983091:PGV983092 PQR983091:PQR983092 QAN983091:QAN983092 QKJ983091:QKJ983092 QUF983091:QUF983092 REB983091:REB983092 RNX983091:RNX983092 RXT983091:RXT983092 SHP983091:SHP983092 SRL983091:SRL983092 TBH983091:TBH983092 TLD983091:TLD983092 TUZ983091:TUZ983092 UEV983091:UEV983092 UOR983091:UOR983092 UYN983091:UYN983092 VIJ983091:VIJ983092 VSF983091:VSF983092 WCB983091:WCB983092 WLX983091:WLX983092 WVT983091:WVT983092 WVT53 WLX53 WCB53 VSF53 VIJ53 UYN53 UOR53 UEV53 TUZ53 TLD53 TBH53 SRL53 SHP53 RXT53 RNX53 REB53 QUF53 QKJ53 QAN53 PQR53 PGV53 OWZ53 OND53 ODH53 NTL53 NJP53 MZT53 MPX53 MGB53 LWF53 LMJ53 LCN53 KSR53 KIV53 JYZ53 JPD53 JFH53 IVL53 ILP53 IBT53 HRX53 HIB53 GYF53 GOJ53 GEN53 FUR53 FKV53 FAZ53 ERD53 EHH53 DXL53 DNP53 DDT53 CTX53 CKB53 CAF53 BQJ53 BGN53 AWR53 AMV53 ACZ53 TD53 JH53 L53" xr:uid="{73A76EF2-3E91-41B5-8377-FEC075629242}">
      <formula1>0</formula1>
      <formula2>0.03</formula2>
    </dataValidation>
    <dataValidation type="whole" allowBlank="1" showInputMessage="1" showErrorMessage="1" error="U moet een geheel aantal jaren met een maximum van 20 jaar invullen." sqref="B119:C119" xr:uid="{048F095C-1B2B-4520-8F9F-A2AE4CFD612B}">
      <formula1>1</formula1>
      <formula2>$B12</formula2>
    </dataValidation>
    <dataValidation type="whole" allowBlank="1" showInputMessage="1" showErrorMessage="1" error="U moet hier een geheel aantal jaren met een maximum van de subsidielooptijd invullen." sqref="E34" xr:uid="{F6B01555-9CBB-40F3-994A-77E5085A0F2E}">
      <formula1>0</formula1>
      <formula2>$B$12</formula2>
    </dataValidation>
  </dataValidations>
  <pageMargins left="0.7" right="0.7" top="0.75" bottom="0.75" header="0.3" footer="0.3"/>
  <pageSetup paperSize="9" orientation="portrait" r:id="rId1"/>
  <ignoredErrors>
    <ignoredError sqref="W72:AH72 W79:AH90 H49 W71:AH71" unlockedFormula="1"/>
    <ignoredError sqref="B34 B31 E31 H31 L31 O126:O145 P128:W128 X128:Z128 AA128:AC128 AA134 AA144:AC144 N150:S150 O155:S155 AA145 AA150 AA155 X132:Z133 AA131 X144:Z144 AA142 AA143 X139:Z141 AA138 X137:Z137 AA137:AC137 AA136 X130:Z130 AA130:AC130 AA129 AA135 AA126 AA127 P130:W130 P129:S129 W129 P132:W133 P131:S131 W131 P126:S126 W126 P127:S127 W127 P137:W137 P134:S134 W134 P135:S135 W135 P136:S136 W136 P139:W141 P138:S138 W138 P144:W144 P142:S142 W142 P143:S143 W143 P145:S145 W145 W150 W155"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4097" r:id="rId4" name="List Box 1">
              <controlPr defaultSize="0" autoLine="0" autoPict="0">
                <anchor moveWithCells="1" sizeWithCells="1">
                  <from>
                    <xdr:col>7</xdr:col>
                    <xdr:colOff>25400</xdr:colOff>
                    <xdr:row>32</xdr:row>
                    <xdr:rowOff>152400</xdr:rowOff>
                  </from>
                  <to>
                    <xdr:col>10</xdr:col>
                    <xdr:colOff>12700</xdr:colOff>
                    <xdr:row>34</xdr:row>
                    <xdr:rowOff>127000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8068B790-8341-42C5-8486-3E38B712D5C3}">
            <xm:f>OR(Hulpblad_categorieën_parameters!D29="Zon-PV",Hulpblad_categorieën_parameters!D29="Wind")</xm:f>
            <x14:dxf>
              <border>
                <left style="thin">
                  <color auto="1"/>
                </left>
                <right style="thin">
                  <color auto="1"/>
                </right>
                <bottom style="thin">
                  <color auto="1"/>
                </bottom>
                <vertical/>
                <horizontal/>
              </border>
            </x14:dxf>
          </x14:cfRule>
          <xm:sqref>E55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7880C-9D8F-421B-B3F3-A2380F56FA79}">
  <dimension ref="A1:WVU149"/>
  <sheetViews>
    <sheetView workbookViewId="0">
      <selection activeCell="B89" sqref="B89"/>
    </sheetView>
  </sheetViews>
  <sheetFormatPr defaultColWidth="0" defaultRowHeight="14.5" zeroHeight="1" x14ac:dyDescent="0.35"/>
  <cols>
    <col min="1" max="1" width="132.1796875" style="4" customWidth="1"/>
    <col min="2" max="2" width="11" style="30" customWidth="1"/>
    <col min="3" max="3" width="3.453125" style="30" hidden="1"/>
    <col min="4" max="4" width="14" style="4" hidden="1"/>
    <col min="5" max="5" width="90.81640625" style="4" hidden="1"/>
    <col min="6" max="11" width="12.81640625" style="4" hidden="1"/>
    <col min="12" max="12" width="13.81640625" style="4" hidden="1"/>
    <col min="13" max="13" width="12.453125" style="4" hidden="1"/>
    <col min="14" max="256" width="8.81640625" style="4" hidden="1"/>
    <col min="257" max="257" width="132.1796875" style="4" hidden="1"/>
    <col min="258" max="258" width="86.81640625" style="4" hidden="1"/>
    <col min="259" max="259" width="3.453125" style="4" hidden="1"/>
    <col min="260" max="260" width="14" style="4" hidden="1"/>
    <col min="261" max="261" width="90.81640625" style="4" hidden="1"/>
    <col min="262" max="267" width="12.81640625" style="4" hidden="1"/>
    <col min="268" max="268" width="13.81640625" style="4" hidden="1"/>
    <col min="269" max="269" width="12.453125" style="4" hidden="1"/>
    <col min="270" max="512" width="8.81640625" style="4" hidden="1"/>
    <col min="513" max="513" width="132.1796875" style="4" hidden="1"/>
    <col min="514" max="514" width="86.81640625" style="4" hidden="1"/>
    <col min="515" max="515" width="3.453125" style="4" hidden="1"/>
    <col min="516" max="516" width="14" style="4" hidden="1"/>
    <col min="517" max="517" width="90.81640625" style="4" hidden="1"/>
    <col min="518" max="523" width="12.81640625" style="4" hidden="1"/>
    <col min="524" max="524" width="13.81640625" style="4" hidden="1"/>
    <col min="525" max="525" width="12.453125" style="4" hidden="1"/>
    <col min="526" max="768" width="8.81640625" style="4" hidden="1"/>
    <col min="769" max="769" width="132.1796875" style="4" hidden="1"/>
    <col min="770" max="770" width="86.81640625" style="4" hidden="1"/>
    <col min="771" max="771" width="3.453125" style="4" hidden="1"/>
    <col min="772" max="772" width="14" style="4" hidden="1"/>
    <col min="773" max="773" width="90.81640625" style="4" hidden="1"/>
    <col min="774" max="779" width="12.81640625" style="4" hidden="1"/>
    <col min="780" max="780" width="13.81640625" style="4" hidden="1"/>
    <col min="781" max="781" width="12.453125" style="4" hidden="1"/>
    <col min="782" max="1024" width="8.81640625" style="4" hidden="1"/>
    <col min="1025" max="1025" width="132.1796875" style="4" hidden="1"/>
    <col min="1026" max="1026" width="86.81640625" style="4" hidden="1"/>
    <col min="1027" max="1027" width="3.453125" style="4" hidden="1"/>
    <col min="1028" max="1028" width="14" style="4" hidden="1"/>
    <col min="1029" max="1029" width="90.81640625" style="4" hidden="1"/>
    <col min="1030" max="1035" width="12.81640625" style="4" hidden="1"/>
    <col min="1036" max="1036" width="13.81640625" style="4" hidden="1"/>
    <col min="1037" max="1037" width="12.453125" style="4" hidden="1"/>
    <col min="1038" max="1280" width="8.81640625" style="4" hidden="1"/>
    <col min="1281" max="1281" width="132.1796875" style="4" hidden="1"/>
    <col min="1282" max="1282" width="86.81640625" style="4" hidden="1"/>
    <col min="1283" max="1283" width="3.453125" style="4" hidden="1"/>
    <col min="1284" max="1284" width="14" style="4" hidden="1"/>
    <col min="1285" max="1285" width="90.81640625" style="4" hidden="1"/>
    <col min="1286" max="1291" width="12.81640625" style="4" hidden="1"/>
    <col min="1292" max="1292" width="13.81640625" style="4" hidden="1"/>
    <col min="1293" max="1293" width="12.453125" style="4" hidden="1"/>
    <col min="1294" max="1536" width="8.81640625" style="4" hidden="1"/>
    <col min="1537" max="1537" width="132.1796875" style="4" hidden="1"/>
    <col min="1538" max="1538" width="86.81640625" style="4" hidden="1"/>
    <col min="1539" max="1539" width="3.453125" style="4" hidden="1"/>
    <col min="1540" max="1540" width="14" style="4" hidden="1"/>
    <col min="1541" max="1541" width="90.81640625" style="4" hidden="1"/>
    <col min="1542" max="1547" width="12.81640625" style="4" hidden="1"/>
    <col min="1548" max="1548" width="13.81640625" style="4" hidden="1"/>
    <col min="1549" max="1549" width="12.453125" style="4" hidden="1"/>
    <col min="1550" max="1792" width="8.81640625" style="4" hidden="1"/>
    <col min="1793" max="1793" width="132.1796875" style="4" hidden="1"/>
    <col min="1794" max="1794" width="86.81640625" style="4" hidden="1"/>
    <col min="1795" max="1795" width="3.453125" style="4" hidden="1"/>
    <col min="1796" max="1796" width="14" style="4" hidden="1"/>
    <col min="1797" max="1797" width="90.81640625" style="4" hidden="1"/>
    <col min="1798" max="1803" width="12.81640625" style="4" hidden="1"/>
    <col min="1804" max="1804" width="13.81640625" style="4" hidden="1"/>
    <col min="1805" max="1805" width="12.453125" style="4" hidden="1"/>
    <col min="1806" max="2048" width="8.81640625" style="4" hidden="1"/>
    <col min="2049" max="2049" width="132.1796875" style="4" hidden="1"/>
    <col min="2050" max="2050" width="86.81640625" style="4" hidden="1"/>
    <col min="2051" max="2051" width="3.453125" style="4" hidden="1"/>
    <col min="2052" max="2052" width="14" style="4" hidden="1"/>
    <col min="2053" max="2053" width="90.81640625" style="4" hidden="1"/>
    <col min="2054" max="2059" width="12.81640625" style="4" hidden="1"/>
    <col min="2060" max="2060" width="13.81640625" style="4" hidden="1"/>
    <col min="2061" max="2061" width="12.453125" style="4" hidden="1"/>
    <col min="2062" max="2304" width="8.81640625" style="4" hidden="1"/>
    <col min="2305" max="2305" width="132.1796875" style="4" hidden="1"/>
    <col min="2306" max="2306" width="86.81640625" style="4" hidden="1"/>
    <col min="2307" max="2307" width="3.453125" style="4" hidden="1"/>
    <col min="2308" max="2308" width="14" style="4" hidden="1"/>
    <col min="2309" max="2309" width="90.81640625" style="4" hidden="1"/>
    <col min="2310" max="2315" width="12.81640625" style="4" hidden="1"/>
    <col min="2316" max="2316" width="13.81640625" style="4" hidden="1"/>
    <col min="2317" max="2317" width="12.453125" style="4" hidden="1"/>
    <col min="2318" max="2560" width="8.81640625" style="4" hidden="1"/>
    <col min="2561" max="2561" width="132.1796875" style="4" hidden="1"/>
    <col min="2562" max="2562" width="86.81640625" style="4" hidden="1"/>
    <col min="2563" max="2563" width="3.453125" style="4" hidden="1"/>
    <col min="2564" max="2564" width="14" style="4" hidden="1"/>
    <col min="2565" max="2565" width="90.81640625" style="4" hidden="1"/>
    <col min="2566" max="2571" width="12.81640625" style="4" hidden="1"/>
    <col min="2572" max="2572" width="13.81640625" style="4" hidden="1"/>
    <col min="2573" max="2573" width="12.453125" style="4" hidden="1"/>
    <col min="2574" max="2816" width="8.81640625" style="4" hidden="1"/>
    <col min="2817" max="2817" width="132.1796875" style="4" hidden="1"/>
    <col min="2818" max="2818" width="86.81640625" style="4" hidden="1"/>
    <col min="2819" max="2819" width="3.453125" style="4" hidden="1"/>
    <col min="2820" max="2820" width="14" style="4" hidden="1"/>
    <col min="2821" max="2821" width="90.81640625" style="4" hidden="1"/>
    <col min="2822" max="2827" width="12.81640625" style="4" hidden="1"/>
    <col min="2828" max="2828" width="13.81640625" style="4" hidden="1"/>
    <col min="2829" max="2829" width="12.453125" style="4" hidden="1"/>
    <col min="2830" max="3072" width="8.81640625" style="4" hidden="1"/>
    <col min="3073" max="3073" width="132.1796875" style="4" hidden="1"/>
    <col min="3074" max="3074" width="86.81640625" style="4" hidden="1"/>
    <col min="3075" max="3075" width="3.453125" style="4" hidden="1"/>
    <col min="3076" max="3076" width="14" style="4" hidden="1"/>
    <col min="3077" max="3077" width="90.81640625" style="4" hidden="1"/>
    <col min="3078" max="3083" width="12.81640625" style="4" hidden="1"/>
    <col min="3084" max="3084" width="13.81640625" style="4" hidden="1"/>
    <col min="3085" max="3085" width="12.453125" style="4" hidden="1"/>
    <col min="3086" max="3328" width="8.81640625" style="4" hidden="1"/>
    <col min="3329" max="3329" width="132.1796875" style="4" hidden="1"/>
    <col min="3330" max="3330" width="86.81640625" style="4" hidden="1"/>
    <col min="3331" max="3331" width="3.453125" style="4" hidden="1"/>
    <col min="3332" max="3332" width="14" style="4" hidden="1"/>
    <col min="3333" max="3333" width="90.81640625" style="4" hidden="1"/>
    <col min="3334" max="3339" width="12.81640625" style="4" hidden="1"/>
    <col min="3340" max="3340" width="13.81640625" style="4" hidden="1"/>
    <col min="3341" max="3341" width="12.453125" style="4" hidden="1"/>
    <col min="3342" max="3584" width="8.81640625" style="4" hidden="1"/>
    <col min="3585" max="3585" width="132.1796875" style="4" hidden="1"/>
    <col min="3586" max="3586" width="86.81640625" style="4" hidden="1"/>
    <col min="3587" max="3587" width="3.453125" style="4" hidden="1"/>
    <col min="3588" max="3588" width="14" style="4" hidden="1"/>
    <col min="3589" max="3589" width="90.81640625" style="4" hidden="1"/>
    <col min="3590" max="3595" width="12.81640625" style="4" hidden="1"/>
    <col min="3596" max="3596" width="13.81640625" style="4" hidden="1"/>
    <col min="3597" max="3597" width="12.453125" style="4" hidden="1"/>
    <col min="3598" max="3840" width="8.81640625" style="4" hidden="1"/>
    <col min="3841" max="3841" width="132.1796875" style="4" hidden="1"/>
    <col min="3842" max="3842" width="86.81640625" style="4" hidden="1"/>
    <col min="3843" max="3843" width="3.453125" style="4" hidden="1"/>
    <col min="3844" max="3844" width="14" style="4" hidden="1"/>
    <col min="3845" max="3845" width="90.81640625" style="4" hidden="1"/>
    <col min="3846" max="3851" width="12.81640625" style="4" hidden="1"/>
    <col min="3852" max="3852" width="13.81640625" style="4" hidden="1"/>
    <col min="3853" max="3853" width="12.453125" style="4" hidden="1"/>
    <col min="3854" max="4096" width="8.81640625" style="4" hidden="1"/>
    <col min="4097" max="4097" width="132.1796875" style="4" hidden="1"/>
    <col min="4098" max="4098" width="86.81640625" style="4" hidden="1"/>
    <col min="4099" max="4099" width="3.453125" style="4" hidden="1"/>
    <col min="4100" max="4100" width="14" style="4" hidden="1"/>
    <col min="4101" max="4101" width="90.81640625" style="4" hidden="1"/>
    <col min="4102" max="4107" width="12.81640625" style="4" hidden="1"/>
    <col min="4108" max="4108" width="13.81640625" style="4" hidden="1"/>
    <col min="4109" max="4109" width="12.453125" style="4" hidden="1"/>
    <col min="4110" max="4352" width="8.81640625" style="4" hidden="1"/>
    <col min="4353" max="4353" width="132.1796875" style="4" hidden="1"/>
    <col min="4354" max="4354" width="86.81640625" style="4" hidden="1"/>
    <col min="4355" max="4355" width="3.453125" style="4" hidden="1"/>
    <col min="4356" max="4356" width="14" style="4" hidden="1"/>
    <col min="4357" max="4357" width="90.81640625" style="4" hidden="1"/>
    <col min="4358" max="4363" width="12.81640625" style="4" hidden="1"/>
    <col min="4364" max="4364" width="13.81640625" style="4" hidden="1"/>
    <col min="4365" max="4365" width="12.453125" style="4" hidden="1"/>
    <col min="4366" max="4608" width="8.81640625" style="4" hidden="1"/>
    <col min="4609" max="4609" width="132.1796875" style="4" hidden="1"/>
    <col min="4610" max="4610" width="86.81640625" style="4" hidden="1"/>
    <col min="4611" max="4611" width="3.453125" style="4" hidden="1"/>
    <col min="4612" max="4612" width="14" style="4" hidden="1"/>
    <col min="4613" max="4613" width="90.81640625" style="4" hidden="1"/>
    <col min="4614" max="4619" width="12.81640625" style="4" hidden="1"/>
    <col min="4620" max="4620" width="13.81640625" style="4" hidden="1"/>
    <col min="4621" max="4621" width="12.453125" style="4" hidden="1"/>
    <col min="4622" max="4864" width="8.81640625" style="4" hidden="1"/>
    <col min="4865" max="4865" width="132.1796875" style="4" hidden="1"/>
    <col min="4866" max="4866" width="86.81640625" style="4" hidden="1"/>
    <col min="4867" max="4867" width="3.453125" style="4" hidden="1"/>
    <col min="4868" max="4868" width="14" style="4" hidden="1"/>
    <col min="4869" max="4869" width="90.81640625" style="4" hidden="1"/>
    <col min="4870" max="4875" width="12.81640625" style="4" hidden="1"/>
    <col min="4876" max="4876" width="13.81640625" style="4" hidden="1"/>
    <col min="4877" max="4877" width="12.453125" style="4" hidden="1"/>
    <col min="4878" max="5120" width="8.81640625" style="4" hidden="1"/>
    <col min="5121" max="5121" width="132.1796875" style="4" hidden="1"/>
    <col min="5122" max="5122" width="86.81640625" style="4" hidden="1"/>
    <col min="5123" max="5123" width="3.453125" style="4" hidden="1"/>
    <col min="5124" max="5124" width="14" style="4" hidden="1"/>
    <col min="5125" max="5125" width="90.81640625" style="4" hidden="1"/>
    <col min="5126" max="5131" width="12.81640625" style="4" hidden="1"/>
    <col min="5132" max="5132" width="13.81640625" style="4" hidden="1"/>
    <col min="5133" max="5133" width="12.453125" style="4" hidden="1"/>
    <col min="5134" max="5376" width="8.81640625" style="4" hidden="1"/>
    <col min="5377" max="5377" width="132.1796875" style="4" hidden="1"/>
    <col min="5378" max="5378" width="86.81640625" style="4" hidden="1"/>
    <col min="5379" max="5379" width="3.453125" style="4" hidden="1"/>
    <col min="5380" max="5380" width="14" style="4" hidden="1"/>
    <col min="5381" max="5381" width="90.81640625" style="4" hidden="1"/>
    <col min="5382" max="5387" width="12.81640625" style="4" hidden="1"/>
    <col min="5388" max="5388" width="13.81640625" style="4" hidden="1"/>
    <col min="5389" max="5389" width="12.453125" style="4" hidden="1"/>
    <col min="5390" max="5632" width="8.81640625" style="4" hidden="1"/>
    <col min="5633" max="5633" width="132.1796875" style="4" hidden="1"/>
    <col min="5634" max="5634" width="86.81640625" style="4" hidden="1"/>
    <col min="5635" max="5635" width="3.453125" style="4" hidden="1"/>
    <col min="5636" max="5636" width="14" style="4" hidden="1"/>
    <col min="5637" max="5637" width="90.81640625" style="4" hidden="1"/>
    <col min="5638" max="5643" width="12.81640625" style="4" hidden="1"/>
    <col min="5644" max="5644" width="13.81640625" style="4" hidden="1"/>
    <col min="5645" max="5645" width="12.453125" style="4" hidden="1"/>
    <col min="5646" max="5888" width="8.81640625" style="4" hidden="1"/>
    <col min="5889" max="5889" width="132.1796875" style="4" hidden="1"/>
    <col min="5890" max="5890" width="86.81640625" style="4" hidden="1"/>
    <col min="5891" max="5891" width="3.453125" style="4" hidden="1"/>
    <col min="5892" max="5892" width="14" style="4" hidden="1"/>
    <col min="5893" max="5893" width="90.81640625" style="4" hidden="1"/>
    <col min="5894" max="5899" width="12.81640625" style="4" hidden="1"/>
    <col min="5900" max="5900" width="13.81640625" style="4" hidden="1"/>
    <col min="5901" max="5901" width="12.453125" style="4" hidden="1"/>
    <col min="5902" max="6144" width="8.81640625" style="4" hidden="1"/>
    <col min="6145" max="6145" width="132.1796875" style="4" hidden="1"/>
    <col min="6146" max="6146" width="86.81640625" style="4" hidden="1"/>
    <col min="6147" max="6147" width="3.453125" style="4" hidden="1"/>
    <col min="6148" max="6148" width="14" style="4" hidden="1"/>
    <col min="6149" max="6149" width="90.81640625" style="4" hidden="1"/>
    <col min="6150" max="6155" width="12.81640625" style="4" hidden="1"/>
    <col min="6156" max="6156" width="13.81640625" style="4" hidden="1"/>
    <col min="6157" max="6157" width="12.453125" style="4" hidden="1"/>
    <col min="6158" max="6400" width="8.81640625" style="4" hidden="1"/>
    <col min="6401" max="6401" width="132.1796875" style="4" hidden="1"/>
    <col min="6402" max="6402" width="86.81640625" style="4" hidden="1"/>
    <col min="6403" max="6403" width="3.453125" style="4" hidden="1"/>
    <col min="6404" max="6404" width="14" style="4" hidden="1"/>
    <col min="6405" max="6405" width="90.81640625" style="4" hidden="1"/>
    <col min="6406" max="6411" width="12.81640625" style="4" hidden="1"/>
    <col min="6412" max="6412" width="13.81640625" style="4" hidden="1"/>
    <col min="6413" max="6413" width="12.453125" style="4" hidden="1"/>
    <col min="6414" max="6656" width="8.81640625" style="4" hidden="1"/>
    <col min="6657" max="6657" width="132.1796875" style="4" hidden="1"/>
    <col min="6658" max="6658" width="86.81640625" style="4" hidden="1"/>
    <col min="6659" max="6659" width="3.453125" style="4" hidden="1"/>
    <col min="6660" max="6660" width="14" style="4" hidden="1"/>
    <col min="6661" max="6661" width="90.81640625" style="4" hidden="1"/>
    <col min="6662" max="6667" width="12.81640625" style="4" hidden="1"/>
    <col min="6668" max="6668" width="13.81640625" style="4" hidden="1"/>
    <col min="6669" max="6669" width="12.453125" style="4" hidden="1"/>
    <col min="6670" max="6912" width="8.81640625" style="4" hidden="1"/>
    <col min="6913" max="6913" width="132.1796875" style="4" hidden="1"/>
    <col min="6914" max="6914" width="86.81640625" style="4" hidden="1"/>
    <col min="6915" max="6915" width="3.453125" style="4" hidden="1"/>
    <col min="6916" max="6916" width="14" style="4" hidden="1"/>
    <col min="6917" max="6917" width="90.81640625" style="4" hidden="1"/>
    <col min="6918" max="6923" width="12.81640625" style="4" hidden="1"/>
    <col min="6924" max="6924" width="13.81640625" style="4" hidden="1"/>
    <col min="6925" max="6925" width="12.453125" style="4" hidden="1"/>
    <col min="6926" max="7168" width="8.81640625" style="4" hidden="1"/>
    <col min="7169" max="7169" width="132.1796875" style="4" hidden="1"/>
    <col min="7170" max="7170" width="86.81640625" style="4" hidden="1"/>
    <col min="7171" max="7171" width="3.453125" style="4" hidden="1"/>
    <col min="7172" max="7172" width="14" style="4" hidden="1"/>
    <col min="7173" max="7173" width="90.81640625" style="4" hidden="1"/>
    <col min="7174" max="7179" width="12.81640625" style="4" hidden="1"/>
    <col min="7180" max="7180" width="13.81640625" style="4" hidden="1"/>
    <col min="7181" max="7181" width="12.453125" style="4" hidden="1"/>
    <col min="7182" max="7424" width="8.81640625" style="4" hidden="1"/>
    <col min="7425" max="7425" width="132.1796875" style="4" hidden="1"/>
    <col min="7426" max="7426" width="86.81640625" style="4" hidden="1"/>
    <col min="7427" max="7427" width="3.453125" style="4" hidden="1"/>
    <col min="7428" max="7428" width="14" style="4" hidden="1"/>
    <col min="7429" max="7429" width="90.81640625" style="4" hidden="1"/>
    <col min="7430" max="7435" width="12.81640625" style="4" hidden="1"/>
    <col min="7436" max="7436" width="13.81640625" style="4" hidden="1"/>
    <col min="7437" max="7437" width="12.453125" style="4" hidden="1"/>
    <col min="7438" max="7680" width="8.81640625" style="4" hidden="1"/>
    <col min="7681" max="7681" width="132.1796875" style="4" hidden="1"/>
    <col min="7682" max="7682" width="86.81640625" style="4" hidden="1"/>
    <col min="7683" max="7683" width="3.453125" style="4" hidden="1"/>
    <col min="7684" max="7684" width="14" style="4" hidden="1"/>
    <col min="7685" max="7685" width="90.81640625" style="4" hidden="1"/>
    <col min="7686" max="7691" width="12.81640625" style="4" hidden="1"/>
    <col min="7692" max="7692" width="13.81640625" style="4" hidden="1"/>
    <col min="7693" max="7693" width="12.453125" style="4" hidden="1"/>
    <col min="7694" max="7936" width="8.81640625" style="4" hidden="1"/>
    <col min="7937" max="7937" width="132.1796875" style="4" hidden="1"/>
    <col min="7938" max="7938" width="86.81640625" style="4" hidden="1"/>
    <col min="7939" max="7939" width="3.453125" style="4" hidden="1"/>
    <col min="7940" max="7940" width="14" style="4" hidden="1"/>
    <col min="7941" max="7941" width="90.81640625" style="4" hidden="1"/>
    <col min="7942" max="7947" width="12.81640625" style="4" hidden="1"/>
    <col min="7948" max="7948" width="13.81640625" style="4" hidden="1"/>
    <col min="7949" max="7949" width="12.453125" style="4" hidden="1"/>
    <col min="7950" max="8192" width="8.81640625" style="4" hidden="1"/>
    <col min="8193" max="8193" width="132.1796875" style="4" hidden="1"/>
    <col min="8194" max="8194" width="86.81640625" style="4" hidden="1"/>
    <col min="8195" max="8195" width="3.453125" style="4" hidden="1"/>
    <col min="8196" max="8196" width="14" style="4" hidden="1"/>
    <col min="8197" max="8197" width="90.81640625" style="4" hidden="1"/>
    <col min="8198" max="8203" width="12.81640625" style="4" hidden="1"/>
    <col min="8204" max="8204" width="13.81640625" style="4" hidden="1"/>
    <col min="8205" max="8205" width="12.453125" style="4" hidden="1"/>
    <col min="8206" max="8448" width="8.81640625" style="4" hidden="1"/>
    <col min="8449" max="8449" width="132.1796875" style="4" hidden="1"/>
    <col min="8450" max="8450" width="86.81640625" style="4" hidden="1"/>
    <col min="8451" max="8451" width="3.453125" style="4" hidden="1"/>
    <col min="8452" max="8452" width="14" style="4" hidden="1"/>
    <col min="8453" max="8453" width="90.81640625" style="4" hidden="1"/>
    <col min="8454" max="8459" width="12.81640625" style="4" hidden="1"/>
    <col min="8460" max="8460" width="13.81640625" style="4" hidden="1"/>
    <col min="8461" max="8461" width="12.453125" style="4" hidden="1"/>
    <col min="8462" max="8704" width="8.81640625" style="4" hidden="1"/>
    <col min="8705" max="8705" width="132.1796875" style="4" hidden="1"/>
    <col min="8706" max="8706" width="86.81640625" style="4" hidden="1"/>
    <col min="8707" max="8707" width="3.453125" style="4" hidden="1"/>
    <col min="8708" max="8708" width="14" style="4" hidden="1"/>
    <col min="8709" max="8709" width="90.81640625" style="4" hidden="1"/>
    <col min="8710" max="8715" width="12.81640625" style="4" hidden="1"/>
    <col min="8716" max="8716" width="13.81640625" style="4" hidden="1"/>
    <col min="8717" max="8717" width="12.453125" style="4" hidden="1"/>
    <col min="8718" max="8960" width="8.81640625" style="4" hidden="1"/>
    <col min="8961" max="8961" width="132.1796875" style="4" hidden="1"/>
    <col min="8962" max="8962" width="86.81640625" style="4" hidden="1"/>
    <col min="8963" max="8963" width="3.453125" style="4" hidden="1"/>
    <col min="8964" max="8964" width="14" style="4" hidden="1"/>
    <col min="8965" max="8965" width="90.81640625" style="4" hidden="1"/>
    <col min="8966" max="8971" width="12.81640625" style="4" hidden="1"/>
    <col min="8972" max="8972" width="13.81640625" style="4" hidden="1"/>
    <col min="8973" max="8973" width="12.453125" style="4" hidden="1"/>
    <col min="8974" max="9216" width="8.81640625" style="4" hidden="1"/>
    <col min="9217" max="9217" width="132.1796875" style="4" hidden="1"/>
    <col min="9218" max="9218" width="86.81640625" style="4" hidden="1"/>
    <col min="9219" max="9219" width="3.453125" style="4" hidden="1"/>
    <col min="9220" max="9220" width="14" style="4" hidden="1"/>
    <col min="9221" max="9221" width="90.81640625" style="4" hidden="1"/>
    <col min="9222" max="9227" width="12.81640625" style="4" hidden="1"/>
    <col min="9228" max="9228" width="13.81640625" style="4" hidden="1"/>
    <col min="9229" max="9229" width="12.453125" style="4" hidden="1"/>
    <col min="9230" max="9472" width="8.81640625" style="4" hidden="1"/>
    <col min="9473" max="9473" width="132.1796875" style="4" hidden="1"/>
    <col min="9474" max="9474" width="86.81640625" style="4" hidden="1"/>
    <col min="9475" max="9475" width="3.453125" style="4" hidden="1"/>
    <col min="9476" max="9476" width="14" style="4" hidden="1"/>
    <col min="9477" max="9477" width="90.81640625" style="4" hidden="1"/>
    <col min="9478" max="9483" width="12.81640625" style="4" hidden="1"/>
    <col min="9484" max="9484" width="13.81640625" style="4" hidden="1"/>
    <col min="9485" max="9485" width="12.453125" style="4" hidden="1"/>
    <col min="9486" max="9728" width="8.81640625" style="4" hidden="1"/>
    <col min="9729" max="9729" width="132.1796875" style="4" hidden="1"/>
    <col min="9730" max="9730" width="86.81640625" style="4" hidden="1"/>
    <col min="9731" max="9731" width="3.453125" style="4" hidden="1"/>
    <col min="9732" max="9732" width="14" style="4" hidden="1"/>
    <col min="9733" max="9733" width="90.81640625" style="4" hidden="1"/>
    <col min="9734" max="9739" width="12.81640625" style="4" hidden="1"/>
    <col min="9740" max="9740" width="13.81640625" style="4" hidden="1"/>
    <col min="9741" max="9741" width="12.453125" style="4" hidden="1"/>
    <col min="9742" max="9984" width="8.81640625" style="4" hidden="1"/>
    <col min="9985" max="9985" width="132.1796875" style="4" hidden="1"/>
    <col min="9986" max="9986" width="86.81640625" style="4" hidden="1"/>
    <col min="9987" max="9987" width="3.453125" style="4" hidden="1"/>
    <col min="9988" max="9988" width="14" style="4" hidden="1"/>
    <col min="9989" max="9989" width="90.81640625" style="4" hidden="1"/>
    <col min="9990" max="9995" width="12.81640625" style="4" hidden="1"/>
    <col min="9996" max="9996" width="13.81640625" style="4" hidden="1"/>
    <col min="9997" max="9997" width="12.453125" style="4" hidden="1"/>
    <col min="9998" max="10240" width="8.81640625" style="4" hidden="1"/>
    <col min="10241" max="10241" width="132.1796875" style="4" hidden="1"/>
    <col min="10242" max="10242" width="86.81640625" style="4" hidden="1"/>
    <col min="10243" max="10243" width="3.453125" style="4" hidden="1"/>
    <col min="10244" max="10244" width="14" style="4" hidden="1"/>
    <col min="10245" max="10245" width="90.81640625" style="4" hidden="1"/>
    <col min="10246" max="10251" width="12.81640625" style="4" hidden="1"/>
    <col min="10252" max="10252" width="13.81640625" style="4" hidden="1"/>
    <col min="10253" max="10253" width="12.453125" style="4" hidden="1"/>
    <col min="10254" max="10496" width="8.81640625" style="4" hidden="1"/>
    <col min="10497" max="10497" width="132.1796875" style="4" hidden="1"/>
    <col min="10498" max="10498" width="86.81640625" style="4" hidden="1"/>
    <col min="10499" max="10499" width="3.453125" style="4" hidden="1"/>
    <col min="10500" max="10500" width="14" style="4" hidden="1"/>
    <col min="10501" max="10501" width="90.81640625" style="4" hidden="1"/>
    <col min="10502" max="10507" width="12.81640625" style="4" hidden="1"/>
    <col min="10508" max="10508" width="13.81640625" style="4" hidden="1"/>
    <col min="10509" max="10509" width="12.453125" style="4" hidden="1"/>
    <col min="10510" max="10752" width="8.81640625" style="4" hidden="1"/>
    <col min="10753" max="10753" width="132.1796875" style="4" hidden="1"/>
    <col min="10754" max="10754" width="86.81640625" style="4" hidden="1"/>
    <col min="10755" max="10755" width="3.453125" style="4" hidden="1"/>
    <col min="10756" max="10756" width="14" style="4" hidden="1"/>
    <col min="10757" max="10757" width="90.81640625" style="4" hidden="1"/>
    <col min="10758" max="10763" width="12.81640625" style="4" hidden="1"/>
    <col min="10764" max="10764" width="13.81640625" style="4" hidden="1"/>
    <col min="10765" max="10765" width="12.453125" style="4" hidden="1"/>
    <col min="10766" max="11008" width="8.81640625" style="4" hidden="1"/>
    <col min="11009" max="11009" width="132.1796875" style="4" hidden="1"/>
    <col min="11010" max="11010" width="86.81640625" style="4" hidden="1"/>
    <col min="11011" max="11011" width="3.453125" style="4" hidden="1"/>
    <col min="11012" max="11012" width="14" style="4" hidden="1"/>
    <col min="11013" max="11013" width="90.81640625" style="4" hidden="1"/>
    <col min="11014" max="11019" width="12.81640625" style="4" hidden="1"/>
    <col min="11020" max="11020" width="13.81640625" style="4" hidden="1"/>
    <col min="11021" max="11021" width="12.453125" style="4" hidden="1"/>
    <col min="11022" max="11264" width="8.81640625" style="4" hidden="1"/>
    <col min="11265" max="11265" width="132.1796875" style="4" hidden="1"/>
    <col min="11266" max="11266" width="86.81640625" style="4" hidden="1"/>
    <col min="11267" max="11267" width="3.453125" style="4" hidden="1"/>
    <col min="11268" max="11268" width="14" style="4" hidden="1"/>
    <col min="11269" max="11269" width="90.81640625" style="4" hidden="1"/>
    <col min="11270" max="11275" width="12.81640625" style="4" hidden="1"/>
    <col min="11276" max="11276" width="13.81640625" style="4" hidden="1"/>
    <col min="11277" max="11277" width="12.453125" style="4" hidden="1"/>
    <col min="11278" max="11520" width="8.81640625" style="4" hidden="1"/>
    <col min="11521" max="11521" width="132.1796875" style="4" hidden="1"/>
    <col min="11522" max="11522" width="86.81640625" style="4" hidden="1"/>
    <col min="11523" max="11523" width="3.453125" style="4" hidden="1"/>
    <col min="11524" max="11524" width="14" style="4" hidden="1"/>
    <col min="11525" max="11525" width="90.81640625" style="4" hidden="1"/>
    <col min="11526" max="11531" width="12.81640625" style="4" hidden="1"/>
    <col min="11532" max="11532" width="13.81640625" style="4" hidden="1"/>
    <col min="11533" max="11533" width="12.453125" style="4" hidden="1"/>
    <col min="11534" max="11776" width="8.81640625" style="4" hidden="1"/>
    <col min="11777" max="11777" width="132.1796875" style="4" hidden="1"/>
    <col min="11778" max="11778" width="86.81640625" style="4" hidden="1"/>
    <col min="11779" max="11779" width="3.453125" style="4" hidden="1"/>
    <col min="11780" max="11780" width="14" style="4" hidden="1"/>
    <col min="11781" max="11781" width="90.81640625" style="4" hidden="1"/>
    <col min="11782" max="11787" width="12.81640625" style="4" hidden="1"/>
    <col min="11788" max="11788" width="13.81640625" style="4" hidden="1"/>
    <col min="11789" max="11789" width="12.453125" style="4" hidden="1"/>
    <col min="11790" max="12032" width="8.81640625" style="4" hidden="1"/>
    <col min="12033" max="12033" width="132.1796875" style="4" hidden="1"/>
    <col min="12034" max="12034" width="86.81640625" style="4" hidden="1"/>
    <col min="12035" max="12035" width="3.453125" style="4" hidden="1"/>
    <col min="12036" max="12036" width="14" style="4" hidden="1"/>
    <col min="12037" max="12037" width="90.81640625" style="4" hidden="1"/>
    <col min="12038" max="12043" width="12.81640625" style="4" hidden="1"/>
    <col min="12044" max="12044" width="13.81640625" style="4" hidden="1"/>
    <col min="12045" max="12045" width="12.453125" style="4" hidden="1"/>
    <col min="12046" max="12288" width="8.81640625" style="4" hidden="1"/>
    <col min="12289" max="12289" width="132.1796875" style="4" hidden="1"/>
    <col min="12290" max="12290" width="86.81640625" style="4" hidden="1"/>
    <col min="12291" max="12291" width="3.453125" style="4" hidden="1"/>
    <col min="12292" max="12292" width="14" style="4" hidden="1"/>
    <col min="12293" max="12293" width="90.81640625" style="4" hidden="1"/>
    <col min="12294" max="12299" width="12.81640625" style="4" hidden="1"/>
    <col min="12300" max="12300" width="13.81640625" style="4" hidden="1"/>
    <col min="12301" max="12301" width="12.453125" style="4" hidden="1"/>
    <col min="12302" max="12544" width="8.81640625" style="4" hidden="1"/>
    <col min="12545" max="12545" width="132.1796875" style="4" hidden="1"/>
    <col min="12546" max="12546" width="86.81640625" style="4" hidden="1"/>
    <col min="12547" max="12547" width="3.453125" style="4" hidden="1"/>
    <col min="12548" max="12548" width="14" style="4" hidden="1"/>
    <col min="12549" max="12549" width="90.81640625" style="4" hidden="1"/>
    <col min="12550" max="12555" width="12.81640625" style="4" hidden="1"/>
    <col min="12556" max="12556" width="13.81640625" style="4" hidden="1"/>
    <col min="12557" max="12557" width="12.453125" style="4" hidden="1"/>
    <col min="12558" max="12800" width="8.81640625" style="4" hidden="1"/>
    <col min="12801" max="12801" width="132.1796875" style="4" hidden="1"/>
    <col min="12802" max="12802" width="86.81640625" style="4" hidden="1"/>
    <col min="12803" max="12803" width="3.453125" style="4" hidden="1"/>
    <col min="12804" max="12804" width="14" style="4" hidden="1"/>
    <col min="12805" max="12805" width="90.81640625" style="4" hidden="1"/>
    <col min="12806" max="12811" width="12.81640625" style="4" hidden="1"/>
    <col min="12812" max="12812" width="13.81640625" style="4" hidden="1"/>
    <col min="12813" max="12813" width="12.453125" style="4" hidden="1"/>
    <col min="12814" max="13056" width="8.81640625" style="4" hidden="1"/>
    <col min="13057" max="13057" width="132.1796875" style="4" hidden="1"/>
    <col min="13058" max="13058" width="86.81640625" style="4" hidden="1"/>
    <col min="13059" max="13059" width="3.453125" style="4" hidden="1"/>
    <col min="13060" max="13060" width="14" style="4" hidden="1"/>
    <col min="13061" max="13061" width="90.81640625" style="4" hidden="1"/>
    <col min="13062" max="13067" width="12.81640625" style="4" hidden="1"/>
    <col min="13068" max="13068" width="13.81640625" style="4" hidden="1"/>
    <col min="13069" max="13069" width="12.453125" style="4" hidden="1"/>
    <col min="13070" max="13312" width="8.81640625" style="4" hidden="1"/>
    <col min="13313" max="13313" width="132.1796875" style="4" hidden="1"/>
    <col min="13314" max="13314" width="86.81640625" style="4" hidden="1"/>
    <col min="13315" max="13315" width="3.453125" style="4" hidden="1"/>
    <col min="13316" max="13316" width="14" style="4" hidden="1"/>
    <col min="13317" max="13317" width="90.81640625" style="4" hidden="1"/>
    <col min="13318" max="13323" width="12.81640625" style="4" hidden="1"/>
    <col min="13324" max="13324" width="13.81640625" style="4" hidden="1"/>
    <col min="13325" max="13325" width="12.453125" style="4" hidden="1"/>
    <col min="13326" max="13568" width="8.81640625" style="4" hidden="1"/>
    <col min="13569" max="13569" width="132.1796875" style="4" hidden="1"/>
    <col min="13570" max="13570" width="86.81640625" style="4" hidden="1"/>
    <col min="13571" max="13571" width="3.453125" style="4" hidden="1"/>
    <col min="13572" max="13572" width="14" style="4" hidden="1"/>
    <col min="13573" max="13573" width="90.81640625" style="4" hidden="1"/>
    <col min="13574" max="13579" width="12.81640625" style="4" hidden="1"/>
    <col min="13580" max="13580" width="13.81640625" style="4" hidden="1"/>
    <col min="13581" max="13581" width="12.453125" style="4" hidden="1"/>
    <col min="13582" max="13824" width="8.81640625" style="4" hidden="1"/>
    <col min="13825" max="13825" width="132.1796875" style="4" hidden="1"/>
    <col min="13826" max="13826" width="86.81640625" style="4" hidden="1"/>
    <col min="13827" max="13827" width="3.453125" style="4" hidden="1"/>
    <col min="13828" max="13828" width="14" style="4" hidden="1"/>
    <col min="13829" max="13829" width="90.81640625" style="4" hidden="1"/>
    <col min="13830" max="13835" width="12.81640625" style="4" hidden="1"/>
    <col min="13836" max="13836" width="13.81640625" style="4" hidden="1"/>
    <col min="13837" max="13837" width="12.453125" style="4" hidden="1"/>
    <col min="13838" max="14080" width="8.81640625" style="4" hidden="1"/>
    <col min="14081" max="14081" width="132.1796875" style="4" hidden="1"/>
    <col min="14082" max="14082" width="86.81640625" style="4" hidden="1"/>
    <col min="14083" max="14083" width="3.453125" style="4" hidden="1"/>
    <col min="14084" max="14084" width="14" style="4" hidden="1"/>
    <col min="14085" max="14085" width="90.81640625" style="4" hidden="1"/>
    <col min="14086" max="14091" width="12.81640625" style="4" hidden="1"/>
    <col min="14092" max="14092" width="13.81640625" style="4" hidden="1"/>
    <col min="14093" max="14093" width="12.453125" style="4" hidden="1"/>
    <col min="14094" max="14336" width="8.81640625" style="4" hidden="1"/>
    <col min="14337" max="14337" width="132.1796875" style="4" hidden="1"/>
    <col min="14338" max="14338" width="86.81640625" style="4" hidden="1"/>
    <col min="14339" max="14339" width="3.453125" style="4" hidden="1"/>
    <col min="14340" max="14340" width="14" style="4" hidden="1"/>
    <col min="14341" max="14341" width="90.81640625" style="4" hidden="1"/>
    <col min="14342" max="14347" width="12.81640625" style="4" hidden="1"/>
    <col min="14348" max="14348" width="13.81640625" style="4" hidden="1"/>
    <col min="14349" max="14349" width="12.453125" style="4" hidden="1"/>
    <col min="14350" max="14592" width="8.81640625" style="4" hidden="1"/>
    <col min="14593" max="14593" width="132.1796875" style="4" hidden="1"/>
    <col min="14594" max="14594" width="86.81640625" style="4" hidden="1"/>
    <col min="14595" max="14595" width="3.453125" style="4" hidden="1"/>
    <col min="14596" max="14596" width="14" style="4" hidden="1"/>
    <col min="14597" max="14597" width="90.81640625" style="4" hidden="1"/>
    <col min="14598" max="14603" width="12.81640625" style="4" hidden="1"/>
    <col min="14604" max="14604" width="13.81640625" style="4" hidden="1"/>
    <col min="14605" max="14605" width="12.453125" style="4" hidden="1"/>
    <col min="14606" max="14848" width="8.81640625" style="4" hidden="1"/>
    <col min="14849" max="14849" width="132.1796875" style="4" hidden="1"/>
    <col min="14850" max="14850" width="86.81640625" style="4" hidden="1"/>
    <col min="14851" max="14851" width="3.453125" style="4" hidden="1"/>
    <col min="14852" max="14852" width="14" style="4" hidden="1"/>
    <col min="14853" max="14853" width="90.81640625" style="4" hidden="1"/>
    <col min="14854" max="14859" width="12.81640625" style="4" hidden="1"/>
    <col min="14860" max="14860" width="13.81640625" style="4" hidden="1"/>
    <col min="14861" max="14861" width="12.453125" style="4" hidden="1"/>
    <col min="14862" max="15104" width="8.81640625" style="4" hidden="1"/>
    <col min="15105" max="15105" width="132.1796875" style="4" hidden="1"/>
    <col min="15106" max="15106" width="86.81640625" style="4" hidden="1"/>
    <col min="15107" max="15107" width="3.453125" style="4" hidden="1"/>
    <col min="15108" max="15108" width="14" style="4" hidden="1"/>
    <col min="15109" max="15109" width="90.81640625" style="4" hidden="1"/>
    <col min="15110" max="15115" width="12.81640625" style="4" hidden="1"/>
    <col min="15116" max="15116" width="13.81640625" style="4" hidden="1"/>
    <col min="15117" max="15117" width="12.453125" style="4" hidden="1"/>
    <col min="15118" max="15360" width="8.81640625" style="4" hidden="1"/>
    <col min="15361" max="15361" width="132.1796875" style="4" hidden="1"/>
    <col min="15362" max="15362" width="86.81640625" style="4" hidden="1"/>
    <col min="15363" max="15363" width="3.453125" style="4" hidden="1"/>
    <col min="15364" max="15364" width="14" style="4" hidden="1"/>
    <col min="15365" max="15365" width="90.81640625" style="4" hidden="1"/>
    <col min="15366" max="15371" width="12.81640625" style="4" hidden="1"/>
    <col min="15372" max="15372" width="13.81640625" style="4" hidden="1"/>
    <col min="15373" max="15373" width="12.453125" style="4" hidden="1"/>
    <col min="15374" max="15616" width="8.81640625" style="4" hidden="1"/>
    <col min="15617" max="15617" width="132.1796875" style="4" hidden="1"/>
    <col min="15618" max="15618" width="86.81640625" style="4" hidden="1"/>
    <col min="15619" max="15619" width="3.453125" style="4" hidden="1"/>
    <col min="15620" max="15620" width="14" style="4" hidden="1"/>
    <col min="15621" max="15621" width="90.81640625" style="4" hidden="1"/>
    <col min="15622" max="15627" width="12.81640625" style="4" hidden="1"/>
    <col min="15628" max="15628" width="13.81640625" style="4" hidden="1"/>
    <col min="15629" max="15629" width="12.453125" style="4" hidden="1"/>
    <col min="15630" max="15872" width="8.81640625" style="4" hidden="1"/>
    <col min="15873" max="15873" width="132.1796875" style="4" hidden="1"/>
    <col min="15874" max="15874" width="86.81640625" style="4" hidden="1"/>
    <col min="15875" max="15875" width="3.453125" style="4" hidden="1"/>
    <col min="15876" max="15876" width="14" style="4" hidden="1"/>
    <col min="15877" max="15877" width="90.81640625" style="4" hidden="1"/>
    <col min="15878" max="15883" width="12.81640625" style="4" hidden="1"/>
    <col min="15884" max="15884" width="13.81640625" style="4" hidden="1"/>
    <col min="15885" max="15885" width="12.453125" style="4" hidden="1"/>
    <col min="15886" max="16128" width="8.81640625" style="4" hidden="1"/>
    <col min="16129" max="16129" width="132.1796875" style="4" hidden="1"/>
    <col min="16130" max="16130" width="86.81640625" style="4" hidden="1"/>
    <col min="16131" max="16131" width="3.453125" style="4" hidden="1"/>
    <col min="16132" max="16132" width="14" style="4" hidden="1"/>
    <col min="16133" max="16133" width="90.81640625" style="4" hidden="1"/>
    <col min="16134" max="16139" width="12.81640625" style="4" hidden="1"/>
    <col min="16140" max="16140" width="13.81640625" style="4" hidden="1"/>
    <col min="16141" max="16141" width="12.453125" style="4" hidden="1"/>
    <col min="16142" max="16384" width="8.81640625" style="4" hidden="1"/>
  </cols>
  <sheetData>
    <row r="1" spans="1:12" ht="45" x14ac:dyDescent="0.9">
      <c r="A1" s="26" t="str">
        <f>Invulinstructie_disclaimer!A2</f>
        <v>Model haalbaarheidsstudie SDE++ 2026</v>
      </c>
      <c r="B1" s="58"/>
      <c r="F1" s="27"/>
    </row>
    <row r="2" spans="1:12" ht="11.25" customHeight="1" x14ac:dyDescent="0.9">
      <c r="A2" s="26"/>
      <c r="F2" s="27"/>
    </row>
    <row r="3" spans="1:12" ht="20.149999999999999" customHeight="1" x14ac:dyDescent="0.4">
      <c r="A3" s="28" t="s">
        <v>125</v>
      </c>
      <c r="D3" s="28"/>
      <c r="F3" s="29"/>
    </row>
    <row r="4" spans="1:12" ht="28.5" customHeight="1" x14ac:dyDescent="0.4">
      <c r="A4" s="29"/>
      <c r="F4" s="29"/>
    </row>
    <row r="5" spans="1:12" x14ac:dyDescent="0.35">
      <c r="A5" s="12" t="str">
        <f>"Projectnaam                    "&amp;Productie_en_afzet!B6</f>
        <v xml:space="preserve">Projectnaam                    </v>
      </c>
      <c r="B5" s="12"/>
      <c r="C5" s="12"/>
    </row>
    <row r="6" spans="1:12" x14ac:dyDescent="0.35">
      <c r="A6" s="12" t="str">
        <f>"Categorie SDE+               "&amp;Hulpblad_categorieën_parameters!D82</f>
        <v>Categorie SDE+               Zon-PV ≥ 15 kWp en &lt; 1 MWp aansluiting &gt; 3*80 A, gebouwgebonden (net = 50%)</v>
      </c>
      <c r="B6" s="12"/>
      <c r="C6" s="12"/>
    </row>
    <row r="7" spans="1:12" ht="26.25" customHeight="1" x14ac:dyDescent="0.35">
      <c r="A7" s="30"/>
      <c r="D7" s="30"/>
      <c r="E7" s="30"/>
      <c r="F7" s="30"/>
      <c r="G7" s="30"/>
      <c r="H7" s="30"/>
      <c r="I7" s="30"/>
      <c r="J7" s="30"/>
      <c r="K7" s="30"/>
      <c r="L7" s="30"/>
    </row>
    <row r="8" spans="1:12" ht="18" x14ac:dyDescent="0.4">
      <c r="A8" s="28" t="s">
        <v>126</v>
      </c>
    </row>
    <row r="9" spans="1:12" ht="18" x14ac:dyDescent="0.4">
      <c r="A9" s="28"/>
    </row>
    <row r="10" spans="1:12" x14ac:dyDescent="0.35">
      <c r="A10" s="30" t="s">
        <v>127</v>
      </c>
    </row>
    <row r="11" spans="1:12" ht="12.75" customHeight="1" x14ac:dyDescent="0.35">
      <c r="A11" s="100" t="str">
        <f>Financiering_en_projectplan!H56</f>
        <v/>
      </c>
      <c r="B11" s="4"/>
      <c r="C11" s="40"/>
    </row>
    <row r="12" spans="1:12" ht="12.75" customHeight="1" x14ac:dyDescent="0.35">
      <c r="A12" s="30"/>
      <c r="B12" s="101"/>
      <c r="C12" s="40"/>
    </row>
    <row r="13" spans="1:12" x14ac:dyDescent="0.35">
      <c r="A13" s="102" t="s">
        <v>128</v>
      </c>
      <c r="B13" s="4"/>
      <c r="C13" s="40"/>
    </row>
    <row r="14" spans="1:12" ht="15" customHeight="1" x14ac:dyDescent="0.35">
      <c r="A14" s="100" t="str">
        <f>Financiering_en_projectplan!H15</f>
        <v>Voeg de meest recente (concept) jaarrekening van de aanvrager toe.</v>
      </c>
      <c r="B14" s="40"/>
      <c r="C14" s="40"/>
    </row>
    <row r="15" spans="1:12" x14ac:dyDescent="0.35">
      <c r="A15" s="50"/>
      <c r="B15" s="40"/>
      <c r="C15" s="40"/>
    </row>
    <row r="16" spans="1:12" x14ac:dyDescent="0.35">
      <c r="A16" s="30" t="s">
        <v>129</v>
      </c>
      <c r="B16" s="4"/>
      <c r="C16" s="40"/>
    </row>
    <row r="17" spans="1:12" x14ac:dyDescent="0.35">
      <c r="A17" s="104" t="str">
        <f>Financiering_en_projectplan!H61</f>
        <v/>
      </c>
      <c r="B17" s="4"/>
      <c r="C17" s="40"/>
      <c r="D17" s="14"/>
      <c r="F17" s="38"/>
      <c r="G17" s="38"/>
      <c r="H17" s="38"/>
      <c r="I17" s="38"/>
      <c r="J17" s="38"/>
      <c r="K17" s="38"/>
      <c r="L17" s="38"/>
    </row>
    <row r="18" spans="1:12" x14ac:dyDescent="0.35">
      <c r="A18" s="105" t="str">
        <f>Financiering_en_projectplan!H62</f>
        <v/>
      </c>
      <c r="B18" s="4"/>
      <c r="C18" s="40"/>
      <c r="D18" s="57"/>
      <c r="F18" s="38"/>
      <c r="G18" s="38"/>
      <c r="H18" s="38"/>
      <c r="I18" s="38"/>
      <c r="J18" s="38"/>
      <c r="K18" s="38"/>
      <c r="L18" s="38"/>
    </row>
    <row r="19" spans="1:12" x14ac:dyDescent="0.35">
      <c r="A19" s="105" t="str">
        <f>Financiering_en_projectplan!H63</f>
        <v/>
      </c>
      <c r="B19" s="4"/>
      <c r="C19" s="40"/>
      <c r="D19" s="57"/>
      <c r="F19" s="38"/>
      <c r="G19" s="38"/>
      <c r="H19" s="38"/>
      <c r="I19" s="38"/>
      <c r="J19" s="38"/>
      <c r="K19" s="38"/>
      <c r="L19" s="38"/>
    </row>
    <row r="20" spans="1:12" x14ac:dyDescent="0.35">
      <c r="A20" s="105" t="str">
        <f>Financiering_en_projectplan!H64</f>
        <v/>
      </c>
      <c r="B20" s="4"/>
      <c r="C20" s="40"/>
      <c r="D20" s="57"/>
      <c r="F20" s="38"/>
      <c r="G20" s="38"/>
      <c r="H20" s="38"/>
      <c r="I20" s="38"/>
      <c r="J20" s="38"/>
      <c r="K20" s="38"/>
      <c r="L20" s="38"/>
    </row>
    <row r="21" spans="1:12" x14ac:dyDescent="0.35">
      <c r="A21" s="105" t="str">
        <f>Financiering_en_projectplan!H65</f>
        <v/>
      </c>
      <c r="B21" s="4"/>
      <c r="C21" s="40"/>
      <c r="D21" s="57"/>
      <c r="F21" s="38"/>
      <c r="G21" s="38"/>
      <c r="H21" s="38"/>
      <c r="I21" s="38"/>
      <c r="J21" s="38"/>
      <c r="K21" s="38"/>
      <c r="L21" s="38"/>
    </row>
    <row r="22" spans="1:12" x14ac:dyDescent="0.35">
      <c r="A22" s="105" t="str">
        <f>Financiering_en_projectplan!H66</f>
        <v/>
      </c>
      <c r="B22" s="4"/>
      <c r="C22" s="40"/>
      <c r="D22" s="14"/>
      <c r="E22" s="38"/>
      <c r="F22" s="38"/>
      <c r="G22" s="38"/>
      <c r="H22" s="38"/>
      <c r="I22" s="38"/>
      <c r="J22" s="38"/>
      <c r="K22" s="38"/>
      <c r="L22" s="38"/>
    </row>
    <row r="23" spans="1:12" x14ac:dyDescent="0.35">
      <c r="A23" s="105" t="str">
        <f>Financiering_en_projectplan!H67</f>
        <v/>
      </c>
      <c r="B23" s="4"/>
      <c r="C23" s="40"/>
      <c r="D23" s="14"/>
      <c r="E23" s="38"/>
      <c r="F23" s="38"/>
      <c r="G23" s="38"/>
      <c r="H23" s="38"/>
      <c r="I23" s="38"/>
      <c r="J23" s="38"/>
      <c r="K23" s="38"/>
      <c r="L23" s="38"/>
    </row>
    <row r="24" spans="1:12" x14ac:dyDescent="0.35">
      <c r="A24" s="105" t="str">
        <f>Financiering_en_projectplan!H68</f>
        <v/>
      </c>
      <c r="B24" s="4"/>
      <c r="C24" s="40"/>
      <c r="E24" s="38"/>
      <c r="F24" s="38"/>
      <c r="G24" s="38"/>
      <c r="H24" s="38"/>
      <c r="I24" s="38"/>
      <c r="J24" s="38"/>
      <c r="K24" s="38"/>
      <c r="L24" s="38"/>
    </row>
    <row r="25" spans="1:12" x14ac:dyDescent="0.35">
      <c r="A25" s="105" t="str">
        <f>Financiering_en_projectplan!H69</f>
        <v/>
      </c>
      <c r="B25" s="4"/>
      <c r="C25" s="40"/>
      <c r="D25" s="14"/>
      <c r="E25" s="38"/>
      <c r="F25" s="38"/>
      <c r="G25" s="38"/>
      <c r="H25" s="38"/>
      <c r="I25" s="38"/>
      <c r="J25" s="38"/>
      <c r="K25" s="38"/>
      <c r="L25" s="38"/>
    </row>
    <row r="26" spans="1:12" x14ac:dyDescent="0.35">
      <c r="A26" s="106" t="str">
        <f>Financiering_en_projectplan!H70</f>
        <v/>
      </c>
      <c r="B26" s="40"/>
      <c r="C26" s="40"/>
      <c r="D26" s="14"/>
      <c r="E26" s="38"/>
      <c r="F26" s="38"/>
      <c r="G26" s="38"/>
      <c r="H26" s="38"/>
      <c r="I26" s="38"/>
      <c r="J26" s="38"/>
      <c r="K26" s="38"/>
      <c r="L26" s="38"/>
    </row>
    <row r="27" spans="1:12" x14ac:dyDescent="0.35">
      <c r="A27" s="40"/>
      <c r="B27" s="40"/>
      <c r="C27" s="40"/>
      <c r="D27" s="14"/>
      <c r="E27" s="38"/>
      <c r="F27" s="38"/>
      <c r="G27" s="38"/>
      <c r="H27" s="38"/>
      <c r="I27" s="38"/>
      <c r="J27" s="38"/>
      <c r="K27" s="38"/>
      <c r="L27" s="38"/>
    </row>
    <row r="28" spans="1:12" x14ac:dyDescent="0.35">
      <c r="A28" s="30" t="s">
        <v>130</v>
      </c>
      <c r="B28" s="4"/>
      <c r="C28" s="40"/>
      <c r="D28" s="14"/>
      <c r="E28" s="38"/>
      <c r="F28" s="38"/>
      <c r="G28" s="38"/>
      <c r="H28" s="38"/>
      <c r="I28" s="38"/>
      <c r="J28" s="38"/>
      <c r="K28" s="38"/>
      <c r="L28" s="38"/>
    </row>
    <row r="29" spans="1:12" x14ac:dyDescent="0.35">
      <c r="A29" s="104" t="str">
        <f>Financiering_en_projectplan!H72</f>
        <v/>
      </c>
      <c r="B29" s="4"/>
      <c r="C29" s="40"/>
      <c r="D29" s="14"/>
      <c r="E29" s="38"/>
      <c r="F29" s="38"/>
      <c r="G29" s="38"/>
      <c r="H29" s="38"/>
      <c r="I29" s="38"/>
      <c r="J29" s="38"/>
      <c r="K29" s="38"/>
      <c r="L29" s="38"/>
    </row>
    <row r="30" spans="1:12" x14ac:dyDescent="0.35">
      <c r="A30" s="105" t="str">
        <f>Financiering_en_projectplan!H73</f>
        <v/>
      </c>
      <c r="B30" s="4"/>
      <c r="C30" s="40"/>
      <c r="D30" s="14"/>
      <c r="E30" s="38"/>
      <c r="F30" s="38"/>
      <c r="G30" s="38"/>
      <c r="H30" s="38"/>
      <c r="I30" s="38"/>
      <c r="J30" s="38"/>
      <c r="K30" s="38"/>
      <c r="L30" s="38"/>
    </row>
    <row r="31" spans="1:12" x14ac:dyDescent="0.35">
      <c r="A31" s="105" t="str">
        <f>Financiering_en_projectplan!H74</f>
        <v/>
      </c>
      <c r="B31" s="4"/>
      <c r="C31" s="40"/>
      <c r="D31" s="14"/>
      <c r="E31" s="38"/>
      <c r="F31" s="38"/>
      <c r="G31" s="38"/>
      <c r="H31" s="38"/>
      <c r="I31" s="38"/>
      <c r="J31" s="38"/>
      <c r="K31" s="38"/>
      <c r="L31" s="38"/>
    </row>
    <row r="32" spans="1:12" x14ac:dyDescent="0.35">
      <c r="A32" s="105" t="str">
        <f>Financiering_en_projectplan!H75</f>
        <v/>
      </c>
      <c r="B32" s="4"/>
      <c r="C32" s="40"/>
      <c r="D32" s="14"/>
      <c r="E32" s="38"/>
      <c r="F32" s="38"/>
      <c r="G32" s="38"/>
      <c r="H32" s="38"/>
      <c r="I32" s="38"/>
      <c r="J32" s="38"/>
      <c r="K32" s="38"/>
      <c r="L32" s="38"/>
    </row>
    <row r="33" spans="1:12" x14ac:dyDescent="0.35">
      <c r="A33" s="106" t="str">
        <f>Financiering_en_projectplan!H76</f>
        <v/>
      </c>
      <c r="B33" s="40"/>
      <c r="C33" s="40"/>
      <c r="D33" s="14"/>
      <c r="E33" s="38"/>
      <c r="F33" s="38"/>
      <c r="G33" s="38"/>
      <c r="H33" s="38"/>
      <c r="I33" s="38"/>
      <c r="J33" s="38"/>
      <c r="K33" s="38"/>
      <c r="L33" s="38"/>
    </row>
    <row r="34" spans="1:12" x14ac:dyDescent="0.35">
      <c r="A34" s="40"/>
      <c r="B34" s="40"/>
      <c r="C34" s="40"/>
      <c r="D34" s="14"/>
      <c r="E34" s="38"/>
      <c r="F34" s="38"/>
      <c r="G34" s="38"/>
      <c r="H34" s="38"/>
      <c r="I34" s="38"/>
      <c r="J34" s="38"/>
      <c r="K34" s="38"/>
      <c r="L34" s="38"/>
    </row>
    <row r="35" spans="1:12" x14ac:dyDescent="0.35">
      <c r="A35" s="30" t="s">
        <v>131</v>
      </c>
      <c r="B35" s="4"/>
      <c r="C35" s="40"/>
      <c r="D35" s="14"/>
      <c r="E35" s="38"/>
      <c r="F35" s="38"/>
      <c r="G35" s="38"/>
      <c r="H35" s="38"/>
      <c r="I35" s="38"/>
      <c r="J35" s="38"/>
      <c r="K35" s="38"/>
      <c r="L35" s="38"/>
    </row>
    <row r="36" spans="1:12" ht="27.75" customHeight="1" x14ac:dyDescent="0.35">
      <c r="A36" s="107" t="str">
        <f>IF(Hulpblad_overig!B25=1,Financiering_en_projectplan!H58,"")</f>
        <v/>
      </c>
      <c r="B36" s="40"/>
      <c r="C36" s="40"/>
      <c r="D36" s="14"/>
      <c r="E36" s="38"/>
      <c r="F36" s="38"/>
      <c r="G36" s="38"/>
      <c r="H36" s="38"/>
      <c r="I36" s="38"/>
      <c r="J36" s="38"/>
      <c r="K36" s="38"/>
      <c r="L36" s="38"/>
    </row>
    <row r="37" spans="1:12" x14ac:dyDescent="0.35">
      <c r="A37" s="40"/>
      <c r="B37" s="40"/>
      <c r="C37" s="40"/>
      <c r="D37" s="14"/>
      <c r="E37" s="38"/>
      <c r="F37" s="38"/>
      <c r="G37" s="38"/>
      <c r="H37" s="38"/>
      <c r="I37" s="38"/>
      <c r="J37" s="38"/>
      <c r="K37" s="38"/>
      <c r="L37" s="38"/>
    </row>
    <row r="38" spans="1:12" x14ac:dyDescent="0.35">
      <c r="A38" s="30" t="s">
        <v>132</v>
      </c>
      <c r="B38" s="40"/>
      <c r="C38" s="40"/>
      <c r="D38" s="14"/>
      <c r="E38" s="38"/>
      <c r="F38" s="38"/>
      <c r="G38" s="38"/>
      <c r="H38" s="38"/>
      <c r="I38" s="38"/>
      <c r="J38" s="38"/>
      <c r="K38" s="38"/>
      <c r="L38" s="38"/>
    </row>
    <row r="39" spans="1:12" x14ac:dyDescent="0.35">
      <c r="A39" s="108" t="str">
        <f>IFERROR(IF(AND(Hulpblad_overig!B8=2,Financiering_en_projectplan!$E$13&lt;20%),"Voeg contract, offerte of intentieverklaring toe van financier ",IF(AND(Hulpblad_overig!B8=1,Financiering_en_projectplan!$G$78&lt;20%),"Voeg contract, offerte of intentieverklaring toe van financier "&amp;Financiering_en_projectplan!B84&amp;"","")),"")</f>
        <v/>
      </c>
      <c r="B39" s="40"/>
      <c r="C39" s="40"/>
      <c r="D39" s="14"/>
      <c r="E39" s="38"/>
      <c r="F39" s="38"/>
      <c r="G39" s="38"/>
      <c r="H39" s="38"/>
      <c r="I39" s="38"/>
      <c r="J39" s="38"/>
      <c r="K39" s="38"/>
      <c r="L39" s="38"/>
    </row>
    <row r="40" spans="1:12" x14ac:dyDescent="0.35">
      <c r="A40" s="109" t="str">
        <f>IFERROR(IF(AND(Financiering_en_projectplan!G85&gt;0,Financiering_en_projectplan!$G$78&lt;20%),"Voeg contract, offerte of intentieverklaring toe van financier "&amp;Financiering_en_projectplan!B85&amp;"",""),"")</f>
        <v/>
      </c>
      <c r="B40" s="40"/>
      <c r="C40" s="40"/>
      <c r="D40" s="14"/>
      <c r="E40" s="38"/>
      <c r="F40" s="38"/>
      <c r="G40" s="38"/>
      <c r="H40" s="38"/>
      <c r="I40" s="38"/>
      <c r="J40" s="38"/>
      <c r="K40" s="38"/>
      <c r="L40" s="38"/>
    </row>
    <row r="41" spans="1:12" x14ac:dyDescent="0.35">
      <c r="A41" s="105" t="str">
        <f>IFERROR(IF(AND(Financiering_en_projectplan!G86&gt;0,Financiering_en_projectplan!$G$78&lt;20%),"Voeg contract, offerte of intentieverklaring toe van financier "&amp;Financiering_en_projectplan!B86&amp;"",""),"")</f>
        <v/>
      </c>
      <c r="B41" s="40"/>
      <c r="C41" s="40"/>
      <c r="D41" s="14"/>
      <c r="E41" s="38"/>
      <c r="F41" s="38"/>
      <c r="G41" s="38"/>
      <c r="H41" s="38"/>
      <c r="I41" s="38"/>
      <c r="J41" s="38"/>
      <c r="K41" s="38"/>
      <c r="L41" s="38"/>
    </row>
    <row r="42" spans="1:12" x14ac:dyDescent="0.35">
      <c r="A42" s="105" t="str">
        <f>IFERROR(IF(AND(Financiering_en_projectplan!G87&gt;0,Financiering_en_projectplan!$G$78&lt;20%),"Voeg contract, offerte of intentieverklaring toe van financier "&amp;Financiering_en_projectplan!B87&amp;"",""),"")</f>
        <v/>
      </c>
      <c r="B42" s="40"/>
      <c r="C42" s="40"/>
      <c r="D42" s="14"/>
      <c r="E42" s="38"/>
      <c r="F42" s="38"/>
      <c r="G42" s="38"/>
      <c r="H42" s="38"/>
      <c r="I42" s="38"/>
      <c r="J42" s="38"/>
      <c r="K42" s="38"/>
      <c r="L42" s="38"/>
    </row>
    <row r="43" spans="1:12" x14ac:dyDescent="0.35">
      <c r="A43" s="105" t="str">
        <f>IFERROR(IF(AND(Financiering_en_projectplan!G88&gt;0,Financiering_en_projectplan!$G$78&lt;20%),"Voeg contract, offerte of intentieverklaring toe van financier "&amp;Financiering_en_projectplan!B88&amp;"",""),"")</f>
        <v/>
      </c>
      <c r="B43" s="40"/>
      <c r="C43" s="40"/>
      <c r="D43" s="14"/>
      <c r="E43" s="38"/>
      <c r="F43" s="38"/>
      <c r="G43" s="38"/>
      <c r="H43" s="38"/>
      <c r="I43" s="38"/>
      <c r="J43" s="38"/>
      <c r="K43" s="38"/>
      <c r="L43" s="38"/>
    </row>
    <row r="44" spans="1:12" x14ac:dyDescent="0.35">
      <c r="A44" s="105" t="str">
        <f>IFERROR(IF(AND(Financiering_en_projectplan!G89&gt;0,Financiering_en_projectplan!$G$78&lt;20%),"Voeg contract, offerte of intentieverklaring toe van financier "&amp;Financiering_en_projectplan!B89&amp;"",""),"")</f>
        <v/>
      </c>
      <c r="B44" s="40"/>
      <c r="C44" s="40"/>
      <c r="D44" s="14"/>
      <c r="E44" s="38"/>
      <c r="F44" s="38"/>
      <c r="G44" s="38"/>
      <c r="H44" s="38"/>
      <c r="I44" s="38"/>
      <c r="J44" s="38"/>
      <c r="K44" s="38"/>
      <c r="L44" s="38"/>
    </row>
    <row r="45" spans="1:12" x14ac:dyDescent="0.35">
      <c r="A45" s="105" t="str">
        <f>IFERROR(IF(AND(Financiering_en_projectplan!G90&gt;0,Financiering_en_projectplan!$G$78&lt;20%),"Voeg contract, offerte of intentieverklaring toe van financier "&amp;Financiering_en_projectplan!B90&amp;"",""),"")</f>
        <v/>
      </c>
      <c r="B45" s="40"/>
      <c r="C45" s="40"/>
      <c r="D45" s="14"/>
      <c r="E45" s="38"/>
      <c r="F45" s="38"/>
      <c r="G45" s="38"/>
      <c r="H45" s="38"/>
      <c r="I45" s="38"/>
      <c r="J45" s="38"/>
      <c r="K45" s="38"/>
      <c r="L45" s="38"/>
    </row>
    <row r="46" spans="1:12" x14ac:dyDescent="0.35">
      <c r="A46" s="105" t="str">
        <f>IFERROR(IF(AND(Financiering_en_projectplan!G91&gt;0,Financiering_en_projectplan!$G$78&lt;20%),"Voeg contract, offerte of intentieverklaring toe van financier "&amp;Financiering_en_projectplan!B91&amp;"",""),"")</f>
        <v/>
      </c>
      <c r="B46" s="40"/>
      <c r="C46" s="40"/>
      <c r="D46" s="14"/>
      <c r="E46" s="38"/>
      <c r="F46" s="38"/>
      <c r="G46" s="38"/>
      <c r="H46" s="38"/>
      <c r="I46" s="38"/>
      <c r="J46" s="38"/>
      <c r="K46" s="38"/>
      <c r="L46" s="38"/>
    </row>
    <row r="47" spans="1:12" x14ac:dyDescent="0.35">
      <c r="A47" s="105" t="str">
        <f>IFERROR(IF(AND(Financiering_en_projectplan!G92&gt;0,Financiering_en_projectplan!$G$78&lt;20%),"Voeg contract, offerte of intentieverklaring toe van financier "&amp;Financiering_en_projectplan!B92&amp;"",""),"")</f>
        <v/>
      </c>
      <c r="B47" s="40"/>
      <c r="C47" s="40"/>
      <c r="D47" s="14"/>
      <c r="E47" s="38"/>
      <c r="F47" s="38"/>
      <c r="G47" s="38"/>
      <c r="H47" s="38"/>
      <c r="I47" s="38"/>
      <c r="J47" s="38"/>
      <c r="K47" s="38"/>
      <c r="L47" s="38"/>
    </row>
    <row r="48" spans="1:12" x14ac:dyDescent="0.35">
      <c r="A48" s="106" t="str">
        <f>IFERROR(IF(AND(Financiering_en_projectplan!G93&gt;0,Financiering_en_projectplan!$G$78&lt;20%),"Voeg contract, offerte of intentieverklaring toe van financier "&amp;Financiering_en_projectplan!B93&amp;"",""),"")</f>
        <v/>
      </c>
      <c r="B48" s="40"/>
      <c r="C48" s="40"/>
      <c r="D48" s="14"/>
      <c r="E48" s="38"/>
      <c r="F48" s="38"/>
      <c r="G48" s="38"/>
      <c r="H48" s="38"/>
      <c r="I48" s="38"/>
      <c r="J48" s="38"/>
      <c r="K48" s="38"/>
      <c r="L48" s="38"/>
    </row>
    <row r="49" spans="1:12" x14ac:dyDescent="0.35">
      <c r="A49" s="12"/>
      <c r="B49" s="40"/>
      <c r="C49" s="40"/>
      <c r="D49" s="14"/>
      <c r="E49" s="38"/>
      <c r="F49" s="38"/>
      <c r="G49" s="38"/>
      <c r="H49" s="38"/>
      <c r="I49" s="38"/>
      <c r="J49" s="38"/>
      <c r="K49" s="38"/>
      <c r="L49" s="38"/>
    </row>
    <row r="50" spans="1:12" x14ac:dyDescent="0.35">
      <c r="D50" s="14"/>
      <c r="E50" s="38"/>
      <c r="F50" s="38"/>
      <c r="G50" s="38"/>
      <c r="H50" s="38"/>
      <c r="I50" s="38"/>
      <c r="J50" s="38"/>
      <c r="K50" s="38"/>
      <c r="L50" s="38"/>
    </row>
    <row r="51" spans="1:12" ht="18" x14ac:dyDescent="0.4">
      <c r="A51" s="28" t="s">
        <v>133</v>
      </c>
      <c r="E51" s="38"/>
      <c r="F51" s="38"/>
      <c r="G51" s="38"/>
      <c r="H51" s="38"/>
      <c r="I51" s="38"/>
      <c r="J51" s="38"/>
      <c r="K51" s="38"/>
      <c r="L51" s="38"/>
    </row>
    <row r="52" spans="1:12" ht="44.25" customHeight="1" x14ac:dyDescent="0.35">
      <c r="A52" s="236" t="str">
        <f>VLOOKUP(Hulpblad_categorieën_parameters!D82,Hulpblad_categorieën_parameters!A88:AB349,25,FALSE)</f>
        <v xml:space="preserve">Voeg een gedetailleerde tekening op schaal waarop de aangevraagde Zon-PV-installatie nauwkeurig is ingetekend en een ‘Verklaring van een constructeur’ toe. </v>
      </c>
      <c r="B52" s="4"/>
      <c r="C52" s="40"/>
      <c r="E52" s="38"/>
      <c r="F52" s="38"/>
      <c r="G52" s="38"/>
      <c r="H52" s="38"/>
      <c r="I52" s="38"/>
      <c r="J52" s="38"/>
      <c r="K52" s="38"/>
      <c r="L52" s="38"/>
    </row>
    <row r="53" spans="1:12" ht="12.75" customHeight="1" x14ac:dyDescent="0.35">
      <c r="A53" s="106" t="str">
        <f>IF(Productie_en_afzet!A35="U gaat warmte leveren aan derden","Voeg een contract, samenwerkingsplannen of intentieverklaring voor de warmtelevering aan derden toe",IF(Productie_en_afzet!A47="U moet een Capaciteitsverklaring van de partij die de transport en opslag van CO₂ zal realiseren toevoegen aan de haalbaarheidsstudie.","Voeg een Capaciteitsverklaring van de partij die de transport en opslag van CO₂ zal realiseren toe",IF(Productie_en_afzet!A42="Niet van toepassing","","Voeg een een verklaring met prijsindicatie van de netbeheerder voor het invoeden van hernieuwbaar gas toe")))</f>
        <v/>
      </c>
      <c r="B53" s="4"/>
      <c r="C53" s="40"/>
      <c r="E53" s="38"/>
      <c r="F53" s="38"/>
      <c r="G53" s="38"/>
      <c r="H53" s="38"/>
      <c r="I53" s="38"/>
      <c r="J53" s="38"/>
      <c r="K53" s="38"/>
      <c r="L53" s="38"/>
    </row>
    <row r="54" spans="1:12" ht="12.75" customHeight="1" x14ac:dyDescent="0.35">
      <c r="A54" s="30"/>
      <c r="E54" s="42"/>
      <c r="F54" s="42"/>
      <c r="G54" s="42"/>
      <c r="H54" s="42"/>
      <c r="I54" s="42"/>
      <c r="J54" s="42"/>
      <c r="K54" s="42"/>
      <c r="L54" s="42"/>
    </row>
    <row r="55" spans="1:12" ht="12.75" customHeight="1" x14ac:dyDescent="0.4">
      <c r="A55" s="28"/>
      <c r="E55" s="38"/>
      <c r="F55" s="38"/>
      <c r="G55" s="38"/>
      <c r="H55" s="38"/>
      <c r="I55" s="38"/>
      <c r="J55" s="38"/>
      <c r="K55" s="38"/>
      <c r="L55" s="38"/>
    </row>
    <row r="56" spans="1:12" ht="18" x14ac:dyDescent="0.4">
      <c r="A56" s="28" t="s">
        <v>134</v>
      </c>
      <c r="E56" s="38"/>
      <c r="F56" s="38"/>
      <c r="G56" s="38"/>
      <c r="H56" s="38"/>
      <c r="I56" s="38"/>
      <c r="J56" s="38"/>
      <c r="K56" s="38"/>
      <c r="L56" s="38"/>
    </row>
    <row r="57" spans="1:12" ht="18" x14ac:dyDescent="0.4">
      <c r="A57" s="28"/>
      <c r="E57" s="38"/>
      <c r="F57" s="38"/>
      <c r="G57" s="38"/>
      <c r="H57" s="38"/>
      <c r="I57" s="38"/>
      <c r="J57" s="38"/>
      <c r="K57" s="38"/>
      <c r="L57" s="38"/>
    </row>
    <row r="58" spans="1:12" x14ac:dyDescent="0.35">
      <c r="A58" s="30" t="s">
        <v>532</v>
      </c>
      <c r="E58" s="38"/>
      <c r="F58" s="38"/>
      <c r="G58" s="38"/>
      <c r="H58" s="38"/>
      <c r="I58" s="38"/>
      <c r="J58" s="38"/>
      <c r="K58" s="38"/>
      <c r="L58" s="38"/>
    </row>
    <row r="59" spans="1:12" ht="30" customHeight="1" x14ac:dyDescent="0.35">
      <c r="A59" s="100" t="str">
        <f>Financiering_en_projectplan!H17</f>
        <v>Indien de onderneming deel uitmaakt van een groter verband (zoals een holding), voeg dan in aanvulling op de jaarrekening van de aanvrager zelf, de meest recente geconsolideerde (concept) jaarrekening toe (optioneel voor een sterkere haalbaarheidstudie).</v>
      </c>
      <c r="E59" s="38"/>
      <c r="F59" s="38"/>
      <c r="G59" s="38"/>
      <c r="H59" s="38"/>
      <c r="I59" s="38"/>
      <c r="J59" s="38"/>
      <c r="K59" s="38"/>
      <c r="L59" s="38"/>
    </row>
    <row r="60" spans="1:12" x14ac:dyDescent="0.35">
      <c r="E60" s="12"/>
      <c r="F60" s="38"/>
      <c r="G60" s="38"/>
      <c r="H60" s="38"/>
      <c r="I60" s="38"/>
      <c r="J60" s="38"/>
      <c r="K60" s="38"/>
      <c r="L60" s="38"/>
    </row>
    <row r="61" spans="1:12" ht="12.75" customHeight="1" x14ac:dyDescent="0.35">
      <c r="A61" s="30" t="s">
        <v>135</v>
      </c>
      <c r="B61" s="4"/>
      <c r="F61" s="38"/>
      <c r="G61" s="38"/>
      <c r="H61" s="38"/>
      <c r="I61" s="38"/>
      <c r="J61" s="38"/>
      <c r="K61" s="38"/>
      <c r="L61" s="38"/>
    </row>
    <row r="62" spans="1:12" ht="12.75" customHeight="1" x14ac:dyDescent="0.35">
      <c r="A62" s="104" t="str">
        <f>Financiering_en_projectplan!H30</f>
        <v/>
      </c>
      <c r="B62" s="4"/>
      <c r="F62" s="38"/>
      <c r="G62" s="38"/>
      <c r="H62" s="38"/>
      <c r="I62" s="38"/>
      <c r="J62" s="38"/>
      <c r="K62" s="38"/>
      <c r="L62" s="38"/>
    </row>
    <row r="63" spans="1:12" ht="12.75" customHeight="1" x14ac:dyDescent="0.35">
      <c r="A63" s="105" t="str">
        <f>Financiering_en_projectplan!H31</f>
        <v/>
      </c>
      <c r="B63" s="4"/>
      <c r="F63" s="38"/>
      <c r="G63" s="38"/>
      <c r="H63" s="38"/>
      <c r="I63" s="38"/>
      <c r="J63" s="38"/>
      <c r="K63" s="38"/>
      <c r="L63" s="38"/>
    </row>
    <row r="64" spans="1:12" ht="12.75" customHeight="1" x14ac:dyDescent="0.35">
      <c r="A64" s="105" t="str">
        <f>Financiering_en_projectplan!H32</f>
        <v/>
      </c>
      <c r="B64" s="4"/>
      <c r="F64" s="38"/>
      <c r="G64" s="38"/>
      <c r="H64" s="38"/>
      <c r="I64" s="38"/>
      <c r="J64" s="38"/>
      <c r="K64" s="38"/>
      <c r="L64" s="38"/>
    </row>
    <row r="65" spans="1:12" ht="12.75" customHeight="1" x14ac:dyDescent="0.35">
      <c r="A65" s="105" t="str">
        <f>Financiering_en_projectplan!H33</f>
        <v/>
      </c>
      <c r="B65" s="4"/>
      <c r="F65" s="65"/>
      <c r="G65" s="65"/>
      <c r="H65" s="65"/>
      <c r="I65" s="65"/>
      <c r="J65" s="65"/>
      <c r="K65" s="65"/>
      <c r="L65" s="65"/>
    </row>
    <row r="66" spans="1:12" ht="12.75" customHeight="1" x14ac:dyDescent="0.35">
      <c r="A66" s="105" t="str">
        <f>Financiering_en_projectplan!H34</f>
        <v/>
      </c>
      <c r="B66" s="4"/>
      <c r="F66" s="42"/>
      <c r="G66" s="42"/>
      <c r="H66" s="42"/>
      <c r="I66" s="42"/>
      <c r="J66" s="42"/>
      <c r="K66" s="42"/>
      <c r="L66" s="42"/>
    </row>
    <row r="67" spans="1:12" ht="12.75" customHeight="1" x14ac:dyDescent="0.35">
      <c r="A67" s="105" t="str">
        <f>Financiering_en_projectplan!H35</f>
        <v/>
      </c>
      <c r="B67" s="4"/>
      <c r="F67" s="42"/>
      <c r="G67" s="42"/>
      <c r="H67" s="42"/>
      <c r="I67" s="42"/>
      <c r="J67" s="42"/>
      <c r="K67" s="42"/>
      <c r="L67" s="42"/>
    </row>
    <row r="68" spans="1:12" x14ac:dyDescent="0.35">
      <c r="A68" s="105" t="str">
        <f>Financiering_en_projectplan!H36</f>
        <v/>
      </c>
      <c r="B68" s="4"/>
      <c r="F68" s="38"/>
      <c r="G68" s="38"/>
      <c r="H68" s="38"/>
      <c r="I68" s="38"/>
      <c r="J68" s="38"/>
      <c r="K68" s="38"/>
      <c r="L68" s="38"/>
    </row>
    <row r="69" spans="1:12" x14ac:dyDescent="0.35">
      <c r="A69" s="105" t="str">
        <f>Financiering_en_projectplan!H37</f>
        <v/>
      </c>
      <c r="B69" s="4"/>
      <c r="C69" s="16"/>
      <c r="D69" s="38"/>
      <c r="F69" s="14"/>
      <c r="G69" s="14"/>
      <c r="H69" s="14"/>
      <c r="I69" s="14"/>
      <c r="J69" s="14"/>
      <c r="K69" s="14"/>
      <c r="L69" s="14"/>
    </row>
    <row r="70" spans="1:12" x14ac:dyDescent="0.35">
      <c r="A70" s="110" t="str">
        <f>Financiering_en_projectplan!H38</f>
        <v/>
      </c>
      <c r="B70" s="4"/>
      <c r="C70" s="12"/>
      <c r="D70" s="38"/>
      <c r="F70" s="14"/>
      <c r="G70" s="14"/>
      <c r="H70" s="14"/>
      <c r="I70" s="14"/>
      <c r="J70" s="14"/>
      <c r="K70" s="14"/>
      <c r="L70" s="14"/>
    </row>
    <row r="71" spans="1:12" x14ac:dyDescent="0.35">
      <c r="A71" s="106" t="str">
        <f>Financiering_en_projectplan!H39</f>
        <v/>
      </c>
      <c r="B71" s="40"/>
      <c r="C71" s="12"/>
      <c r="D71" s="38"/>
      <c r="E71" s="14"/>
      <c r="F71" s="14"/>
      <c r="G71" s="14"/>
      <c r="H71" s="14"/>
      <c r="I71" s="14"/>
      <c r="J71" s="14"/>
      <c r="K71" s="14"/>
      <c r="L71" s="14"/>
    </row>
    <row r="72" spans="1:12" x14ac:dyDescent="0.35">
      <c r="B72" s="40"/>
      <c r="F72" s="42"/>
      <c r="G72" s="42"/>
      <c r="H72" s="42"/>
      <c r="I72" s="42"/>
      <c r="J72" s="42"/>
      <c r="K72" s="42"/>
      <c r="L72" s="42"/>
    </row>
    <row r="73" spans="1:12" x14ac:dyDescent="0.35">
      <c r="A73" s="30" t="s">
        <v>136</v>
      </c>
      <c r="B73" s="4"/>
      <c r="D73" s="38"/>
      <c r="F73" s="14"/>
      <c r="G73" s="14"/>
      <c r="H73" s="14"/>
      <c r="I73" s="14"/>
      <c r="J73" s="14"/>
      <c r="K73" s="14"/>
      <c r="L73" s="14"/>
    </row>
    <row r="74" spans="1:12" s="30" customFormat="1" ht="13" x14ac:dyDescent="0.3">
      <c r="A74" s="103" t="str">
        <f>Financiering_en_projectplan!H40</f>
        <v/>
      </c>
      <c r="D74" s="43"/>
      <c r="E74" s="42"/>
      <c r="F74" s="42"/>
      <c r="G74" s="42"/>
      <c r="H74" s="42"/>
      <c r="I74" s="42"/>
      <c r="J74" s="42"/>
      <c r="K74" s="42"/>
      <c r="L74" s="42"/>
    </row>
    <row r="75" spans="1:12" x14ac:dyDescent="0.35">
      <c r="E75" s="14"/>
      <c r="F75" s="14"/>
      <c r="G75" s="14"/>
      <c r="H75" s="14"/>
      <c r="I75" s="14"/>
      <c r="J75" s="14"/>
      <c r="K75" s="14"/>
      <c r="L75" s="14"/>
    </row>
    <row r="76" spans="1:12" x14ac:dyDescent="0.35">
      <c r="A76" s="30" t="s">
        <v>132</v>
      </c>
      <c r="E76" s="38"/>
      <c r="F76" s="38"/>
      <c r="G76" s="38"/>
      <c r="H76" s="38"/>
      <c r="I76" s="38"/>
      <c r="J76" s="38"/>
      <c r="K76" s="38"/>
      <c r="L76" s="38"/>
    </row>
    <row r="77" spans="1:12" x14ac:dyDescent="0.35">
      <c r="A77" s="104" t="str">
        <f>IF(Hulpblad_overig!B4=1,Financiering_en_projectplan!H8,"")</f>
        <v>Voeg voor een sterkere haalbaarheidsstudie een juridisch organogram (UBO-overzicht) toe</v>
      </c>
      <c r="E77" s="38"/>
      <c r="F77" s="38"/>
      <c r="G77" s="38"/>
      <c r="H77" s="38"/>
      <c r="I77" s="38"/>
      <c r="J77" s="38"/>
      <c r="K77" s="38"/>
      <c r="L77" s="38"/>
    </row>
    <row r="78" spans="1:12" x14ac:dyDescent="0.35">
      <c r="A78" s="110" t="str">
        <f>IFERROR(IF(AND(Financiering_en_projectplan!G84&gt;0,Financiering_en_projectplan!$G$78&gt;20%),"Voeg eventueel contract, offerte of intentieverklaring toe van "&amp;Financiering_en_projectplan!B84&amp;"",""),"")</f>
        <v/>
      </c>
      <c r="E78" s="38"/>
      <c r="F78" s="38"/>
      <c r="G78" s="38"/>
      <c r="H78" s="38"/>
      <c r="I78" s="38"/>
      <c r="J78" s="38"/>
      <c r="K78" s="38"/>
      <c r="L78" s="38"/>
    </row>
    <row r="79" spans="1:12" x14ac:dyDescent="0.35">
      <c r="A79" s="110" t="str">
        <f>IFERROR(IF(AND(Financiering_en_projectplan!G85&gt;0,Financiering_en_projectplan!$G$78&gt;20%),"Voeg eventueel contract, offerte of intentieverklaring toe van "&amp;Financiering_en_projectplan!B85&amp;"",""),"")</f>
        <v/>
      </c>
      <c r="B79" s="16"/>
      <c r="C79" s="16"/>
      <c r="D79" s="14"/>
      <c r="E79" s="14"/>
      <c r="F79" s="14"/>
      <c r="G79" s="14"/>
      <c r="H79" s="14"/>
      <c r="I79" s="14"/>
      <c r="J79" s="14"/>
      <c r="K79" s="14"/>
      <c r="L79" s="14"/>
    </row>
    <row r="80" spans="1:12" x14ac:dyDescent="0.35">
      <c r="A80" s="110" t="str">
        <f>IFERROR(IF(AND(Financiering_en_projectplan!G86&gt;0,Financiering_en_projectplan!$G$78&gt;20%),"Voeg eventueel contract, offerte of intentieverklaring toe van "&amp;Financiering_en_projectplan!B86&amp;"",""),"")</f>
        <v/>
      </c>
      <c r="B80" s="38"/>
      <c r="C80" s="38"/>
      <c r="D80" s="14"/>
      <c r="E80" s="14"/>
      <c r="F80" s="14"/>
      <c r="G80" s="14"/>
      <c r="H80" s="14"/>
      <c r="I80" s="14"/>
      <c r="J80" s="14"/>
      <c r="K80" s="14"/>
      <c r="L80" s="14"/>
    </row>
    <row r="81" spans="1:12" x14ac:dyDescent="0.35">
      <c r="A81" s="110" t="str">
        <f>IFERROR(IF(AND(Financiering_en_projectplan!G87&gt;0,Financiering_en_projectplan!$G$78&gt;20%),"Voeg eventueel contract, offerte of intentieverklaring toe van "&amp;Financiering_en_projectplan!B87&amp;"",""),"")</f>
        <v/>
      </c>
      <c r="B81" s="38"/>
      <c r="C81" s="38"/>
      <c r="D81" s="14"/>
      <c r="E81" s="14"/>
      <c r="F81" s="14"/>
      <c r="G81" s="14"/>
      <c r="H81" s="14"/>
      <c r="I81" s="14"/>
      <c r="J81" s="14"/>
      <c r="K81" s="14"/>
      <c r="L81" s="14"/>
    </row>
    <row r="82" spans="1:12" x14ac:dyDescent="0.35">
      <c r="A82" s="111" t="str">
        <f>IFERROR(IF(AND(Financiering_en_projectplan!G88&gt;0,Financiering_en_projectplan!$G$78&gt;20%),"Voeg eventueel contract, offerte of intentieverklaring toe van "&amp;Financiering_en_projectplan!B88&amp;"",""),"")</f>
        <v/>
      </c>
      <c r="B82" s="38"/>
      <c r="C82" s="38"/>
      <c r="D82" s="14"/>
      <c r="E82" s="14"/>
      <c r="F82" s="14"/>
      <c r="G82" s="14"/>
      <c r="H82" s="14"/>
      <c r="I82" s="14"/>
      <c r="J82" s="14"/>
      <c r="K82" s="14"/>
      <c r="L82" s="14"/>
    </row>
    <row r="83" spans="1:12" x14ac:dyDescent="0.35">
      <c r="A83" s="112" t="str">
        <f>IFERROR(IF(AND(Financiering_en_projectplan!G89&gt;0,Financiering_en_projectplan!$G$78&gt;20%),"Voeg eventueel contract, offerte of intentieverklaring toe van "&amp;Financiering_en_projectplan!B89&amp;"",""),"")</f>
        <v/>
      </c>
      <c r="B83" s="16"/>
      <c r="C83" s="16"/>
      <c r="D83" s="14"/>
      <c r="E83" s="14"/>
      <c r="F83" s="14"/>
      <c r="G83" s="14"/>
      <c r="H83" s="14"/>
      <c r="I83" s="14"/>
      <c r="J83" s="14"/>
      <c r="K83" s="14"/>
      <c r="L83" s="14"/>
    </row>
    <row r="84" spans="1:12" x14ac:dyDescent="0.35">
      <c r="A84" s="112" t="str">
        <f>IFERROR(IF(AND(Financiering_en_projectplan!G90&gt;0,Financiering_en_projectplan!$G$78&gt;20%),"Voeg eventueel contract, offerte of intentieverklaring toe van "&amp;Financiering_en_projectplan!B90&amp;"",""),"")</f>
        <v/>
      </c>
      <c r="B84" s="38"/>
      <c r="C84" s="38"/>
      <c r="D84" s="14"/>
      <c r="E84" s="14"/>
      <c r="F84" s="14"/>
      <c r="G84" s="14"/>
      <c r="H84" s="14"/>
      <c r="I84" s="14"/>
      <c r="J84" s="14"/>
      <c r="K84" s="14"/>
      <c r="L84" s="14"/>
    </row>
    <row r="85" spans="1:12" x14ac:dyDescent="0.35">
      <c r="A85" s="110" t="str">
        <f>IFERROR(IF(AND(Financiering_en_projectplan!G91&gt;0,Financiering_en_projectplan!$G$78&gt;20%),"Voeg eventueel contract, offerte of intentieverklaring toe van "&amp;Financiering_en_projectplan!B91&amp;"",""),"")</f>
        <v/>
      </c>
      <c r="B85" s="38"/>
      <c r="C85" s="38"/>
      <c r="D85" s="14"/>
      <c r="E85" s="14"/>
      <c r="F85" s="14"/>
      <c r="G85" s="14"/>
      <c r="H85" s="14"/>
      <c r="I85" s="14"/>
      <c r="J85" s="14"/>
      <c r="K85" s="14"/>
      <c r="L85" s="14"/>
    </row>
    <row r="86" spans="1:12" x14ac:dyDescent="0.35">
      <c r="A86" s="112" t="str">
        <f>IFERROR(IF(AND(Financiering_en_projectplan!G92&gt;0,Financiering_en_projectplan!$G$78&gt;20%),"Voeg eventueel contract, offerte of intentieverklaring toe van "&amp;Financiering_en_projectplan!B92&amp;"",""),"")</f>
        <v/>
      </c>
      <c r="B86" s="38"/>
      <c r="C86" s="38"/>
      <c r="D86" s="14"/>
      <c r="E86" s="14"/>
      <c r="F86" s="14"/>
      <c r="G86" s="14"/>
      <c r="H86" s="14"/>
      <c r="I86" s="14"/>
      <c r="J86" s="14"/>
      <c r="K86" s="14"/>
      <c r="L86" s="14"/>
    </row>
    <row r="87" spans="1:12" x14ac:dyDescent="0.35">
      <c r="A87" s="113" t="str">
        <f>IFERROR(IF(AND(Financiering_en_projectplan!G93&gt;0,Financiering_en_projectplan!$G$78&gt;20%),"Voeg eventueel contract, offerte of intentieverklaring toe van "&amp;Financiering_en_projectplan!B93&amp;"",""),"")</f>
        <v/>
      </c>
      <c r="B87" s="38"/>
      <c r="C87" s="38"/>
      <c r="D87" s="14"/>
      <c r="E87" s="14"/>
      <c r="F87" s="14"/>
      <c r="G87" s="14"/>
      <c r="H87" s="14"/>
      <c r="I87" s="14"/>
      <c r="J87" s="14"/>
      <c r="K87" s="14"/>
      <c r="L87" s="14"/>
    </row>
    <row r="88" spans="1:12" x14ac:dyDescent="0.35">
      <c r="B88" s="38"/>
      <c r="C88" s="38"/>
      <c r="D88" s="14"/>
      <c r="E88" s="14"/>
      <c r="F88" s="14"/>
      <c r="G88" s="14"/>
      <c r="H88" s="14"/>
      <c r="I88" s="14"/>
      <c r="J88" s="14"/>
      <c r="K88" s="14"/>
      <c r="L88" s="14"/>
    </row>
    <row r="89" spans="1:12" s="30" customFormat="1" ht="13" x14ac:dyDescent="0.3">
      <c r="B89" s="43"/>
      <c r="C89" s="43"/>
      <c r="D89" s="42"/>
      <c r="E89" s="42"/>
      <c r="F89" s="42"/>
      <c r="G89" s="42"/>
      <c r="H89" s="42"/>
      <c r="I89" s="42"/>
      <c r="J89" s="42"/>
      <c r="K89" s="42"/>
      <c r="L89" s="42"/>
    </row>
    <row r="90" spans="1:12" s="30" customFormat="1" ht="13" hidden="1" x14ac:dyDescent="0.3">
      <c r="B90" s="43"/>
      <c r="C90" s="43"/>
      <c r="D90" s="43"/>
      <c r="E90" s="43"/>
      <c r="F90" s="43"/>
      <c r="G90" s="43"/>
      <c r="H90" s="43"/>
      <c r="I90" s="43"/>
      <c r="J90" s="43"/>
      <c r="K90" s="43"/>
      <c r="L90" s="43"/>
    </row>
    <row r="91" spans="1:12" s="30" customFormat="1" ht="13" hidden="1" x14ac:dyDescent="0.3">
      <c r="A91" s="12"/>
      <c r="B91" s="16"/>
      <c r="C91" s="16"/>
    </row>
    <row r="92" spans="1:12" s="30" customFormat="1" ht="13" hidden="1" x14ac:dyDescent="0.3">
      <c r="B92" s="15"/>
      <c r="C92" s="15"/>
      <c r="D92" s="42"/>
      <c r="E92" s="57"/>
      <c r="F92" s="57"/>
      <c r="G92" s="57"/>
      <c r="H92" s="57"/>
      <c r="I92" s="57"/>
      <c r="J92" s="57"/>
      <c r="K92" s="57"/>
      <c r="L92" s="57"/>
    </row>
    <row r="93" spans="1:12" s="30" customFormat="1" hidden="1" x14ac:dyDescent="0.35">
      <c r="B93" s="15"/>
      <c r="C93" s="15"/>
      <c r="D93" s="42"/>
      <c r="E93" s="14"/>
      <c r="F93" s="57"/>
      <c r="G93" s="57"/>
      <c r="H93" s="57"/>
      <c r="I93" s="57"/>
      <c r="J93" s="57"/>
      <c r="K93" s="57"/>
      <c r="L93" s="57"/>
    </row>
    <row r="94" spans="1:12" s="30" customFormat="1" hidden="1" x14ac:dyDescent="0.35">
      <c r="B94" s="15"/>
      <c r="C94" s="15"/>
      <c r="D94" s="42"/>
      <c r="E94" s="14"/>
      <c r="F94" s="57"/>
      <c r="G94" s="57"/>
      <c r="H94" s="57"/>
      <c r="I94" s="57"/>
      <c r="J94" s="57"/>
      <c r="K94" s="57"/>
      <c r="L94" s="57"/>
    </row>
    <row r="95" spans="1:12" s="30" customFormat="1" hidden="1" x14ac:dyDescent="0.35">
      <c r="B95" s="15"/>
      <c r="C95" s="15"/>
      <c r="D95" s="42"/>
      <c r="E95" s="14"/>
      <c r="F95" s="57"/>
      <c r="G95" s="57"/>
      <c r="H95" s="57"/>
      <c r="I95" s="57"/>
      <c r="J95" s="57"/>
      <c r="K95" s="57"/>
      <c r="L95" s="57"/>
    </row>
    <row r="96" spans="1:12" s="30" customFormat="1" hidden="1" x14ac:dyDescent="0.35">
      <c r="B96" s="15"/>
      <c r="C96" s="15"/>
      <c r="D96" s="42"/>
      <c r="E96" s="14"/>
      <c r="F96" s="57"/>
      <c r="G96" s="57"/>
      <c r="H96" s="57"/>
      <c r="I96" s="57"/>
      <c r="J96" s="57"/>
      <c r="K96" s="57"/>
      <c r="L96" s="57"/>
    </row>
    <row r="97" spans="1:13" s="30" customFormat="1" hidden="1" x14ac:dyDescent="0.35">
      <c r="B97" s="15"/>
      <c r="C97" s="15"/>
      <c r="D97" s="42"/>
      <c r="E97" s="14"/>
      <c r="F97" s="57"/>
      <c r="G97" s="57"/>
      <c r="H97" s="57"/>
      <c r="I97" s="57"/>
      <c r="J97" s="57"/>
      <c r="K97" s="57"/>
      <c r="L97" s="57"/>
    </row>
    <row r="98" spans="1:13" s="30" customFormat="1" hidden="1" x14ac:dyDescent="0.35">
      <c r="B98" s="15"/>
      <c r="C98" s="15"/>
      <c r="D98" s="42"/>
      <c r="E98" s="14"/>
      <c r="F98" s="57"/>
      <c r="G98" s="57"/>
      <c r="H98" s="57"/>
      <c r="I98" s="57"/>
      <c r="J98" s="57"/>
      <c r="K98" s="57"/>
      <c r="L98" s="57"/>
    </row>
    <row r="99" spans="1:13" s="30" customFormat="1" hidden="1" x14ac:dyDescent="0.35">
      <c r="B99" s="15"/>
      <c r="C99" s="15"/>
      <c r="D99" s="42"/>
      <c r="E99" s="14"/>
      <c r="F99" s="57"/>
      <c r="G99" s="57"/>
      <c r="H99" s="57"/>
      <c r="I99" s="57"/>
      <c r="J99" s="57"/>
      <c r="K99" s="57"/>
      <c r="L99" s="57"/>
    </row>
    <row r="100" spans="1:13" s="30" customFormat="1" ht="13" hidden="1" x14ac:dyDescent="0.3">
      <c r="B100" s="43"/>
      <c r="C100" s="43"/>
      <c r="D100" s="42"/>
      <c r="E100" s="9"/>
      <c r="F100" s="42"/>
      <c r="G100" s="42"/>
      <c r="H100" s="42"/>
      <c r="I100" s="42"/>
      <c r="J100" s="42"/>
      <c r="K100" s="42"/>
      <c r="L100" s="42"/>
    </row>
    <row r="101" spans="1:13" s="30" customFormat="1" ht="13" hidden="1" x14ac:dyDescent="0.3">
      <c r="A101" s="12"/>
      <c r="B101" s="43"/>
      <c r="C101" s="43"/>
      <c r="D101" s="42"/>
      <c r="E101" s="42"/>
      <c r="F101" s="42"/>
      <c r="G101" s="42"/>
      <c r="H101" s="42"/>
      <c r="I101" s="42"/>
      <c r="J101" s="42"/>
      <c r="K101" s="42"/>
      <c r="L101" s="42"/>
    </row>
    <row r="102" spans="1:13" s="30" customFormat="1" ht="13" hidden="1" x14ac:dyDescent="0.3">
      <c r="B102" s="43"/>
      <c r="C102" s="43"/>
      <c r="D102" s="42"/>
      <c r="E102" s="42"/>
      <c r="F102" s="42"/>
      <c r="G102" s="42"/>
      <c r="H102" s="42"/>
      <c r="I102" s="42"/>
      <c r="J102" s="42"/>
      <c r="K102" s="42"/>
      <c r="L102" s="42"/>
    </row>
    <row r="103" spans="1:13" s="30" customFormat="1" ht="13" hidden="1" x14ac:dyDescent="0.3">
      <c r="B103" s="43"/>
      <c r="C103" s="43"/>
      <c r="D103" s="43"/>
      <c r="E103" s="43"/>
      <c r="F103" s="43"/>
      <c r="G103" s="43"/>
      <c r="H103" s="43"/>
      <c r="I103" s="43"/>
      <c r="J103" s="43"/>
      <c r="K103" s="43"/>
      <c r="L103" s="43"/>
    </row>
    <row r="104" spans="1:13" hidden="1" x14ac:dyDescent="0.35">
      <c r="A104" s="12"/>
      <c r="D104" s="14"/>
      <c r="E104" s="14"/>
      <c r="F104" s="14"/>
      <c r="G104" s="14"/>
      <c r="H104" s="14"/>
      <c r="I104" s="14"/>
      <c r="J104" s="14"/>
      <c r="K104" s="14"/>
      <c r="L104" s="14"/>
      <c r="M104" s="38"/>
    </row>
    <row r="105" spans="1:13" hidden="1" x14ac:dyDescent="0.35">
      <c r="A105" s="12"/>
      <c r="D105" s="14"/>
      <c r="E105" s="14"/>
      <c r="F105" s="14"/>
      <c r="G105" s="14"/>
      <c r="H105" s="14"/>
      <c r="I105" s="14"/>
      <c r="J105" s="14"/>
      <c r="K105" s="14"/>
      <c r="L105" s="14"/>
    </row>
    <row r="106" spans="1:13" hidden="1" x14ac:dyDescent="0.35">
      <c r="A106" s="12"/>
      <c r="D106" s="14"/>
      <c r="E106" s="14"/>
      <c r="F106" s="14"/>
      <c r="G106" s="14"/>
      <c r="H106" s="14"/>
      <c r="I106" s="14"/>
      <c r="J106" s="14"/>
      <c r="K106" s="14"/>
      <c r="L106" s="14"/>
      <c r="M106" s="14"/>
    </row>
    <row r="107" spans="1:13" hidden="1" x14ac:dyDescent="0.35">
      <c r="A107" s="12"/>
      <c r="D107" s="14"/>
      <c r="E107" s="14"/>
      <c r="F107" s="14"/>
      <c r="G107" s="14"/>
      <c r="H107" s="14"/>
      <c r="I107" s="14"/>
      <c r="J107" s="14"/>
      <c r="K107" s="14"/>
      <c r="L107" s="14"/>
      <c r="M107" s="14"/>
    </row>
    <row r="108" spans="1:13" hidden="1" x14ac:dyDescent="0.35">
      <c r="A108" s="12"/>
      <c r="D108" s="14"/>
      <c r="E108" s="14"/>
      <c r="F108" s="14"/>
      <c r="G108" s="14"/>
      <c r="H108" s="14"/>
      <c r="I108" s="14"/>
      <c r="J108" s="14"/>
      <c r="K108" s="14"/>
      <c r="L108" s="14"/>
      <c r="M108" s="14"/>
    </row>
    <row r="109" spans="1:13" hidden="1" x14ac:dyDescent="0.35">
      <c r="A109" s="12"/>
      <c r="D109" s="14"/>
      <c r="E109" s="14"/>
      <c r="F109" s="14"/>
      <c r="G109" s="14"/>
      <c r="H109" s="14"/>
      <c r="I109" s="14"/>
      <c r="J109" s="14"/>
      <c r="K109" s="14"/>
      <c r="L109" s="14"/>
      <c r="M109" s="14"/>
    </row>
    <row r="110" spans="1:13" hidden="1" x14ac:dyDescent="0.35">
      <c r="A110" s="12"/>
      <c r="B110" s="62"/>
      <c r="C110" s="62"/>
      <c r="D110" s="14"/>
      <c r="E110" s="14"/>
      <c r="F110" s="14"/>
      <c r="G110" s="14"/>
      <c r="H110" s="14"/>
      <c r="I110" s="14"/>
      <c r="J110" s="14"/>
      <c r="K110" s="14"/>
      <c r="L110" s="14"/>
      <c r="M110" s="14"/>
    </row>
    <row r="111" spans="1:13" hidden="1" x14ac:dyDescent="0.35">
      <c r="A111" s="12"/>
      <c r="B111" s="69"/>
      <c r="C111" s="69"/>
      <c r="D111" s="14"/>
      <c r="E111" s="14"/>
      <c r="F111" s="14"/>
      <c r="G111" s="14"/>
      <c r="H111" s="14"/>
      <c r="I111" s="14"/>
      <c r="J111" s="14"/>
      <c r="K111" s="14"/>
      <c r="L111" s="14"/>
      <c r="M111" s="14"/>
    </row>
    <row r="112" spans="1:13" hidden="1" x14ac:dyDescent="0.35">
      <c r="A112" s="12"/>
      <c r="D112" s="14"/>
      <c r="E112" s="14"/>
      <c r="F112" s="14"/>
      <c r="G112" s="14"/>
      <c r="H112" s="14"/>
      <c r="I112" s="14"/>
      <c r="J112" s="14"/>
      <c r="K112" s="14"/>
      <c r="L112" s="14"/>
      <c r="M112" s="14"/>
    </row>
    <row r="113" spans="1:16" s="30" customFormat="1" ht="13" hidden="1" x14ac:dyDescent="0.3">
      <c r="A113" s="66"/>
      <c r="D113" s="42"/>
      <c r="E113" s="42"/>
      <c r="F113" s="42"/>
      <c r="G113" s="42"/>
      <c r="H113" s="42"/>
      <c r="I113" s="42"/>
      <c r="J113" s="42"/>
      <c r="K113" s="42"/>
      <c r="L113" s="42"/>
    </row>
    <row r="114" spans="1:16" s="30" customFormat="1" ht="13" hidden="1" x14ac:dyDescent="0.3">
      <c r="D114" s="42"/>
      <c r="E114" s="42"/>
      <c r="F114" s="42"/>
      <c r="G114" s="42"/>
      <c r="H114" s="42"/>
      <c r="I114" s="42"/>
      <c r="J114" s="42"/>
      <c r="K114" s="42"/>
      <c r="L114" s="42"/>
    </row>
    <row r="115" spans="1:16" s="30" customFormat="1" ht="13" hidden="1" x14ac:dyDescent="0.3">
      <c r="D115" s="42"/>
      <c r="E115" s="42"/>
      <c r="F115" s="42"/>
      <c r="G115" s="42"/>
      <c r="H115" s="42"/>
      <c r="I115" s="42"/>
      <c r="J115" s="42"/>
      <c r="K115" s="42"/>
      <c r="L115" s="42"/>
    </row>
    <row r="116" spans="1:16" s="30" customFormat="1" ht="13" hidden="1" x14ac:dyDescent="0.3">
      <c r="D116" s="42"/>
      <c r="E116" s="42"/>
      <c r="F116" s="42"/>
      <c r="G116" s="42"/>
      <c r="H116" s="42"/>
      <c r="I116" s="42"/>
      <c r="J116" s="42"/>
      <c r="K116" s="42"/>
      <c r="L116" s="42"/>
    </row>
    <row r="117" spans="1:16" hidden="1" x14ac:dyDescent="0.35">
      <c r="A117" s="12"/>
      <c r="D117" s="14"/>
      <c r="E117" s="14"/>
      <c r="F117" s="14"/>
      <c r="G117" s="14"/>
      <c r="H117" s="14"/>
      <c r="I117" s="14"/>
      <c r="J117" s="14"/>
      <c r="K117" s="14"/>
      <c r="L117" s="14"/>
    </row>
    <row r="118" spans="1:16" hidden="1" x14ac:dyDescent="0.35">
      <c r="A118" s="12"/>
      <c r="D118" s="14"/>
      <c r="E118" s="14"/>
      <c r="F118" s="14"/>
      <c r="G118" s="14"/>
      <c r="H118" s="14"/>
      <c r="I118" s="14"/>
      <c r="J118" s="14"/>
      <c r="K118" s="14"/>
      <c r="L118" s="14"/>
    </row>
    <row r="119" spans="1:16" hidden="1" x14ac:dyDescent="0.35">
      <c r="A119" s="12"/>
      <c r="D119" s="14"/>
      <c r="E119" s="14"/>
      <c r="F119" s="14"/>
      <c r="G119" s="14"/>
      <c r="H119" s="14"/>
      <c r="I119" s="14"/>
      <c r="J119" s="14"/>
      <c r="K119" s="14"/>
      <c r="L119" s="14"/>
    </row>
    <row r="120" spans="1:16" s="30" customFormat="1" ht="13" hidden="1" x14ac:dyDescent="0.3">
      <c r="D120" s="42"/>
      <c r="E120" s="42"/>
      <c r="F120" s="42"/>
      <c r="G120" s="42"/>
      <c r="H120" s="42"/>
      <c r="I120" s="42"/>
      <c r="J120" s="42"/>
      <c r="K120" s="42"/>
      <c r="L120" s="42"/>
    </row>
    <row r="121" spans="1:16" hidden="1" x14ac:dyDescent="0.35">
      <c r="D121" s="14"/>
      <c r="E121" s="14"/>
      <c r="F121" s="14"/>
      <c r="G121" s="14"/>
      <c r="H121" s="14"/>
      <c r="I121" s="14"/>
      <c r="J121" s="14"/>
      <c r="K121" s="14"/>
      <c r="L121" s="14"/>
    </row>
    <row r="122" spans="1:16" hidden="1" x14ac:dyDescent="0.35">
      <c r="A122" s="12"/>
      <c r="D122" s="14"/>
      <c r="E122" s="14"/>
      <c r="F122" s="14"/>
      <c r="G122" s="14"/>
      <c r="H122" s="14"/>
      <c r="I122" s="14"/>
      <c r="J122" s="14"/>
      <c r="K122" s="14"/>
      <c r="L122" s="14"/>
    </row>
    <row r="123" spans="1:16" hidden="1" x14ac:dyDescent="0.35">
      <c r="D123" s="14"/>
      <c r="E123" s="14"/>
      <c r="F123" s="14"/>
      <c r="G123" s="14"/>
      <c r="H123" s="14"/>
      <c r="I123" s="14"/>
      <c r="J123" s="14"/>
      <c r="K123" s="14"/>
      <c r="L123" s="14"/>
    </row>
    <row r="124" spans="1:16" hidden="1" x14ac:dyDescent="0.35">
      <c r="D124" s="14"/>
      <c r="E124" s="14"/>
      <c r="F124" s="14"/>
      <c r="G124" s="14"/>
      <c r="H124" s="14"/>
      <c r="I124" s="14"/>
      <c r="J124" s="14"/>
      <c r="K124" s="14"/>
      <c r="L124" s="14"/>
    </row>
    <row r="125" spans="1:16" s="30" customFormat="1" ht="13" hidden="1" x14ac:dyDescent="0.3">
      <c r="D125" s="42"/>
      <c r="E125" s="42"/>
      <c r="F125" s="42"/>
      <c r="G125" s="42"/>
      <c r="H125" s="42"/>
      <c r="I125" s="42"/>
      <c r="J125" s="42"/>
      <c r="K125" s="42"/>
      <c r="L125" s="42"/>
    </row>
    <row r="126" spans="1:16" s="30" customFormat="1" ht="13" hidden="1" x14ac:dyDescent="0.3">
      <c r="D126" s="42"/>
      <c r="E126" s="42"/>
      <c r="F126" s="42"/>
      <c r="G126" s="42"/>
      <c r="H126" s="42"/>
      <c r="I126" s="42"/>
      <c r="J126" s="42"/>
      <c r="K126" s="42"/>
      <c r="L126" s="42"/>
    </row>
    <row r="127" spans="1:16" s="30" customFormat="1" ht="13" hidden="1" x14ac:dyDescent="0.3">
      <c r="D127" s="42"/>
      <c r="E127" s="42"/>
      <c r="F127" s="42"/>
      <c r="G127" s="42"/>
      <c r="H127" s="42"/>
      <c r="I127" s="42"/>
      <c r="J127" s="42"/>
      <c r="K127" s="42"/>
      <c r="L127" s="42"/>
      <c r="M127" s="43"/>
      <c r="N127" s="43"/>
      <c r="O127" s="43"/>
      <c r="P127" s="43"/>
    </row>
    <row r="128" spans="1:16" hidden="1" x14ac:dyDescent="0.35">
      <c r="D128" s="14"/>
      <c r="E128" s="14"/>
      <c r="F128" s="14"/>
      <c r="G128" s="14"/>
      <c r="H128" s="14"/>
      <c r="I128" s="14"/>
      <c r="J128" s="14"/>
      <c r="K128" s="14"/>
      <c r="L128" s="14"/>
    </row>
    <row r="129" spans="1:12" ht="25" hidden="1" customHeight="1" x14ac:dyDescent="0.35">
      <c r="A129" s="72"/>
      <c r="B129" s="73"/>
      <c r="C129" s="73"/>
      <c r="D129" s="77"/>
      <c r="E129" s="78"/>
      <c r="F129" s="78"/>
      <c r="G129" s="78"/>
      <c r="H129" s="78"/>
      <c r="I129" s="78"/>
      <c r="J129" s="78"/>
      <c r="K129" s="78"/>
      <c r="L129" s="78"/>
    </row>
    <row r="132" spans="1:12" hidden="1" x14ac:dyDescent="0.35">
      <c r="A132" s="30"/>
      <c r="D132" s="42"/>
      <c r="E132" s="42"/>
      <c r="F132" s="42"/>
      <c r="G132" s="42"/>
      <c r="H132" s="42"/>
      <c r="I132" s="42"/>
      <c r="J132" s="42"/>
      <c r="K132" s="42"/>
      <c r="L132" s="42"/>
    </row>
    <row r="134" spans="1:12" ht="24.75" hidden="1" customHeight="1" x14ac:dyDescent="0.35">
      <c r="A134" s="72"/>
      <c r="B134" s="72"/>
      <c r="C134" s="72"/>
      <c r="E134" s="80"/>
    </row>
    <row r="137" spans="1:12" hidden="1" x14ac:dyDescent="0.35">
      <c r="A137" s="30"/>
      <c r="E137" s="81"/>
      <c r="F137" s="81"/>
      <c r="G137" s="81"/>
      <c r="H137" s="81"/>
      <c r="I137" s="81"/>
      <c r="J137" s="81"/>
      <c r="K137" s="81"/>
      <c r="L137" s="81"/>
    </row>
    <row r="139" spans="1:12" ht="24.75" hidden="1" customHeight="1" x14ac:dyDescent="0.35">
      <c r="A139" s="72"/>
    </row>
    <row r="142" spans="1:12" hidden="1" x14ac:dyDescent="0.35">
      <c r="A142" s="30"/>
    </row>
    <row r="143" spans="1:12" hidden="1" x14ac:dyDescent="0.35">
      <c r="A143" s="310"/>
      <c r="B143" s="310"/>
      <c r="C143" s="12"/>
    </row>
    <row r="144" spans="1:12" hidden="1" x14ac:dyDescent="0.35">
      <c r="A144" s="282"/>
      <c r="B144" s="282"/>
      <c r="C144" s="4"/>
    </row>
    <row r="145" spans="1:3" hidden="1" x14ac:dyDescent="0.35">
      <c r="A145" s="282"/>
      <c r="B145" s="282"/>
      <c r="C145" s="4"/>
    </row>
    <row r="146" spans="1:3" hidden="1" x14ac:dyDescent="0.35">
      <c r="A146" s="282"/>
      <c r="B146" s="282"/>
      <c r="C146" s="4"/>
    </row>
    <row r="147" spans="1:3" hidden="1" x14ac:dyDescent="0.35">
      <c r="A147" s="282"/>
      <c r="B147" s="282"/>
      <c r="C147" s="4"/>
    </row>
    <row r="148" spans="1:3" hidden="1" x14ac:dyDescent="0.35">
      <c r="A148" s="282"/>
      <c r="B148" s="282"/>
      <c r="C148" s="4"/>
    </row>
    <row r="149" spans="1:3" hidden="1" x14ac:dyDescent="0.35">
      <c r="A149" s="282"/>
      <c r="B149" s="282"/>
      <c r="C149" s="4"/>
    </row>
  </sheetData>
  <sheetProtection algorithmName="SHA-512" hashValue="rrxxJUuV9pvJOef8llhKIwhH2AYPottvgg4Wq2T9ZVeKRV30Lpqp2u5WKunSAW5LjuoZuvDZfzukWc5oJzUHxw==" saltValue="wPyFvBXwI/yH6fQ6qKGr+g==" spinCount="100000" sheet="1" objects="1" scenarios="1"/>
  <mergeCells count="7">
    <mergeCell ref="A149:B149"/>
    <mergeCell ref="A143:B143"/>
    <mergeCell ref="A144:B144"/>
    <mergeCell ref="A145:B145"/>
    <mergeCell ref="A146:B146"/>
    <mergeCell ref="A147:B147"/>
    <mergeCell ref="A148:B14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2B00B-0B8A-4D4B-B96C-6B2E39F3BD56}">
  <dimension ref="A1:AI350"/>
  <sheetViews>
    <sheetView zoomScale="75" zoomScaleNormal="75" workbookViewId="0">
      <pane xSplit="1" topLeftCell="B1" activePane="topRight" state="frozen"/>
      <selection activeCell="B42" sqref="B42"/>
      <selection pane="topRight" activeCell="AB207" sqref="AB207"/>
    </sheetView>
  </sheetViews>
  <sheetFormatPr defaultRowHeight="12.5" x14ac:dyDescent="0.25"/>
  <cols>
    <col min="1" max="1" width="137.1796875" style="115" customWidth="1"/>
    <col min="2" max="3" width="29.81640625" style="115" customWidth="1"/>
    <col min="4" max="4" width="28.81640625" style="115" customWidth="1"/>
    <col min="5" max="5" width="26.54296875" style="115" customWidth="1"/>
    <col min="6" max="6" width="25.81640625" style="115" customWidth="1"/>
    <col min="7" max="7" width="28.54296875" style="115" customWidth="1"/>
    <col min="8" max="8" width="32.1796875" style="115" customWidth="1"/>
    <col min="9" max="17" width="25.81640625" style="115" customWidth="1"/>
    <col min="18" max="18" width="29.81640625" style="115" customWidth="1"/>
    <col min="19" max="19" width="25.81640625" style="115" customWidth="1"/>
    <col min="20" max="20" width="44.81640625" style="115" customWidth="1"/>
    <col min="21" max="21" width="25.81640625" style="115" customWidth="1"/>
    <col min="22" max="22" width="32.1796875" style="115" customWidth="1"/>
    <col min="23" max="23" width="38.1796875" style="115" customWidth="1"/>
    <col min="24" max="24" width="32.81640625" style="115" customWidth="1"/>
    <col min="25" max="25" width="124.54296875" style="115" customWidth="1"/>
    <col min="26" max="26" width="25.81640625" style="115" customWidth="1"/>
    <col min="27" max="27" width="90.1796875" style="115" customWidth="1"/>
    <col min="28" max="28" width="40" style="115" customWidth="1"/>
    <col min="29" max="29" width="51.81640625" style="115" customWidth="1"/>
    <col min="30" max="251" width="9.1796875" style="115"/>
    <col min="252" max="252" width="155.1796875" style="115" customWidth="1"/>
    <col min="253" max="254" width="29.81640625" style="115" customWidth="1"/>
    <col min="255" max="255" width="26.81640625" style="115" customWidth="1"/>
    <col min="256" max="256" width="26.54296875" style="115" customWidth="1"/>
    <col min="257" max="257" width="25.81640625" style="115" customWidth="1"/>
    <col min="258" max="258" width="28.54296875" style="115" customWidth="1"/>
    <col min="259" max="259" width="27.81640625" style="115" customWidth="1"/>
    <col min="260" max="268" width="25.81640625" style="115" customWidth="1"/>
    <col min="269" max="269" width="29.81640625" style="115" customWidth="1"/>
    <col min="270" max="270" width="25.81640625" style="115" customWidth="1"/>
    <col min="271" max="271" width="44.81640625" style="115" customWidth="1"/>
    <col min="272" max="272" width="25.81640625" style="115" customWidth="1"/>
    <col min="273" max="273" width="32.1796875" style="115" customWidth="1"/>
    <col min="274" max="274" width="38.1796875" style="115" customWidth="1"/>
    <col min="275" max="275" width="32.81640625" style="115" customWidth="1"/>
    <col min="276" max="276" width="61" style="115" customWidth="1"/>
    <col min="277" max="277" width="25.81640625" style="115" customWidth="1"/>
    <col min="278" max="278" width="206.81640625" style="115" customWidth="1"/>
    <col min="279" max="279" width="71.1796875" style="115" customWidth="1"/>
    <col min="280" max="280" width="13.54296875" style="115" customWidth="1"/>
    <col min="281" max="507" width="9.1796875" style="115"/>
    <col min="508" max="508" width="155.1796875" style="115" customWidth="1"/>
    <col min="509" max="510" width="29.81640625" style="115" customWidth="1"/>
    <col min="511" max="511" width="26.81640625" style="115" customWidth="1"/>
    <col min="512" max="512" width="26.54296875" style="115" customWidth="1"/>
    <col min="513" max="513" width="25.81640625" style="115" customWidth="1"/>
    <col min="514" max="514" width="28.54296875" style="115" customWidth="1"/>
    <col min="515" max="515" width="27.81640625" style="115" customWidth="1"/>
    <col min="516" max="524" width="25.81640625" style="115" customWidth="1"/>
    <col min="525" max="525" width="29.81640625" style="115" customWidth="1"/>
    <col min="526" max="526" width="25.81640625" style="115" customWidth="1"/>
    <col min="527" max="527" width="44.81640625" style="115" customWidth="1"/>
    <col min="528" max="528" width="25.81640625" style="115" customWidth="1"/>
    <col min="529" max="529" width="32.1796875" style="115" customWidth="1"/>
    <col min="530" max="530" width="38.1796875" style="115" customWidth="1"/>
    <col min="531" max="531" width="32.81640625" style="115" customWidth="1"/>
    <col min="532" max="532" width="61" style="115" customWidth="1"/>
    <col min="533" max="533" width="25.81640625" style="115" customWidth="1"/>
    <col min="534" max="534" width="206.81640625" style="115" customWidth="1"/>
    <col min="535" max="535" width="71.1796875" style="115" customWidth="1"/>
    <col min="536" max="536" width="13.54296875" style="115" customWidth="1"/>
    <col min="537" max="763" width="9.1796875" style="115"/>
    <col min="764" max="764" width="155.1796875" style="115" customWidth="1"/>
    <col min="765" max="766" width="29.81640625" style="115" customWidth="1"/>
    <col min="767" max="767" width="26.81640625" style="115" customWidth="1"/>
    <col min="768" max="768" width="26.54296875" style="115" customWidth="1"/>
    <col min="769" max="769" width="25.81640625" style="115" customWidth="1"/>
    <col min="770" max="770" width="28.54296875" style="115" customWidth="1"/>
    <col min="771" max="771" width="27.81640625" style="115" customWidth="1"/>
    <col min="772" max="780" width="25.81640625" style="115" customWidth="1"/>
    <col min="781" max="781" width="29.81640625" style="115" customWidth="1"/>
    <col min="782" max="782" width="25.81640625" style="115" customWidth="1"/>
    <col min="783" max="783" width="44.81640625" style="115" customWidth="1"/>
    <col min="784" max="784" width="25.81640625" style="115" customWidth="1"/>
    <col min="785" max="785" width="32.1796875" style="115" customWidth="1"/>
    <col min="786" max="786" width="38.1796875" style="115" customWidth="1"/>
    <col min="787" max="787" width="32.81640625" style="115" customWidth="1"/>
    <col min="788" max="788" width="61" style="115" customWidth="1"/>
    <col min="789" max="789" width="25.81640625" style="115" customWidth="1"/>
    <col min="790" max="790" width="206.81640625" style="115" customWidth="1"/>
    <col min="791" max="791" width="71.1796875" style="115" customWidth="1"/>
    <col min="792" max="792" width="13.54296875" style="115" customWidth="1"/>
    <col min="793" max="1019" width="9.1796875" style="115"/>
    <col min="1020" max="1020" width="155.1796875" style="115" customWidth="1"/>
    <col min="1021" max="1022" width="29.81640625" style="115" customWidth="1"/>
    <col min="1023" max="1023" width="26.81640625" style="115" customWidth="1"/>
    <col min="1024" max="1024" width="26.54296875" style="115" customWidth="1"/>
    <col min="1025" max="1025" width="25.81640625" style="115" customWidth="1"/>
    <col min="1026" max="1026" width="28.54296875" style="115" customWidth="1"/>
    <col min="1027" max="1027" width="27.81640625" style="115" customWidth="1"/>
    <col min="1028" max="1036" width="25.81640625" style="115" customWidth="1"/>
    <col min="1037" max="1037" width="29.81640625" style="115" customWidth="1"/>
    <col min="1038" max="1038" width="25.81640625" style="115" customWidth="1"/>
    <col min="1039" max="1039" width="44.81640625" style="115" customWidth="1"/>
    <col min="1040" max="1040" width="25.81640625" style="115" customWidth="1"/>
    <col min="1041" max="1041" width="32.1796875" style="115" customWidth="1"/>
    <col min="1042" max="1042" width="38.1796875" style="115" customWidth="1"/>
    <col min="1043" max="1043" width="32.81640625" style="115" customWidth="1"/>
    <col min="1044" max="1044" width="61" style="115" customWidth="1"/>
    <col min="1045" max="1045" width="25.81640625" style="115" customWidth="1"/>
    <col min="1046" max="1046" width="206.81640625" style="115" customWidth="1"/>
    <col min="1047" max="1047" width="71.1796875" style="115" customWidth="1"/>
    <col min="1048" max="1048" width="13.54296875" style="115" customWidth="1"/>
    <col min="1049" max="1275" width="9.1796875" style="115"/>
    <col min="1276" max="1276" width="155.1796875" style="115" customWidth="1"/>
    <col min="1277" max="1278" width="29.81640625" style="115" customWidth="1"/>
    <col min="1279" max="1279" width="26.81640625" style="115" customWidth="1"/>
    <col min="1280" max="1280" width="26.54296875" style="115" customWidth="1"/>
    <col min="1281" max="1281" width="25.81640625" style="115" customWidth="1"/>
    <col min="1282" max="1282" width="28.54296875" style="115" customWidth="1"/>
    <col min="1283" max="1283" width="27.81640625" style="115" customWidth="1"/>
    <col min="1284" max="1292" width="25.81640625" style="115" customWidth="1"/>
    <col min="1293" max="1293" width="29.81640625" style="115" customWidth="1"/>
    <col min="1294" max="1294" width="25.81640625" style="115" customWidth="1"/>
    <col min="1295" max="1295" width="44.81640625" style="115" customWidth="1"/>
    <col min="1296" max="1296" width="25.81640625" style="115" customWidth="1"/>
    <col min="1297" max="1297" width="32.1796875" style="115" customWidth="1"/>
    <col min="1298" max="1298" width="38.1796875" style="115" customWidth="1"/>
    <col min="1299" max="1299" width="32.81640625" style="115" customWidth="1"/>
    <col min="1300" max="1300" width="61" style="115" customWidth="1"/>
    <col min="1301" max="1301" width="25.81640625" style="115" customWidth="1"/>
    <col min="1302" max="1302" width="206.81640625" style="115" customWidth="1"/>
    <col min="1303" max="1303" width="71.1796875" style="115" customWidth="1"/>
    <col min="1304" max="1304" width="13.54296875" style="115" customWidth="1"/>
    <col min="1305" max="1531" width="9.1796875" style="115"/>
    <col min="1532" max="1532" width="155.1796875" style="115" customWidth="1"/>
    <col min="1533" max="1534" width="29.81640625" style="115" customWidth="1"/>
    <col min="1535" max="1535" width="26.81640625" style="115" customWidth="1"/>
    <col min="1536" max="1536" width="26.54296875" style="115" customWidth="1"/>
    <col min="1537" max="1537" width="25.81640625" style="115" customWidth="1"/>
    <col min="1538" max="1538" width="28.54296875" style="115" customWidth="1"/>
    <col min="1539" max="1539" width="27.81640625" style="115" customWidth="1"/>
    <col min="1540" max="1548" width="25.81640625" style="115" customWidth="1"/>
    <col min="1549" max="1549" width="29.81640625" style="115" customWidth="1"/>
    <col min="1550" max="1550" width="25.81640625" style="115" customWidth="1"/>
    <col min="1551" max="1551" width="44.81640625" style="115" customWidth="1"/>
    <col min="1552" max="1552" width="25.81640625" style="115" customWidth="1"/>
    <col min="1553" max="1553" width="32.1796875" style="115" customWidth="1"/>
    <col min="1554" max="1554" width="38.1796875" style="115" customWidth="1"/>
    <col min="1555" max="1555" width="32.81640625" style="115" customWidth="1"/>
    <col min="1556" max="1556" width="61" style="115" customWidth="1"/>
    <col min="1557" max="1557" width="25.81640625" style="115" customWidth="1"/>
    <col min="1558" max="1558" width="206.81640625" style="115" customWidth="1"/>
    <col min="1559" max="1559" width="71.1796875" style="115" customWidth="1"/>
    <col min="1560" max="1560" width="13.54296875" style="115" customWidth="1"/>
    <col min="1561" max="1787" width="9.1796875" style="115"/>
    <col min="1788" max="1788" width="155.1796875" style="115" customWidth="1"/>
    <col min="1789" max="1790" width="29.81640625" style="115" customWidth="1"/>
    <col min="1791" max="1791" width="26.81640625" style="115" customWidth="1"/>
    <col min="1792" max="1792" width="26.54296875" style="115" customWidth="1"/>
    <col min="1793" max="1793" width="25.81640625" style="115" customWidth="1"/>
    <col min="1794" max="1794" width="28.54296875" style="115" customWidth="1"/>
    <col min="1795" max="1795" width="27.81640625" style="115" customWidth="1"/>
    <col min="1796" max="1804" width="25.81640625" style="115" customWidth="1"/>
    <col min="1805" max="1805" width="29.81640625" style="115" customWidth="1"/>
    <col min="1806" max="1806" width="25.81640625" style="115" customWidth="1"/>
    <col min="1807" max="1807" width="44.81640625" style="115" customWidth="1"/>
    <col min="1808" max="1808" width="25.81640625" style="115" customWidth="1"/>
    <col min="1809" max="1809" width="32.1796875" style="115" customWidth="1"/>
    <col min="1810" max="1810" width="38.1796875" style="115" customWidth="1"/>
    <col min="1811" max="1811" width="32.81640625" style="115" customWidth="1"/>
    <col min="1812" max="1812" width="61" style="115" customWidth="1"/>
    <col min="1813" max="1813" width="25.81640625" style="115" customWidth="1"/>
    <col min="1814" max="1814" width="206.81640625" style="115" customWidth="1"/>
    <col min="1815" max="1815" width="71.1796875" style="115" customWidth="1"/>
    <col min="1816" max="1816" width="13.54296875" style="115" customWidth="1"/>
    <col min="1817" max="2043" width="9.1796875" style="115"/>
    <col min="2044" max="2044" width="155.1796875" style="115" customWidth="1"/>
    <col min="2045" max="2046" width="29.81640625" style="115" customWidth="1"/>
    <col min="2047" max="2047" width="26.81640625" style="115" customWidth="1"/>
    <col min="2048" max="2048" width="26.54296875" style="115" customWidth="1"/>
    <col min="2049" max="2049" width="25.81640625" style="115" customWidth="1"/>
    <col min="2050" max="2050" width="28.54296875" style="115" customWidth="1"/>
    <col min="2051" max="2051" width="27.81640625" style="115" customWidth="1"/>
    <col min="2052" max="2060" width="25.81640625" style="115" customWidth="1"/>
    <col min="2061" max="2061" width="29.81640625" style="115" customWidth="1"/>
    <col min="2062" max="2062" width="25.81640625" style="115" customWidth="1"/>
    <col min="2063" max="2063" width="44.81640625" style="115" customWidth="1"/>
    <col min="2064" max="2064" width="25.81640625" style="115" customWidth="1"/>
    <col min="2065" max="2065" width="32.1796875" style="115" customWidth="1"/>
    <col min="2066" max="2066" width="38.1796875" style="115" customWidth="1"/>
    <col min="2067" max="2067" width="32.81640625" style="115" customWidth="1"/>
    <col min="2068" max="2068" width="61" style="115" customWidth="1"/>
    <col min="2069" max="2069" width="25.81640625" style="115" customWidth="1"/>
    <col min="2070" max="2070" width="206.81640625" style="115" customWidth="1"/>
    <col min="2071" max="2071" width="71.1796875" style="115" customWidth="1"/>
    <col min="2072" max="2072" width="13.54296875" style="115" customWidth="1"/>
    <col min="2073" max="2299" width="9.1796875" style="115"/>
    <col min="2300" max="2300" width="155.1796875" style="115" customWidth="1"/>
    <col min="2301" max="2302" width="29.81640625" style="115" customWidth="1"/>
    <col min="2303" max="2303" width="26.81640625" style="115" customWidth="1"/>
    <col min="2304" max="2304" width="26.54296875" style="115" customWidth="1"/>
    <col min="2305" max="2305" width="25.81640625" style="115" customWidth="1"/>
    <col min="2306" max="2306" width="28.54296875" style="115" customWidth="1"/>
    <col min="2307" max="2307" width="27.81640625" style="115" customWidth="1"/>
    <col min="2308" max="2316" width="25.81640625" style="115" customWidth="1"/>
    <col min="2317" max="2317" width="29.81640625" style="115" customWidth="1"/>
    <col min="2318" max="2318" width="25.81640625" style="115" customWidth="1"/>
    <col min="2319" max="2319" width="44.81640625" style="115" customWidth="1"/>
    <col min="2320" max="2320" width="25.81640625" style="115" customWidth="1"/>
    <col min="2321" max="2321" width="32.1796875" style="115" customWidth="1"/>
    <col min="2322" max="2322" width="38.1796875" style="115" customWidth="1"/>
    <col min="2323" max="2323" width="32.81640625" style="115" customWidth="1"/>
    <col min="2324" max="2324" width="61" style="115" customWidth="1"/>
    <col min="2325" max="2325" width="25.81640625" style="115" customWidth="1"/>
    <col min="2326" max="2326" width="206.81640625" style="115" customWidth="1"/>
    <col min="2327" max="2327" width="71.1796875" style="115" customWidth="1"/>
    <col min="2328" max="2328" width="13.54296875" style="115" customWidth="1"/>
    <col min="2329" max="2555" width="9.1796875" style="115"/>
    <col min="2556" max="2556" width="155.1796875" style="115" customWidth="1"/>
    <col min="2557" max="2558" width="29.81640625" style="115" customWidth="1"/>
    <col min="2559" max="2559" width="26.81640625" style="115" customWidth="1"/>
    <col min="2560" max="2560" width="26.54296875" style="115" customWidth="1"/>
    <col min="2561" max="2561" width="25.81640625" style="115" customWidth="1"/>
    <col min="2562" max="2562" width="28.54296875" style="115" customWidth="1"/>
    <col min="2563" max="2563" width="27.81640625" style="115" customWidth="1"/>
    <col min="2564" max="2572" width="25.81640625" style="115" customWidth="1"/>
    <col min="2573" max="2573" width="29.81640625" style="115" customWidth="1"/>
    <col min="2574" max="2574" width="25.81640625" style="115" customWidth="1"/>
    <col min="2575" max="2575" width="44.81640625" style="115" customWidth="1"/>
    <col min="2576" max="2576" width="25.81640625" style="115" customWidth="1"/>
    <col min="2577" max="2577" width="32.1796875" style="115" customWidth="1"/>
    <col min="2578" max="2578" width="38.1796875" style="115" customWidth="1"/>
    <col min="2579" max="2579" width="32.81640625" style="115" customWidth="1"/>
    <col min="2580" max="2580" width="61" style="115" customWidth="1"/>
    <col min="2581" max="2581" width="25.81640625" style="115" customWidth="1"/>
    <col min="2582" max="2582" width="206.81640625" style="115" customWidth="1"/>
    <col min="2583" max="2583" width="71.1796875" style="115" customWidth="1"/>
    <col min="2584" max="2584" width="13.54296875" style="115" customWidth="1"/>
    <col min="2585" max="2811" width="9.1796875" style="115"/>
    <col min="2812" max="2812" width="155.1796875" style="115" customWidth="1"/>
    <col min="2813" max="2814" width="29.81640625" style="115" customWidth="1"/>
    <col min="2815" max="2815" width="26.81640625" style="115" customWidth="1"/>
    <col min="2816" max="2816" width="26.54296875" style="115" customWidth="1"/>
    <col min="2817" max="2817" width="25.81640625" style="115" customWidth="1"/>
    <col min="2818" max="2818" width="28.54296875" style="115" customWidth="1"/>
    <col min="2819" max="2819" width="27.81640625" style="115" customWidth="1"/>
    <col min="2820" max="2828" width="25.81640625" style="115" customWidth="1"/>
    <col min="2829" max="2829" width="29.81640625" style="115" customWidth="1"/>
    <col min="2830" max="2830" width="25.81640625" style="115" customWidth="1"/>
    <col min="2831" max="2831" width="44.81640625" style="115" customWidth="1"/>
    <col min="2832" max="2832" width="25.81640625" style="115" customWidth="1"/>
    <col min="2833" max="2833" width="32.1796875" style="115" customWidth="1"/>
    <col min="2834" max="2834" width="38.1796875" style="115" customWidth="1"/>
    <col min="2835" max="2835" width="32.81640625" style="115" customWidth="1"/>
    <col min="2836" max="2836" width="61" style="115" customWidth="1"/>
    <col min="2837" max="2837" width="25.81640625" style="115" customWidth="1"/>
    <col min="2838" max="2838" width="206.81640625" style="115" customWidth="1"/>
    <col min="2839" max="2839" width="71.1796875" style="115" customWidth="1"/>
    <col min="2840" max="2840" width="13.54296875" style="115" customWidth="1"/>
    <col min="2841" max="3067" width="9.1796875" style="115"/>
    <col min="3068" max="3068" width="155.1796875" style="115" customWidth="1"/>
    <col min="3069" max="3070" width="29.81640625" style="115" customWidth="1"/>
    <col min="3071" max="3071" width="26.81640625" style="115" customWidth="1"/>
    <col min="3072" max="3072" width="26.54296875" style="115" customWidth="1"/>
    <col min="3073" max="3073" width="25.81640625" style="115" customWidth="1"/>
    <col min="3074" max="3074" width="28.54296875" style="115" customWidth="1"/>
    <col min="3075" max="3075" width="27.81640625" style="115" customWidth="1"/>
    <col min="3076" max="3084" width="25.81640625" style="115" customWidth="1"/>
    <col min="3085" max="3085" width="29.81640625" style="115" customWidth="1"/>
    <col min="3086" max="3086" width="25.81640625" style="115" customWidth="1"/>
    <col min="3087" max="3087" width="44.81640625" style="115" customWidth="1"/>
    <col min="3088" max="3088" width="25.81640625" style="115" customWidth="1"/>
    <col min="3089" max="3089" width="32.1796875" style="115" customWidth="1"/>
    <col min="3090" max="3090" width="38.1796875" style="115" customWidth="1"/>
    <col min="3091" max="3091" width="32.81640625" style="115" customWidth="1"/>
    <col min="3092" max="3092" width="61" style="115" customWidth="1"/>
    <col min="3093" max="3093" width="25.81640625" style="115" customWidth="1"/>
    <col min="3094" max="3094" width="206.81640625" style="115" customWidth="1"/>
    <col min="3095" max="3095" width="71.1796875" style="115" customWidth="1"/>
    <col min="3096" max="3096" width="13.54296875" style="115" customWidth="1"/>
    <col min="3097" max="3323" width="9.1796875" style="115"/>
    <col min="3324" max="3324" width="155.1796875" style="115" customWidth="1"/>
    <col min="3325" max="3326" width="29.81640625" style="115" customWidth="1"/>
    <col min="3327" max="3327" width="26.81640625" style="115" customWidth="1"/>
    <col min="3328" max="3328" width="26.54296875" style="115" customWidth="1"/>
    <col min="3329" max="3329" width="25.81640625" style="115" customWidth="1"/>
    <col min="3330" max="3330" width="28.54296875" style="115" customWidth="1"/>
    <col min="3331" max="3331" width="27.81640625" style="115" customWidth="1"/>
    <col min="3332" max="3340" width="25.81640625" style="115" customWidth="1"/>
    <col min="3341" max="3341" width="29.81640625" style="115" customWidth="1"/>
    <col min="3342" max="3342" width="25.81640625" style="115" customWidth="1"/>
    <col min="3343" max="3343" width="44.81640625" style="115" customWidth="1"/>
    <col min="3344" max="3344" width="25.81640625" style="115" customWidth="1"/>
    <col min="3345" max="3345" width="32.1796875" style="115" customWidth="1"/>
    <col min="3346" max="3346" width="38.1796875" style="115" customWidth="1"/>
    <col min="3347" max="3347" width="32.81640625" style="115" customWidth="1"/>
    <col min="3348" max="3348" width="61" style="115" customWidth="1"/>
    <col min="3349" max="3349" width="25.81640625" style="115" customWidth="1"/>
    <col min="3350" max="3350" width="206.81640625" style="115" customWidth="1"/>
    <col min="3351" max="3351" width="71.1796875" style="115" customWidth="1"/>
    <col min="3352" max="3352" width="13.54296875" style="115" customWidth="1"/>
    <col min="3353" max="3579" width="9.1796875" style="115"/>
    <col min="3580" max="3580" width="155.1796875" style="115" customWidth="1"/>
    <col min="3581" max="3582" width="29.81640625" style="115" customWidth="1"/>
    <col min="3583" max="3583" width="26.81640625" style="115" customWidth="1"/>
    <col min="3584" max="3584" width="26.54296875" style="115" customWidth="1"/>
    <col min="3585" max="3585" width="25.81640625" style="115" customWidth="1"/>
    <col min="3586" max="3586" width="28.54296875" style="115" customWidth="1"/>
    <col min="3587" max="3587" width="27.81640625" style="115" customWidth="1"/>
    <col min="3588" max="3596" width="25.81640625" style="115" customWidth="1"/>
    <col min="3597" max="3597" width="29.81640625" style="115" customWidth="1"/>
    <col min="3598" max="3598" width="25.81640625" style="115" customWidth="1"/>
    <col min="3599" max="3599" width="44.81640625" style="115" customWidth="1"/>
    <col min="3600" max="3600" width="25.81640625" style="115" customWidth="1"/>
    <col min="3601" max="3601" width="32.1796875" style="115" customWidth="1"/>
    <col min="3602" max="3602" width="38.1796875" style="115" customWidth="1"/>
    <col min="3603" max="3603" width="32.81640625" style="115" customWidth="1"/>
    <col min="3604" max="3604" width="61" style="115" customWidth="1"/>
    <col min="3605" max="3605" width="25.81640625" style="115" customWidth="1"/>
    <col min="3606" max="3606" width="206.81640625" style="115" customWidth="1"/>
    <col min="3607" max="3607" width="71.1796875" style="115" customWidth="1"/>
    <col min="3608" max="3608" width="13.54296875" style="115" customWidth="1"/>
    <col min="3609" max="3835" width="9.1796875" style="115"/>
    <col min="3836" max="3836" width="155.1796875" style="115" customWidth="1"/>
    <col min="3837" max="3838" width="29.81640625" style="115" customWidth="1"/>
    <col min="3839" max="3839" width="26.81640625" style="115" customWidth="1"/>
    <col min="3840" max="3840" width="26.54296875" style="115" customWidth="1"/>
    <col min="3841" max="3841" width="25.81640625" style="115" customWidth="1"/>
    <col min="3842" max="3842" width="28.54296875" style="115" customWidth="1"/>
    <col min="3843" max="3843" width="27.81640625" style="115" customWidth="1"/>
    <col min="3844" max="3852" width="25.81640625" style="115" customWidth="1"/>
    <col min="3853" max="3853" width="29.81640625" style="115" customWidth="1"/>
    <col min="3854" max="3854" width="25.81640625" style="115" customWidth="1"/>
    <col min="3855" max="3855" width="44.81640625" style="115" customWidth="1"/>
    <col min="3856" max="3856" width="25.81640625" style="115" customWidth="1"/>
    <col min="3857" max="3857" width="32.1796875" style="115" customWidth="1"/>
    <col min="3858" max="3858" width="38.1796875" style="115" customWidth="1"/>
    <col min="3859" max="3859" width="32.81640625" style="115" customWidth="1"/>
    <col min="3860" max="3860" width="61" style="115" customWidth="1"/>
    <col min="3861" max="3861" width="25.81640625" style="115" customWidth="1"/>
    <col min="3862" max="3862" width="206.81640625" style="115" customWidth="1"/>
    <col min="3863" max="3863" width="71.1796875" style="115" customWidth="1"/>
    <col min="3864" max="3864" width="13.54296875" style="115" customWidth="1"/>
    <col min="3865" max="4091" width="9.1796875" style="115"/>
    <col min="4092" max="4092" width="155.1796875" style="115" customWidth="1"/>
    <col min="4093" max="4094" width="29.81640625" style="115" customWidth="1"/>
    <col min="4095" max="4095" width="26.81640625" style="115" customWidth="1"/>
    <col min="4096" max="4096" width="26.54296875" style="115" customWidth="1"/>
    <col min="4097" max="4097" width="25.81640625" style="115" customWidth="1"/>
    <col min="4098" max="4098" width="28.54296875" style="115" customWidth="1"/>
    <col min="4099" max="4099" width="27.81640625" style="115" customWidth="1"/>
    <col min="4100" max="4108" width="25.81640625" style="115" customWidth="1"/>
    <col min="4109" max="4109" width="29.81640625" style="115" customWidth="1"/>
    <col min="4110" max="4110" width="25.81640625" style="115" customWidth="1"/>
    <col min="4111" max="4111" width="44.81640625" style="115" customWidth="1"/>
    <col min="4112" max="4112" width="25.81640625" style="115" customWidth="1"/>
    <col min="4113" max="4113" width="32.1796875" style="115" customWidth="1"/>
    <col min="4114" max="4114" width="38.1796875" style="115" customWidth="1"/>
    <col min="4115" max="4115" width="32.81640625" style="115" customWidth="1"/>
    <col min="4116" max="4116" width="61" style="115" customWidth="1"/>
    <col min="4117" max="4117" width="25.81640625" style="115" customWidth="1"/>
    <col min="4118" max="4118" width="206.81640625" style="115" customWidth="1"/>
    <col min="4119" max="4119" width="71.1796875" style="115" customWidth="1"/>
    <col min="4120" max="4120" width="13.54296875" style="115" customWidth="1"/>
    <col min="4121" max="4347" width="9.1796875" style="115"/>
    <col min="4348" max="4348" width="155.1796875" style="115" customWidth="1"/>
    <col min="4349" max="4350" width="29.81640625" style="115" customWidth="1"/>
    <col min="4351" max="4351" width="26.81640625" style="115" customWidth="1"/>
    <col min="4352" max="4352" width="26.54296875" style="115" customWidth="1"/>
    <col min="4353" max="4353" width="25.81640625" style="115" customWidth="1"/>
    <col min="4354" max="4354" width="28.54296875" style="115" customWidth="1"/>
    <col min="4355" max="4355" width="27.81640625" style="115" customWidth="1"/>
    <col min="4356" max="4364" width="25.81640625" style="115" customWidth="1"/>
    <col min="4365" max="4365" width="29.81640625" style="115" customWidth="1"/>
    <col min="4366" max="4366" width="25.81640625" style="115" customWidth="1"/>
    <col min="4367" max="4367" width="44.81640625" style="115" customWidth="1"/>
    <col min="4368" max="4368" width="25.81640625" style="115" customWidth="1"/>
    <col min="4369" max="4369" width="32.1796875" style="115" customWidth="1"/>
    <col min="4370" max="4370" width="38.1796875" style="115" customWidth="1"/>
    <col min="4371" max="4371" width="32.81640625" style="115" customWidth="1"/>
    <col min="4372" max="4372" width="61" style="115" customWidth="1"/>
    <col min="4373" max="4373" width="25.81640625" style="115" customWidth="1"/>
    <col min="4374" max="4374" width="206.81640625" style="115" customWidth="1"/>
    <col min="4375" max="4375" width="71.1796875" style="115" customWidth="1"/>
    <col min="4376" max="4376" width="13.54296875" style="115" customWidth="1"/>
    <col min="4377" max="4603" width="9.1796875" style="115"/>
    <col min="4604" max="4604" width="155.1796875" style="115" customWidth="1"/>
    <col min="4605" max="4606" width="29.81640625" style="115" customWidth="1"/>
    <col min="4607" max="4607" width="26.81640625" style="115" customWidth="1"/>
    <col min="4608" max="4608" width="26.54296875" style="115" customWidth="1"/>
    <col min="4609" max="4609" width="25.81640625" style="115" customWidth="1"/>
    <col min="4610" max="4610" width="28.54296875" style="115" customWidth="1"/>
    <col min="4611" max="4611" width="27.81640625" style="115" customWidth="1"/>
    <col min="4612" max="4620" width="25.81640625" style="115" customWidth="1"/>
    <col min="4621" max="4621" width="29.81640625" style="115" customWidth="1"/>
    <col min="4622" max="4622" width="25.81640625" style="115" customWidth="1"/>
    <col min="4623" max="4623" width="44.81640625" style="115" customWidth="1"/>
    <col min="4624" max="4624" width="25.81640625" style="115" customWidth="1"/>
    <col min="4625" max="4625" width="32.1796875" style="115" customWidth="1"/>
    <col min="4626" max="4626" width="38.1796875" style="115" customWidth="1"/>
    <col min="4627" max="4627" width="32.81640625" style="115" customWidth="1"/>
    <col min="4628" max="4628" width="61" style="115" customWidth="1"/>
    <col min="4629" max="4629" width="25.81640625" style="115" customWidth="1"/>
    <col min="4630" max="4630" width="206.81640625" style="115" customWidth="1"/>
    <col min="4631" max="4631" width="71.1796875" style="115" customWidth="1"/>
    <col min="4632" max="4632" width="13.54296875" style="115" customWidth="1"/>
    <col min="4633" max="4859" width="9.1796875" style="115"/>
    <col min="4860" max="4860" width="155.1796875" style="115" customWidth="1"/>
    <col min="4861" max="4862" width="29.81640625" style="115" customWidth="1"/>
    <col min="4863" max="4863" width="26.81640625" style="115" customWidth="1"/>
    <col min="4864" max="4864" width="26.54296875" style="115" customWidth="1"/>
    <col min="4865" max="4865" width="25.81640625" style="115" customWidth="1"/>
    <col min="4866" max="4866" width="28.54296875" style="115" customWidth="1"/>
    <col min="4867" max="4867" width="27.81640625" style="115" customWidth="1"/>
    <col min="4868" max="4876" width="25.81640625" style="115" customWidth="1"/>
    <col min="4877" max="4877" width="29.81640625" style="115" customWidth="1"/>
    <col min="4878" max="4878" width="25.81640625" style="115" customWidth="1"/>
    <col min="4879" max="4879" width="44.81640625" style="115" customWidth="1"/>
    <col min="4880" max="4880" width="25.81640625" style="115" customWidth="1"/>
    <col min="4881" max="4881" width="32.1796875" style="115" customWidth="1"/>
    <col min="4882" max="4882" width="38.1796875" style="115" customWidth="1"/>
    <col min="4883" max="4883" width="32.81640625" style="115" customWidth="1"/>
    <col min="4884" max="4884" width="61" style="115" customWidth="1"/>
    <col min="4885" max="4885" width="25.81640625" style="115" customWidth="1"/>
    <col min="4886" max="4886" width="206.81640625" style="115" customWidth="1"/>
    <col min="4887" max="4887" width="71.1796875" style="115" customWidth="1"/>
    <col min="4888" max="4888" width="13.54296875" style="115" customWidth="1"/>
    <col min="4889" max="5115" width="9.1796875" style="115"/>
    <col min="5116" max="5116" width="155.1796875" style="115" customWidth="1"/>
    <col min="5117" max="5118" width="29.81640625" style="115" customWidth="1"/>
    <col min="5119" max="5119" width="26.81640625" style="115" customWidth="1"/>
    <col min="5120" max="5120" width="26.54296875" style="115" customWidth="1"/>
    <col min="5121" max="5121" width="25.81640625" style="115" customWidth="1"/>
    <col min="5122" max="5122" width="28.54296875" style="115" customWidth="1"/>
    <col min="5123" max="5123" width="27.81640625" style="115" customWidth="1"/>
    <col min="5124" max="5132" width="25.81640625" style="115" customWidth="1"/>
    <col min="5133" max="5133" width="29.81640625" style="115" customWidth="1"/>
    <col min="5134" max="5134" width="25.81640625" style="115" customWidth="1"/>
    <col min="5135" max="5135" width="44.81640625" style="115" customWidth="1"/>
    <col min="5136" max="5136" width="25.81640625" style="115" customWidth="1"/>
    <col min="5137" max="5137" width="32.1796875" style="115" customWidth="1"/>
    <col min="5138" max="5138" width="38.1796875" style="115" customWidth="1"/>
    <col min="5139" max="5139" width="32.81640625" style="115" customWidth="1"/>
    <col min="5140" max="5140" width="61" style="115" customWidth="1"/>
    <col min="5141" max="5141" width="25.81640625" style="115" customWidth="1"/>
    <col min="5142" max="5142" width="206.81640625" style="115" customWidth="1"/>
    <col min="5143" max="5143" width="71.1796875" style="115" customWidth="1"/>
    <col min="5144" max="5144" width="13.54296875" style="115" customWidth="1"/>
    <col min="5145" max="5371" width="9.1796875" style="115"/>
    <col min="5372" max="5372" width="155.1796875" style="115" customWidth="1"/>
    <col min="5373" max="5374" width="29.81640625" style="115" customWidth="1"/>
    <col min="5375" max="5375" width="26.81640625" style="115" customWidth="1"/>
    <col min="5376" max="5376" width="26.54296875" style="115" customWidth="1"/>
    <col min="5377" max="5377" width="25.81640625" style="115" customWidth="1"/>
    <col min="5378" max="5378" width="28.54296875" style="115" customWidth="1"/>
    <col min="5379" max="5379" width="27.81640625" style="115" customWidth="1"/>
    <col min="5380" max="5388" width="25.81640625" style="115" customWidth="1"/>
    <col min="5389" max="5389" width="29.81640625" style="115" customWidth="1"/>
    <col min="5390" max="5390" width="25.81640625" style="115" customWidth="1"/>
    <col min="5391" max="5391" width="44.81640625" style="115" customWidth="1"/>
    <col min="5392" max="5392" width="25.81640625" style="115" customWidth="1"/>
    <col min="5393" max="5393" width="32.1796875" style="115" customWidth="1"/>
    <col min="5394" max="5394" width="38.1796875" style="115" customWidth="1"/>
    <col min="5395" max="5395" width="32.81640625" style="115" customWidth="1"/>
    <col min="5396" max="5396" width="61" style="115" customWidth="1"/>
    <col min="5397" max="5397" width="25.81640625" style="115" customWidth="1"/>
    <col min="5398" max="5398" width="206.81640625" style="115" customWidth="1"/>
    <col min="5399" max="5399" width="71.1796875" style="115" customWidth="1"/>
    <col min="5400" max="5400" width="13.54296875" style="115" customWidth="1"/>
    <col min="5401" max="5627" width="9.1796875" style="115"/>
    <col min="5628" max="5628" width="155.1796875" style="115" customWidth="1"/>
    <col min="5629" max="5630" width="29.81640625" style="115" customWidth="1"/>
    <col min="5631" max="5631" width="26.81640625" style="115" customWidth="1"/>
    <col min="5632" max="5632" width="26.54296875" style="115" customWidth="1"/>
    <col min="5633" max="5633" width="25.81640625" style="115" customWidth="1"/>
    <col min="5634" max="5634" width="28.54296875" style="115" customWidth="1"/>
    <col min="5635" max="5635" width="27.81640625" style="115" customWidth="1"/>
    <col min="5636" max="5644" width="25.81640625" style="115" customWidth="1"/>
    <col min="5645" max="5645" width="29.81640625" style="115" customWidth="1"/>
    <col min="5646" max="5646" width="25.81640625" style="115" customWidth="1"/>
    <col min="5647" max="5647" width="44.81640625" style="115" customWidth="1"/>
    <col min="5648" max="5648" width="25.81640625" style="115" customWidth="1"/>
    <col min="5649" max="5649" width="32.1796875" style="115" customWidth="1"/>
    <col min="5650" max="5650" width="38.1796875" style="115" customWidth="1"/>
    <col min="5651" max="5651" width="32.81640625" style="115" customWidth="1"/>
    <col min="5652" max="5652" width="61" style="115" customWidth="1"/>
    <col min="5653" max="5653" width="25.81640625" style="115" customWidth="1"/>
    <col min="5654" max="5654" width="206.81640625" style="115" customWidth="1"/>
    <col min="5655" max="5655" width="71.1796875" style="115" customWidth="1"/>
    <col min="5656" max="5656" width="13.54296875" style="115" customWidth="1"/>
    <col min="5657" max="5883" width="9.1796875" style="115"/>
    <col min="5884" max="5884" width="155.1796875" style="115" customWidth="1"/>
    <col min="5885" max="5886" width="29.81640625" style="115" customWidth="1"/>
    <col min="5887" max="5887" width="26.81640625" style="115" customWidth="1"/>
    <col min="5888" max="5888" width="26.54296875" style="115" customWidth="1"/>
    <col min="5889" max="5889" width="25.81640625" style="115" customWidth="1"/>
    <col min="5890" max="5890" width="28.54296875" style="115" customWidth="1"/>
    <col min="5891" max="5891" width="27.81640625" style="115" customWidth="1"/>
    <col min="5892" max="5900" width="25.81640625" style="115" customWidth="1"/>
    <col min="5901" max="5901" width="29.81640625" style="115" customWidth="1"/>
    <col min="5902" max="5902" width="25.81640625" style="115" customWidth="1"/>
    <col min="5903" max="5903" width="44.81640625" style="115" customWidth="1"/>
    <col min="5904" max="5904" width="25.81640625" style="115" customWidth="1"/>
    <col min="5905" max="5905" width="32.1796875" style="115" customWidth="1"/>
    <col min="5906" max="5906" width="38.1796875" style="115" customWidth="1"/>
    <col min="5907" max="5907" width="32.81640625" style="115" customWidth="1"/>
    <col min="5908" max="5908" width="61" style="115" customWidth="1"/>
    <col min="5909" max="5909" width="25.81640625" style="115" customWidth="1"/>
    <col min="5910" max="5910" width="206.81640625" style="115" customWidth="1"/>
    <col min="5911" max="5911" width="71.1796875" style="115" customWidth="1"/>
    <col min="5912" max="5912" width="13.54296875" style="115" customWidth="1"/>
    <col min="5913" max="6139" width="9.1796875" style="115"/>
    <col min="6140" max="6140" width="155.1796875" style="115" customWidth="1"/>
    <col min="6141" max="6142" width="29.81640625" style="115" customWidth="1"/>
    <col min="6143" max="6143" width="26.81640625" style="115" customWidth="1"/>
    <col min="6144" max="6144" width="26.54296875" style="115" customWidth="1"/>
    <col min="6145" max="6145" width="25.81640625" style="115" customWidth="1"/>
    <col min="6146" max="6146" width="28.54296875" style="115" customWidth="1"/>
    <col min="6147" max="6147" width="27.81640625" style="115" customWidth="1"/>
    <col min="6148" max="6156" width="25.81640625" style="115" customWidth="1"/>
    <col min="6157" max="6157" width="29.81640625" style="115" customWidth="1"/>
    <col min="6158" max="6158" width="25.81640625" style="115" customWidth="1"/>
    <col min="6159" max="6159" width="44.81640625" style="115" customWidth="1"/>
    <col min="6160" max="6160" width="25.81640625" style="115" customWidth="1"/>
    <col min="6161" max="6161" width="32.1796875" style="115" customWidth="1"/>
    <col min="6162" max="6162" width="38.1796875" style="115" customWidth="1"/>
    <col min="6163" max="6163" width="32.81640625" style="115" customWidth="1"/>
    <col min="6164" max="6164" width="61" style="115" customWidth="1"/>
    <col min="6165" max="6165" width="25.81640625" style="115" customWidth="1"/>
    <col min="6166" max="6166" width="206.81640625" style="115" customWidth="1"/>
    <col min="6167" max="6167" width="71.1796875" style="115" customWidth="1"/>
    <col min="6168" max="6168" width="13.54296875" style="115" customWidth="1"/>
    <col min="6169" max="6395" width="9.1796875" style="115"/>
    <col min="6396" max="6396" width="155.1796875" style="115" customWidth="1"/>
    <col min="6397" max="6398" width="29.81640625" style="115" customWidth="1"/>
    <col min="6399" max="6399" width="26.81640625" style="115" customWidth="1"/>
    <col min="6400" max="6400" width="26.54296875" style="115" customWidth="1"/>
    <col min="6401" max="6401" width="25.81640625" style="115" customWidth="1"/>
    <col min="6402" max="6402" width="28.54296875" style="115" customWidth="1"/>
    <col min="6403" max="6403" width="27.81640625" style="115" customWidth="1"/>
    <col min="6404" max="6412" width="25.81640625" style="115" customWidth="1"/>
    <col min="6413" max="6413" width="29.81640625" style="115" customWidth="1"/>
    <col min="6414" max="6414" width="25.81640625" style="115" customWidth="1"/>
    <col min="6415" max="6415" width="44.81640625" style="115" customWidth="1"/>
    <col min="6416" max="6416" width="25.81640625" style="115" customWidth="1"/>
    <col min="6417" max="6417" width="32.1796875" style="115" customWidth="1"/>
    <col min="6418" max="6418" width="38.1796875" style="115" customWidth="1"/>
    <col min="6419" max="6419" width="32.81640625" style="115" customWidth="1"/>
    <col min="6420" max="6420" width="61" style="115" customWidth="1"/>
    <col min="6421" max="6421" width="25.81640625" style="115" customWidth="1"/>
    <col min="6422" max="6422" width="206.81640625" style="115" customWidth="1"/>
    <col min="6423" max="6423" width="71.1796875" style="115" customWidth="1"/>
    <col min="6424" max="6424" width="13.54296875" style="115" customWidth="1"/>
    <col min="6425" max="6651" width="9.1796875" style="115"/>
    <col min="6652" max="6652" width="155.1796875" style="115" customWidth="1"/>
    <col min="6653" max="6654" width="29.81640625" style="115" customWidth="1"/>
    <col min="6655" max="6655" width="26.81640625" style="115" customWidth="1"/>
    <col min="6656" max="6656" width="26.54296875" style="115" customWidth="1"/>
    <col min="6657" max="6657" width="25.81640625" style="115" customWidth="1"/>
    <col min="6658" max="6658" width="28.54296875" style="115" customWidth="1"/>
    <col min="6659" max="6659" width="27.81640625" style="115" customWidth="1"/>
    <col min="6660" max="6668" width="25.81640625" style="115" customWidth="1"/>
    <col min="6669" max="6669" width="29.81640625" style="115" customWidth="1"/>
    <col min="6670" max="6670" width="25.81640625" style="115" customWidth="1"/>
    <col min="6671" max="6671" width="44.81640625" style="115" customWidth="1"/>
    <col min="6672" max="6672" width="25.81640625" style="115" customWidth="1"/>
    <col min="6673" max="6673" width="32.1796875" style="115" customWidth="1"/>
    <col min="6674" max="6674" width="38.1796875" style="115" customWidth="1"/>
    <col min="6675" max="6675" width="32.81640625" style="115" customWidth="1"/>
    <col min="6676" max="6676" width="61" style="115" customWidth="1"/>
    <col min="6677" max="6677" width="25.81640625" style="115" customWidth="1"/>
    <col min="6678" max="6678" width="206.81640625" style="115" customWidth="1"/>
    <col min="6679" max="6679" width="71.1796875" style="115" customWidth="1"/>
    <col min="6680" max="6680" width="13.54296875" style="115" customWidth="1"/>
    <col min="6681" max="6907" width="9.1796875" style="115"/>
    <col min="6908" max="6908" width="155.1796875" style="115" customWidth="1"/>
    <col min="6909" max="6910" width="29.81640625" style="115" customWidth="1"/>
    <col min="6911" max="6911" width="26.81640625" style="115" customWidth="1"/>
    <col min="6912" max="6912" width="26.54296875" style="115" customWidth="1"/>
    <col min="6913" max="6913" width="25.81640625" style="115" customWidth="1"/>
    <col min="6914" max="6914" width="28.54296875" style="115" customWidth="1"/>
    <col min="6915" max="6915" width="27.81640625" style="115" customWidth="1"/>
    <col min="6916" max="6924" width="25.81640625" style="115" customWidth="1"/>
    <col min="6925" max="6925" width="29.81640625" style="115" customWidth="1"/>
    <col min="6926" max="6926" width="25.81640625" style="115" customWidth="1"/>
    <col min="6927" max="6927" width="44.81640625" style="115" customWidth="1"/>
    <col min="6928" max="6928" width="25.81640625" style="115" customWidth="1"/>
    <col min="6929" max="6929" width="32.1796875" style="115" customWidth="1"/>
    <col min="6930" max="6930" width="38.1796875" style="115" customWidth="1"/>
    <col min="6931" max="6931" width="32.81640625" style="115" customWidth="1"/>
    <col min="6932" max="6932" width="61" style="115" customWidth="1"/>
    <col min="6933" max="6933" width="25.81640625" style="115" customWidth="1"/>
    <col min="6934" max="6934" width="206.81640625" style="115" customWidth="1"/>
    <col min="6935" max="6935" width="71.1796875" style="115" customWidth="1"/>
    <col min="6936" max="6936" width="13.54296875" style="115" customWidth="1"/>
    <col min="6937" max="7163" width="9.1796875" style="115"/>
    <col min="7164" max="7164" width="155.1796875" style="115" customWidth="1"/>
    <col min="7165" max="7166" width="29.81640625" style="115" customWidth="1"/>
    <col min="7167" max="7167" width="26.81640625" style="115" customWidth="1"/>
    <col min="7168" max="7168" width="26.54296875" style="115" customWidth="1"/>
    <col min="7169" max="7169" width="25.81640625" style="115" customWidth="1"/>
    <col min="7170" max="7170" width="28.54296875" style="115" customWidth="1"/>
    <col min="7171" max="7171" width="27.81640625" style="115" customWidth="1"/>
    <col min="7172" max="7180" width="25.81640625" style="115" customWidth="1"/>
    <col min="7181" max="7181" width="29.81640625" style="115" customWidth="1"/>
    <col min="7182" max="7182" width="25.81640625" style="115" customWidth="1"/>
    <col min="7183" max="7183" width="44.81640625" style="115" customWidth="1"/>
    <col min="7184" max="7184" width="25.81640625" style="115" customWidth="1"/>
    <col min="7185" max="7185" width="32.1796875" style="115" customWidth="1"/>
    <col min="7186" max="7186" width="38.1796875" style="115" customWidth="1"/>
    <col min="7187" max="7187" width="32.81640625" style="115" customWidth="1"/>
    <col min="7188" max="7188" width="61" style="115" customWidth="1"/>
    <col min="7189" max="7189" width="25.81640625" style="115" customWidth="1"/>
    <col min="7190" max="7190" width="206.81640625" style="115" customWidth="1"/>
    <col min="7191" max="7191" width="71.1796875" style="115" customWidth="1"/>
    <col min="7192" max="7192" width="13.54296875" style="115" customWidth="1"/>
    <col min="7193" max="7419" width="9.1796875" style="115"/>
    <col min="7420" max="7420" width="155.1796875" style="115" customWidth="1"/>
    <col min="7421" max="7422" width="29.81640625" style="115" customWidth="1"/>
    <col min="7423" max="7423" width="26.81640625" style="115" customWidth="1"/>
    <col min="7424" max="7424" width="26.54296875" style="115" customWidth="1"/>
    <col min="7425" max="7425" width="25.81640625" style="115" customWidth="1"/>
    <col min="7426" max="7426" width="28.54296875" style="115" customWidth="1"/>
    <col min="7427" max="7427" width="27.81640625" style="115" customWidth="1"/>
    <col min="7428" max="7436" width="25.81640625" style="115" customWidth="1"/>
    <col min="7437" max="7437" width="29.81640625" style="115" customWidth="1"/>
    <col min="7438" max="7438" width="25.81640625" style="115" customWidth="1"/>
    <col min="7439" max="7439" width="44.81640625" style="115" customWidth="1"/>
    <col min="7440" max="7440" width="25.81640625" style="115" customWidth="1"/>
    <col min="7441" max="7441" width="32.1796875" style="115" customWidth="1"/>
    <col min="7442" max="7442" width="38.1796875" style="115" customWidth="1"/>
    <col min="7443" max="7443" width="32.81640625" style="115" customWidth="1"/>
    <col min="7444" max="7444" width="61" style="115" customWidth="1"/>
    <col min="7445" max="7445" width="25.81640625" style="115" customWidth="1"/>
    <col min="7446" max="7446" width="206.81640625" style="115" customWidth="1"/>
    <col min="7447" max="7447" width="71.1796875" style="115" customWidth="1"/>
    <col min="7448" max="7448" width="13.54296875" style="115" customWidth="1"/>
    <col min="7449" max="7675" width="9.1796875" style="115"/>
    <col min="7676" max="7676" width="155.1796875" style="115" customWidth="1"/>
    <col min="7677" max="7678" width="29.81640625" style="115" customWidth="1"/>
    <col min="7679" max="7679" width="26.81640625" style="115" customWidth="1"/>
    <col min="7680" max="7680" width="26.54296875" style="115" customWidth="1"/>
    <col min="7681" max="7681" width="25.81640625" style="115" customWidth="1"/>
    <col min="7682" max="7682" width="28.54296875" style="115" customWidth="1"/>
    <col min="7683" max="7683" width="27.81640625" style="115" customWidth="1"/>
    <col min="7684" max="7692" width="25.81640625" style="115" customWidth="1"/>
    <col min="7693" max="7693" width="29.81640625" style="115" customWidth="1"/>
    <col min="7694" max="7694" width="25.81640625" style="115" customWidth="1"/>
    <col min="7695" max="7695" width="44.81640625" style="115" customWidth="1"/>
    <col min="7696" max="7696" width="25.81640625" style="115" customWidth="1"/>
    <col min="7697" max="7697" width="32.1796875" style="115" customWidth="1"/>
    <col min="7698" max="7698" width="38.1796875" style="115" customWidth="1"/>
    <col min="7699" max="7699" width="32.81640625" style="115" customWidth="1"/>
    <col min="7700" max="7700" width="61" style="115" customWidth="1"/>
    <col min="7701" max="7701" width="25.81640625" style="115" customWidth="1"/>
    <col min="7702" max="7702" width="206.81640625" style="115" customWidth="1"/>
    <col min="7703" max="7703" width="71.1796875" style="115" customWidth="1"/>
    <col min="7704" max="7704" width="13.54296875" style="115" customWidth="1"/>
    <col min="7705" max="7931" width="9.1796875" style="115"/>
    <col min="7932" max="7932" width="155.1796875" style="115" customWidth="1"/>
    <col min="7933" max="7934" width="29.81640625" style="115" customWidth="1"/>
    <col min="7935" max="7935" width="26.81640625" style="115" customWidth="1"/>
    <col min="7936" max="7936" width="26.54296875" style="115" customWidth="1"/>
    <col min="7937" max="7937" width="25.81640625" style="115" customWidth="1"/>
    <col min="7938" max="7938" width="28.54296875" style="115" customWidth="1"/>
    <col min="7939" max="7939" width="27.81640625" style="115" customWidth="1"/>
    <col min="7940" max="7948" width="25.81640625" style="115" customWidth="1"/>
    <col min="7949" max="7949" width="29.81640625" style="115" customWidth="1"/>
    <col min="7950" max="7950" width="25.81640625" style="115" customWidth="1"/>
    <col min="7951" max="7951" width="44.81640625" style="115" customWidth="1"/>
    <col min="7952" max="7952" width="25.81640625" style="115" customWidth="1"/>
    <col min="7953" max="7953" width="32.1796875" style="115" customWidth="1"/>
    <col min="7954" max="7954" width="38.1796875" style="115" customWidth="1"/>
    <col min="7955" max="7955" width="32.81640625" style="115" customWidth="1"/>
    <col min="7956" max="7956" width="61" style="115" customWidth="1"/>
    <col min="7957" max="7957" width="25.81640625" style="115" customWidth="1"/>
    <col min="7958" max="7958" width="206.81640625" style="115" customWidth="1"/>
    <col min="7959" max="7959" width="71.1796875" style="115" customWidth="1"/>
    <col min="7960" max="7960" width="13.54296875" style="115" customWidth="1"/>
    <col min="7961" max="8187" width="9.1796875" style="115"/>
    <col min="8188" max="8188" width="155.1796875" style="115" customWidth="1"/>
    <col min="8189" max="8190" width="29.81640625" style="115" customWidth="1"/>
    <col min="8191" max="8191" width="26.81640625" style="115" customWidth="1"/>
    <col min="8192" max="8192" width="26.54296875" style="115" customWidth="1"/>
    <col min="8193" max="8193" width="25.81640625" style="115" customWidth="1"/>
    <col min="8194" max="8194" width="28.54296875" style="115" customWidth="1"/>
    <col min="8195" max="8195" width="27.81640625" style="115" customWidth="1"/>
    <col min="8196" max="8204" width="25.81640625" style="115" customWidth="1"/>
    <col min="8205" max="8205" width="29.81640625" style="115" customWidth="1"/>
    <col min="8206" max="8206" width="25.81640625" style="115" customWidth="1"/>
    <col min="8207" max="8207" width="44.81640625" style="115" customWidth="1"/>
    <col min="8208" max="8208" width="25.81640625" style="115" customWidth="1"/>
    <col min="8209" max="8209" width="32.1796875" style="115" customWidth="1"/>
    <col min="8210" max="8210" width="38.1796875" style="115" customWidth="1"/>
    <col min="8211" max="8211" width="32.81640625" style="115" customWidth="1"/>
    <col min="8212" max="8212" width="61" style="115" customWidth="1"/>
    <col min="8213" max="8213" width="25.81640625" style="115" customWidth="1"/>
    <col min="8214" max="8214" width="206.81640625" style="115" customWidth="1"/>
    <col min="8215" max="8215" width="71.1796875" style="115" customWidth="1"/>
    <col min="8216" max="8216" width="13.54296875" style="115" customWidth="1"/>
    <col min="8217" max="8443" width="9.1796875" style="115"/>
    <col min="8444" max="8444" width="155.1796875" style="115" customWidth="1"/>
    <col min="8445" max="8446" width="29.81640625" style="115" customWidth="1"/>
    <col min="8447" max="8447" width="26.81640625" style="115" customWidth="1"/>
    <col min="8448" max="8448" width="26.54296875" style="115" customWidth="1"/>
    <col min="8449" max="8449" width="25.81640625" style="115" customWidth="1"/>
    <col min="8450" max="8450" width="28.54296875" style="115" customWidth="1"/>
    <col min="8451" max="8451" width="27.81640625" style="115" customWidth="1"/>
    <col min="8452" max="8460" width="25.81640625" style="115" customWidth="1"/>
    <col min="8461" max="8461" width="29.81640625" style="115" customWidth="1"/>
    <col min="8462" max="8462" width="25.81640625" style="115" customWidth="1"/>
    <col min="8463" max="8463" width="44.81640625" style="115" customWidth="1"/>
    <col min="8464" max="8464" width="25.81640625" style="115" customWidth="1"/>
    <col min="8465" max="8465" width="32.1796875" style="115" customWidth="1"/>
    <col min="8466" max="8466" width="38.1796875" style="115" customWidth="1"/>
    <col min="8467" max="8467" width="32.81640625" style="115" customWidth="1"/>
    <col min="8468" max="8468" width="61" style="115" customWidth="1"/>
    <col min="8469" max="8469" width="25.81640625" style="115" customWidth="1"/>
    <col min="8470" max="8470" width="206.81640625" style="115" customWidth="1"/>
    <col min="8471" max="8471" width="71.1796875" style="115" customWidth="1"/>
    <col min="8472" max="8472" width="13.54296875" style="115" customWidth="1"/>
    <col min="8473" max="8699" width="9.1796875" style="115"/>
    <col min="8700" max="8700" width="155.1796875" style="115" customWidth="1"/>
    <col min="8701" max="8702" width="29.81640625" style="115" customWidth="1"/>
    <col min="8703" max="8703" width="26.81640625" style="115" customWidth="1"/>
    <col min="8704" max="8704" width="26.54296875" style="115" customWidth="1"/>
    <col min="8705" max="8705" width="25.81640625" style="115" customWidth="1"/>
    <col min="8706" max="8706" width="28.54296875" style="115" customWidth="1"/>
    <col min="8707" max="8707" width="27.81640625" style="115" customWidth="1"/>
    <col min="8708" max="8716" width="25.81640625" style="115" customWidth="1"/>
    <col min="8717" max="8717" width="29.81640625" style="115" customWidth="1"/>
    <col min="8718" max="8718" width="25.81640625" style="115" customWidth="1"/>
    <col min="8719" max="8719" width="44.81640625" style="115" customWidth="1"/>
    <col min="8720" max="8720" width="25.81640625" style="115" customWidth="1"/>
    <col min="8721" max="8721" width="32.1796875" style="115" customWidth="1"/>
    <col min="8722" max="8722" width="38.1796875" style="115" customWidth="1"/>
    <col min="8723" max="8723" width="32.81640625" style="115" customWidth="1"/>
    <col min="8724" max="8724" width="61" style="115" customWidth="1"/>
    <col min="8725" max="8725" width="25.81640625" style="115" customWidth="1"/>
    <col min="8726" max="8726" width="206.81640625" style="115" customWidth="1"/>
    <col min="8727" max="8727" width="71.1796875" style="115" customWidth="1"/>
    <col min="8728" max="8728" width="13.54296875" style="115" customWidth="1"/>
    <col min="8729" max="8955" width="9.1796875" style="115"/>
    <col min="8956" max="8956" width="155.1796875" style="115" customWidth="1"/>
    <col min="8957" max="8958" width="29.81640625" style="115" customWidth="1"/>
    <col min="8959" max="8959" width="26.81640625" style="115" customWidth="1"/>
    <col min="8960" max="8960" width="26.54296875" style="115" customWidth="1"/>
    <col min="8961" max="8961" width="25.81640625" style="115" customWidth="1"/>
    <col min="8962" max="8962" width="28.54296875" style="115" customWidth="1"/>
    <col min="8963" max="8963" width="27.81640625" style="115" customWidth="1"/>
    <col min="8964" max="8972" width="25.81640625" style="115" customWidth="1"/>
    <col min="8973" max="8973" width="29.81640625" style="115" customWidth="1"/>
    <col min="8974" max="8974" width="25.81640625" style="115" customWidth="1"/>
    <col min="8975" max="8975" width="44.81640625" style="115" customWidth="1"/>
    <col min="8976" max="8976" width="25.81640625" style="115" customWidth="1"/>
    <col min="8977" max="8977" width="32.1796875" style="115" customWidth="1"/>
    <col min="8978" max="8978" width="38.1796875" style="115" customWidth="1"/>
    <col min="8979" max="8979" width="32.81640625" style="115" customWidth="1"/>
    <col min="8980" max="8980" width="61" style="115" customWidth="1"/>
    <col min="8981" max="8981" width="25.81640625" style="115" customWidth="1"/>
    <col min="8982" max="8982" width="206.81640625" style="115" customWidth="1"/>
    <col min="8983" max="8983" width="71.1796875" style="115" customWidth="1"/>
    <col min="8984" max="8984" width="13.54296875" style="115" customWidth="1"/>
    <col min="8985" max="9211" width="9.1796875" style="115"/>
    <col min="9212" max="9212" width="155.1796875" style="115" customWidth="1"/>
    <col min="9213" max="9214" width="29.81640625" style="115" customWidth="1"/>
    <col min="9215" max="9215" width="26.81640625" style="115" customWidth="1"/>
    <col min="9216" max="9216" width="26.54296875" style="115" customWidth="1"/>
    <col min="9217" max="9217" width="25.81640625" style="115" customWidth="1"/>
    <col min="9218" max="9218" width="28.54296875" style="115" customWidth="1"/>
    <col min="9219" max="9219" width="27.81640625" style="115" customWidth="1"/>
    <col min="9220" max="9228" width="25.81640625" style="115" customWidth="1"/>
    <col min="9229" max="9229" width="29.81640625" style="115" customWidth="1"/>
    <col min="9230" max="9230" width="25.81640625" style="115" customWidth="1"/>
    <col min="9231" max="9231" width="44.81640625" style="115" customWidth="1"/>
    <col min="9232" max="9232" width="25.81640625" style="115" customWidth="1"/>
    <col min="9233" max="9233" width="32.1796875" style="115" customWidth="1"/>
    <col min="9234" max="9234" width="38.1796875" style="115" customWidth="1"/>
    <col min="9235" max="9235" width="32.81640625" style="115" customWidth="1"/>
    <col min="9236" max="9236" width="61" style="115" customWidth="1"/>
    <col min="9237" max="9237" width="25.81640625" style="115" customWidth="1"/>
    <col min="9238" max="9238" width="206.81640625" style="115" customWidth="1"/>
    <col min="9239" max="9239" width="71.1796875" style="115" customWidth="1"/>
    <col min="9240" max="9240" width="13.54296875" style="115" customWidth="1"/>
    <col min="9241" max="9467" width="9.1796875" style="115"/>
    <col min="9468" max="9468" width="155.1796875" style="115" customWidth="1"/>
    <col min="9469" max="9470" width="29.81640625" style="115" customWidth="1"/>
    <col min="9471" max="9471" width="26.81640625" style="115" customWidth="1"/>
    <col min="9472" max="9472" width="26.54296875" style="115" customWidth="1"/>
    <col min="9473" max="9473" width="25.81640625" style="115" customWidth="1"/>
    <col min="9474" max="9474" width="28.54296875" style="115" customWidth="1"/>
    <col min="9475" max="9475" width="27.81640625" style="115" customWidth="1"/>
    <col min="9476" max="9484" width="25.81640625" style="115" customWidth="1"/>
    <col min="9485" max="9485" width="29.81640625" style="115" customWidth="1"/>
    <col min="9486" max="9486" width="25.81640625" style="115" customWidth="1"/>
    <col min="9487" max="9487" width="44.81640625" style="115" customWidth="1"/>
    <col min="9488" max="9488" width="25.81640625" style="115" customWidth="1"/>
    <col min="9489" max="9489" width="32.1796875" style="115" customWidth="1"/>
    <col min="9490" max="9490" width="38.1796875" style="115" customWidth="1"/>
    <col min="9491" max="9491" width="32.81640625" style="115" customWidth="1"/>
    <col min="9492" max="9492" width="61" style="115" customWidth="1"/>
    <col min="9493" max="9493" width="25.81640625" style="115" customWidth="1"/>
    <col min="9494" max="9494" width="206.81640625" style="115" customWidth="1"/>
    <col min="9495" max="9495" width="71.1796875" style="115" customWidth="1"/>
    <col min="9496" max="9496" width="13.54296875" style="115" customWidth="1"/>
    <col min="9497" max="9723" width="9.1796875" style="115"/>
    <col min="9724" max="9724" width="155.1796875" style="115" customWidth="1"/>
    <col min="9725" max="9726" width="29.81640625" style="115" customWidth="1"/>
    <col min="9727" max="9727" width="26.81640625" style="115" customWidth="1"/>
    <col min="9728" max="9728" width="26.54296875" style="115" customWidth="1"/>
    <col min="9729" max="9729" width="25.81640625" style="115" customWidth="1"/>
    <col min="9730" max="9730" width="28.54296875" style="115" customWidth="1"/>
    <col min="9731" max="9731" width="27.81640625" style="115" customWidth="1"/>
    <col min="9732" max="9740" width="25.81640625" style="115" customWidth="1"/>
    <col min="9741" max="9741" width="29.81640625" style="115" customWidth="1"/>
    <col min="9742" max="9742" width="25.81640625" style="115" customWidth="1"/>
    <col min="9743" max="9743" width="44.81640625" style="115" customWidth="1"/>
    <col min="9744" max="9744" width="25.81640625" style="115" customWidth="1"/>
    <col min="9745" max="9745" width="32.1796875" style="115" customWidth="1"/>
    <col min="9746" max="9746" width="38.1796875" style="115" customWidth="1"/>
    <col min="9747" max="9747" width="32.81640625" style="115" customWidth="1"/>
    <col min="9748" max="9748" width="61" style="115" customWidth="1"/>
    <col min="9749" max="9749" width="25.81640625" style="115" customWidth="1"/>
    <col min="9750" max="9750" width="206.81640625" style="115" customWidth="1"/>
    <col min="9751" max="9751" width="71.1796875" style="115" customWidth="1"/>
    <col min="9752" max="9752" width="13.54296875" style="115" customWidth="1"/>
    <col min="9753" max="9979" width="9.1796875" style="115"/>
    <col min="9980" max="9980" width="155.1796875" style="115" customWidth="1"/>
    <col min="9981" max="9982" width="29.81640625" style="115" customWidth="1"/>
    <col min="9983" max="9983" width="26.81640625" style="115" customWidth="1"/>
    <col min="9984" max="9984" width="26.54296875" style="115" customWidth="1"/>
    <col min="9985" max="9985" width="25.81640625" style="115" customWidth="1"/>
    <col min="9986" max="9986" width="28.54296875" style="115" customWidth="1"/>
    <col min="9987" max="9987" width="27.81640625" style="115" customWidth="1"/>
    <col min="9988" max="9996" width="25.81640625" style="115" customWidth="1"/>
    <col min="9997" max="9997" width="29.81640625" style="115" customWidth="1"/>
    <col min="9998" max="9998" width="25.81640625" style="115" customWidth="1"/>
    <col min="9999" max="9999" width="44.81640625" style="115" customWidth="1"/>
    <col min="10000" max="10000" width="25.81640625" style="115" customWidth="1"/>
    <col min="10001" max="10001" width="32.1796875" style="115" customWidth="1"/>
    <col min="10002" max="10002" width="38.1796875" style="115" customWidth="1"/>
    <col min="10003" max="10003" width="32.81640625" style="115" customWidth="1"/>
    <col min="10004" max="10004" width="61" style="115" customWidth="1"/>
    <col min="10005" max="10005" width="25.81640625" style="115" customWidth="1"/>
    <col min="10006" max="10006" width="206.81640625" style="115" customWidth="1"/>
    <col min="10007" max="10007" width="71.1796875" style="115" customWidth="1"/>
    <col min="10008" max="10008" width="13.54296875" style="115" customWidth="1"/>
    <col min="10009" max="10235" width="9.1796875" style="115"/>
    <col min="10236" max="10236" width="155.1796875" style="115" customWidth="1"/>
    <col min="10237" max="10238" width="29.81640625" style="115" customWidth="1"/>
    <col min="10239" max="10239" width="26.81640625" style="115" customWidth="1"/>
    <col min="10240" max="10240" width="26.54296875" style="115" customWidth="1"/>
    <col min="10241" max="10241" width="25.81640625" style="115" customWidth="1"/>
    <col min="10242" max="10242" width="28.54296875" style="115" customWidth="1"/>
    <col min="10243" max="10243" width="27.81640625" style="115" customWidth="1"/>
    <col min="10244" max="10252" width="25.81640625" style="115" customWidth="1"/>
    <col min="10253" max="10253" width="29.81640625" style="115" customWidth="1"/>
    <col min="10254" max="10254" width="25.81640625" style="115" customWidth="1"/>
    <col min="10255" max="10255" width="44.81640625" style="115" customWidth="1"/>
    <col min="10256" max="10256" width="25.81640625" style="115" customWidth="1"/>
    <col min="10257" max="10257" width="32.1796875" style="115" customWidth="1"/>
    <col min="10258" max="10258" width="38.1796875" style="115" customWidth="1"/>
    <col min="10259" max="10259" width="32.81640625" style="115" customWidth="1"/>
    <col min="10260" max="10260" width="61" style="115" customWidth="1"/>
    <col min="10261" max="10261" width="25.81640625" style="115" customWidth="1"/>
    <col min="10262" max="10262" width="206.81640625" style="115" customWidth="1"/>
    <col min="10263" max="10263" width="71.1796875" style="115" customWidth="1"/>
    <col min="10264" max="10264" width="13.54296875" style="115" customWidth="1"/>
    <col min="10265" max="10491" width="9.1796875" style="115"/>
    <col min="10492" max="10492" width="155.1796875" style="115" customWidth="1"/>
    <col min="10493" max="10494" width="29.81640625" style="115" customWidth="1"/>
    <col min="10495" max="10495" width="26.81640625" style="115" customWidth="1"/>
    <col min="10496" max="10496" width="26.54296875" style="115" customWidth="1"/>
    <col min="10497" max="10497" width="25.81640625" style="115" customWidth="1"/>
    <col min="10498" max="10498" width="28.54296875" style="115" customWidth="1"/>
    <col min="10499" max="10499" width="27.81640625" style="115" customWidth="1"/>
    <col min="10500" max="10508" width="25.81640625" style="115" customWidth="1"/>
    <col min="10509" max="10509" width="29.81640625" style="115" customWidth="1"/>
    <col min="10510" max="10510" width="25.81640625" style="115" customWidth="1"/>
    <col min="10511" max="10511" width="44.81640625" style="115" customWidth="1"/>
    <col min="10512" max="10512" width="25.81640625" style="115" customWidth="1"/>
    <col min="10513" max="10513" width="32.1796875" style="115" customWidth="1"/>
    <col min="10514" max="10514" width="38.1796875" style="115" customWidth="1"/>
    <col min="10515" max="10515" width="32.81640625" style="115" customWidth="1"/>
    <col min="10516" max="10516" width="61" style="115" customWidth="1"/>
    <col min="10517" max="10517" width="25.81640625" style="115" customWidth="1"/>
    <col min="10518" max="10518" width="206.81640625" style="115" customWidth="1"/>
    <col min="10519" max="10519" width="71.1796875" style="115" customWidth="1"/>
    <col min="10520" max="10520" width="13.54296875" style="115" customWidth="1"/>
    <col min="10521" max="10747" width="9.1796875" style="115"/>
    <col min="10748" max="10748" width="155.1796875" style="115" customWidth="1"/>
    <col min="10749" max="10750" width="29.81640625" style="115" customWidth="1"/>
    <col min="10751" max="10751" width="26.81640625" style="115" customWidth="1"/>
    <col min="10752" max="10752" width="26.54296875" style="115" customWidth="1"/>
    <col min="10753" max="10753" width="25.81640625" style="115" customWidth="1"/>
    <col min="10754" max="10754" width="28.54296875" style="115" customWidth="1"/>
    <col min="10755" max="10755" width="27.81640625" style="115" customWidth="1"/>
    <col min="10756" max="10764" width="25.81640625" style="115" customWidth="1"/>
    <col min="10765" max="10765" width="29.81640625" style="115" customWidth="1"/>
    <col min="10766" max="10766" width="25.81640625" style="115" customWidth="1"/>
    <col min="10767" max="10767" width="44.81640625" style="115" customWidth="1"/>
    <col min="10768" max="10768" width="25.81640625" style="115" customWidth="1"/>
    <col min="10769" max="10769" width="32.1796875" style="115" customWidth="1"/>
    <col min="10770" max="10770" width="38.1796875" style="115" customWidth="1"/>
    <col min="10771" max="10771" width="32.81640625" style="115" customWidth="1"/>
    <col min="10772" max="10772" width="61" style="115" customWidth="1"/>
    <col min="10773" max="10773" width="25.81640625" style="115" customWidth="1"/>
    <col min="10774" max="10774" width="206.81640625" style="115" customWidth="1"/>
    <col min="10775" max="10775" width="71.1796875" style="115" customWidth="1"/>
    <col min="10776" max="10776" width="13.54296875" style="115" customWidth="1"/>
    <col min="10777" max="11003" width="9.1796875" style="115"/>
    <col min="11004" max="11004" width="155.1796875" style="115" customWidth="1"/>
    <col min="11005" max="11006" width="29.81640625" style="115" customWidth="1"/>
    <col min="11007" max="11007" width="26.81640625" style="115" customWidth="1"/>
    <col min="11008" max="11008" width="26.54296875" style="115" customWidth="1"/>
    <col min="11009" max="11009" width="25.81640625" style="115" customWidth="1"/>
    <col min="11010" max="11010" width="28.54296875" style="115" customWidth="1"/>
    <col min="11011" max="11011" width="27.81640625" style="115" customWidth="1"/>
    <col min="11012" max="11020" width="25.81640625" style="115" customWidth="1"/>
    <col min="11021" max="11021" width="29.81640625" style="115" customWidth="1"/>
    <col min="11022" max="11022" width="25.81640625" style="115" customWidth="1"/>
    <col min="11023" max="11023" width="44.81640625" style="115" customWidth="1"/>
    <col min="11024" max="11024" width="25.81640625" style="115" customWidth="1"/>
    <col min="11025" max="11025" width="32.1796875" style="115" customWidth="1"/>
    <col min="11026" max="11026" width="38.1796875" style="115" customWidth="1"/>
    <col min="11027" max="11027" width="32.81640625" style="115" customWidth="1"/>
    <col min="11028" max="11028" width="61" style="115" customWidth="1"/>
    <col min="11029" max="11029" width="25.81640625" style="115" customWidth="1"/>
    <col min="11030" max="11030" width="206.81640625" style="115" customWidth="1"/>
    <col min="11031" max="11031" width="71.1796875" style="115" customWidth="1"/>
    <col min="11032" max="11032" width="13.54296875" style="115" customWidth="1"/>
    <col min="11033" max="11259" width="9.1796875" style="115"/>
    <col min="11260" max="11260" width="155.1796875" style="115" customWidth="1"/>
    <col min="11261" max="11262" width="29.81640625" style="115" customWidth="1"/>
    <col min="11263" max="11263" width="26.81640625" style="115" customWidth="1"/>
    <col min="11264" max="11264" width="26.54296875" style="115" customWidth="1"/>
    <col min="11265" max="11265" width="25.81640625" style="115" customWidth="1"/>
    <col min="11266" max="11266" width="28.54296875" style="115" customWidth="1"/>
    <col min="11267" max="11267" width="27.81640625" style="115" customWidth="1"/>
    <col min="11268" max="11276" width="25.81640625" style="115" customWidth="1"/>
    <col min="11277" max="11277" width="29.81640625" style="115" customWidth="1"/>
    <col min="11278" max="11278" width="25.81640625" style="115" customWidth="1"/>
    <col min="11279" max="11279" width="44.81640625" style="115" customWidth="1"/>
    <col min="11280" max="11280" width="25.81640625" style="115" customWidth="1"/>
    <col min="11281" max="11281" width="32.1796875" style="115" customWidth="1"/>
    <col min="11282" max="11282" width="38.1796875" style="115" customWidth="1"/>
    <col min="11283" max="11283" width="32.81640625" style="115" customWidth="1"/>
    <col min="11284" max="11284" width="61" style="115" customWidth="1"/>
    <col min="11285" max="11285" width="25.81640625" style="115" customWidth="1"/>
    <col min="11286" max="11286" width="206.81640625" style="115" customWidth="1"/>
    <col min="11287" max="11287" width="71.1796875" style="115" customWidth="1"/>
    <col min="11288" max="11288" width="13.54296875" style="115" customWidth="1"/>
    <col min="11289" max="11515" width="9.1796875" style="115"/>
    <col min="11516" max="11516" width="155.1796875" style="115" customWidth="1"/>
    <col min="11517" max="11518" width="29.81640625" style="115" customWidth="1"/>
    <col min="11519" max="11519" width="26.81640625" style="115" customWidth="1"/>
    <col min="11520" max="11520" width="26.54296875" style="115" customWidth="1"/>
    <col min="11521" max="11521" width="25.81640625" style="115" customWidth="1"/>
    <col min="11522" max="11522" width="28.54296875" style="115" customWidth="1"/>
    <col min="11523" max="11523" width="27.81640625" style="115" customWidth="1"/>
    <col min="11524" max="11532" width="25.81640625" style="115" customWidth="1"/>
    <col min="11533" max="11533" width="29.81640625" style="115" customWidth="1"/>
    <col min="11534" max="11534" width="25.81640625" style="115" customWidth="1"/>
    <col min="11535" max="11535" width="44.81640625" style="115" customWidth="1"/>
    <col min="11536" max="11536" width="25.81640625" style="115" customWidth="1"/>
    <col min="11537" max="11537" width="32.1796875" style="115" customWidth="1"/>
    <col min="11538" max="11538" width="38.1796875" style="115" customWidth="1"/>
    <col min="11539" max="11539" width="32.81640625" style="115" customWidth="1"/>
    <col min="11540" max="11540" width="61" style="115" customWidth="1"/>
    <col min="11541" max="11541" width="25.81640625" style="115" customWidth="1"/>
    <col min="11542" max="11542" width="206.81640625" style="115" customWidth="1"/>
    <col min="11543" max="11543" width="71.1796875" style="115" customWidth="1"/>
    <col min="11544" max="11544" width="13.54296875" style="115" customWidth="1"/>
    <col min="11545" max="11771" width="9.1796875" style="115"/>
    <col min="11772" max="11772" width="155.1796875" style="115" customWidth="1"/>
    <col min="11773" max="11774" width="29.81640625" style="115" customWidth="1"/>
    <col min="11775" max="11775" width="26.81640625" style="115" customWidth="1"/>
    <col min="11776" max="11776" width="26.54296875" style="115" customWidth="1"/>
    <col min="11777" max="11777" width="25.81640625" style="115" customWidth="1"/>
    <col min="11778" max="11778" width="28.54296875" style="115" customWidth="1"/>
    <col min="11779" max="11779" width="27.81640625" style="115" customWidth="1"/>
    <col min="11780" max="11788" width="25.81640625" style="115" customWidth="1"/>
    <col min="11789" max="11789" width="29.81640625" style="115" customWidth="1"/>
    <col min="11790" max="11790" width="25.81640625" style="115" customWidth="1"/>
    <col min="11791" max="11791" width="44.81640625" style="115" customWidth="1"/>
    <col min="11792" max="11792" width="25.81640625" style="115" customWidth="1"/>
    <col min="11793" max="11793" width="32.1796875" style="115" customWidth="1"/>
    <col min="11794" max="11794" width="38.1796875" style="115" customWidth="1"/>
    <col min="11795" max="11795" width="32.81640625" style="115" customWidth="1"/>
    <col min="11796" max="11796" width="61" style="115" customWidth="1"/>
    <col min="11797" max="11797" width="25.81640625" style="115" customWidth="1"/>
    <col min="11798" max="11798" width="206.81640625" style="115" customWidth="1"/>
    <col min="11799" max="11799" width="71.1796875" style="115" customWidth="1"/>
    <col min="11800" max="11800" width="13.54296875" style="115" customWidth="1"/>
    <col min="11801" max="12027" width="9.1796875" style="115"/>
    <col min="12028" max="12028" width="155.1796875" style="115" customWidth="1"/>
    <col min="12029" max="12030" width="29.81640625" style="115" customWidth="1"/>
    <col min="12031" max="12031" width="26.81640625" style="115" customWidth="1"/>
    <col min="12032" max="12032" width="26.54296875" style="115" customWidth="1"/>
    <col min="12033" max="12033" width="25.81640625" style="115" customWidth="1"/>
    <col min="12034" max="12034" width="28.54296875" style="115" customWidth="1"/>
    <col min="12035" max="12035" width="27.81640625" style="115" customWidth="1"/>
    <col min="12036" max="12044" width="25.81640625" style="115" customWidth="1"/>
    <col min="12045" max="12045" width="29.81640625" style="115" customWidth="1"/>
    <col min="12046" max="12046" width="25.81640625" style="115" customWidth="1"/>
    <col min="12047" max="12047" width="44.81640625" style="115" customWidth="1"/>
    <col min="12048" max="12048" width="25.81640625" style="115" customWidth="1"/>
    <col min="12049" max="12049" width="32.1796875" style="115" customWidth="1"/>
    <col min="12050" max="12050" width="38.1796875" style="115" customWidth="1"/>
    <col min="12051" max="12051" width="32.81640625" style="115" customWidth="1"/>
    <col min="12052" max="12052" width="61" style="115" customWidth="1"/>
    <col min="12053" max="12053" width="25.81640625" style="115" customWidth="1"/>
    <col min="12054" max="12054" width="206.81640625" style="115" customWidth="1"/>
    <col min="12055" max="12055" width="71.1796875" style="115" customWidth="1"/>
    <col min="12056" max="12056" width="13.54296875" style="115" customWidth="1"/>
    <col min="12057" max="12283" width="9.1796875" style="115"/>
    <col min="12284" max="12284" width="155.1796875" style="115" customWidth="1"/>
    <col min="12285" max="12286" width="29.81640625" style="115" customWidth="1"/>
    <col min="12287" max="12287" width="26.81640625" style="115" customWidth="1"/>
    <col min="12288" max="12288" width="26.54296875" style="115" customWidth="1"/>
    <col min="12289" max="12289" width="25.81640625" style="115" customWidth="1"/>
    <col min="12290" max="12290" width="28.54296875" style="115" customWidth="1"/>
    <col min="12291" max="12291" width="27.81640625" style="115" customWidth="1"/>
    <col min="12292" max="12300" width="25.81640625" style="115" customWidth="1"/>
    <col min="12301" max="12301" width="29.81640625" style="115" customWidth="1"/>
    <col min="12302" max="12302" width="25.81640625" style="115" customWidth="1"/>
    <col min="12303" max="12303" width="44.81640625" style="115" customWidth="1"/>
    <col min="12304" max="12304" width="25.81640625" style="115" customWidth="1"/>
    <col min="12305" max="12305" width="32.1796875" style="115" customWidth="1"/>
    <col min="12306" max="12306" width="38.1796875" style="115" customWidth="1"/>
    <col min="12307" max="12307" width="32.81640625" style="115" customWidth="1"/>
    <col min="12308" max="12308" width="61" style="115" customWidth="1"/>
    <col min="12309" max="12309" width="25.81640625" style="115" customWidth="1"/>
    <col min="12310" max="12310" width="206.81640625" style="115" customWidth="1"/>
    <col min="12311" max="12311" width="71.1796875" style="115" customWidth="1"/>
    <col min="12312" max="12312" width="13.54296875" style="115" customWidth="1"/>
    <col min="12313" max="12539" width="9.1796875" style="115"/>
    <col min="12540" max="12540" width="155.1796875" style="115" customWidth="1"/>
    <col min="12541" max="12542" width="29.81640625" style="115" customWidth="1"/>
    <col min="12543" max="12543" width="26.81640625" style="115" customWidth="1"/>
    <col min="12544" max="12544" width="26.54296875" style="115" customWidth="1"/>
    <col min="12545" max="12545" width="25.81640625" style="115" customWidth="1"/>
    <col min="12546" max="12546" width="28.54296875" style="115" customWidth="1"/>
    <col min="12547" max="12547" width="27.81640625" style="115" customWidth="1"/>
    <col min="12548" max="12556" width="25.81640625" style="115" customWidth="1"/>
    <col min="12557" max="12557" width="29.81640625" style="115" customWidth="1"/>
    <col min="12558" max="12558" width="25.81640625" style="115" customWidth="1"/>
    <col min="12559" max="12559" width="44.81640625" style="115" customWidth="1"/>
    <col min="12560" max="12560" width="25.81640625" style="115" customWidth="1"/>
    <col min="12561" max="12561" width="32.1796875" style="115" customWidth="1"/>
    <col min="12562" max="12562" width="38.1796875" style="115" customWidth="1"/>
    <col min="12563" max="12563" width="32.81640625" style="115" customWidth="1"/>
    <col min="12564" max="12564" width="61" style="115" customWidth="1"/>
    <col min="12565" max="12565" width="25.81640625" style="115" customWidth="1"/>
    <col min="12566" max="12566" width="206.81640625" style="115" customWidth="1"/>
    <col min="12567" max="12567" width="71.1796875" style="115" customWidth="1"/>
    <col min="12568" max="12568" width="13.54296875" style="115" customWidth="1"/>
    <col min="12569" max="12795" width="9.1796875" style="115"/>
    <col min="12796" max="12796" width="155.1796875" style="115" customWidth="1"/>
    <col min="12797" max="12798" width="29.81640625" style="115" customWidth="1"/>
    <col min="12799" max="12799" width="26.81640625" style="115" customWidth="1"/>
    <col min="12800" max="12800" width="26.54296875" style="115" customWidth="1"/>
    <col min="12801" max="12801" width="25.81640625" style="115" customWidth="1"/>
    <col min="12802" max="12802" width="28.54296875" style="115" customWidth="1"/>
    <col min="12803" max="12803" width="27.81640625" style="115" customWidth="1"/>
    <col min="12804" max="12812" width="25.81640625" style="115" customWidth="1"/>
    <col min="12813" max="12813" width="29.81640625" style="115" customWidth="1"/>
    <col min="12814" max="12814" width="25.81640625" style="115" customWidth="1"/>
    <col min="12815" max="12815" width="44.81640625" style="115" customWidth="1"/>
    <col min="12816" max="12816" width="25.81640625" style="115" customWidth="1"/>
    <col min="12817" max="12817" width="32.1796875" style="115" customWidth="1"/>
    <col min="12818" max="12818" width="38.1796875" style="115" customWidth="1"/>
    <col min="12819" max="12819" width="32.81640625" style="115" customWidth="1"/>
    <col min="12820" max="12820" width="61" style="115" customWidth="1"/>
    <col min="12821" max="12821" width="25.81640625" style="115" customWidth="1"/>
    <col min="12822" max="12822" width="206.81640625" style="115" customWidth="1"/>
    <col min="12823" max="12823" width="71.1796875" style="115" customWidth="1"/>
    <col min="12824" max="12824" width="13.54296875" style="115" customWidth="1"/>
    <col min="12825" max="13051" width="9.1796875" style="115"/>
    <col min="13052" max="13052" width="155.1796875" style="115" customWidth="1"/>
    <col min="13053" max="13054" width="29.81640625" style="115" customWidth="1"/>
    <col min="13055" max="13055" width="26.81640625" style="115" customWidth="1"/>
    <col min="13056" max="13056" width="26.54296875" style="115" customWidth="1"/>
    <col min="13057" max="13057" width="25.81640625" style="115" customWidth="1"/>
    <col min="13058" max="13058" width="28.54296875" style="115" customWidth="1"/>
    <col min="13059" max="13059" width="27.81640625" style="115" customWidth="1"/>
    <col min="13060" max="13068" width="25.81640625" style="115" customWidth="1"/>
    <col min="13069" max="13069" width="29.81640625" style="115" customWidth="1"/>
    <col min="13070" max="13070" width="25.81640625" style="115" customWidth="1"/>
    <col min="13071" max="13071" width="44.81640625" style="115" customWidth="1"/>
    <col min="13072" max="13072" width="25.81640625" style="115" customWidth="1"/>
    <col min="13073" max="13073" width="32.1796875" style="115" customWidth="1"/>
    <col min="13074" max="13074" width="38.1796875" style="115" customWidth="1"/>
    <col min="13075" max="13075" width="32.81640625" style="115" customWidth="1"/>
    <col min="13076" max="13076" width="61" style="115" customWidth="1"/>
    <col min="13077" max="13077" width="25.81640625" style="115" customWidth="1"/>
    <col min="13078" max="13078" width="206.81640625" style="115" customWidth="1"/>
    <col min="13079" max="13079" width="71.1796875" style="115" customWidth="1"/>
    <col min="13080" max="13080" width="13.54296875" style="115" customWidth="1"/>
    <col min="13081" max="13307" width="9.1796875" style="115"/>
    <col min="13308" max="13308" width="155.1796875" style="115" customWidth="1"/>
    <col min="13309" max="13310" width="29.81640625" style="115" customWidth="1"/>
    <col min="13311" max="13311" width="26.81640625" style="115" customWidth="1"/>
    <col min="13312" max="13312" width="26.54296875" style="115" customWidth="1"/>
    <col min="13313" max="13313" width="25.81640625" style="115" customWidth="1"/>
    <col min="13314" max="13314" width="28.54296875" style="115" customWidth="1"/>
    <col min="13315" max="13315" width="27.81640625" style="115" customWidth="1"/>
    <col min="13316" max="13324" width="25.81640625" style="115" customWidth="1"/>
    <col min="13325" max="13325" width="29.81640625" style="115" customWidth="1"/>
    <col min="13326" max="13326" width="25.81640625" style="115" customWidth="1"/>
    <col min="13327" max="13327" width="44.81640625" style="115" customWidth="1"/>
    <col min="13328" max="13328" width="25.81640625" style="115" customWidth="1"/>
    <col min="13329" max="13329" width="32.1796875" style="115" customWidth="1"/>
    <col min="13330" max="13330" width="38.1796875" style="115" customWidth="1"/>
    <col min="13331" max="13331" width="32.81640625" style="115" customWidth="1"/>
    <col min="13332" max="13332" width="61" style="115" customWidth="1"/>
    <col min="13333" max="13333" width="25.81640625" style="115" customWidth="1"/>
    <col min="13334" max="13334" width="206.81640625" style="115" customWidth="1"/>
    <col min="13335" max="13335" width="71.1796875" style="115" customWidth="1"/>
    <col min="13336" max="13336" width="13.54296875" style="115" customWidth="1"/>
    <col min="13337" max="13563" width="9.1796875" style="115"/>
    <col min="13564" max="13564" width="155.1796875" style="115" customWidth="1"/>
    <col min="13565" max="13566" width="29.81640625" style="115" customWidth="1"/>
    <col min="13567" max="13567" width="26.81640625" style="115" customWidth="1"/>
    <col min="13568" max="13568" width="26.54296875" style="115" customWidth="1"/>
    <col min="13569" max="13569" width="25.81640625" style="115" customWidth="1"/>
    <col min="13570" max="13570" width="28.54296875" style="115" customWidth="1"/>
    <col min="13571" max="13571" width="27.81640625" style="115" customWidth="1"/>
    <col min="13572" max="13580" width="25.81640625" style="115" customWidth="1"/>
    <col min="13581" max="13581" width="29.81640625" style="115" customWidth="1"/>
    <col min="13582" max="13582" width="25.81640625" style="115" customWidth="1"/>
    <col min="13583" max="13583" width="44.81640625" style="115" customWidth="1"/>
    <col min="13584" max="13584" width="25.81640625" style="115" customWidth="1"/>
    <col min="13585" max="13585" width="32.1796875" style="115" customWidth="1"/>
    <col min="13586" max="13586" width="38.1796875" style="115" customWidth="1"/>
    <col min="13587" max="13587" width="32.81640625" style="115" customWidth="1"/>
    <col min="13588" max="13588" width="61" style="115" customWidth="1"/>
    <col min="13589" max="13589" width="25.81640625" style="115" customWidth="1"/>
    <col min="13590" max="13590" width="206.81640625" style="115" customWidth="1"/>
    <col min="13591" max="13591" width="71.1796875" style="115" customWidth="1"/>
    <col min="13592" max="13592" width="13.54296875" style="115" customWidth="1"/>
    <col min="13593" max="13819" width="9.1796875" style="115"/>
    <col min="13820" max="13820" width="155.1796875" style="115" customWidth="1"/>
    <col min="13821" max="13822" width="29.81640625" style="115" customWidth="1"/>
    <col min="13823" max="13823" width="26.81640625" style="115" customWidth="1"/>
    <col min="13824" max="13824" width="26.54296875" style="115" customWidth="1"/>
    <col min="13825" max="13825" width="25.81640625" style="115" customWidth="1"/>
    <col min="13826" max="13826" width="28.54296875" style="115" customWidth="1"/>
    <col min="13827" max="13827" width="27.81640625" style="115" customWidth="1"/>
    <col min="13828" max="13836" width="25.81640625" style="115" customWidth="1"/>
    <col min="13837" max="13837" width="29.81640625" style="115" customWidth="1"/>
    <col min="13838" max="13838" width="25.81640625" style="115" customWidth="1"/>
    <col min="13839" max="13839" width="44.81640625" style="115" customWidth="1"/>
    <col min="13840" max="13840" width="25.81640625" style="115" customWidth="1"/>
    <col min="13841" max="13841" width="32.1796875" style="115" customWidth="1"/>
    <col min="13842" max="13842" width="38.1796875" style="115" customWidth="1"/>
    <col min="13843" max="13843" width="32.81640625" style="115" customWidth="1"/>
    <col min="13844" max="13844" width="61" style="115" customWidth="1"/>
    <col min="13845" max="13845" width="25.81640625" style="115" customWidth="1"/>
    <col min="13846" max="13846" width="206.81640625" style="115" customWidth="1"/>
    <col min="13847" max="13847" width="71.1796875" style="115" customWidth="1"/>
    <col min="13848" max="13848" width="13.54296875" style="115" customWidth="1"/>
    <col min="13849" max="14075" width="9.1796875" style="115"/>
    <col min="14076" max="14076" width="155.1796875" style="115" customWidth="1"/>
    <col min="14077" max="14078" width="29.81640625" style="115" customWidth="1"/>
    <col min="14079" max="14079" width="26.81640625" style="115" customWidth="1"/>
    <col min="14080" max="14080" width="26.54296875" style="115" customWidth="1"/>
    <col min="14081" max="14081" width="25.81640625" style="115" customWidth="1"/>
    <col min="14082" max="14082" width="28.54296875" style="115" customWidth="1"/>
    <col min="14083" max="14083" width="27.81640625" style="115" customWidth="1"/>
    <col min="14084" max="14092" width="25.81640625" style="115" customWidth="1"/>
    <col min="14093" max="14093" width="29.81640625" style="115" customWidth="1"/>
    <col min="14094" max="14094" width="25.81640625" style="115" customWidth="1"/>
    <col min="14095" max="14095" width="44.81640625" style="115" customWidth="1"/>
    <col min="14096" max="14096" width="25.81640625" style="115" customWidth="1"/>
    <col min="14097" max="14097" width="32.1796875" style="115" customWidth="1"/>
    <col min="14098" max="14098" width="38.1796875" style="115" customWidth="1"/>
    <col min="14099" max="14099" width="32.81640625" style="115" customWidth="1"/>
    <col min="14100" max="14100" width="61" style="115" customWidth="1"/>
    <col min="14101" max="14101" width="25.81640625" style="115" customWidth="1"/>
    <col min="14102" max="14102" width="206.81640625" style="115" customWidth="1"/>
    <col min="14103" max="14103" width="71.1796875" style="115" customWidth="1"/>
    <col min="14104" max="14104" width="13.54296875" style="115" customWidth="1"/>
    <col min="14105" max="14331" width="9.1796875" style="115"/>
    <col min="14332" max="14332" width="155.1796875" style="115" customWidth="1"/>
    <col min="14333" max="14334" width="29.81640625" style="115" customWidth="1"/>
    <col min="14335" max="14335" width="26.81640625" style="115" customWidth="1"/>
    <col min="14336" max="14336" width="26.54296875" style="115" customWidth="1"/>
    <col min="14337" max="14337" width="25.81640625" style="115" customWidth="1"/>
    <col min="14338" max="14338" width="28.54296875" style="115" customWidth="1"/>
    <col min="14339" max="14339" width="27.81640625" style="115" customWidth="1"/>
    <col min="14340" max="14348" width="25.81640625" style="115" customWidth="1"/>
    <col min="14349" max="14349" width="29.81640625" style="115" customWidth="1"/>
    <col min="14350" max="14350" width="25.81640625" style="115" customWidth="1"/>
    <col min="14351" max="14351" width="44.81640625" style="115" customWidth="1"/>
    <col min="14352" max="14352" width="25.81640625" style="115" customWidth="1"/>
    <col min="14353" max="14353" width="32.1796875" style="115" customWidth="1"/>
    <col min="14354" max="14354" width="38.1796875" style="115" customWidth="1"/>
    <col min="14355" max="14355" width="32.81640625" style="115" customWidth="1"/>
    <col min="14356" max="14356" width="61" style="115" customWidth="1"/>
    <col min="14357" max="14357" width="25.81640625" style="115" customWidth="1"/>
    <col min="14358" max="14358" width="206.81640625" style="115" customWidth="1"/>
    <col min="14359" max="14359" width="71.1796875" style="115" customWidth="1"/>
    <col min="14360" max="14360" width="13.54296875" style="115" customWidth="1"/>
    <col min="14361" max="14587" width="9.1796875" style="115"/>
    <col min="14588" max="14588" width="155.1796875" style="115" customWidth="1"/>
    <col min="14589" max="14590" width="29.81640625" style="115" customWidth="1"/>
    <col min="14591" max="14591" width="26.81640625" style="115" customWidth="1"/>
    <col min="14592" max="14592" width="26.54296875" style="115" customWidth="1"/>
    <col min="14593" max="14593" width="25.81640625" style="115" customWidth="1"/>
    <col min="14594" max="14594" width="28.54296875" style="115" customWidth="1"/>
    <col min="14595" max="14595" width="27.81640625" style="115" customWidth="1"/>
    <col min="14596" max="14604" width="25.81640625" style="115" customWidth="1"/>
    <col min="14605" max="14605" width="29.81640625" style="115" customWidth="1"/>
    <col min="14606" max="14606" width="25.81640625" style="115" customWidth="1"/>
    <col min="14607" max="14607" width="44.81640625" style="115" customWidth="1"/>
    <col min="14608" max="14608" width="25.81640625" style="115" customWidth="1"/>
    <col min="14609" max="14609" width="32.1796875" style="115" customWidth="1"/>
    <col min="14610" max="14610" width="38.1796875" style="115" customWidth="1"/>
    <col min="14611" max="14611" width="32.81640625" style="115" customWidth="1"/>
    <col min="14612" max="14612" width="61" style="115" customWidth="1"/>
    <col min="14613" max="14613" width="25.81640625" style="115" customWidth="1"/>
    <col min="14614" max="14614" width="206.81640625" style="115" customWidth="1"/>
    <col min="14615" max="14615" width="71.1796875" style="115" customWidth="1"/>
    <col min="14616" max="14616" width="13.54296875" style="115" customWidth="1"/>
    <col min="14617" max="14843" width="9.1796875" style="115"/>
    <col min="14844" max="14844" width="155.1796875" style="115" customWidth="1"/>
    <col min="14845" max="14846" width="29.81640625" style="115" customWidth="1"/>
    <col min="14847" max="14847" width="26.81640625" style="115" customWidth="1"/>
    <col min="14848" max="14848" width="26.54296875" style="115" customWidth="1"/>
    <col min="14849" max="14849" width="25.81640625" style="115" customWidth="1"/>
    <col min="14850" max="14850" width="28.54296875" style="115" customWidth="1"/>
    <col min="14851" max="14851" width="27.81640625" style="115" customWidth="1"/>
    <col min="14852" max="14860" width="25.81640625" style="115" customWidth="1"/>
    <col min="14861" max="14861" width="29.81640625" style="115" customWidth="1"/>
    <col min="14862" max="14862" width="25.81640625" style="115" customWidth="1"/>
    <col min="14863" max="14863" width="44.81640625" style="115" customWidth="1"/>
    <col min="14864" max="14864" width="25.81640625" style="115" customWidth="1"/>
    <col min="14865" max="14865" width="32.1796875" style="115" customWidth="1"/>
    <col min="14866" max="14866" width="38.1796875" style="115" customWidth="1"/>
    <col min="14867" max="14867" width="32.81640625" style="115" customWidth="1"/>
    <col min="14868" max="14868" width="61" style="115" customWidth="1"/>
    <col min="14869" max="14869" width="25.81640625" style="115" customWidth="1"/>
    <col min="14870" max="14870" width="206.81640625" style="115" customWidth="1"/>
    <col min="14871" max="14871" width="71.1796875" style="115" customWidth="1"/>
    <col min="14872" max="14872" width="13.54296875" style="115" customWidth="1"/>
    <col min="14873" max="15099" width="9.1796875" style="115"/>
    <col min="15100" max="15100" width="155.1796875" style="115" customWidth="1"/>
    <col min="15101" max="15102" width="29.81640625" style="115" customWidth="1"/>
    <col min="15103" max="15103" width="26.81640625" style="115" customWidth="1"/>
    <col min="15104" max="15104" width="26.54296875" style="115" customWidth="1"/>
    <col min="15105" max="15105" width="25.81640625" style="115" customWidth="1"/>
    <col min="15106" max="15106" width="28.54296875" style="115" customWidth="1"/>
    <col min="15107" max="15107" width="27.81640625" style="115" customWidth="1"/>
    <col min="15108" max="15116" width="25.81640625" style="115" customWidth="1"/>
    <col min="15117" max="15117" width="29.81640625" style="115" customWidth="1"/>
    <col min="15118" max="15118" width="25.81640625" style="115" customWidth="1"/>
    <col min="15119" max="15119" width="44.81640625" style="115" customWidth="1"/>
    <col min="15120" max="15120" width="25.81640625" style="115" customWidth="1"/>
    <col min="15121" max="15121" width="32.1796875" style="115" customWidth="1"/>
    <col min="15122" max="15122" width="38.1796875" style="115" customWidth="1"/>
    <col min="15123" max="15123" width="32.81640625" style="115" customWidth="1"/>
    <col min="15124" max="15124" width="61" style="115" customWidth="1"/>
    <col min="15125" max="15125" width="25.81640625" style="115" customWidth="1"/>
    <col min="15126" max="15126" width="206.81640625" style="115" customWidth="1"/>
    <col min="15127" max="15127" width="71.1796875" style="115" customWidth="1"/>
    <col min="15128" max="15128" width="13.54296875" style="115" customWidth="1"/>
    <col min="15129" max="15355" width="9.1796875" style="115"/>
    <col min="15356" max="15356" width="155.1796875" style="115" customWidth="1"/>
    <col min="15357" max="15358" width="29.81640625" style="115" customWidth="1"/>
    <col min="15359" max="15359" width="26.81640625" style="115" customWidth="1"/>
    <col min="15360" max="15360" width="26.54296875" style="115" customWidth="1"/>
    <col min="15361" max="15361" width="25.81640625" style="115" customWidth="1"/>
    <col min="15362" max="15362" width="28.54296875" style="115" customWidth="1"/>
    <col min="15363" max="15363" width="27.81640625" style="115" customWidth="1"/>
    <col min="15364" max="15372" width="25.81640625" style="115" customWidth="1"/>
    <col min="15373" max="15373" width="29.81640625" style="115" customWidth="1"/>
    <col min="15374" max="15374" width="25.81640625" style="115" customWidth="1"/>
    <col min="15375" max="15375" width="44.81640625" style="115" customWidth="1"/>
    <col min="15376" max="15376" width="25.81640625" style="115" customWidth="1"/>
    <col min="15377" max="15377" width="32.1796875" style="115" customWidth="1"/>
    <col min="15378" max="15378" width="38.1796875" style="115" customWidth="1"/>
    <col min="15379" max="15379" width="32.81640625" style="115" customWidth="1"/>
    <col min="15380" max="15380" width="61" style="115" customWidth="1"/>
    <col min="15381" max="15381" width="25.81640625" style="115" customWidth="1"/>
    <col min="15382" max="15382" width="206.81640625" style="115" customWidth="1"/>
    <col min="15383" max="15383" width="71.1796875" style="115" customWidth="1"/>
    <col min="15384" max="15384" width="13.54296875" style="115" customWidth="1"/>
    <col min="15385" max="15611" width="9.1796875" style="115"/>
    <col min="15612" max="15612" width="155.1796875" style="115" customWidth="1"/>
    <col min="15613" max="15614" width="29.81640625" style="115" customWidth="1"/>
    <col min="15615" max="15615" width="26.81640625" style="115" customWidth="1"/>
    <col min="15616" max="15616" width="26.54296875" style="115" customWidth="1"/>
    <col min="15617" max="15617" width="25.81640625" style="115" customWidth="1"/>
    <col min="15618" max="15618" width="28.54296875" style="115" customWidth="1"/>
    <col min="15619" max="15619" width="27.81640625" style="115" customWidth="1"/>
    <col min="15620" max="15628" width="25.81640625" style="115" customWidth="1"/>
    <col min="15629" max="15629" width="29.81640625" style="115" customWidth="1"/>
    <col min="15630" max="15630" width="25.81640625" style="115" customWidth="1"/>
    <col min="15631" max="15631" width="44.81640625" style="115" customWidth="1"/>
    <col min="15632" max="15632" width="25.81640625" style="115" customWidth="1"/>
    <col min="15633" max="15633" width="32.1796875" style="115" customWidth="1"/>
    <col min="15634" max="15634" width="38.1796875" style="115" customWidth="1"/>
    <col min="15635" max="15635" width="32.81640625" style="115" customWidth="1"/>
    <col min="15636" max="15636" width="61" style="115" customWidth="1"/>
    <col min="15637" max="15637" width="25.81640625" style="115" customWidth="1"/>
    <col min="15638" max="15638" width="206.81640625" style="115" customWidth="1"/>
    <col min="15639" max="15639" width="71.1796875" style="115" customWidth="1"/>
    <col min="15640" max="15640" width="13.54296875" style="115" customWidth="1"/>
    <col min="15641" max="15867" width="9.1796875" style="115"/>
    <col min="15868" max="15868" width="155.1796875" style="115" customWidth="1"/>
    <col min="15869" max="15870" width="29.81640625" style="115" customWidth="1"/>
    <col min="15871" max="15871" width="26.81640625" style="115" customWidth="1"/>
    <col min="15872" max="15872" width="26.54296875" style="115" customWidth="1"/>
    <col min="15873" max="15873" width="25.81640625" style="115" customWidth="1"/>
    <col min="15874" max="15874" width="28.54296875" style="115" customWidth="1"/>
    <col min="15875" max="15875" width="27.81640625" style="115" customWidth="1"/>
    <col min="15876" max="15884" width="25.81640625" style="115" customWidth="1"/>
    <col min="15885" max="15885" width="29.81640625" style="115" customWidth="1"/>
    <col min="15886" max="15886" width="25.81640625" style="115" customWidth="1"/>
    <col min="15887" max="15887" width="44.81640625" style="115" customWidth="1"/>
    <col min="15888" max="15888" width="25.81640625" style="115" customWidth="1"/>
    <col min="15889" max="15889" width="32.1796875" style="115" customWidth="1"/>
    <col min="15890" max="15890" width="38.1796875" style="115" customWidth="1"/>
    <col min="15891" max="15891" width="32.81640625" style="115" customWidth="1"/>
    <col min="15892" max="15892" width="61" style="115" customWidth="1"/>
    <col min="15893" max="15893" width="25.81640625" style="115" customWidth="1"/>
    <col min="15894" max="15894" width="206.81640625" style="115" customWidth="1"/>
    <col min="15895" max="15895" width="71.1796875" style="115" customWidth="1"/>
    <col min="15896" max="15896" width="13.54296875" style="115" customWidth="1"/>
    <col min="15897" max="16123" width="9.1796875" style="115"/>
    <col min="16124" max="16124" width="155.1796875" style="115" customWidth="1"/>
    <col min="16125" max="16126" width="29.81640625" style="115" customWidth="1"/>
    <col min="16127" max="16127" width="26.81640625" style="115" customWidth="1"/>
    <col min="16128" max="16128" width="26.54296875" style="115" customWidth="1"/>
    <col min="16129" max="16129" width="25.81640625" style="115" customWidth="1"/>
    <col min="16130" max="16130" width="28.54296875" style="115" customWidth="1"/>
    <col min="16131" max="16131" width="27.81640625" style="115" customWidth="1"/>
    <col min="16132" max="16140" width="25.81640625" style="115" customWidth="1"/>
    <col min="16141" max="16141" width="29.81640625" style="115" customWidth="1"/>
    <col min="16142" max="16142" width="25.81640625" style="115" customWidth="1"/>
    <col min="16143" max="16143" width="44.81640625" style="115" customWidth="1"/>
    <col min="16144" max="16144" width="25.81640625" style="115" customWidth="1"/>
    <col min="16145" max="16145" width="32.1796875" style="115" customWidth="1"/>
    <col min="16146" max="16146" width="38.1796875" style="115" customWidth="1"/>
    <col min="16147" max="16147" width="32.81640625" style="115" customWidth="1"/>
    <col min="16148" max="16148" width="61" style="115" customWidth="1"/>
    <col min="16149" max="16149" width="25.81640625" style="115" customWidth="1"/>
    <col min="16150" max="16150" width="206.81640625" style="115" customWidth="1"/>
    <col min="16151" max="16151" width="71.1796875" style="115" customWidth="1"/>
    <col min="16152" max="16152" width="13.54296875" style="115" customWidth="1"/>
    <col min="16153" max="16384" width="9.1796875" style="115"/>
  </cols>
  <sheetData>
    <row r="1" spans="1:15" ht="13" x14ac:dyDescent="0.3">
      <c r="A1" s="114" t="s">
        <v>137</v>
      </c>
      <c r="D1" s="116"/>
    </row>
    <row r="2" spans="1:15" ht="13" x14ac:dyDescent="0.3">
      <c r="A2" s="198">
        <v>1</v>
      </c>
      <c r="B2" s="197" t="s">
        <v>138</v>
      </c>
      <c r="G2" s="114"/>
      <c r="I2" s="114"/>
    </row>
    <row r="3" spans="1:15" ht="13" x14ac:dyDescent="0.3">
      <c r="A3" s="198">
        <v>2</v>
      </c>
      <c r="B3" s="197" t="s">
        <v>139</v>
      </c>
      <c r="G3" s="114"/>
      <c r="I3" s="114"/>
    </row>
    <row r="4" spans="1:15" ht="13" x14ac:dyDescent="0.3">
      <c r="A4" s="198">
        <v>3</v>
      </c>
      <c r="B4" s="197" t="s">
        <v>420</v>
      </c>
      <c r="G4" s="114"/>
      <c r="I4" s="114"/>
    </row>
    <row r="5" spans="1:15" ht="13" x14ac:dyDescent="0.3">
      <c r="A5" s="198">
        <v>4</v>
      </c>
      <c r="B5" s="197" t="s">
        <v>140</v>
      </c>
      <c r="G5" s="114"/>
      <c r="I5" s="114"/>
    </row>
    <row r="6" spans="1:15" ht="13" x14ac:dyDescent="0.3">
      <c r="A6" s="198">
        <v>5</v>
      </c>
      <c r="B6" s="197" t="s">
        <v>141</v>
      </c>
      <c r="C6" s="114"/>
    </row>
    <row r="7" spans="1:15" ht="13" x14ac:dyDescent="0.3">
      <c r="A7" s="118"/>
      <c r="B7" s="119">
        <v>1</v>
      </c>
      <c r="C7" s="119" t="str">
        <f>VLOOKUP(B7,A2:B6,2,FALSE)</f>
        <v>Hernieuwbare elektriciteit</v>
      </c>
    </row>
    <row r="8" spans="1:15" ht="13" x14ac:dyDescent="0.3">
      <c r="A8" s="118"/>
    </row>
    <row r="9" spans="1:15" ht="13" x14ac:dyDescent="0.3">
      <c r="A9" s="114" t="s">
        <v>142</v>
      </c>
      <c r="J9" s="114"/>
      <c r="K9" s="114"/>
      <c r="L9" s="114"/>
    </row>
    <row r="10" spans="1:15" x14ac:dyDescent="0.25">
      <c r="A10" s="115" t="str">
        <f>B2</f>
        <v>Hernieuwbare elektriciteit</v>
      </c>
      <c r="B10" s="115" t="s">
        <v>143</v>
      </c>
      <c r="C10" s="115" t="s">
        <v>144</v>
      </c>
    </row>
    <row r="11" spans="1:15" x14ac:dyDescent="0.25">
      <c r="A11" s="115" t="str">
        <f>B3</f>
        <v>Hernieuwbaar gas</v>
      </c>
      <c r="B11" s="115" t="s">
        <v>145</v>
      </c>
      <c r="C11" s="115" t="s">
        <v>146</v>
      </c>
    </row>
    <row r="12" spans="1:15" x14ac:dyDescent="0.25">
      <c r="A12" s="115" t="str">
        <f>B4</f>
        <v>Hernieuwbare warmte (en gecombineerde opwekking)</v>
      </c>
      <c r="B12" s="115" t="s">
        <v>147</v>
      </c>
      <c r="C12" s="115" t="s">
        <v>148</v>
      </c>
      <c r="D12" s="115" t="s">
        <v>517</v>
      </c>
      <c r="E12" s="115" t="s">
        <v>241</v>
      </c>
    </row>
    <row r="13" spans="1:15" ht="23.25" customHeight="1" x14ac:dyDescent="0.25">
      <c r="A13" s="115" t="str">
        <f>B5</f>
        <v>CO₂-arme warmte</v>
      </c>
      <c r="B13" s="115" t="s">
        <v>149</v>
      </c>
      <c r="C13" s="120" t="s">
        <v>150</v>
      </c>
      <c r="D13" s="115" t="s">
        <v>393</v>
      </c>
      <c r="E13" s="120" t="s">
        <v>151</v>
      </c>
      <c r="F13" s="120" t="s">
        <v>152</v>
      </c>
      <c r="G13" s="120" t="s">
        <v>153</v>
      </c>
      <c r="H13" s="120" t="s">
        <v>154</v>
      </c>
    </row>
    <row r="14" spans="1:15" ht="90" customHeight="1" x14ac:dyDescent="0.25">
      <c r="A14" s="115" t="str">
        <f>B6</f>
        <v>CO₂-arme productie</v>
      </c>
      <c r="B14" s="232" t="s">
        <v>522</v>
      </c>
      <c r="C14" s="232" t="s">
        <v>155</v>
      </c>
      <c r="D14" s="234" t="s">
        <v>588</v>
      </c>
      <c r="E14" s="234" t="s">
        <v>589</v>
      </c>
      <c r="F14" s="234" t="s">
        <v>487</v>
      </c>
      <c r="G14" s="234" t="s">
        <v>515</v>
      </c>
      <c r="H14" s="234" t="s">
        <v>488</v>
      </c>
      <c r="I14" s="234" t="s">
        <v>516</v>
      </c>
      <c r="J14" s="234" t="s">
        <v>489</v>
      </c>
      <c r="K14" s="234" t="s">
        <v>490</v>
      </c>
      <c r="L14" s="235" t="s">
        <v>491</v>
      </c>
      <c r="M14" s="235" t="s">
        <v>492</v>
      </c>
      <c r="N14" s="235" t="s">
        <v>493</v>
      </c>
      <c r="O14" s="233"/>
    </row>
    <row r="16" spans="1:15" x14ac:dyDescent="0.25">
      <c r="A16" s="198" t="str">
        <f>VLOOKUP($C$7,A$10:$N$14,2,FALSE)</f>
        <v>Wind</v>
      </c>
      <c r="B16" s="198">
        <v>1</v>
      </c>
      <c r="C16" s="197" t="str">
        <f t="shared" ref="C16:C28" si="0">IF(A16=0,"",A16)</f>
        <v>Wind</v>
      </c>
    </row>
    <row r="17" spans="1:20" ht="13" x14ac:dyDescent="0.3">
      <c r="A17" s="198" t="str">
        <f>VLOOKUP($C$7,A$10:$N$14,3,FALSE)</f>
        <v>Zon-PV</v>
      </c>
      <c r="B17" s="198">
        <v>2</v>
      </c>
      <c r="C17" s="197" t="str">
        <f t="shared" si="0"/>
        <v>Zon-PV</v>
      </c>
      <c r="G17" s="114"/>
    </row>
    <row r="18" spans="1:20" x14ac:dyDescent="0.25">
      <c r="A18" s="198">
        <f>VLOOKUP($C$7,A$10:$N$14,4,FALSE)</f>
        <v>0</v>
      </c>
      <c r="B18" s="198">
        <v>3</v>
      </c>
      <c r="C18" s="197" t="str">
        <f t="shared" si="0"/>
        <v/>
      </c>
    </row>
    <row r="19" spans="1:20" x14ac:dyDescent="0.25">
      <c r="A19" s="198">
        <f>VLOOKUP($C$7,A$10:$N$14,5,FALSE)</f>
        <v>0</v>
      </c>
      <c r="B19" s="198">
        <v>4</v>
      </c>
      <c r="C19" s="197" t="str">
        <f t="shared" si="0"/>
        <v/>
      </c>
    </row>
    <row r="20" spans="1:20" x14ac:dyDescent="0.25">
      <c r="A20" s="198">
        <f>VLOOKUP($C$7,A$10:$N$14,6,FALSE)</f>
        <v>0</v>
      </c>
      <c r="B20" s="198">
        <v>5</v>
      </c>
      <c r="C20" s="197" t="str">
        <f t="shared" si="0"/>
        <v/>
      </c>
    </row>
    <row r="21" spans="1:20" x14ac:dyDescent="0.25">
      <c r="A21" s="198">
        <f>VLOOKUP($C$7,A$10:$N$14,7,FALSE)</f>
        <v>0</v>
      </c>
      <c r="B21" s="198">
        <v>6</v>
      </c>
      <c r="C21" s="197" t="str">
        <f t="shared" si="0"/>
        <v/>
      </c>
    </row>
    <row r="22" spans="1:20" x14ac:dyDescent="0.25">
      <c r="A22" s="198">
        <f>VLOOKUP($C$7,A$10:$N$14,8,FALSE)</f>
        <v>0</v>
      </c>
      <c r="B22" s="198">
        <v>7</v>
      </c>
      <c r="C22" s="197" t="str">
        <f t="shared" si="0"/>
        <v/>
      </c>
    </row>
    <row r="23" spans="1:20" x14ac:dyDescent="0.25">
      <c r="A23" s="198">
        <f>VLOOKUP($C$7,A$10:$N$14,9,FALSE)</f>
        <v>0</v>
      </c>
      <c r="B23" s="198">
        <v>8</v>
      </c>
      <c r="C23" s="197" t="str">
        <f t="shared" si="0"/>
        <v/>
      </c>
    </row>
    <row r="24" spans="1:20" x14ac:dyDescent="0.25">
      <c r="A24" s="198">
        <f>VLOOKUP($C$7,A$10:$N$14,10,FALSE)</f>
        <v>0</v>
      </c>
      <c r="B24" s="198">
        <v>9</v>
      </c>
      <c r="C24" s="197" t="str">
        <f t="shared" si="0"/>
        <v/>
      </c>
    </row>
    <row r="25" spans="1:20" x14ac:dyDescent="0.25">
      <c r="A25" s="198">
        <f>VLOOKUP($C$7,A$10:$N$14,11,FALSE)</f>
        <v>0</v>
      </c>
      <c r="B25" s="198">
        <v>10</v>
      </c>
      <c r="C25" s="197" t="str">
        <f t="shared" si="0"/>
        <v/>
      </c>
    </row>
    <row r="26" spans="1:20" x14ac:dyDescent="0.25">
      <c r="A26" s="198">
        <f>VLOOKUP($C$7,A$10:$N$14,12,FALSE)</f>
        <v>0</v>
      </c>
      <c r="B26" s="198">
        <v>11</v>
      </c>
      <c r="C26" s="197" t="str">
        <f t="shared" si="0"/>
        <v/>
      </c>
    </row>
    <row r="27" spans="1:20" x14ac:dyDescent="0.25">
      <c r="A27" s="198">
        <f>VLOOKUP($C$7,A$10:$N$14,13,FALSE)</f>
        <v>0</v>
      </c>
      <c r="B27" s="198">
        <v>12</v>
      </c>
      <c r="C27" s="197" t="str">
        <f t="shared" si="0"/>
        <v/>
      </c>
    </row>
    <row r="28" spans="1:20" x14ac:dyDescent="0.25">
      <c r="A28" s="198">
        <f>VLOOKUP($C$7,A$10:$N$14,14,FALSE)</f>
        <v>0</v>
      </c>
      <c r="B28" s="198">
        <v>13</v>
      </c>
      <c r="C28" s="197" t="str">
        <f t="shared" si="0"/>
        <v/>
      </c>
    </row>
    <row r="29" spans="1:20" ht="12.75" customHeight="1" x14ac:dyDescent="0.3">
      <c r="A29" s="121"/>
      <c r="C29" s="119">
        <v>2</v>
      </c>
      <c r="D29" s="119" t="str">
        <f>VLOOKUP(C29,B16:C28,2,FALSE)</f>
        <v>Zon-PV</v>
      </c>
    </row>
    <row r="30" spans="1:20" ht="12.75" customHeight="1" x14ac:dyDescent="0.3">
      <c r="A30" s="114" t="s">
        <v>156</v>
      </c>
      <c r="B30" s="114"/>
    </row>
    <row r="31" spans="1:20" ht="41.25" customHeight="1" x14ac:dyDescent="0.25">
      <c r="A31" s="115" t="str">
        <f>C10</f>
        <v>Zon-PV</v>
      </c>
      <c r="B31" s="122" t="str">
        <f>A174</f>
        <v>Zon-PV ≥ 15 kWp en &lt; 1 MWp aansluiting &gt; 3*80 A, gebouwgebonden (net = 50%)</v>
      </c>
      <c r="C31" s="122" t="str">
        <f>A175</f>
        <v>Zon-PV ≥ 1 MWp, gebouwgebonden (net = 50%)</v>
      </c>
      <c r="D31" s="122" t="str">
        <f>A176</f>
        <v>Zon-PV ≥ 15 kWp en &lt; 1 MWp aansluiting &gt; 3*80 A, gebouwgebonden met dakaanpassing of lichtgewicht panelen (net = 50%)</v>
      </c>
      <c r="E31" s="122" t="str">
        <f>A177</f>
        <v>Zon-PV ≥ 1 MWp, gebouwgebonden met dakaanpassing of lichtgewicht panelen (net = 50%)</v>
      </c>
      <c r="F31" s="122" t="str">
        <f>A178</f>
        <v>Zon-PV ≥ 15 kWp en &lt; 1 MWp aansluiting &gt; 3*80 A,  op oost-west gevels van gebouwen (net = 50%)</v>
      </c>
      <c r="G31" s="122" t="str">
        <f>A179</f>
        <v>Zon-PV ≥ 15 kWp en &lt; 1 MWp aansluiting &gt; 3*80 A, drijvend op water (net = 50%)</v>
      </c>
      <c r="H31" s="122" t="str">
        <f>A180</f>
        <v>Zon-PV ≥ 1 MWp, drijvend op water (net = 50%)</v>
      </c>
      <c r="I31" s="122" t="str">
        <f>A181</f>
        <v>Zon-PV ≥ 15 kWp en &lt; 1 MWp aansluiting &gt; 3*80 A, op land natuurinclusief (net = 50%)</v>
      </c>
      <c r="J31" s="122" t="str">
        <f>A182</f>
        <v>Zon-PV ≥ 1 MWp en &lt; 20 MWp, op land natuurinclusief (net = 50%)</v>
      </c>
      <c r="K31" s="120" t="str">
        <f>A183</f>
        <v>Zon-PV ≥ 20 MWp, op land natuurinclusief (net = 50%)</v>
      </c>
      <c r="L31" s="120" t="str">
        <f>A184</f>
        <v xml:space="preserve">Zon-PV ≥ 15kWp en &lt; 1 MWp aansluiting &gt; 3*80 A,  verticaal op land </v>
      </c>
      <c r="M31" s="122" t="str">
        <f>A185</f>
        <v xml:space="preserve">Zon-PV ≥ 1 MWp aansluiting &gt; 3*80 A,  verticaal op land </v>
      </c>
      <c r="N31" s="122" t="str">
        <f>A186</f>
        <v xml:space="preserve">Zon-PV ≥ 1 MWp, zonvolgend op land natuurinclusief </v>
      </c>
      <c r="O31" s="120" t="str">
        <f>A187</f>
        <v>Zon-PV ≥ 15 kWp en &lt;  1 MWp aansluiting &gt; 3*80 A, op land met bestemming verkeer langs wegen en spoor (net = 50%)</v>
      </c>
      <c r="P31" s="120"/>
      <c r="T31" s="120"/>
    </row>
    <row r="32" spans="1:20" ht="25" customHeight="1" x14ac:dyDescent="0.25">
      <c r="A32" s="115" t="str">
        <f>B10</f>
        <v>Wind</v>
      </c>
      <c r="B32" s="120" t="str">
        <f>A157</f>
        <v>Wind op land ≥ 8,0 m/s</v>
      </c>
      <c r="C32" s="120" t="str">
        <f>A158</f>
        <v>Wind op land ≥ 7,5 en &lt; 8,0 m/s</v>
      </c>
      <c r="D32" s="120" t="str">
        <f>A159</f>
        <v>Wind op land ≥ 7,0 en &lt; 7,5 m/s</v>
      </c>
      <c r="E32" s="120" t="str">
        <f>A160</f>
        <v>Wind op land ≥ 6,75 en &lt; 7,0 m/s</v>
      </c>
      <c r="F32" s="120" t="str">
        <f>A161</f>
        <v>Wind op land &lt; 6,75 m/s</v>
      </c>
      <c r="G32" s="120" t="str">
        <f>A162</f>
        <v>Wind op land, hoogtebeperkt ≥ 8,0 m/s</v>
      </c>
      <c r="H32" s="120" t="str">
        <f>A163</f>
        <v>Wind op land, hoogtebeperkt ≥ 7,5 en &lt; 8,0 m/s</v>
      </c>
      <c r="I32" s="120" t="str">
        <f>A164</f>
        <v>Wind op land, hoogtebeperkt ≥ 7,0 en &lt; 7,5 m/s</v>
      </c>
      <c r="J32" s="120" t="str">
        <f>A165</f>
        <v>Wind op land, hoogtebeperkt ≥ 6,75 en &lt; 7,0 m/s</v>
      </c>
      <c r="K32" s="120" t="str">
        <f>A166</f>
        <v>Wind op land, hoogtebeperkt &lt; 6,75 m/s</v>
      </c>
      <c r="L32" s="120" t="str">
        <f>A167</f>
        <v>Wind op waterkering ≥ 8,0 m/s</v>
      </c>
      <c r="M32" s="120" t="str">
        <f>A168</f>
        <v>Wind op waterkering ≥ 7,5 en &lt; 8,0 m/s</v>
      </c>
      <c r="N32" s="120" t="str">
        <f>A169</f>
        <v>Wind op waterkering ≥ 7,0 en &lt; 7,5 m/s</v>
      </c>
      <c r="O32" s="120" t="str">
        <f>A170</f>
        <v>Wind op waterkering ≥ 6,75 en &lt; 7,0 m/s</v>
      </c>
      <c r="P32" s="120" t="str">
        <f>A171</f>
        <v>Wind op waterkering &lt; 6,75 m/s</v>
      </c>
      <c r="T32" s="120"/>
    </row>
    <row r="33" spans="1:27" ht="53.25" customHeight="1" x14ac:dyDescent="0.25">
      <c r="A33" s="115" t="str">
        <f>B11</f>
        <v>Biomassavergisting (hernieuwbaar gas)</v>
      </c>
      <c r="B33" s="122" t="str">
        <f>A106</f>
        <v>Allesvergisting, hernieuwbaar gas</v>
      </c>
      <c r="C33" s="122" t="str">
        <f>A107</f>
        <v>Allesvergisting voortzetting, hernieuwbaar gas</v>
      </c>
      <c r="D33" s="122" t="str">
        <f>A108</f>
        <v>Allesvergisting extra faciliteit (ombouw naar hernieuwbaar gas)</v>
      </c>
      <c r="E33" s="122" t="str">
        <f>A109</f>
        <v>Monomestvergisting, hernieuwbaar gas ≤ 110 kW</v>
      </c>
      <c r="F33" s="120" t="str">
        <f>A110</f>
        <v>Monomestvergisting, hernieuwbaar gas &gt; 110 kW en ≤ 1500 kW</v>
      </c>
      <c r="G33" s="122" t="str">
        <f>A111</f>
        <v>Monomestvergisting, hernieuwbaar gas &gt; 1500 kW</v>
      </c>
      <c r="H33" s="122" t="str">
        <f>A112</f>
        <v>Monomestvergisting voortzetting ≤ 1500 kW, hernieuwbaar gas</v>
      </c>
      <c r="I33" s="122" t="str">
        <f>A113</f>
        <v>Monomestvergisting extra faciliteit (ombouw naar hernieuwbaar gas) ≤ 1500 kW</v>
      </c>
      <c r="J33" s="122" t="str">
        <f>A114</f>
        <v>RWZI verbeterde slibgisting, hernieuwbaar gas</v>
      </c>
      <c r="K33" s="120" t="str">
        <f>A115</f>
        <v>RWZI slibgisting extra faciliteit (ombouw naar hernieuwbaar gas)</v>
      </c>
      <c r="M33" s="120"/>
      <c r="N33" s="120"/>
      <c r="O33" s="120"/>
      <c r="P33" s="120"/>
      <c r="Q33" s="120"/>
      <c r="R33" s="120"/>
      <c r="S33" s="120"/>
      <c r="T33" s="120"/>
    </row>
    <row r="34" spans="1:27" ht="25" customHeight="1" x14ac:dyDescent="0.25">
      <c r="A34" s="115" t="str">
        <f>C11</f>
        <v>Biomassavergassing (hernieuwbaar gas)</v>
      </c>
      <c r="B34" s="120" t="str">
        <f>A116</f>
        <v xml:space="preserve">Biomassavergassing inclusief B-Hout </v>
      </c>
      <c r="C34" s="120" t="str">
        <f>A117</f>
        <v xml:space="preserve">Biomassavergassing exclusief B-Hout </v>
      </c>
      <c r="D34" s="120"/>
      <c r="E34" s="120"/>
      <c r="F34" s="120"/>
      <c r="G34" s="120"/>
      <c r="H34" s="120"/>
      <c r="I34" s="120"/>
      <c r="K34" s="120"/>
      <c r="L34" s="120"/>
      <c r="M34" s="120"/>
      <c r="N34" s="120"/>
      <c r="O34" s="120"/>
      <c r="P34" s="120"/>
      <c r="Q34" s="120"/>
      <c r="R34" s="120"/>
      <c r="S34" s="120"/>
      <c r="T34" s="120"/>
    </row>
    <row r="35" spans="1:27" ht="25" customHeight="1" x14ac:dyDescent="0.25">
      <c r="A35" s="115" t="str">
        <f>E12</f>
        <v>Zonthermie</v>
      </c>
      <c r="B35" s="120" t="str">
        <f>A190</f>
        <v>Zonthermie ≥ 140 kW en &lt; 1 MW</v>
      </c>
      <c r="C35" s="120" t="str">
        <f>A191</f>
        <v>Zonthermie ≥ 1 MW</v>
      </c>
      <c r="D35" s="120"/>
      <c r="E35" s="120"/>
      <c r="F35" s="120"/>
      <c r="G35" s="120"/>
      <c r="H35" s="120"/>
      <c r="I35" s="120"/>
      <c r="J35" s="120"/>
      <c r="K35" s="120"/>
      <c r="L35" s="120"/>
      <c r="M35" s="120"/>
      <c r="N35" s="120"/>
      <c r="O35" s="120"/>
      <c r="P35" s="120"/>
      <c r="Q35" s="120"/>
      <c r="R35" s="120"/>
      <c r="S35" s="120"/>
      <c r="T35" s="120"/>
    </row>
    <row r="36" spans="1:27" ht="39.75" customHeight="1" x14ac:dyDescent="0.25">
      <c r="A36" s="115" t="str">
        <f>C12</f>
        <v>Biomassavergisting</v>
      </c>
      <c r="B36" s="120" t="str">
        <f>A97</f>
        <v>Allesvergisting, warmte</v>
      </c>
      <c r="C36" s="120" t="str">
        <f>A88</f>
        <v>Allesvergisting, gecombineerde opwekking</v>
      </c>
      <c r="D36" s="120" t="str">
        <f>A98</f>
        <v>Allesvergisting voortzetting, warmte</v>
      </c>
      <c r="E36" s="120" t="str">
        <f>A89</f>
        <v>Allesvergisting voortzetting, gecombineerde opwekking</v>
      </c>
      <c r="F36" s="120" t="str">
        <f>A99</f>
        <v>Monomestvergisting, warmte ≤ 110 kW</v>
      </c>
      <c r="G36" s="120" t="str">
        <f>A100</f>
        <v>Monomestvergisting, warmte &gt; 110 kW en ≤ 1500 kW</v>
      </c>
      <c r="H36" s="120" t="str">
        <f>A101</f>
        <v>Monomestvergisting, warmte &gt; 1500 kW</v>
      </c>
      <c r="I36" s="120" t="str">
        <f>A90</f>
        <v>Monomestvergisting, gecombineerde opwekking ≤ 110 kW</v>
      </c>
      <c r="J36" s="120" t="str">
        <f>A91</f>
        <v>Monomestvergisting, gecombineerde opwekking &gt; 110 kW en ≤ 1500 kW</v>
      </c>
      <c r="K36" s="120" t="str">
        <f>A92</f>
        <v>Monomestvergisting, gecombineerde opwekking &gt; 1500 kW</v>
      </c>
      <c r="L36" s="120" t="str">
        <f>A102</f>
        <v>Monomestvergisting voortzetting, warmte ≤ 1500 kW</v>
      </c>
      <c r="M36" s="120" t="str">
        <f>A93</f>
        <v xml:space="preserve">Monomestvergisting voortzetting, gecombineerde opwekking ≤ 1500 kW </v>
      </c>
      <c r="N36" s="120" t="str">
        <f>A103</f>
        <v>RWZI verbeterde slibgisting, warmte</v>
      </c>
      <c r="O36" s="120" t="str">
        <f>A94</f>
        <v>RWZI verbeterde slibgisting, gecombineerde opwekking</v>
      </c>
      <c r="AA36" s="120"/>
    </row>
    <row r="37" spans="1:27" ht="39.75" customHeight="1" x14ac:dyDescent="0.25">
      <c r="A37" s="115" t="str">
        <f>B12</f>
        <v>Biomassaverbranding</v>
      </c>
      <c r="B37" s="120" t="str">
        <f>A122</f>
        <v>Grote ketel op vaste of vloeibare biomassa ≥ 5 MWth</v>
      </c>
      <c r="C37" s="120" t="str">
        <f>A126</f>
        <v xml:space="preserve">Grote ketel op vaste of vloeibare biomassa ≥ 5 MWth, voortzetting </v>
      </c>
      <c r="D37" s="120" t="str">
        <f>A123</f>
        <v>Stoomketel op houtpellets ≥ 5 MWth en &lt; 50 MWth</v>
      </c>
      <c r="E37" s="120" t="str">
        <f>A124</f>
        <v>Stoomketel op houtpellets ≥ 50 MWth</v>
      </c>
      <c r="F37" s="120" t="str">
        <f>A125</f>
        <v>Directe inzet van houtpellets voor industriële toepassingen ≥ 5 MWth</v>
      </c>
      <c r="G37" s="120" t="str">
        <f>A120</f>
        <v>Installatie op vloeibare biomassa voor stadsverwarming ≥ 0,5 MWth</v>
      </c>
      <c r="H37" s="120" t="str">
        <f>A121</f>
        <v>Installatie op vloeibare biomassa voor overige toepassingen ≥ 0,5 MWth</v>
      </c>
      <c r="I37" s="120" t="str">
        <f>A127</f>
        <v xml:space="preserve">Grote ketel op B-hout, voortzetting </v>
      </c>
      <c r="J37" s="120"/>
      <c r="U37" s="120"/>
      <c r="V37" s="120"/>
      <c r="W37" s="120"/>
      <c r="X37" s="120"/>
      <c r="Y37" s="120"/>
      <c r="Z37" s="120"/>
      <c r="AA37" s="120"/>
    </row>
    <row r="38" spans="1:27" ht="36" customHeight="1" x14ac:dyDescent="0.25">
      <c r="A38" s="115" t="str">
        <f>D12</f>
        <v>Geothermie diep</v>
      </c>
      <c r="B38" s="120" t="str">
        <f>A135</f>
        <v>Diepe geothermie &lt; 12 MWth (6000 vollasturen)</v>
      </c>
      <c r="C38" s="120" t="str">
        <f>A136</f>
        <v>Diepe geothermie ≥ 12 MWth &lt; 20 MWth (6000 vollasturen)</v>
      </c>
      <c r="D38" s="120" t="str">
        <f>A137</f>
        <v>Diepe geothermie ≥ 20 MWth (6000 vollasturen)</v>
      </c>
      <c r="E38" s="120" t="str">
        <f>A138</f>
        <v>Diepe geothermie &lt; 12 MWth, ombouw van bestaande olie- en/of gasputten (6000 vollasturen)</v>
      </c>
      <c r="F38" s="120" t="str">
        <f>A139</f>
        <v>Diepe geothermie ≥ 12 MWth en &lt; 20 MWth, ombouw van bestaande olie- en/of gasputten (6000 vollasturen)</v>
      </c>
      <c r="G38" s="120" t="str">
        <f>A140</f>
        <v>Diepe geothermie ≥ 20 MWth, basislast, ombouw van bestaande olie- en/of gasputten (6000 vollasturen)</v>
      </c>
      <c r="H38" s="120" t="str">
        <f>A141</f>
        <v>Diepe geothermie &lt; 12 MWth, verwarming gebouwde omgeving (3500 vollasturen)</v>
      </c>
      <c r="I38" s="120" t="str">
        <f>A142</f>
        <v>Diepe geothermie ≥ 12 MWth, verwarming gebouwde omgeving (3500 vollasturen)</v>
      </c>
      <c r="J38" s="120" t="str">
        <f>A143</f>
        <v>Diepe geothermie, verwarming gebouwde omgeving (5000 vollasturen)</v>
      </c>
      <c r="K38" s="120" t="str">
        <f>A144</f>
        <v>Diepe geothermie, uitbreiding productie-installatie met tenminste één aanvullende put (6000 vollasturen)</v>
      </c>
      <c r="L38" s="120"/>
      <c r="M38" s="120"/>
      <c r="N38" s="120"/>
      <c r="O38" s="120"/>
      <c r="P38" s="120"/>
      <c r="Q38" s="120"/>
      <c r="R38" s="120"/>
      <c r="S38" s="120"/>
      <c r="T38" s="120"/>
    </row>
    <row r="39" spans="1:27" ht="50.25" customHeight="1" x14ac:dyDescent="0.25">
      <c r="A39" s="115" t="str">
        <f>E13</f>
        <v>Geothermie (on)diep met warmtepomp</v>
      </c>
      <c r="B39" s="120" t="str">
        <f>A130</f>
        <v>Ondiepe geothermie (6000 vollasturen)</v>
      </c>
      <c r="C39" s="120" t="str">
        <f>A131</f>
        <v>Ondiepe geothermie, verwarming gebouwde omgeving (3500 vollasturen)</v>
      </c>
      <c r="D39" s="120" t="str">
        <f>A132</f>
        <v>Diepe geothermie met warmtepomp, geen basislast, verwarming gebouwde omgeving</v>
      </c>
      <c r="E39" s="120" t="str">
        <f>A133</f>
        <v>Diepe geothermie met warmtepomp &lt; 12 MWth, basislast, verwarming gebouwde omgeving</v>
      </c>
      <c r="F39" s="120" t="str">
        <f>A134</f>
        <v>Diepe geothermie met warmtepomp ≥ 12 MWth, basislast, verwarming gebouwde omgeving</v>
      </c>
      <c r="G39" s="120"/>
      <c r="H39" s="120"/>
      <c r="I39" s="120"/>
      <c r="J39" s="120"/>
      <c r="K39" s="120"/>
      <c r="L39" s="120"/>
      <c r="M39" s="120"/>
      <c r="N39" s="120"/>
      <c r="O39" s="120"/>
      <c r="P39" s="120"/>
      <c r="Q39" s="120"/>
      <c r="R39" s="120"/>
      <c r="S39" s="120"/>
      <c r="T39" s="120"/>
    </row>
    <row r="40" spans="1:27" ht="63" customHeight="1" x14ac:dyDescent="0.25">
      <c r="A40" s="115" t="str">
        <f>B13</f>
        <v>Aquathermie (thermische energie uit water met warmtepomp)</v>
      </c>
      <c r="B40" s="120" t="str">
        <f>A147</f>
        <v>Aquathermie, basislast, verwarming gebouwde omgeving, nieuw warmteoverdrachtstation (6000 vollasturen)</v>
      </c>
      <c r="C40" s="120" t="str">
        <f>A148</f>
        <v>Aquathermie, basislast, verwarming gebouwde omgeving (6000 vollasturen)</v>
      </c>
      <c r="D40" s="120" t="str">
        <f>A149</f>
        <v>Aquathermie, geen basislast, stadsverwarming (3500 vollasturen)</v>
      </c>
      <c r="E40" s="120" t="str">
        <f>A150</f>
        <v>Aquathermie met seizoensopslag, geen basislast, rechtstreekse levering aan gebouw (3500 vollasturen)</v>
      </c>
      <c r="G40" s="120"/>
      <c r="H40" s="120"/>
      <c r="I40" s="120"/>
      <c r="J40" s="120"/>
      <c r="K40" s="120"/>
      <c r="L40" s="120"/>
      <c r="M40" s="120"/>
      <c r="N40" s="120"/>
      <c r="O40" s="120"/>
      <c r="P40" s="120"/>
      <c r="Q40" s="120"/>
      <c r="R40" s="120"/>
      <c r="S40" s="120"/>
      <c r="T40" s="120"/>
    </row>
    <row r="41" spans="1:27" ht="25" customHeight="1" x14ac:dyDescent="0.25">
      <c r="A41" s="115" t="str">
        <f>C13</f>
        <v>Zon-PVT systeem met warmtepomp</v>
      </c>
      <c r="B41" s="120" t="str">
        <f>A192</f>
        <v>Zon-PVT systeem, stadsverwarming</v>
      </c>
      <c r="D41" s="120"/>
      <c r="E41" s="120"/>
      <c r="G41" s="120"/>
      <c r="H41" s="120"/>
      <c r="I41" s="120"/>
      <c r="J41" s="120"/>
      <c r="K41" s="120"/>
      <c r="L41" s="120"/>
      <c r="M41" s="120"/>
      <c r="N41" s="120"/>
      <c r="O41" s="120"/>
      <c r="P41" s="120"/>
      <c r="Q41" s="120"/>
      <c r="R41" s="120"/>
      <c r="S41" s="120"/>
      <c r="T41" s="120"/>
    </row>
    <row r="42" spans="1:27" ht="63.75" customHeight="1" x14ac:dyDescent="0.25">
      <c r="A42" s="115" t="str">
        <f>D13</f>
        <v>Lucht-water warmtepomp</v>
      </c>
      <c r="B42" s="120" t="str">
        <f>A153</f>
        <v>Lucht-water-warmtepomp voor verwarming bestaande gebouwde omgeving, geen basislast, middentemperatuur (≥ 70 ⁰C)</v>
      </c>
      <c r="C42" s="120" t="str">
        <f>A154</f>
        <v>Lucht-water-warmtepomp voor verwarming bestaande gebouwde omgeving of bestaande tuinbouwkassen, geen basislast, lagetemperatuur (≥ 40 ⁰C)</v>
      </c>
      <c r="D42" s="120"/>
      <c r="E42" s="120"/>
      <c r="G42" s="120"/>
      <c r="H42" s="120"/>
      <c r="I42" s="120"/>
      <c r="J42" s="120"/>
      <c r="K42" s="120"/>
      <c r="L42" s="120"/>
      <c r="M42" s="120"/>
      <c r="N42" s="120"/>
      <c r="O42" s="120"/>
      <c r="P42" s="120"/>
      <c r="Q42" s="120"/>
      <c r="R42" s="120"/>
      <c r="S42" s="120"/>
      <c r="T42" s="120"/>
    </row>
    <row r="43" spans="1:27" ht="39" customHeight="1" x14ac:dyDescent="0.25">
      <c r="A43" s="115" t="str">
        <f>G13</f>
        <v>Industriële warmtepompen</v>
      </c>
      <c r="B43" s="120" t="str">
        <f>A313</f>
        <v>Industriële gesloten warmtepomp (8000 vollasturen)</v>
      </c>
      <c r="C43" s="120" t="str">
        <f>A314</f>
        <v>Industriële gesloten warmtepomp (5000 vollasturen)</v>
      </c>
      <c r="D43" s="120" t="str">
        <f>A315</f>
        <v>Industriële gesloten warmtepomp (3000 vollasturen)</v>
      </c>
      <c r="E43" s="120" t="str">
        <f>A316</f>
        <v>Procesgeïntegreerde warmtepomp in een bestaand verdampingsproces (8000 uur)</v>
      </c>
      <c r="F43" s="120" t="str">
        <f>A317</f>
        <v>Procesgeïntegreerde warmtepomp in een bestaand verdampingsproces (5000 uur)</v>
      </c>
      <c r="G43" s="120" t="str">
        <f>A318</f>
        <v>Procesgeïntegreerde warmtepomp in een bestaand verdampingsproces (3000 uur)</v>
      </c>
      <c r="H43" s="120" t="str">
        <f>A319</f>
        <v>Procesgeïntegreerde warmtepomp met aanpassing van bestaand verdampingsproces (8000 uur)</v>
      </c>
      <c r="I43" s="120" t="str">
        <f>A320</f>
        <v>Procesgeïntegreerde warmtepomp met aanpassing van bestaand verdampingsproces (5000 uur)</v>
      </c>
      <c r="J43" s="120" t="str">
        <f>A321</f>
        <v>Procesgeïntegreerde warmtepomp met aanpassing van bestaand verdampingsproces (3000 uur)</v>
      </c>
      <c r="K43" s="120" t="str">
        <f>A322</f>
        <v>Procesgeïntegreerde warmtepomp in een verdampingsproces met laag dauwpunt</v>
      </c>
      <c r="L43" s="120"/>
      <c r="M43" s="120"/>
      <c r="N43" s="120"/>
      <c r="O43" s="120"/>
      <c r="P43" s="120"/>
      <c r="Q43" s="120"/>
      <c r="R43" s="120"/>
      <c r="S43" s="120"/>
      <c r="T43" s="120"/>
    </row>
    <row r="44" spans="1:27" ht="40.5" customHeight="1" x14ac:dyDescent="0.25">
      <c r="A44" s="115" t="str">
        <f>H13</f>
        <v>Restwarmtebenutting</v>
      </c>
      <c r="B44" s="120" t="str">
        <f>A325</f>
        <v>Restwarmtebenutting (zonder warmtepomp), transportleiding &lt; 0,10 km/MWth</v>
      </c>
      <c r="C44" s="231" t="str">
        <f>A326</f>
        <v>Restwarmtebenutting (zonder warmtepomp), transportleiding ≥ 0,10 en &lt; 0,20 km/MWth</v>
      </c>
      <c r="D44" s="120" t="str">
        <f>A327</f>
        <v>Restwarmtebenutting (zonder warmtepomp), transportleiding ≥ 0,20 en &lt; 0,30 km/MWth</v>
      </c>
      <c r="E44" s="120" t="str">
        <f>A328</f>
        <v>Restwarmtebenutting (zonder warmtepomp), transportleiding ≥ 0,30 en &lt; 0,40 km/MWth</v>
      </c>
      <c r="F44" s="120" t="str">
        <f>A329</f>
        <v>Restwarmtebenutting (zonder warmtepomp), transportleiding ≥ 0,40 km/MWth</v>
      </c>
      <c r="G44" s="120" t="str">
        <f>A330</f>
        <v>Restwarmtebenutting met warmtepomp, transportleiding &lt; 0,10 km/MWth</v>
      </c>
      <c r="H44" s="120" t="str">
        <f>A331</f>
        <v>Restwarmtebenutting met warmtepomp, transportleiding ≥ 0,10 en &lt; 0,20 km/MWth</v>
      </c>
      <c r="I44" s="120" t="str">
        <f>A332</f>
        <v>Restwarmtebenutting met warmtepomp, transportleiding ≥ 0,20 en &lt; 0,30 km/MWth</v>
      </c>
      <c r="J44" s="120" t="str">
        <f>A333</f>
        <v>Restwarmtebenutting met warmtepomp, transportleiding ≥ 0,30 en &lt; 0,40 km/MWth</v>
      </c>
      <c r="K44" s="120" t="str">
        <f>A334</f>
        <v>Restwarmtebenutting met warmtepomp, transportleiding ≥ 0,40 km/MWth</v>
      </c>
      <c r="L44" s="120" t="str">
        <f>A335</f>
        <v>Restwarmtebenutting met hogetemperatuur warmtepomp en transportleiding voor stadsverwarming</v>
      </c>
      <c r="M44" s="120"/>
      <c r="N44" s="120"/>
      <c r="O44" s="120"/>
      <c r="P44" s="120"/>
      <c r="Q44" s="120"/>
      <c r="R44" s="120"/>
      <c r="S44" s="120"/>
      <c r="T44" s="120"/>
    </row>
    <row r="45" spans="1:27" ht="62.25" customHeight="1" x14ac:dyDescent="0.25">
      <c r="A45" s="117" t="str">
        <f>F13</f>
        <v>Grootschalige elektrische boiler</v>
      </c>
      <c r="B45" s="120" t="str">
        <f>A338</f>
        <v>Grootschalige elektrische boiler, stadsverwarming</v>
      </c>
      <c r="C45" s="120" t="str">
        <f>A339</f>
        <v>Grootschalige elektrische boiler, industriele toepassing niet zijnde tuinbouw</v>
      </c>
      <c r="D45" s="120" t="str">
        <f>A340</f>
        <v>Grootschalige elektrische boiler, industriele toepassing niet zijnde tuinbouw, met hogetemperatuuropslag</v>
      </c>
      <c r="E45" s="120" t="str">
        <f>A341</f>
        <v>Grootschalige elektrische boiler voortzetting, stadsverwarming</v>
      </c>
      <c r="F45" s="120" t="str">
        <f>A342</f>
        <v>Grootschalige elektrische boiler voortzetting, industriele toepassing niet zijnde tuinbouw</v>
      </c>
      <c r="G45" s="120"/>
      <c r="H45" s="120"/>
      <c r="I45" s="120"/>
      <c r="J45" s="120"/>
      <c r="K45" s="120"/>
      <c r="L45" s="120"/>
      <c r="M45" s="120"/>
      <c r="N45" s="120"/>
      <c r="O45" s="120"/>
      <c r="P45" s="120"/>
      <c r="Q45" s="120"/>
      <c r="R45" s="120"/>
      <c r="S45" s="120"/>
      <c r="T45" s="120"/>
    </row>
    <row r="46" spans="1:27" ht="25" customHeight="1" x14ac:dyDescent="0.25">
      <c r="A46" s="115" t="str">
        <f>B14</f>
        <v>Waterstofproductie</v>
      </c>
      <c r="B46" s="120" t="str">
        <f>A343</f>
        <v xml:space="preserve">Waterstof uit elektrolyse, netgekoppeld met hernieuwbare stroomafnameovereenkomsten </v>
      </c>
      <c r="C46" s="120" t="str">
        <f>A344</f>
        <v>Waterstof uit elektrolyse, directe lijn met windpark of zonnepark</v>
      </c>
      <c r="D46" s="120" t="str">
        <f>A345</f>
        <v>Waterstof uit vergassing van afval</v>
      </c>
      <c r="F46" s="120"/>
      <c r="G46" s="120"/>
      <c r="H46" s="120"/>
      <c r="I46" s="120"/>
      <c r="J46" s="120"/>
      <c r="K46" s="120"/>
      <c r="L46" s="120"/>
      <c r="M46" s="120"/>
      <c r="N46" s="120"/>
      <c r="O46" s="120"/>
      <c r="P46" s="120"/>
      <c r="Q46" s="120"/>
      <c r="R46" s="120"/>
      <c r="S46" s="120"/>
      <c r="T46" s="120"/>
    </row>
    <row r="47" spans="1:27" ht="49.5" customHeight="1" x14ac:dyDescent="0.25">
      <c r="A47" s="115" t="str">
        <f>C14</f>
        <v>Geavanceerde hernieuwbare transportbrandstoffen (vloeibaar gas, benzine- en dieselvervangers)</v>
      </c>
      <c r="B47" s="120" t="str">
        <f>A348</f>
        <v>Bio-methanol uit vaste lignocellulosehoudende biomassa (benzinevervanger)</v>
      </c>
      <c r="C47" s="120" t="str">
        <f>A349</f>
        <v>Bio-LNG uit allesvergisting (vloeibaar gas)</v>
      </c>
      <c r="D47" s="120"/>
      <c r="F47" s="120"/>
      <c r="G47" s="120"/>
      <c r="H47" s="120"/>
      <c r="I47" s="120"/>
      <c r="J47" s="120"/>
      <c r="K47" s="120"/>
      <c r="L47" s="120"/>
      <c r="M47" s="120"/>
      <c r="N47" s="120"/>
      <c r="O47" s="120"/>
      <c r="P47" s="120"/>
      <c r="Q47" s="120"/>
      <c r="R47" s="120"/>
      <c r="S47" s="120"/>
      <c r="T47" s="120"/>
    </row>
    <row r="48" spans="1:27" ht="24.75" customHeight="1" x14ac:dyDescent="0.25">
      <c r="A48" s="115" t="str">
        <f>D14</f>
        <v>CO2-afvang en opslag (CCS) 4.000 uur bij biomassaverbranding, biogene procesemissies en uit omgevingslucht (combinatie met 4.000 uur CCU mogelijk)</v>
      </c>
      <c r="B48" s="120" t="str">
        <f>A195</f>
        <v>CCS - Gedeeltelijke CO2-opslag bij bestaande biomassaverbrandingsinstallatie ≤ 100 MWe of uit omgevingslucht, gasvormig transport (art. 79.3.a.1⁰)</v>
      </c>
      <c r="C48" s="120" t="str">
        <f>A196</f>
        <v>CCS - Gedeeltelijke CO2-opslag bij bestaande biomassaverbrandingsinstallatie ≤ 100 MWe of uit omgevingslucht, vloeibaar transport, nieuwe vervloeiingsinstallatie (art. 79.3.a.2⁰)</v>
      </c>
      <c r="D48" s="120" t="str">
        <f>A197</f>
        <v>CCS - Gedeeltelijke CO2-opslag bij bestaande biomassaverbrandingsinstallatie ≤ 100 MWe of uit omgevingslucht, vloeibaar transport (art. 79.3.a.3⁰)</v>
      </c>
      <c r="E48" s="120" t="str">
        <f>A198</f>
        <v>CCS - Gedeeltelijke CO2-opslag bij bestaande biomassaverbrandingsinstallatie ≤ 100 MWe of uit omgevingslucht, vloeibaar transport, nieuwe vervloeiingsinstallatie, invoedpijplijn ≥ 20 Mton per jaar, gecontracteerde cap. ≤ 35% (art. 79.3.a.4⁰)</v>
      </c>
      <c r="F48" s="120" t="str">
        <f>A199</f>
        <v>CCS - Gedeeltelijke CO2-opslag bij bestaande biomassaverbrandingsinstallatie ≤ 100 MWe of uit omgevingslucht, vloeibaar transport, invoedpijplijn ≥ 20 Mton per jaar, gecontracteerde cap. ≤ 35% (art. 79.3.a.5⁰)</v>
      </c>
      <c r="G48" s="120" t="str">
        <f>A200</f>
        <v>CCS - Gedeeltelijke CO2-opslag biogene procesemissies, gasvormig transport (art. 79.4.a.1⁰)</v>
      </c>
      <c r="H48" s="120" t="str">
        <f>A201</f>
        <v>CCS - Gedeeltelijke CO2-opslag biogene procesemissies, vloeibaar transport, nieuwe vervloeiingsinstallatie (art. 79.4.a.2⁰)</v>
      </c>
      <c r="I48" s="120" t="str">
        <f>A202</f>
        <v>CCS - Gedeeltelijke CO2-opslag biogene procesemissies, vloeibaar transport (art. 79.4.a.3⁰)</v>
      </c>
      <c r="J48" s="120" t="str">
        <f>A203</f>
        <v>CCS - Gedeeltelijke CO2-opslag biogene procesemissies, vloeibaar transport, nieuwe vervloeiingsinstallatie, invoedpijplijn ≥ 20 Mton per jaar, gecontracteerde cap. ≤ 35% (art. 79.4.a.4⁰)</v>
      </c>
      <c r="K48" s="120" t="str">
        <f>+A204</f>
        <v>CCS - Gedeeltelijke CO2-opslag biogene procesemissies, vloeibaar transport, invoedpijplijn ≥ 20 Mton per jaar, gecontracteerde cap. ≤ 35% (art. 79.4.a.5⁰)</v>
      </c>
      <c r="L48" s="120"/>
      <c r="M48" s="120"/>
      <c r="N48" s="120"/>
      <c r="O48" s="120"/>
      <c r="P48" s="120"/>
      <c r="Q48" s="120"/>
      <c r="R48" s="120"/>
      <c r="S48" s="120"/>
      <c r="T48" s="120"/>
    </row>
    <row r="49" spans="1:23" ht="25" customHeight="1" x14ac:dyDescent="0.25">
      <c r="A49" s="115" t="str">
        <f>E14</f>
        <v>CO2-afvang en opslag (CCS) 8.000 uur bij biomassaverbranding, biogene procesemissies en uit omgevingslucht</v>
      </c>
      <c r="B49" s="120" t="str">
        <f>A207</f>
        <v>CCS - Nieuwe post-combustion CO2-afvang, bestaande biomassaverbrandingsinstallatie ≤ 100 MWe, gasvormig transport (art. 79.3.b.1⁰)</v>
      </c>
      <c r="C49" s="123" t="str">
        <f>A208</f>
        <v>CCS - Nieuwe post-combustion CO2-afvang, bestaande biomassaverbrandingsinstallatie ≤ 100 MWe, vloeibaar transport, nieuwe vervloeiingsinstallatie (art. 79.3.b.2⁰)</v>
      </c>
      <c r="D49" s="120" t="str">
        <f>A209</f>
        <v>CCS - Nieuwe post-combustion CO2-afvang, bestaande biomassaverbrandingsinstallatie ≤ 100 MWe of uit omgevingslucht, vloeibaar transport, nieuwe vervloeiingsinstallatie, invoedpijplijn ≥ 20 Mton per jaar, gecontracteerde cap. ≤ 35% (art. 79.3.b.3⁰)</v>
      </c>
      <c r="E49" s="120" t="str">
        <f>A210</f>
        <v>CCS - Nieuwe zuivering biogene CO2-emissie, bestaande installatie, gasvormig transport (art. 79.4.b.1⁰)</v>
      </c>
      <c r="F49" s="120" t="str">
        <f>A211</f>
        <v>CCS - Nieuwe zuivering biogene CO2-emissie, bestaande installatie, vloeibaar transport, nieuwe vervloeiingsinstallatie (art. 79.4.b.2⁰)</v>
      </c>
      <c r="G49" s="120" t="str">
        <f>A212</f>
        <v>CCS - Nieuwe zuivering biogene CO2-emissie, bestaande installatie, vloeibaar transport, nieuwe vervloeiingsinstallatie, invoedpijplijn ≥ 20 Mton per jaar, gecontracteerde cap. ≤ 35% (art. 79.4.b.3⁰)</v>
      </c>
      <c r="H49" s="120" t="str">
        <f>A213</f>
        <v>CCS - Nieuwe zuivering biogene CO2-emissie, nieuwe installatie, gasvormig transport (art. 79.4.c.1⁰)</v>
      </c>
      <c r="I49" s="123" t="str">
        <f>A214</f>
        <v>CCS - Nieuwe zuivering biogene CO2-emissie, nieuwe installatie, vloeibaar transport, nieuwe vervloeiingsinstallatie (art. 79.4.c.2⁰)</v>
      </c>
      <c r="J49" s="120" t="str">
        <f>A215</f>
        <v>CCS - Nieuwe zuivering biogene CO2-emissie, nieuwe installatie, vloeibaar transport, nieuwe vervloeiingsinstallatie, invoedpijplijn ≥ 20 Mton per jaar, gecontracteerde cap. ≤ 35% (art. 79.4.c.3⁰)</v>
      </c>
      <c r="K49" s="120" t="str">
        <f>A216</f>
        <v>CCS - Nieuwe CO2 afvang uit omgevingslucht, gasvormig transport (art. 79.3.c)</v>
      </c>
      <c r="L49" s="120"/>
      <c r="M49" s="120"/>
      <c r="N49" s="120"/>
      <c r="P49" s="120"/>
      <c r="Q49" s="120"/>
      <c r="R49" s="120"/>
      <c r="S49" s="120"/>
      <c r="T49" s="120"/>
    </row>
    <row r="50" spans="1:23" ht="25" customHeight="1" x14ac:dyDescent="0.25">
      <c r="A50" s="115" t="str">
        <f>F14</f>
        <v>CO2-afvang en opslag (CCS) 4.000 uur bij afvalverbrandingsinstallaties (AVI's) (combinatie met 4.000 uur CCU mogelijk)</v>
      </c>
      <c r="B50" s="120" t="str">
        <f>A219</f>
        <v>CCS - Gedeeltelijke CO2-opslag bij bestaande afvalverbrandingsinstallaties, gasvormig transport (art. 79.2.a.1⁰)</v>
      </c>
      <c r="C50" s="123" t="str">
        <f>A220</f>
        <v>CCS - Gedeeltelijke CO2-opslag bij bestaande afvalverbrandingsinstallaties, vloeibaar transport, nieuwe vervloeiingsinstallatie (art. 79.2.a.2⁰)</v>
      </c>
      <c r="D50" s="120" t="str">
        <f>A221</f>
        <v>CCS - Gedeeltelijke CO2-opslag bij bestaande afvalverbrandingsinstallaties, vloeibaar transport (art. 79.2.a.3⁰)</v>
      </c>
      <c r="E50" s="120" t="str">
        <f>+A222</f>
        <v>CCS - Gedeeltelijke CO2-opslag bij bestaande afvalverbrandingsinstallaties, vloeibaar transport, nieuwe vervloeiingsinstallatie, invoedpijplijn ≥ 20 Mton per jaar, gecontracteerde cap. ≤ 35% (art. 79.2.a.4⁰)</v>
      </c>
      <c r="F50" s="120" t="str">
        <f>A223</f>
        <v>CCS - Gedeeltelijke CO2-opslag bij bestaande afvalverbrandingsinstallaties, vloeibaar transport, invoedpijplijn ≥ 20 Mton per jaar, gecontracteerde cap. ≤ 35% (art. 79.2.a.5⁰)</v>
      </c>
      <c r="G50" s="120"/>
      <c r="H50" s="120"/>
      <c r="I50" s="120"/>
      <c r="J50" s="120"/>
      <c r="K50" s="120"/>
      <c r="L50" s="120"/>
      <c r="M50" s="120"/>
      <c r="N50" s="120"/>
      <c r="O50" s="120"/>
      <c r="P50" s="120"/>
      <c r="Q50" s="120"/>
      <c r="R50" s="120"/>
      <c r="S50" s="120"/>
      <c r="T50" s="120"/>
    </row>
    <row r="51" spans="1:23" ht="25" customHeight="1" x14ac:dyDescent="0.25">
      <c r="A51" s="115" t="str">
        <f>G14</f>
        <v>CO2-afvang en opslag (CCS) 8.000 uur bij afvalverbrandingsinstallaties (AVI's)</v>
      </c>
      <c r="B51" s="120" t="str">
        <f>A226</f>
        <v>CCS - Nieuwe post-combustion CO2-afvang, bestaande afvalverbrandingsinstallatie, gasvormig transport (art. 79.2.b.1⁰)</v>
      </c>
      <c r="C51" s="123" t="str">
        <f>A227</f>
        <v>CCS - Nieuwe post-combustion CO2-afvang, bestaande afvalverbrandingsinstallatie, vloeibaar transport, nieuwe vervloeiingsinstallatie (art. 79.2.b.2⁰)</v>
      </c>
      <c r="D51" s="120" t="str">
        <f>A228</f>
        <v>CCS - Nieuwe post-combustion CO2-afvang, bestaande afvalverbrandingsinstallatie, vloeibaar transport, nieuwe vervloeiingsinstallatie, invoedpijplijn ≥ 20 Mton per jaar, gecontracteerde cap. ≤ 35% (art. 79.2.b.3⁰)</v>
      </c>
      <c r="E51" s="120"/>
      <c r="F51" s="120"/>
      <c r="G51" s="120"/>
      <c r="H51" s="123"/>
      <c r="I51" s="120"/>
      <c r="J51" s="120"/>
      <c r="K51" s="120"/>
      <c r="L51" s="120"/>
      <c r="M51" s="120"/>
      <c r="N51" s="120"/>
      <c r="O51" s="120"/>
      <c r="P51" s="120"/>
      <c r="Q51" s="120"/>
      <c r="R51" s="120"/>
      <c r="S51" s="120"/>
      <c r="T51" s="120"/>
    </row>
    <row r="52" spans="1:23" ht="25" customHeight="1" x14ac:dyDescent="0.25">
      <c r="A52" s="115" t="str">
        <f>H14</f>
        <v>CO2-afvang en opslag (CCS) 4.000 uur bij (industriële) ETS-installaties (combinatie met 4.000 uur CCU mogelijk)</v>
      </c>
      <c r="B52" s="120" t="str">
        <f>A231</f>
        <v>CCS - Gedeeltelijke opslag van niet biogene CO2-procesemissie, gasvormig transport (art. 79.1.a.1⁰)</v>
      </c>
      <c r="C52" s="120" t="str">
        <f>A232</f>
        <v>CCS - Gedeeltelijke opslag van niet biogene CO2-procesemissie, vloeibaar transport, nieuwe vervloeiingsinstallatie (art. 79.1.a.2⁰)</v>
      </c>
      <c r="D52" s="120" t="str">
        <f>A233</f>
        <v>CCS - Gedeeltelijke opslag van niet biogene CO2-procesemissie, vloeibaar transport (art. 79.1.a.3⁰)</v>
      </c>
      <c r="E52" s="120" t="str">
        <f>A234</f>
        <v>CCS - Gedeeltelijke opslag van niet biogene CO2-procesemissie, vloeibaar transport van CO2, nieuwe vervloeiingsinstallatie, invoedpijplijn ≥ 20 Mton per jaar, gecontracteerde cap. ≤ 35% (art. 79.1.a.4⁰)</v>
      </c>
      <c r="F52" s="120" t="str">
        <f>A235</f>
        <v>CCS - Gedeeltelijke opslag van niet biogene CO2-procesemissie, vloeibaar transport van CO2, invoedpijplijn ≥ 20 Mton per jaar, gecontracteerde cap. ≤ 35% (art. 79.1.a.5⁰)</v>
      </c>
      <c r="G52" s="120"/>
      <c r="J52" s="120"/>
      <c r="K52" s="120"/>
      <c r="L52" s="120"/>
      <c r="M52" s="120"/>
      <c r="N52" s="120"/>
      <c r="O52" s="120"/>
      <c r="P52" s="120"/>
      <c r="Q52" s="120"/>
      <c r="R52" s="120"/>
      <c r="S52" s="120"/>
      <c r="T52" s="120"/>
    </row>
    <row r="53" spans="1:23" ht="25" customHeight="1" x14ac:dyDescent="0.25">
      <c r="A53" s="115" t="str">
        <f>I14</f>
        <v>CO2-afvang en opslag (CCS) 8.000 uur bij (industriële) ETS-installaties</v>
      </c>
      <c r="B53" s="120" t="str">
        <f>A238</f>
        <v>CCS - Volledige CO2-opslag bij bestaande installaties, gasvormig transport (art. 79.1.b.1⁰)</v>
      </c>
      <c r="C53" s="120" t="str">
        <f>A239</f>
        <v xml:space="preserve">CCS - Volledige CO2-opslag bij bestaande installaties, vloeibaar transport, nieuwe vervloeiingsinstallatie (art. 79.1.b.2⁰) </v>
      </c>
      <c r="D53" s="232" t="str">
        <f>A240</f>
        <v>CCS - Volledige CO2 opslag bij bestaande installaties, vloeibaar transport, nieuwe vervloeiingsinstallatie, invoedpijplijn ≥ 20 Mton per jaar, gecontracteerde cap. ≤ 35% (art. 79.1.b.3⁰)</v>
      </c>
      <c r="E53" s="120" t="str">
        <f>A241</f>
        <v>CCS - Nieuwe pre-combustion zuivering van niet biogene CO2-procesemissie, bestaande installatie, gasvormig transport (art. 79.1.c.1⁰)</v>
      </c>
      <c r="F53" s="120" t="str">
        <f>A242</f>
        <v>CCS - Nieuwe pre-combustion zuivering van niet biogene CO2-procesemissie, bestaande installatie, vloeibaar transport, nieuwe vervloeiingsinstallatie (art. 79.1.c.2⁰)</v>
      </c>
      <c r="G53" s="120" t="str">
        <f>A243</f>
        <v>CCS - Nieuwe pre-combustion zuivering van niet biogene CO2-procesemissie, bestaande installatie, vloeibaar transport, nieuwe vervloeiingsinstallatie, invoedpijplijn ≥ 20 Mton per jaar, gecontracteerde cap. ≤ 35% (art. 79.1.c.3⁰)</v>
      </c>
      <c r="H53" s="120" t="str">
        <f>A244</f>
        <v>CCS - Nieuwe pre-combustion CO2-zuivering, nieuwe installatie, gasvormig transport (art. 79.1.g.1⁰)</v>
      </c>
      <c r="I53" s="120" t="str">
        <f>A245</f>
        <v>CCS - Nieuwe pre-combustion CO2-zuivering, nieuwe installatie, vloeibaar transport, nieuwe vervloeiingsinstallatie (art. 79.1.g.2⁰)</v>
      </c>
      <c r="J53" s="120" t="str">
        <f>A246</f>
        <v>CCS - Nieuwe pre-combustion CO2 zuivering, nieuwe installatie, vloeibaar transport, nieuwe vervloeiingsinstallatie, invoedpijplijn ≥ 20 Mton per jaar, gecontracteerde cap. ≤ 35% (art. 79.1.g.3⁰)</v>
      </c>
      <c r="K53" s="120" t="str">
        <f>A247</f>
        <v>CCS - Nieuwe pre-combustion CO2-afvang bij nieuwe waterstofproductie uit restgassen voor ondervuring, gasvormig transport (art. 79.1.d.1⁰)</v>
      </c>
      <c r="L53" s="120" t="str">
        <f>A248</f>
        <v>CCS - Nieuwe pre-combustion CO2-afvang bij nieuwe waterstofproductie uit restgassen voor ondervuring, vloeibaar transport, nieuwe vervloeiingsinstallatie (art. 79.1.d.2⁰)</v>
      </c>
      <c r="M53" s="120" t="str">
        <f>A249</f>
        <v>CCS - Nieuwe pre-combustion CO2 afvang bij nieuwe waterstofproductie uit restgassen voor ondervuring, vloeibaar transport, nieuwe vervloeiingsinstallatie, invoedpijplijn ≥ 20 Mton per jaar, gecontracteerde cap. ≤ 35% (art. 79.1.d.3⁰)</v>
      </c>
      <c r="N53" s="120" t="str">
        <f>A250</f>
        <v>CCS - Nieuwe pre-combustion CO2 afvang bij bestaande waterstofproductie uit restgassen voor ondervuring, gasvormig transport (art. 79.1.e.1⁰)</v>
      </c>
      <c r="O53" s="120" t="str">
        <f>A251</f>
        <v>CCS - Nieuwe pre-combustion CO2 afvang bij bestaande waterstofproductie uit restgassen voor ondervuring, vloeibaar transport, nieuwe vervloeiingsinstallatie (art. 79.1.e.2⁰)</v>
      </c>
      <c r="P53" s="120" t="str">
        <f>A252</f>
        <v>CCS - Nieuwe pre-combustion CO2 afvang bij bestaande waterstofproductie uit restgassen voor ondervuring, vloeibaar transport, nieuwe vervloeiingsinstallatie, invoedpijplijn ≥ 20 Mton per jaar, gecontracteerde cap. ≤ 35% (art. 79.1.e.3⁰)</v>
      </c>
      <c r="Q53" s="120" t="str">
        <f>A253</f>
        <v>CCS - Nieuwe post-combustion CO2-afvang, bestaande installatie, gasvormig transport (art. 79.1.f.1⁰)</v>
      </c>
      <c r="R53" s="120" t="str">
        <f>A254</f>
        <v xml:space="preserve">CCS - Nieuwe post-combustion CO2-afvang, bestaande installatie, vloeibaar transport, nieuwe vervloeiingsinstallatie(art. 79.1.f.2⁰) </v>
      </c>
      <c r="S53" s="120" t="str">
        <f>A255</f>
        <v>CCS - Nieuwe post-combustion CO2 afvang, bestaande installatie, vloeibaar transport, nieuwe vervloeiingsinstallatie, invoedpijplijn ≥ 20 Mton per jaar, gecontracteerde cap. ≤ 35% (art. 79.1.f.3⁰)</v>
      </c>
      <c r="T53" s="120" t="str">
        <f>A256</f>
        <v>CCS - Nieuwe post-combustion CO2-afvang, nieuwe installatie, gasvormig transport (art. 79.1.h.1⁰)</v>
      </c>
      <c r="U53" s="120" t="str">
        <f>A257</f>
        <v>CCS - Nieuwe post-combustion CO2-afvang, nieuwe installatie, vloeibaar transport, nieuwe vervloeiingsinstallatie (art. 79.1.h.2⁰)</v>
      </c>
      <c r="V53" s="120" t="str">
        <f>A258</f>
        <v>CCS - Nieuwe post-combustion CO2 afvang, nieuwe installatie, vloeibaar transport, nieuwe vervloeiingsinstallatie, invoedpijplijn ≥ 20 Mton per jaar, gecontracteerde cap. ≤ 35% (art. 79.1.h.3⁰)</v>
      </c>
      <c r="W53" s="120"/>
    </row>
    <row r="54" spans="1:23" ht="25" customHeight="1" x14ac:dyDescent="0.25">
      <c r="A54" s="115" t="str">
        <f>J14</f>
        <v>CO2-afvang en opslag (CCS) 4.000 uur bij (industriële) niet-ETS-installaties (combinatie met 4.000 uur CCU mogelijk)</v>
      </c>
      <c r="B54" s="120" t="str">
        <f>A261</f>
        <v>CCS - Gedeeltelijke opslag niet biogene CO2-emissie bij bestaande of nieuwe installaties niet-ETS-bedrijf, gasvormig transport (art. 81.a.1⁰)</v>
      </c>
      <c r="C54" s="120" t="str">
        <f>A262</f>
        <v>CCS - Gedeeltelijke opslag niet biogene CO2-emissie bij bestaande of nieuwe installaties niet-ETS-bedrijf, vloeibaar transport, nieuwe vervloeiingsinstallatie (art. 81.a.2⁰)</v>
      </c>
      <c r="D54" s="120" t="str">
        <f>A263</f>
        <v>CCS - Gedeeltelijke opslag niet biogene CO2-emissie bij bestaande of nieuwe installaties niet-ETS-bedrijf, vloeibaar transport (art. 81.a.3⁰)</v>
      </c>
      <c r="E54" s="120" t="str">
        <f>A264</f>
        <v>CCS - Gedeeltelijke opslag niet biogene CO2-emissie niet-ETS-bedrijf, vloeibaar transport, nieuwe vervloeiingsinstallatie, invoedpijplijn ≥ 20 Mton per jaar, gecontracteerde cap. ≤ 35% (art. 81.a.4⁰)</v>
      </c>
      <c r="F54" s="120" t="str">
        <f>A265</f>
        <v>CCS - Gedeeltelijke opslag niet biogene CO2-emissie niet-ETS-bedrijf, vloeibaar transport, invoedpijplijn ≥ 20 Mton per jaar, gecontracteerde cap. ≤ 35% (art. 81.a.5⁰)</v>
      </c>
      <c r="G54" s="120"/>
      <c r="H54" s="120"/>
      <c r="K54" s="120"/>
      <c r="L54" s="120"/>
      <c r="M54" s="120"/>
      <c r="N54" s="120"/>
      <c r="O54" s="120"/>
      <c r="P54" s="120"/>
      <c r="Q54" s="120"/>
      <c r="R54" s="120"/>
      <c r="S54" s="120"/>
      <c r="T54" s="120"/>
    </row>
    <row r="55" spans="1:23" ht="25" customHeight="1" x14ac:dyDescent="0.25">
      <c r="A55" s="115" t="str">
        <f>K14</f>
        <v>CO2-afvang en opslag (CCS) 8.000 uur bij (industriële) niet-ETS-installaties</v>
      </c>
      <c r="B55" s="120" t="str">
        <f>A268</f>
        <v>CCS - Volledige opslag niet biogene CO2-emissie bij bestaande installaties niet-ETS-bedrijf, gasvormig transport (art. 81.b.1⁰)</v>
      </c>
      <c r="C55" s="120" t="str">
        <f>A269</f>
        <v>CCS - Volledige opslag niet biogene CO2-emissie bij bestaande installaties niet-ETS-bedrijf, vloeibaar transport, nieuwe vervloeiingsinstallatie (art. 81.b.2⁰)</v>
      </c>
      <c r="D55" s="120" t="str">
        <f>A270</f>
        <v>CCS - Volledige opslag niet biogene CO2-emissie bij bestaande installaties niet-ETS-bedrijf, vloeibaar transport, nieuwe vervloeiingsinstallatie, invoedpijplijn ≥ 20 Mton per jaar, gecontracteerde cap. ≤ 35% (art. 81.b.3⁰)</v>
      </c>
      <c r="E55" s="120" t="str">
        <f>A271</f>
        <v>CCS - Nieuwe pre-combustion zuivering niet biogene CO2-emissie, bestaande installatie niet-ETS-bedrijf, gasvormig transport (art. 81.c.1⁰)</v>
      </c>
      <c r="F55" s="120" t="str">
        <f>A272</f>
        <v>CCS - Nieuwe pre-combustion zuivering niet biogene CO2-emissie, bestaande installatie niet-ETS-bedrijf, vloeibaar transport, nieuwe vervloeiingsinstallatie (art. 81.c.2⁰)</v>
      </c>
      <c r="G55" s="120" t="str">
        <f>A273</f>
        <v>CCS - Nieuwe pre-combustion zuivering niet biogene CO2-emissie, bestaande installatie niet-ETS-bedrijf, vloeibaar transport, nieuwe vervloeiingsinstallatie, invoedpijplijn ≥ 20 Mton per jaar, gecontracteerde cap. ≤ 35% (art. 81.c.3⁰)</v>
      </c>
      <c r="H55" s="120" t="str">
        <f>A274</f>
        <v>CCS - Nieuwe pre-combustion zuivering niet biogene CO2-emissie, nieuwe installatie niet-ETS-bedrijf, gasvormig transport (art. 81.g.1⁰)</v>
      </c>
      <c r="I55" s="120" t="str">
        <f>A275</f>
        <v>CCS - Nieuwe pre-combustion zuivering niet biogene CO2-emissie, nieuwe installatie niet-ETS-bedrijf, vloeibaar transport, nieuwe vervloeiingsinstallatie (art. 81.g.2⁰)</v>
      </c>
      <c r="J55" s="120" t="str">
        <f>A276</f>
        <v>CCS - Nieuwe pre-combustion zuivering niet biogene CO2-emissie, nieuwe installatie niet-ETS-bedrijf, vloeibaar transport, nieuwe vervloeiingsinstallatie, invoedpijplijn ≥ 20 Mton per jaar, gecontracteerde cap. ≤ 35% (art. 81.g.3⁰)</v>
      </c>
      <c r="K55" s="120" t="str">
        <f>A277</f>
        <v>CCS - Nieuwe pre-combustion CO2-afvang bij nieuwe waterstofproductie uit restgassen voor ondervuring niet-ETS-bedrijf, gasvormig transport (art. 81.d.1⁰)</v>
      </c>
      <c r="L55" s="120" t="str">
        <f>A278</f>
        <v>CCS - Nieuwe pre-combustion CO2-afvang bij nieuwe waterstofproductie uit restgassen voor ondervuring niet-ETS-bedrijf, vloeibaar transport, nieuwe vervloeiingsinstallatie (art. 81.d.2⁰)</v>
      </c>
      <c r="M55" s="120" t="str">
        <f>A279</f>
        <v>CCS - Nieuwe pre-combustion CO2-afvang bij nieuwe waterstofproductie uit restgassen voor ondervuring niet-ETS-bedrijf, vloeibaar transport, nieuwe vervloeiingsinstallatie, invoedpijplijn ≥ 20 Mton per jaar, gecontracteerde cap. ≤ 35% (art. 81.d.3⁰)</v>
      </c>
      <c r="N55" s="120" t="str">
        <f>A280</f>
        <v>CCS - Nieuwe pre-combustion CO2-afvang bij bestaande waterstofproductie uit restgassen voor ondervuring niet-ETS-bedrijf, gasvormig transport (art. 81.e.1⁰)</v>
      </c>
      <c r="O55" s="120" t="str">
        <f>A281</f>
        <v>CCS - Nieuwe pre-combustion CO2-afvang bij bestaande waterstofproductie uit restgassen voor ondervuring niet-ETS-bedrijf, vloeibaar transport, nieuwe vervloeiingsinstallatie (art. 81.e.2⁰)</v>
      </c>
      <c r="P55" s="120" t="str">
        <f>A282</f>
        <v>CCS - Nieuwe pre-combustion CO2-afvang bij bestaande waterstofproductie uit restgassen voor ondervuring niet-ETS-bedrijf, vloeibaar transport, nieuwe vervloeiingsinstallatie, invoedpijplijn ≥ 20 Mton per jaar, gecontracteerde cap. ≤ 35% (art. 81.e.3⁰)</v>
      </c>
      <c r="Q55" s="120" t="str">
        <f>A283</f>
        <v>CCS - Nieuwe post-combustion CO2-afvang, bestaande installatie niet-ETS-bedrijf, gasvormig transport (art. 81.f.1⁰)</v>
      </c>
      <c r="R55" s="120" t="str">
        <f>A284</f>
        <v>CCS - Nieuwe post-combustion CO2-afvang, bestaande installatie niet-ETS-bedrijf, vloeibaar transport, nieuwe vervloeiingsinstallatie (art. 81.f.2⁰)</v>
      </c>
      <c r="S55" s="120" t="str">
        <f>A285</f>
        <v>CCS - Nieuwe post-combustion CO2-afvang, bestaande installatie niet-ETS-bedrijf, vloeibaar transport, nieuwe vervloeiingsinstallatie, invoedpijplijn ≥ 20 Mton per jaar, gecontracteerde cap. ≤ 35% (art. 81.f.3⁰)</v>
      </c>
      <c r="T55" s="120" t="str">
        <f>A286</f>
        <v>CCS - Nieuwe post-combustion CO2-afvang, nieuwe installatie niet-ETS-bedrijf, gasvormig transport (art. 81.h.1⁰)</v>
      </c>
      <c r="U55" s="120" t="str">
        <f>A287</f>
        <v>CCS - Nieuwe post-combustion CO2-afvang, nieuwe installatie niet-ETS-bedrijf, vloeibaar transport, nieuwe vervloeiingsinstallatie (art. 81.h.2⁰)</v>
      </c>
      <c r="V55" s="120" t="str">
        <f>A288</f>
        <v>CCS - Nieuwe post-combustion CO2-afvang, nieuwe installatie niet-ETS-bedrijf, vloeibaar transport, nieuwe vervloeiingsinstallatie, invoedpijplijn ≥ 20 Mton per jaar, gecontracteerde cap. ≤ 35% (art. 81.h.3⁰)</v>
      </c>
    </row>
    <row r="56" spans="1:23" ht="25" customHeight="1" x14ac:dyDescent="0.25">
      <c r="A56" s="115" t="str">
        <f>L14</f>
        <v>CO2-afvang en gebruik (CCU) 4.000 uur, gasvormig (transport)</v>
      </c>
      <c r="B56" s="120" t="str">
        <f>A291</f>
        <v>CCU - Nieuwe pre-combustion CO2-zuivering, bestaande of nieuwe installatie, gasvormig transport (art. 83.1.a.1⁰)</v>
      </c>
      <c r="C56" s="120" t="str">
        <f>A292</f>
        <v>CCU - Nieuwe pre-combustion CO2-zuivering, bestaande of nieuwe installatie, gasvormig transport, nieuwe transportleiding (art. 83.1.a.2⁰)</v>
      </c>
      <c r="D56" s="120" t="str">
        <f>A293</f>
        <v>CCU - Nieuwe post-combustion CO2-afvang, bestaande installatie, gasvormig transport (art. 83.1.c.1⁰)</v>
      </c>
      <c r="E56" s="120" t="str">
        <f>A294</f>
        <v>CCU - Nieuwe post-combustion CO2-afvang, bestaande installatie, gasvormig transport, nieuwe transportleiding (art. 83.1.c.2⁰)</v>
      </c>
      <c r="F56" s="120" t="str">
        <f>A295</f>
        <v>CCU - Nieuwe post-combustion CO2-afvang, nieuwe installatie, gasvormig transport (art. 83.1.d.1⁰)</v>
      </c>
      <c r="G56" s="120" t="str">
        <f>A296</f>
        <v>CCU - Nieuwe post-combustion CO2-afvang, nieuwe installatie, gasvormig transport, nieuwe transportleiding (art. 83.1.d.2⁰)</v>
      </c>
      <c r="H56" s="120" t="str">
        <f>A297</f>
        <v>CCU - Nieuwe post-combustion CO2-afvang bij bestaande afvalverbrandingsinstallatie of bestaande biomassaverbrandingsinstallatie &gt; 50 MWth, gasvormig transport (art. 83.1.e.1⁰)</v>
      </c>
      <c r="I56" s="120" t="str">
        <f>A298</f>
        <v>CCU - Nieuwe post-combustion CO2-afvang bij bestaande afvalverbrandingsinstallatie of bestaande biomassaverbrandingsinstallatie &gt; 50 MWth, gasvormig transport, nieuwe transportleiding (art. 83.1.e.2⁰)</v>
      </c>
      <c r="J56" s="120" t="str">
        <f>A299</f>
        <v>CCU - Nieuwe post-combustion CO₂-afvang bij biomassaverbrandingsinstallatie ≤ 50 MWth, gasvormig (art. 83.1.f.1⁰)</v>
      </c>
      <c r="Q56" s="120"/>
      <c r="R56" s="120"/>
      <c r="S56" s="120"/>
      <c r="T56" s="120"/>
    </row>
    <row r="57" spans="1:23" ht="25" customHeight="1" x14ac:dyDescent="0.25">
      <c r="A57" s="115" t="str">
        <f>M14</f>
        <v>CO2-afvang en gebruik (CCU) 4.000 uur, vloeibaar (transport)</v>
      </c>
      <c r="B57" s="120" t="str">
        <f>A302</f>
        <v>CCU - Nieuwe pre-combustion CO2-zuivering, bestaande of nieuwe installatie, vloeibaar transport, nieuwe vervloeiingsinstallatie (art. 83.1.a.3⁰)</v>
      </c>
      <c r="C57" s="120" t="str">
        <f>A303</f>
        <v>Extra CCU - Bestaande CO2-afvang, bestaande installatie, vloeibaar transport, nieuwe vervloeiingsinstallatie (art. 83.1.b)</v>
      </c>
      <c r="D57" s="120" t="str">
        <f>A304</f>
        <v>CCU - Nieuwe post-combustion CO2-afvang, bestaande installatie, vloeibaar transport, nieuwe vervloeiingsinstallatie (art. 83.1.c.3⁰)</v>
      </c>
      <c r="E57" s="120" t="str">
        <f>A305</f>
        <v>CCU - Nieuwe post-combustion CO2-afvang, nieuwe installatie, vloeibaar transport, nieuwe vervloeiingsinstallatie (art. 83.1.d.3⁰)</v>
      </c>
      <c r="F57" s="120" t="str">
        <f>A306</f>
        <v>CCU - Nieuwe post-combustion CO2-afvang bij bestaande afvalverbrandingsinstallatie of bestaande biomassaverbrandingsinstallatie &gt; 50 MWth, vloeibaar transport, nieuwe vervloeiingsinstallatie (art. 83.1.e.3⁰)</v>
      </c>
      <c r="G57" s="120" t="str">
        <f>A307</f>
        <v>CCU - Nieuwe post-combustion CO₂-afvang bij biomassaverbrandingsinstallatie ≤ 50 MWth, vloeibaar, nieuwe vervloeiingsinstallatie (art. 83.1.f.2⁰)</v>
      </c>
      <c r="K57" s="120"/>
      <c r="L57" s="120"/>
      <c r="M57" s="120"/>
      <c r="N57" s="120"/>
      <c r="O57" s="120"/>
      <c r="P57" s="120"/>
      <c r="Q57" s="120"/>
      <c r="R57" s="120"/>
      <c r="S57" s="120"/>
      <c r="T57" s="120"/>
    </row>
    <row r="58" spans="1:23" ht="25" customHeight="1" x14ac:dyDescent="0.25">
      <c r="A58" s="115" t="str">
        <f>N14</f>
        <v>CO2-afvang en gebruik (CCU) 4.000 uur, direct aircapture</v>
      </c>
      <c r="B58" s="120" t="str">
        <f>A310</f>
        <v>CCU - CO2 afvang uit omgevingslucht voor gebruik in tuinbouwkassen (art. 85.1)</v>
      </c>
      <c r="C58" s="120"/>
      <c r="D58" s="120"/>
      <c r="E58" s="120"/>
      <c r="F58" s="120"/>
      <c r="G58" s="120"/>
      <c r="H58" s="120"/>
      <c r="K58" s="120"/>
      <c r="L58" s="120"/>
      <c r="M58" s="120"/>
      <c r="N58" s="120"/>
      <c r="O58" s="120"/>
      <c r="P58" s="120"/>
      <c r="Q58" s="120"/>
      <c r="R58" s="120"/>
      <c r="S58" s="120"/>
      <c r="T58" s="120"/>
    </row>
    <row r="59" spans="1:23" ht="25" customHeight="1" x14ac:dyDescent="0.25">
      <c r="B59" s="120"/>
      <c r="C59" s="120"/>
      <c r="D59" s="120"/>
      <c r="E59" s="120"/>
      <c r="F59" s="120"/>
      <c r="G59" s="120"/>
      <c r="H59" s="120"/>
      <c r="I59" s="120"/>
      <c r="J59" s="120"/>
      <c r="K59" s="120"/>
      <c r="L59" s="120"/>
      <c r="M59" s="120"/>
      <c r="N59" s="120"/>
      <c r="O59" s="120"/>
      <c r="P59" s="120"/>
      <c r="Q59" s="120"/>
      <c r="R59" s="120"/>
      <c r="S59" s="120"/>
      <c r="T59" s="120"/>
    </row>
    <row r="60" spans="1:23" ht="37.5" customHeight="1" x14ac:dyDescent="0.25">
      <c r="A60" s="198" t="str">
        <f>VLOOKUP($D$29,A$31:$Z$58,2,FALSE)</f>
        <v>Zon-PV ≥ 15 kWp en &lt; 1 MWp aansluiting &gt; 3*80 A, gebouwgebonden (net = 50%)</v>
      </c>
      <c r="B60" s="198">
        <v>1</v>
      </c>
      <c r="C60" s="199" t="str">
        <f t="shared" ref="C60:C76" si="1">IF(A60=0,"",A60)</f>
        <v>Zon-PV ≥ 15 kWp en &lt; 1 MWp aansluiting &gt; 3*80 A, gebouwgebonden (net = 50%)</v>
      </c>
      <c r="D60" s="120"/>
      <c r="E60" s="120"/>
      <c r="F60" s="120"/>
      <c r="G60" s="120"/>
      <c r="H60" s="120"/>
      <c r="I60" s="120"/>
      <c r="J60" s="120"/>
      <c r="K60" s="120"/>
      <c r="L60" s="120"/>
      <c r="M60" s="120"/>
      <c r="N60" s="120"/>
      <c r="O60" s="120"/>
      <c r="P60" s="120"/>
      <c r="Q60" s="120"/>
      <c r="R60" s="120"/>
      <c r="S60" s="120"/>
      <c r="T60" s="120"/>
    </row>
    <row r="61" spans="1:23" ht="43.5" customHeight="1" x14ac:dyDescent="0.25">
      <c r="A61" s="198" t="str">
        <f>VLOOKUP($D$29,A$31:$Z$58,3,FALSE)</f>
        <v>Zon-PV ≥ 1 MWp, gebouwgebonden (net = 50%)</v>
      </c>
      <c r="B61" s="198">
        <v>2</v>
      </c>
      <c r="C61" s="199" t="str">
        <f t="shared" si="1"/>
        <v>Zon-PV ≥ 1 MWp, gebouwgebonden (net = 50%)</v>
      </c>
      <c r="D61" s="120"/>
      <c r="E61" s="120"/>
      <c r="F61" s="120"/>
      <c r="G61" s="120"/>
      <c r="H61" s="120"/>
      <c r="I61" s="120"/>
      <c r="J61" s="120"/>
      <c r="K61" s="120"/>
      <c r="L61" s="120"/>
      <c r="M61" s="120"/>
      <c r="N61" s="120"/>
      <c r="O61" s="120"/>
      <c r="P61" s="120"/>
      <c r="Q61" s="120"/>
      <c r="R61" s="120"/>
      <c r="S61" s="120"/>
      <c r="T61" s="120"/>
    </row>
    <row r="62" spans="1:23" ht="25" customHeight="1" x14ac:dyDescent="0.25">
      <c r="A62" s="198" t="str">
        <f>VLOOKUP($D$29,A$31:$Z$58,4,FALSE)</f>
        <v>Zon-PV ≥ 15 kWp en &lt; 1 MWp aansluiting &gt; 3*80 A, gebouwgebonden met dakaanpassing of lichtgewicht panelen (net = 50%)</v>
      </c>
      <c r="B62" s="198">
        <v>3</v>
      </c>
      <c r="C62" s="199" t="str">
        <f t="shared" si="1"/>
        <v>Zon-PV ≥ 15 kWp en &lt; 1 MWp aansluiting &gt; 3*80 A, gebouwgebonden met dakaanpassing of lichtgewicht panelen (net = 50%)</v>
      </c>
      <c r="D62" s="120"/>
      <c r="E62" s="120"/>
      <c r="F62" s="120"/>
      <c r="G62" s="120"/>
      <c r="H62" s="120"/>
      <c r="I62" s="120"/>
      <c r="J62" s="120"/>
      <c r="K62" s="120"/>
      <c r="L62" s="120"/>
      <c r="M62" s="120"/>
      <c r="N62" s="120"/>
      <c r="O62" s="120"/>
      <c r="P62" s="120"/>
      <c r="Q62" s="120"/>
      <c r="R62" s="120"/>
      <c r="S62" s="120"/>
      <c r="T62" s="120"/>
    </row>
    <row r="63" spans="1:23" ht="25" customHeight="1" x14ac:dyDescent="0.25">
      <c r="A63" s="198" t="str">
        <f>VLOOKUP($D$29,A$31:$Z$58,5,FALSE)</f>
        <v>Zon-PV ≥ 1 MWp, gebouwgebonden met dakaanpassing of lichtgewicht panelen (net = 50%)</v>
      </c>
      <c r="B63" s="198">
        <v>4</v>
      </c>
      <c r="C63" s="199" t="str">
        <f t="shared" si="1"/>
        <v>Zon-PV ≥ 1 MWp, gebouwgebonden met dakaanpassing of lichtgewicht panelen (net = 50%)</v>
      </c>
      <c r="D63" s="120"/>
      <c r="E63" s="120"/>
      <c r="F63" s="120"/>
      <c r="G63" s="120"/>
      <c r="H63" s="120"/>
      <c r="I63" s="120"/>
      <c r="J63" s="120"/>
      <c r="K63" s="120"/>
      <c r="L63" s="120"/>
      <c r="M63" s="120"/>
      <c r="N63" s="120"/>
      <c r="O63" s="120"/>
      <c r="P63" s="120"/>
      <c r="Q63" s="120"/>
      <c r="R63" s="120"/>
      <c r="S63" s="120"/>
      <c r="T63" s="120"/>
    </row>
    <row r="64" spans="1:23" ht="25" customHeight="1" x14ac:dyDescent="0.25">
      <c r="A64" s="198" t="str">
        <f>VLOOKUP($D$29,A$31:$Z$58,6,FALSE)</f>
        <v>Zon-PV ≥ 15 kWp en &lt; 1 MWp aansluiting &gt; 3*80 A,  op oost-west gevels van gebouwen (net = 50%)</v>
      </c>
      <c r="B64" s="198">
        <v>5</v>
      </c>
      <c r="C64" s="199" t="str">
        <f t="shared" si="1"/>
        <v>Zon-PV ≥ 15 kWp en &lt; 1 MWp aansluiting &gt; 3*80 A,  op oost-west gevels van gebouwen (net = 50%)</v>
      </c>
      <c r="D64" s="120"/>
      <c r="E64" s="120"/>
      <c r="F64" s="120"/>
      <c r="G64" s="120"/>
      <c r="H64" s="120"/>
      <c r="I64" s="120"/>
      <c r="J64" s="120"/>
      <c r="K64" s="120"/>
      <c r="L64" s="120"/>
      <c r="M64" s="120"/>
      <c r="N64" s="120"/>
      <c r="O64" s="120"/>
      <c r="P64" s="120"/>
      <c r="Q64" s="120"/>
      <c r="R64" s="120"/>
      <c r="S64" s="120"/>
      <c r="T64" s="120"/>
    </row>
    <row r="65" spans="1:20" ht="25" customHeight="1" x14ac:dyDescent="0.25">
      <c r="A65" s="198" t="str">
        <f>VLOOKUP($D$29,A$31:$Z$58,7,FALSE)</f>
        <v>Zon-PV ≥ 15 kWp en &lt; 1 MWp aansluiting &gt; 3*80 A, drijvend op water (net = 50%)</v>
      </c>
      <c r="B65" s="198">
        <v>6</v>
      </c>
      <c r="C65" s="199" t="str">
        <f t="shared" si="1"/>
        <v>Zon-PV ≥ 15 kWp en &lt; 1 MWp aansluiting &gt; 3*80 A, drijvend op water (net = 50%)</v>
      </c>
      <c r="D65" s="120"/>
      <c r="E65" s="120"/>
      <c r="F65" s="120"/>
      <c r="G65" s="120"/>
      <c r="H65" s="120"/>
      <c r="I65" s="120"/>
      <c r="J65" s="120"/>
      <c r="K65" s="120"/>
      <c r="L65" s="120"/>
      <c r="M65" s="120"/>
      <c r="N65" s="120"/>
      <c r="O65" s="120"/>
      <c r="P65" s="120"/>
      <c r="Q65" s="120"/>
      <c r="R65" s="120"/>
      <c r="S65" s="120"/>
      <c r="T65" s="120"/>
    </row>
    <row r="66" spans="1:20" ht="25" customHeight="1" x14ac:dyDescent="0.25">
      <c r="A66" s="198" t="str">
        <f>VLOOKUP($D$29,A$31:$Z$58,8,FALSE)</f>
        <v>Zon-PV ≥ 1 MWp, drijvend op water (net = 50%)</v>
      </c>
      <c r="B66" s="198">
        <v>7</v>
      </c>
      <c r="C66" s="199" t="str">
        <f t="shared" si="1"/>
        <v>Zon-PV ≥ 1 MWp, drijvend op water (net = 50%)</v>
      </c>
      <c r="D66" s="120"/>
      <c r="E66" s="120"/>
      <c r="F66" s="120"/>
      <c r="G66" s="120"/>
      <c r="H66" s="120"/>
      <c r="I66" s="120"/>
      <c r="J66" s="120"/>
      <c r="K66" s="120"/>
      <c r="L66" s="120"/>
      <c r="M66" s="120"/>
      <c r="N66" s="120"/>
      <c r="O66" s="120"/>
      <c r="P66" s="120"/>
      <c r="Q66" s="120"/>
      <c r="R66" s="120"/>
      <c r="S66" s="120"/>
      <c r="T66" s="120"/>
    </row>
    <row r="67" spans="1:20" ht="25" customHeight="1" x14ac:dyDescent="0.25">
      <c r="A67" s="198" t="str">
        <f>VLOOKUP($D$29,A$31:$Z$58,9,FALSE)</f>
        <v>Zon-PV ≥ 15 kWp en &lt; 1 MWp aansluiting &gt; 3*80 A, op land natuurinclusief (net = 50%)</v>
      </c>
      <c r="B67" s="198">
        <v>8</v>
      </c>
      <c r="C67" s="199" t="str">
        <f t="shared" si="1"/>
        <v>Zon-PV ≥ 15 kWp en &lt; 1 MWp aansluiting &gt; 3*80 A, op land natuurinclusief (net = 50%)</v>
      </c>
      <c r="D67" s="120"/>
      <c r="E67" s="120"/>
      <c r="F67" s="120"/>
      <c r="G67" s="120"/>
      <c r="H67" s="120"/>
      <c r="I67" s="120"/>
      <c r="J67" s="120"/>
      <c r="K67" s="120"/>
      <c r="L67" s="120"/>
      <c r="M67" s="120"/>
      <c r="N67" s="120"/>
      <c r="O67" s="120"/>
      <c r="P67" s="120"/>
      <c r="Q67" s="120"/>
      <c r="R67" s="120"/>
      <c r="S67" s="120"/>
      <c r="T67" s="120"/>
    </row>
    <row r="68" spans="1:20" ht="25" customHeight="1" x14ac:dyDescent="0.25">
      <c r="A68" s="198" t="str">
        <f>VLOOKUP($D$29,A$31:$Z$58,10,FALSE)</f>
        <v>Zon-PV ≥ 1 MWp en &lt; 20 MWp, op land natuurinclusief (net = 50%)</v>
      </c>
      <c r="B68" s="198">
        <v>9</v>
      </c>
      <c r="C68" s="199" t="str">
        <f t="shared" si="1"/>
        <v>Zon-PV ≥ 1 MWp en &lt; 20 MWp, op land natuurinclusief (net = 50%)</v>
      </c>
      <c r="D68" s="120"/>
      <c r="E68" s="120"/>
      <c r="F68" s="120"/>
      <c r="G68" s="120"/>
      <c r="H68" s="120"/>
      <c r="I68" s="120"/>
      <c r="J68" s="120"/>
      <c r="K68" s="120"/>
      <c r="L68" s="120"/>
      <c r="M68" s="120"/>
      <c r="N68" s="120"/>
      <c r="O68" s="120"/>
      <c r="P68" s="120"/>
      <c r="Q68" s="120"/>
      <c r="R68" s="120"/>
      <c r="S68" s="120"/>
      <c r="T68" s="120"/>
    </row>
    <row r="69" spans="1:20" ht="25" customHeight="1" x14ac:dyDescent="0.25">
      <c r="A69" s="198" t="str">
        <f>VLOOKUP($D$29,A$31:$Z$58,11,FALSE)</f>
        <v>Zon-PV ≥ 20 MWp, op land natuurinclusief (net = 50%)</v>
      </c>
      <c r="B69" s="198">
        <v>10</v>
      </c>
      <c r="C69" s="199" t="str">
        <f t="shared" si="1"/>
        <v>Zon-PV ≥ 20 MWp, op land natuurinclusief (net = 50%)</v>
      </c>
      <c r="D69" s="120"/>
      <c r="E69" s="120"/>
      <c r="F69" s="120"/>
      <c r="G69" s="120"/>
      <c r="H69" s="120"/>
      <c r="I69" s="120"/>
      <c r="J69" s="120"/>
      <c r="K69" s="120"/>
      <c r="L69" s="120"/>
      <c r="M69" s="120"/>
      <c r="N69" s="120"/>
      <c r="O69" s="120"/>
      <c r="P69" s="120"/>
      <c r="Q69" s="120"/>
      <c r="R69" s="120"/>
      <c r="S69" s="120"/>
      <c r="T69" s="120"/>
    </row>
    <row r="70" spans="1:20" ht="25" customHeight="1" x14ac:dyDescent="0.25">
      <c r="A70" s="198" t="str">
        <f>VLOOKUP($D$29,A$31:$Z$58,12,FALSE)</f>
        <v xml:space="preserve">Zon-PV ≥ 15kWp en &lt; 1 MWp aansluiting &gt; 3*80 A,  verticaal op land </v>
      </c>
      <c r="B70" s="198">
        <v>11</v>
      </c>
      <c r="C70" s="199" t="str">
        <f t="shared" si="1"/>
        <v xml:space="preserve">Zon-PV ≥ 15kWp en &lt; 1 MWp aansluiting &gt; 3*80 A,  verticaal op land </v>
      </c>
      <c r="D70" s="120"/>
      <c r="E70" s="120"/>
      <c r="F70" s="120"/>
      <c r="G70" s="120"/>
      <c r="H70" s="120"/>
      <c r="I70" s="120"/>
      <c r="J70" s="120"/>
      <c r="K70" s="120"/>
      <c r="L70" s="120"/>
      <c r="M70" s="120"/>
      <c r="N70" s="120"/>
      <c r="O70" s="120"/>
      <c r="P70" s="120"/>
      <c r="Q70" s="120"/>
      <c r="R70" s="120"/>
      <c r="S70" s="120"/>
      <c r="T70" s="120"/>
    </row>
    <row r="71" spans="1:20" ht="25" customHeight="1" x14ac:dyDescent="0.25">
      <c r="A71" s="198" t="str">
        <f>VLOOKUP($D$29,A$31:$Z$58,13,FALSE)</f>
        <v xml:space="preserve">Zon-PV ≥ 1 MWp aansluiting &gt; 3*80 A,  verticaal op land </v>
      </c>
      <c r="B71" s="198">
        <v>12</v>
      </c>
      <c r="C71" s="199" t="str">
        <f t="shared" si="1"/>
        <v xml:space="preserve">Zon-PV ≥ 1 MWp aansluiting &gt; 3*80 A,  verticaal op land </v>
      </c>
      <c r="D71" s="120"/>
      <c r="E71" s="120"/>
      <c r="F71" s="120"/>
      <c r="G71" s="120"/>
      <c r="H71" s="120"/>
      <c r="I71" s="120"/>
      <c r="J71" s="120"/>
      <c r="K71" s="120"/>
      <c r="L71" s="120"/>
      <c r="M71" s="120"/>
      <c r="N71" s="120"/>
      <c r="O71" s="120"/>
      <c r="P71" s="120"/>
      <c r="Q71" s="120"/>
      <c r="R71" s="120"/>
      <c r="S71" s="120"/>
      <c r="T71" s="120"/>
    </row>
    <row r="72" spans="1:20" ht="25" customHeight="1" x14ac:dyDescent="0.25">
      <c r="A72" s="198" t="str">
        <f>VLOOKUP($D$29,A$31:$Z$58,14,FALSE)</f>
        <v xml:space="preserve">Zon-PV ≥ 1 MWp, zonvolgend op land natuurinclusief </v>
      </c>
      <c r="B72" s="198">
        <v>13</v>
      </c>
      <c r="C72" s="199" t="str">
        <f t="shared" si="1"/>
        <v xml:space="preserve">Zon-PV ≥ 1 MWp, zonvolgend op land natuurinclusief </v>
      </c>
      <c r="D72" s="120"/>
      <c r="E72" s="120"/>
      <c r="F72" s="120"/>
      <c r="G72" s="120"/>
      <c r="H72" s="120"/>
      <c r="I72" s="120"/>
      <c r="J72" s="120"/>
      <c r="K72" s="120"/>
      <c r="L72" s="120"/>
      <c r="M72" s="120"/>
      <c r="N72" s="120"/>
      <c r="O72" s="120"/>
      <c r="P72" s="120"/>
      <c r="Q72" s="120"/>
      <c r="R72" s="120"/>
      <c r="S72" s="120"/>
      <c r="T72" s="120"/>
    </row>
    <row r="73" spans="1:20" ht="25" customHeight="1" x14ac:dyDescent="0.25">
      <c r="A73" s="198" t="str">
        <f>VLOOKUP($D$29,A$31:$Z$58,15,FALSE)</f>
        <v>Zon-PV ≥ 15 kWp en &lt;  1 MWp aansluiting &gt; 3*80 A, op land met bestemming verkeer langs wegen en spoor (net = 50%)</v>
      </c>
      <c r="B73" s="198">
        <v>14</v>
      </c>
      <c r="C73" s="199" t="str">
        <f t="shared" si="1"/>
        <v>Zon-PV ≥ 15 kWp en &lt;  1 MWp aansluiting &gt; 3*80 A, op land met bestemming verkeer langs wegen en spoor (net = 50%)</v>
      </c>
      <c r="D73" s="120"/>
      <c r="E73" s="120"/>
      <c r="F73" s="120"/>
      <c r="G73" s="120"/>
      <c r="H73" s="120"/>
      <c r="I73" s="120"/>
      <c r="J73" s="120"/>
      <c r="K73" s="120"/>
      <c r="L73" s="120"/>
      <c r="M73" s="120"/>
      <c r="N73" s="120"/>
      <c r="O73" s="120"/>
      <c r="P73" s="120"/>
      <c r="Q73" s="120"/>
      <c r="R73" s="120"/>
      <c r="S73" s="120"/>
      <c r="T73" s="120"/>
    </row>
    <row r="74" spans="1:20" ht="25" customHeight="1" x14ac:dyDescent="0.25">
      <c r="A74" s="198">
        <f>VLOOKUP($D$29,A$31:$Z$58,16,FALSE)</f>
        <v>0</v>
      </c>
      <c r="B74" s="198">
        <v>15</v>
      </c>
      <c r="C74" s="199" t="str">
        <f t="shared" si="1"/>
        <v/>
      </c>
      <c r="D74" s="120"/>
      <c r="E74" s="120"/>
      <c r="F74" s="120"/>
      <c r="G74" s="120"/>
      <c r="H74" s="120"/>
      <c r="I74" s="120"/>
      <c r="J74" s="120"/>
      <c r="K74" s="120"/>
      <c r="L74" s="120"/>
      <c r="M74" s="120"/>
      <c r="N74" s="120"/>
      <c r="O74" s="120"/>
      <c r="P74" s="120"/>
      <c r="Q74" s="120"/>
      <c r="R74" s="120"/>
      <c r="S74" s="120"/>
      <c r="T74" s="120"/>
    </row>
    <row r="75" spans="1:20" ht="25" customHeight="1" x14ac:dyDescent="0.25">
      <c r="A75" s="198">
        <f>VLOOKUP($D$29,A$31:$Z$58,17,FALSE)</f>
        <v>0</v>
      </c>
      <c r="B75" s="198">
        <v>16</v>
      </c>
      <c r="C75" s="199" t="str">
        <f t="shared" si="1"/>
        <v/>
      </c>
      <c r="D75" s="120"/>
      <c r="E75" s="120"/>
      <c r="F75" s="120"/>
      <c r="G75" s="120"/>
      <c r="H75" s="120"/>
      <c r="I75" s="120"/>
      <c r="J75" s="120"/>
      <c r="K75" s="120"/>
      <c r="L75" s="120"/>
      <c r="M75" s="120"/>
      <c r="N75" s="120"/>
      <c r="O75" s="120"/>
      <c r="P75" s="120"/>
      <c r="Q75" s="120"/>
      <c r="R75" s="120"/>
      <c r="S75" s="120"/>
      <c r="T75" s="120"/>
    </row>
    <row r="76" spans="1:20" ht="25" customHeight="1" x14ac:dyDescent="0.25">
      <c r="A76" s="198">
        <f>VLOOKUP($D$29,A$31:$Z$58,18,FALSE)</f>
        <v>0</v>
      </c>
      <c r="B76" s="198">
        <v>17</v>
      </c>
      <c r="C76" s="199" t="str">
        <f t="shared" si="1"/>
        <v/>
      </c>
      <c r="D76" s="120"/>
      <c r="E76" s="120"/>
      <c r="F76" s="120"/>
      <c r="G76" s="120"/>
      <c r="H76" s="120"/>
      <c r="I76" s="120"/>
      <c r="J76" s="120"/>
      <c r="K76" s="120"/>
      <c r="L76" s="120"/>
      <c r="M76" s="120"/>
      <c r="N76" s="120"/>
      <c r="O76" s="120"/>
      <c r="P76" s="120"/>
      <c r="Q76" s="120"/>
      <c r="R76" s="120"/>
      <c r="S76" s="120"/>
      <c r="T76" s="120"/>
    </row>
    <row r="77" spans="1:20" ht="25" customHeight="1" x14ac:dyDescent="0.25">
      <c r="A77" s="198">
        <f>VLOOKUP($D$29,A$31:$Z$58,19,FALSE)</f>
        <v>0</v>
      </c>
      <c r="B77" s="198">
        <v>18</v>
      </c>
      <c r="C77" s="199" t="str">
        <f>IF(A77=0,"",A77)</f>
        <v/>
      </c>
      <c r="D77" s="120"/>
      <c r="E77" s="120"/>
      <c r="F77" s="120"/>
      <c r="G77" s="120"/>
      <c r="H77" s="120"/>
      <c r="I77" s="120"/>
      <c r="J77" s="120"/>
      <c r="K77" s="120"/>
      <c r="L77" s="120"/>
      <c r="M77" s="120"/>
      <c r="N77" s="120"/>
      <c r="O77" s="120"/>
      <c r="P77" s="120"/>
      <c r="Q77" s="120"/>
      <c r="R77" s="120"/>
      <c r="S77" s="120"/>
      <c r="T77" s="120"/>
    </row>
    <row r="78" spans="1:20" ht="25" customHeight="1" x14ac:dyDescent="0.25">
      <c r="A78" s="198">
        <f>VLOOKUP($D$29,A$31:$Z$58,20,FALSE)</f>
        <v>0</v>
      </c>
      <c r="B78" s="198">
        <v>19</v>
      </c>
      <c r="C78" s="199" t="str">
        <f>IF(A78=0,"",A78)</f>
        <v/>
      </c>
      <c r="D78" s="120"/>
      <c r="E78" s="120"/>
      <c r="F78" s="120"/>
      <c r="G78" s="120"/>
      <c r="H78" s="120"/>
      <c r="I78" s="120"/>
      <c r="J78" s="120"/>
      <c r="K78" s="120"/>
      <c r="L78" s="120"/>
      <c r="M78" s="120"/>
      <c r="N78" s="120"/>
      <c r="O78" s="120"/>
      <c r="P78" s="120"/>
      <c r="Q78" s="120"/>
      <c r="R78" s="120"/>
      <c r="S78" s="120"/>
      <c r="T78" s="120"/>
    </row>
    <row r="79" spans="1:20" ht="25" customHeight="1" x14ac:dyDescent="0.25">
      <c r="A79" s="198">
        <f>VLOOKUP($D$29,A$31:$Z$58,21,FALSE)</f>
        <v>0</v>
      </c>
      <c r="B79" s="198">
        <v>20</v>
      </c>
      <c r="C79" s="199" t="str">
        <f t="shared" ref="C79:C81" si="2">IF(A79=0,"",A79)</f>
        <v/>
      </c>
      <c r="D79" s="120"/>
      <c r="E79" s="120"/>
      <c r="F79" s="120"/>
      <c r="G79" s="120"/>
      <c r="H79" s="120"/>
      <c r="I79" s="120"/>
      <c r="J79" s="120"/>
      <c r="K79" s="120"/>
      <c r="L79" s="120"/>
      <c r="M79" s="120"/>
      <c r="N79" s="120"/>
      <c r="O79" s="120"/>
      <c r="P79" s="120"/>
      <c r="Q79" s="120"/>
      <c r="R79" s="120"/>
      <c r="S79" s="120"/>
      <c r="T79" s="120"/>
    </row>
    <row r="80" spans="1:20" ht="25" customHeight="1" x14ac:dyDescent="0.25">
      <c r="A80" s="198">
        <f>VLOOKUP($D$29,A$31:$Z$58,22,FALSE)</f>
        <v>0</v>
      </c>
      <c r="B80" s="198">
        <v>21</v>
      </c>
      <c r="C80" s="199" t="str">
        <f t="shared" si="2"/>
        <v/>
      </c>
      <c r="D80" s="120"/>
      <c r="E80" s="120"/>
      <c r="F80" s="120"/>
      <c r="G80" s="120"/>
      <c r="H80" s="120"/>
      <c r="I80" s="120"/>
      <c r="J80" s="120"/>
      <c r="K80" s="120"/>
      <c r="L80" s="120"/>
      <c r="M80" s="120"/>
      <c r="N80" s="120"/>
      <c r="O80" s="120"/>
      <c r="P80" s="120"/>
      <c r="Q80" s="120"/>
      <c r="R80" s="120"/>
      <c r="S80" s="120"/>
      <c r="T80" s="120"/>
    </row>
    <row r="81" spans="1:35" ht="25" customHeight="1" x14ac:dyDescent="0.25">
      <c r="A81" s="198">
        <f>VLOOKUP($D$29,A$31:$Z$58,23,FALSE)</f>
        <v>0</v>
      </c>
      <c r="B81" s="198">
        <v>22</v>
      </c>
      <c r="C81" s="199" t="str">
        <f t="shared" si="2"/>
        <v/>
      </c>
      <c r="D81" s="120"/>
      <c r="E81" s="120"/>
      <c r="F81" s="120"/>
      <c r="G81" s="120"/>
      <c r="H81" s="120"/>
      <c r="I81" s="120"/>
      <c r="J81" s="120"/>
      <c r="K81" s="120"/>
      <c r="L81" s="120"/>
      <c r="M81" s="120"/>
      <c r="N81" s="120"/>
      <c r="O81" s="120"/>
      <c r="P81" s="120"/>
      <c r="Q81" s="120"/>
      <c r="R81" s="120"/>
      <c r="S81" s="120"/>
      <c r="T81" s="120"/>
    </row>
    <row r="82" spans="1:35" ht="36.75" customHeight="1" x14ac:dyDescent="0.3">
      <c r="A82" s="114" t="s">
        <v>494</v>
      </c>
      <c r="C82" s="124">
        <v>1</v>
      </c>
      <c r="D82" s="124" t="str">
        <f>VLOOKUP(C82,B60:C81,2,FALSE)</f>
        <v>Zon-PV ≥ 15 kWp en &lt; 1 MWp aansluiting &gt; 3*80 A, gebouwgebonden (net = 50%)</v>
      </c>
      <c r="E82" s="120"/>
      <c r="F82" s="120"/>
      <c r="G82" s="120"/>
      <c r="H82" s="120"/>
      <c r="I82" s="120"/>
      <c r="J82" s="120"/>
      <c r="K82" s="120"/>
      <c r="L82" s="120"/>
      <c r="M82" s="120"/>
      <c r="N82" s="120"/>
      <c r="O82" s="120"/>
      <c r="P82" s="120"/>
      <c r="Q82" s="120"/>
      <c r="R82" s="120"/>
      <c r="S82" s="120"/>
      <c r="T82" s="120"/>
    </row>
    <row r="83" spans="1:35" ht="12.75" customHeight="1" x14ac:dyDescent="0.3">
      <c r="B83" s="114"/>
    </row>
    <row r="84" spans="1:35" ht="12.75" customHeight="1" x14ac:dyDescent="0.3">
      <c r="B84" s="114"/>
    </row>
    <row r="85" spans="1:35" ht="99" customHeight="1" x14ac:dyDescent="0.45">
      <c r="A85" s="243" t="s">
        <v>157</v>
      </c>
      <c r="B85" s="205" t="s">
        <v>158</v>
      </c>
      <c r="C85" s="438" t="s">
        <v>159</v>
      </c>
      <c r="D85" s="439"/>
      <c r="E85" s="205" t="s">
        <v>549</v>
      </c>
      <c r="F85" s="205" t="s">
        <v>160</v>
      </c>
      <c r="G85" s="205" t="s">
        <v>161</v>
      </c>
      <c r="H85" s="438" t="s">
        <v>550</v>
      </c>
      <c r="I85" s="439"/>
      <c r="J85" s="439"/>
      <c r="K85" s="439"/>
      <c r="L85" s="205" t="s">
        <v>162</v>
      </c>
      <c r="M85" s="205" t="s">
        <v>163</v>
      </c>
      <c r="N85" s="440" t="s">
        <v>164</v>
      </c>
      <c r="O85" s="440"/>
      <c r="P85" s="440"/>
      <c r="Q85" s="440"/>
      <c r="R85" s="440" t="s">
        <v>165</v>
      </c>
      <c r="S85" s="440"/>
      <c r="T85" s="440"/>
      <c r="U85" s="440"/>
      <c r="V85" s="440"/>
      <c r="W85" s="437" t="s">
        <v>166</v>
      </c>
      <c r="X85" s="437" t="s">
        <v>167</v>
      </c>
      <c r="Y85" s="437" t="s">
        <v>168</v>
      </c>
      <c r="Z85" s="437" t="s">
        <v>169</v>
      </c>
      <c r="AA85" s="244" t="s">
        <v>170</v>
      </c>
      <c r="AB85" s="245" t="s">
        <v>396</v>
      </c>
      <c r="AC85" s="228"/>
      <c r="AD85" s="223"/>
      <c r="AE85" s="223"/>
      <c r="AF85" s="223"/>
      <c r="AG85" s="223"/>
      <c r="AH85" s="223"/>
      <c r="AI85" s="223"/>
    </row>
    <row r="86" spans="1:35" ht="84.75" customHeight="1" x14ac:dyDescent="0.25">
      <c r="A86" s="127"/>
      <c r="B86" s="127"/>
      <c r="C86" s="128" t="s">
        <v>171</v>
      </c>
      <c r="D86" s="128" t="s">
        <v>498</v>
      </c>
      <c r="E86" s="127"/>
      <c r="F86" s="127"/>
      <c r="G86" s="127"/>
      <c r="H86" s="128" t="s">
        <v>499</v>
      </c>
      <c r="I86" s="128"/>
      <c r="J86" s="210" t="s">
        <v>172</v>
      </c>
      <c r="K86" s="128" t="s">
        <v>173</v>
      </c>
      <c r="L86" s="127"/>
      <c r="M86" s="127"/>
      <c r="N86" s="127" t="s">
        <v>412</v>
      </c>
      <c r="O86" s="127" t="s">
        <v>413</v>
      </c>
      <c r="P86" s="127" t="s">
        <v>414</v>
      </c>
      <c r="Q86" s="127" t="s">
        <v>394</v>
      </c>
      <c r="R86" s="127"/>
      <c r="S86" s="127"/>
      <c r="T86" s="127"/>
      <c r="U86" s="127"/>
      <c r="V86" s="127"/>
      <c r="W86" s="441"/>
      <c r="X86" s="437"/>
      <c r="Y86" s="437"/>
      <c r="Z86" s="437"/>
      <c r="AA86" s="127"/>
      <c r="AB86" s="127"/>
      <c r="AC86" s="120"/>
    </row>
    <row r="87" spans="1:35" ht="13" x14ac:dyDescent="0.3">
      <c r="A87" s="203" t="s">
        <v>415</v>
      </c>
      <c r="B87" s="206"/>
      <c r="C87" s="204"/>
      <c r="D87" s="127"/>
      <c r="E87" s="204"/>
      <c r="F87" s="204"/>
      <c r="G87" s="127"/>
      <c r="H87" s="127"/>
      <c r="I87" s="127"/>
      <c r="J87" s="127"/>
      <c r="K87" s="127"/>
      <c r="L87" s="127"/>
      <c r="M87" s="127"/>
      <c r="N87" s="127"/>
      <c r="O87" s="127"/>
      <c r="P87" s="127"/>
      <c r="Q87" s="127"/>
      <c r="R87" s="127"/>
      <c r="S87" s="127"/>
      <c r="T87" s="127"/>
      <c r="U87" s="127"/>
      <c r="V87" s="127"/>
      <c r="W87" s="127"/>
      <c r="X87" s="127"/>
      <c r="Y87" s="127"/>
      <c r="Z87" s="127"/>
      <c r="AA87" s="127"/>
      <c r="AB87" s="127"/>
    </row>
    <row r="88" spans="1:35" ht="14.5" x14ac:dyDescent="0.35">
      <c r="A88" s="127" t="s">
        <v>174</v>
      </c>
      <c r="B88" s="207">
        <v>0.1133</v>
      </c>
      <c r="C88" s="200">
        <v>4.7899999999999998E-2</v>
      </c>
      <c r="D88" s="207"/>
      <c r="E88" s="202">
        <v>7.6399999999999996E-2</v>
      </c>
      <c r="F88" s="202">
        <v>0.1804</v>
      </c>
      <c r="G88" s="226">
        <f>(B88-E88)*1000/F88</f>
        <v>204.54545454545456</v>
      </c>
      <c r="H88" s="207">
        <v>8.2400000000000001E-2</v>
      </c>
      <c r="I88" s="207" t="str">
        <f>""</f>
        <v/>
      </c>
      <c r="J88" s="207"/>
      <c r="K88" s="207">
        <v>8.2000000000000007E-3</v>
      </c>
      <c r="L88" s="127">
        <v>7535</v>
      </c>
      <c r="M88" s="127">
        <v>12</v>
      </c>
      <c r="N88" s="200">
        <f>MIN($B88,(75*$F88/1000)+$E88)</f>
        <v>8.9929999999999996E-2</v>
      </c>
      <c r="O88" s="200">
        <f>MIN($B88,(150*$F88/1000)+$E88)</f>
        <v>0.10346</v>
      </c>
      <c r="P88" s="200">
        <f>MIN($B88,(225*$F88/1000)+$E88)</f>
        <v>0.1133</v>
      </c>
      <c r="Q88" s="200">
        <f>MIN($B88,(300*$F88/1000)+$E88)</f>
        <v>0.1133</v>
      </c>
      <c r="R88" s="127" t="s">
        <v>175</v>
      </c>
      <c r="S88" s="127" t="s">
        <v>176</v>
      </c>
      <c r="T88" s="127" t="s">
        <v>177</v>
      </c>
      <c r="U88" s="127" t="s">
        <v>178</v>
      </c>
      <c r="V88" s="127" t="s">
        <v>179</v>
      </c>
      <c r="W88" s="127" t="s">
        <v>180</v>
      </c>
      <c r="X88" s="127" t="s">
        <v>181</v>
      </c>
      <c r="Y88" s="127" t="s">
        <v>182</v>
      </c>
      <c r="Z88" s="127" t="s">
        <v>183</v>
      </c>
      <c r="AA88" s="127" t="str">
        <f>IF(Productie_en_afzet!$D$17&gt;=1.5,"Indien het nominaal thermisch ingangsvermogen van de installatie ≥ 2 MW is, gelden er duurzaamheidseisen voor de ingezette biomassa!","")</f>
        <v/>
      </c>
      <c r="AB88" s="127">
        <v>12</v>
      </c>
    </row>
    <row r="89" spans="1:35" ht="14.5" x14ac:dyDescent="0.35">
      <c r="A89" s="127" t="s">
        <v>442</v>
      </c>
      <c r="B89" s="207">
        <v>9.6299999999999997E-2</v>
      </c>
      <c r="C89" s="200">
        <v>4.7899999999999998E-2</v>
      </c>
      <c r="D89" s="207"/>
      <c r="E89" s="202">
        <v>7.6399999999999996E-2</v>
      </c>
      <c r="F89" s="202">
        <v>0.1804</v>
      </c>
      <c r="G89" s="226">
        <f>(B89-E89)*1000/F89</f>
        <v>110.31042128603104</v>
      </c>
      <c r="H89" s="207">
        <v>8.2400000000000001E-2</v>
      </c>
      <c r="I89" s="207" t="str">
        <f>""</f>
        <v/>
      </c>
      <c r="J89" s="207"/>
      <c r="K89" s="207">
        <v>1.0082</v>
      </c>
      <c r="L89" s="127">
        <v>7535</v>
      </c>
      <c r="M89" s="127">
        <v>12</v>
      </c>
      <c r="N89" s="200">
        <f>MIN($B89,(75*$F89/1000)+$E89)</f>
        <v>8.9929999999999996E-2</v>
      </c>
      <c r="O89" s="200">
        <f>MIN($B89,(150*$F89/1000)+$E89)</f>
        <v>9.6299999999999997E-2</v>
      </c>
      <c r="P89" s="200">
        <f>MIN($B89,(225*$F89/1000)+$E89)</f>
        <v>9.6299999999999997E-2</v>
      </c>
      <c r="Q89" s="200">
        <f>MIN($B89,(300*$F89/1000)+$E89)</f>
        <v>9.6299999999999997E-2</v>
      </c>
      <c r="R89" s="127" t="s">
        <v>175</v>
      </c>
      <c r="S89" s="127" t="s">
        <v>176</v>
      </c>
      <c r="T89" s="127" t="s">
        <v>177</v>
      </c>
      <c r="U89" s="127" t="s">
        <v>178</v>
      </c>
      <c r="V89" s="127" t="s">
        <v>179</v>
      </c>
      <c r="W89" s="127" t="s">
        <v>449</v>
      </c>
      <c r="X89" s="127" t="s">
        <v>181</v>
      </c>
      <c r="Y89" s="127" t="s">
        <v>182</v>
      </c>
      <c r="Z89" s="127" t="s">
        <v>183</v>
      </c>
      <c r="AA89" s="127" t="str">
        <f>IF(Productie_en_afzet!$D$17&gt;=1.5,"Indien het nominaal thermisch ingangsvermogen van de installatie ≥ 2 MW is, gelden er duurzaamheidseisen voor de ingezette biomassa!","")</f>
        <v/>
      </c>
      <c r="AB89" s="127">
        <v>12</v>
      </c>
    </row>
    <row r="90" spans="1:35" ht="14.5" x14ac:dyDescent="0.35">
      <c r="A90" s="127" t="s">
        <v>406</v>
      </c>
      <c r="B90" s="207">
        <v>0.35799999999999998</v>
      </c>
      <c r="C90" s="201">
        <v>6.6500000000000004E-2</v>
      </c>
      <c r="D90" s="207"/>
      <c r="E90" s="202">
        <v>9.7099999999999992E-2</v>
      </c>
      <c r="F90" s="202">
        <v>0.86950000000000005</v>
      </c>
      <c r="G90" s="226">
        <f t="shared" ref="G90:G144" si="3">(B90-E90)*1000/F90</f>
        <v>300.05750431282348</v>
      </c>
      <c r="H90" s="207">
        <v>0.1047</v>
      </c>
      <c r="I90" s="207" t="str">
        <f>""</f>
        <v/>
      </c>
      <c r="J90" s="207"/>
      <c r="K90" s="207">
        <v>5.8999999999999999E-3</v>
      </c>
      <c r="L90" s="127">
        <v>4974</v>
      </c>
      <c r="M90" s="127">
        <v>12</v>
      </c>
      <c r="N90" s="200">
        <f t="shared" ref="N90:N94" si="4">MIN($B90,(75*$F90/1000)+$E90)</f>
        <v>0.1623125</v>
      </c>
      <c r="O90" s="200">
        <f t="shared" ref="O90:O94" si="5">MIN($B90,(150*$F90/1000)+$E90)</f>
        <v>0.22752500000000001</v>
      </c>
      <c r="P90" s="200">
        <f t="shared" ref="P90:P94" si="6">MIN($B90,(225*$F90/1000)+$E90)</f>
        <v>0.29273749999999998</v>
      </c>
      <c r="Q90" s="200">
        <f t="shared" ref="Q90:Q94" si="7">MIN($B90,(300*$F90/1000)+$E90)</f>
        <v>0.35794999999999999</v>
      </c>
      <c r="R90" s="127" t="s">
        <v>175</v>
      </c>
      <c r="S90" s="127" t="s">
        <v>176</v>
      </c>
      <c r="T90" s="127" t="s">
        <v>177</v>
      </c>
      <c r="U90" s="127" t="s">
        <v>178</v>
      </c>
      <c r="V90" s="127" t="s">
        <v>179</v>
      </c>
      <c r="W90" s="127" t="s">
        <v>180</v>
      </c>
      <c r="X90" s="127" t="s">
        <v>181</v>
      </c>
      <c r="Y90" s="127" t="s">
        <v>182</v>
      </c>
      <c r="Z90" s="127" t="s">
        <v>183</v>
      </c>
      <c r="AA90" s="127" t="str">
        <f>""</f>
        <v/>
      </c>
      <c r="AB90" s="127">
        <v>12</v>
      </c>
    </row>
    <row r="91" spans="1:35" ht="14.5" x14ac:dyDescent="0.35">
      <c r="A91" s="127" t="s">
        <v>537</v>
      </c>
      <c r="B91" s="207">
        <v>0.28839999999999999</v>
      </c>
      <c r="C91" s="201">
        <v>6.8599999999999994E-2</v>
      </c>
      <c r="D91" s="207"/>
      <c r="E91" s="202">
        <v>9.8599999999999993E-2</v>
      </c>
      <c r="F91" s="202">
        <v>0.79020000000000001</v>
      </c>
      <c r="G91" s="226">
        <f t="shared" si="3"/>
        <v>240.19235636547708</v>
      </c>
      <c r="H91" s="207">
        <v>0.1056</v>
      </c>
      <c r="I91" s="207"/>
      <c r="J91" s="207"/>
      <c r="K91" s="207">
        <v>6.7000000000000002E-3</v>
      </c>
      <c r="L91" s="127">
        <v>5299</v>
      </c>
      <c r="M91" s="127">
        <v>12</v>
      </c>
      <c r="N91" s="200">
        <f>MIN($B91,(75*$F91/1000)+$E91)</f>
        <v>0.15786499999999998</v>
      </c>
      <c r="O91" s="200">
        <f t="shared" si="5"/>
        <v>0.21712999999999999</v>
      </c>
      <c r="P91" s="200">
        <f t="shared" si="6"/>
        <v>0.276395</v>
      </c>
      <c r="Q91" s="200">
        <f t="shared" si="7"/>
        <v>0.28839999999999999</v>
      </c>
      <c r="R91" s="127" t="s">
        <v>175</v>
      </c>
      <c r="S91" s="127" t="s">
        <v>176</v>
      </c>
      <c r="T91" s="127" t="s">
        <v>177</v>
      </c>
      <c r="U91" s="127" t="s">
        <v>178</v>
      </c>
      <c r="V91" s="127" t="s">
        <v>179</v>
      </c>
      <c r="W91" s="127" t="s">
        <v>180</v>
      </c>
      <c r="X91" s="127" t="s">
        <v>181</v>
      </c>
      <c r="Y91" s="127" t="s">
        <v>182</v>
      </c>
      <c r="Z91" s="127" t="s">
        <v>183</v>
      </c>
      <c r="AA91" s="127"/>
      <c r="AB91" s="127">
        <v>12</v>
      </c>
    </row>
    <row r="92" spans="1:35" ht="14.5" x14ac:dyDescent="0.35">
      <c r="A92" s="127" t="s">
        <v>462</v>
      </c>
      <c r="B92" s="208">
        <v>0.1744</v>
      </c>
      <c r="C92" s="201">
        <v>4.8300000000000003E-2</v>
      </c>
      <c r="D92" s="207"/>
      <c r="E92" s="202">
        <v>7.8999999999999987E-2</v>
      </c>
      <c r="F92" s="202">
        <v>0.42109999999999997</v>
      </c>
      <c r="G92" s="226">
        <f t="shared" si="3"/>
        <v>226.5495131797673</v>
      </c>
      <c r="H92" s="207">
        <v>8.6599999999999996E-2</v>
      </c>
      <c r="I92" s="207" t="str">
        <f>""</f>
        <v/>
      </c>
      <c r="J92" s="207"/>
      <c r="K92" s="207">
        <v>0.1744</v>
      </c>
      <c r="L92" s="127">
        <v>5647</v>
      </c>
      <c r="M92" s="127">
        <v>12</v>
      </c>
      <c r="N92" s="200">
        <f t="shared" si="4"/>
        <v>0.11058249999999999</v>
      </c>
      <c r="O92" s="200">
        <f t="shared" si="5"/>
        <v>0.14216499999999999</v>
      </c>
      <c r="P92" s="200">
        <f t="shared" si="6"/>
        <v>0.17374749999999997</v>
      </c>
      <c r="Q92" s="200">
        <f t="shared" si="7"/>
        <v>0.1744</v>
      </c>
      <c r="R92" s="127" t="s">
        <v>175</v>
      </c>
      <c r="S92" s="127" t="s">
        <v>176</v>
      </c>
      <c r="T92" s="127" t="s">
        <v>177</v>
      </c>
      <c r="U92" s="127" t="s">
        <v>178</v>
      </c>
      <c r="V92" s="127" t="s">
        <v>179</v>
      </c>
      <c r="W92" s="127" t="s">
        <v>180</v>
      </c>
      <c r="X92" s="127" t="s">
        <v>181</v>
      </c>
      <c r="Y92" s="127" t="s">
        <v>182</v>
      </c>
      <c r="Z92" s="127" t="s">
        <v>183</v>
      </c>
      <c r="AA92" s="127" t="str">
        <f>IF(Productie_en_afzet!$D$17&gt;=1.5,"Indien het nominaal thermisch ingangsvermogen van de installatie ≥ 2 MW is, gelden er duurzaamheidseisen voor de ingezette biomassa!","")</f>
        <v/>
      </c>
      <c r="AB92" s="127">
        <v>12</v>
      </c>
    </row>
    <row r="93" spans="1:35" ht="14.5" x14ac:dyDescent="0.35">
      <c r="A93" s="127" t="s">
        <v>538</v>
      </c>
      <c r="B93" s="207">
        <v>0.14810000000000001</v>
      </c>
      <c r="C93" s="201">
        <v>4.7899999999999998E-2</v>
      </c>
      <c r="D93" s="207"/>
      <c r="E93" s="202">
        <v>9.8599999999999993E-2</v>
      </c>
      <c r="F93" s="202">
        <v>0.79020000000000001</v>
      </c>
      <c r="G93" s="226">
        <f>(B93-E93)*1000/F93</f>
        <v>62.642369020501157</v>
      </c>
      <c r="H93" s="207">
        <v>8.2400000000000001E-2</v>
      </c>
      <c r="I93" s="207" t="str">
        <f>""</f>
        <v/>
      </c>
      <c r="J93" s="207"/>
      <c r="K93" s="207">
        <v>8.2000000000000007E-3</v>
      </c>
      <c r="L93" s="127">
        <v>7535</v>
      </c>
      <c r="M93" s="127">
        <v>12</v>
      </c>
      <c r="N93" s="200">
        <f>MIN($B93,(75*$F93/1000)+$E93)</f>
        <v>0.14810000000000001</v>
      </c>
      <c r="O93" s="200">
        <f>MIN($B93,(150*$F93/1000)+$E93)</f>
        <v>0.14810000000000001</v>
      </c>
      <c r="P93" s="200">
        <f>MIN($B93,(225*$F93/1000)+$E93)</f>
        <v>0.14810000000000001</v>
      </c>
      <c r="Q93" s="200">
        <f>MIN($B93,(300*$F93/1000)+$E93)</f>
        <v>0.14810000000000001</v>
      </c>
      <c r="R93" s="127" t="s">
        <v>175</v>
      </c>
      <c r="S93" s="127" t="s">
        <v>176</v>
      </c>
      <c r="T93" s="127" t="s">
        <v>177</v>
      </c>
      <c r="U93" s="127" t="s">
        <v>178</v>
      </c>
      <c r="V93" s="127" t="s">
        <v>179</v>
      </c>
      <c r="W93" s="127" t="s">
        <v>449</v>
      </c>
      <c r="X93" s="127" t="s">
        <v>181</v>
      </c>
      <c r="Y93" s="127" t="s">
        <v>182</v>
      </c>
      <c r="Z93" s="127" t="s">
        <v>183</v>
      </c>
      <c r="AA93" s="127" t="str">
        <f>""</f>
        <v/>
      </c>
      <c r="AB93" s="127">
        <v>12</v>
      </c>
    </row>
    <row r="94" spans="1:35" ht="14.5" x14ac:dyDescent="0.35">
      <c r="A94" s="127" t="s">
        <v>184</v>
      </c>
      <c r="B94" s="207">
        <v>0.12709999999999999</v>
      </c>
      <c r="C94" s="201">
        <v>4.8800000000000003E-2</v>
      </c>
      <c r="D94" s="207"/>
      <c r="E94" s="202">
        <v>8.1699999999999995E-2</v>
      </c>
      <c r="F94" s="202">
        <v>0.15129999999999999</v>
      </c>
      <c r="G94" s="226">
        <f t="shared" si="3"/>
        <v>300.06609385327164</v>
      </c>
      <c r="H94" s="207">
        <v>9.11E-2</v>
      </c>
      <c r="I94" s="207" t="str">
        <f>""</f>
        <v/>
      </c>
      <c r="J94" s="207"/>
      <c r="K94" s="207">
        <v>3.5000000000000001E-3</v>
      </c>
      <c r="L94" s="225">
        <v>4558</v>
      </c>
      <c r="M94" s="127">
        <v>12</v>
      </c>
      <c r="N94" s="200">
        <f t="shared" si="4"/>
        <v>9.3047499999999991E-2</v>
      </c>
      <c r="O94" s="200">
        <f t="shared" si="5"/>
        <v>0.10439499999999999</v>
      </c>
      <c r="P94" s="200">
        <f t="shared" si="6"/>
        <v>0.1157425</v>
      </c>
      <c r="Q94" s="200">
        <f t="shared" si="7"/>
        <v>0.12708999999999998</v>
      </c>
      <c r="R94" s="127" t="s">
        <v>175</v>
      </c>
      <c r="S94" s="127" t="s">
        <v>176</v>
      </c>
      <c r="T94" s="127" t="s">
        <v>177</v>
      </c>
      <c r="U94" s="127" t="s">
        <v>178</v>
      </c>
      <c r="V94" s="127" t="s">
        <v>179</v>
      </c>
      <c r="W94" s="127" t="s">
        <v>185</v>
      </c>
      <c r="X94" s="127" t="s">
        <v>181</v>
      </c>
      <c r="Y94" s="127" t="s">
        <v>182</v>
      </c>
      <c r="Z94" s="127" t="s">
        <v>183</v>
      </c>
      <c r="AA94" s="127" t="str">
        <f>IF(Productie_en_afzet!$D$17&gt;=1.5,"Indien het nominaal thermisch ingangsvermogen van de installatie ≥ 2 MW is, gelden er duurzaamheidseisen voor de ingezette biomassa!","")</f>
        <v/>
      </c>
      <c r="AB94" s="127">
        <v>12</v>
      </c>
    </row>
    <row r="95" spans="1:35" ht="14.5" x14ac:dyDescent="0.35">
      <c r="A95" s="127"/>
      <c r="B95" s="207"/>
      <c r="C95" s="201"/>
      <c r="D95" s="207"/>
      <c r="E95" s="202"/>
      <c r="F95" s="202"/>
      <c r="G95" s="226"/>
      <c r="H95" s="207"/>
      <c r="I95" s="207"/>
      <c r="J95" s="207"/>
      <c r="K95" s="207"/>
      <c r="L95" s="127"/>
      <c r="M95" s="127"/>
      <c r="N95" s="200"/>
      <c r="O95" s="200"/>
      <c r="P95" s="200"/>
      <c r="Q95" s="200"/>
      <c r="R95" s="127"/>
      <c r="S95" s="127"/>
      <c r="T95" s="127"/>
      <c r="U95" s="127"/>
      <c r="V95" s="127"/>
      <c r="W95" s="127"/>
      <c r="X95" s="127"/>
      <c r="Y95" s="127"/>
      <c r="Z95" s="127"/>
      <c r="AA95" s="127"/>
      <c r="AB95" s="127"/>
    </row>
    <row r="96" spans="1:35" ht="14.5" x14ac:dyDescent="0.35">
      <c r="A96" s="203" t="s">
        <v>416</v>
      </c>
      <c r="B96" s="209"/>
      <c r="C96" s="201"/>
      <c r="D96" s="207"/>
      <c r="E96" s="202"/>
      <c r="F96" s="202"/>
      <c r="G96" s="226"/>
      <c r="H96" s="207"/>
      <c r="I96" s="207"/>
      <c r="J96" s="207"/>
      <c r="K96" s="207"/>
      <c r="L96" s="127"/>
      <c r="M96" s="127"/>
      <c r="N96" s="200"/>
      <c r="O96" s="200"/>
      <c r="P96" s="200"/>
      <c r="Q96" s="200"/>
      <c r="R96" s="127"/>
      <c r="S96" s="127"/>
      <c r="T96" s="127"/>
      <c r="U96" s="127"/>
      <c r="V96" s="127"/>
      <c r="W96" s="127"/>
      <c r="X96" s="127"/>
      <c r="Y96" s="127"/>
      <c r="Z96" s="127"/>
      <c r="AA96" s="127"/>
      <c r="AB96" s="127"/>
    </row>
    <row r="97" spans="1:28" ht="14.5" x14ac:dyDescent="0.35">
      <c r="A97" s="127" t="s">
        <v>186</v>
      </c>
      <c r="B97" s="207">
        <v>0.1193</v>
      </c>
      <c r="C97" s="201">
        <v>4.65E-2</v>
      </c>
      <c r="D97" s="207"/>
      <c r="E97" s="202">
        <v>6.8200000000000011E-2</v>
      </c>
      <c r="F97" s="202">
        <v>0.21809999999999999</v>
      </c>
      <c r="G97" s="226">
        <f t="shared" si="3"/>
        <v>234.29619440623566</v>
      </c>
      <c r="H97" s="207">
        <v>6.9099999999999995E-2</v>
      </c>
      <c r="I97" s="207" t="str">
        <f>""</f>
        <v/>
      </c>
      <c r="J97" s="207"/>
      <c r="K97" s="207">
        <v>1.55E-2</v>
      </c>
      <c r="L97" s="127">
        <v>7000</v>
      </c>
      <c r="M97" s="127">
        <v>12</v>
      </c>
      <c r="N97" s="200">
        <f>MIN($B97,(75*$F97/1000)+$E97)</f>
        <v>8.4557500000000008E-2</v>
      </c>
      <c r="O97" s="200">
        <f>MIN($B97,(150*$F97/1000)+$E97)</f>
        <v>0.100915</v>
      </c>
      <c r="P97" s="200">
        <f>MIN($B97,(225*$F97/1000)+$E97)</f>
        <v>0.1172725</v>
      </c>
      <c r="Q97" s="200">
        <f t="shared" ref="Q97:Q144" si="8">MIN($B97,(300*$F97/1000)+$E97)</f>
        <v>0.1193</v>
      </c>
      <c r="R97" s="127" t="s">
        <v>176</v>
      </c>
      <c r="S97" s="127" t="str">
        <f>""</f>
        <v/>
      </c>
      <c r="T97" s="127" t="s">
        <v>177</v>
      </c>
      <c r="U97" s="127" t="s">
        <v>178</v>
      </c>
      <c r="V97" s="127" t="s">
        <v>179</v>
      </c>
      <c r="W97" s="127" t="s">
        <v>180</v>
      </c>
      <c r="X97" s="127" t="s">
        <v>187</v>
      </c>
      <c r="Y97" s="127" t="s">
        <v>182</v>
      </c>
      <c r="Z97" s="127" t="s">
        <v>183</v>
      </c>
      <c r="AA97" s="127" t="str">
        <f>IF(Productie_en_afzet!$D$17&gt;=1.5,"Indien het nominaal thermisch ingangsvermogen van de installatie ≥ 2 MW is, gelden er duurzaamheidseisen voor de ingezette biomassa!","")</f>
        <v/>
      </c>
      <c r="AB97" s="127">
        <v>12</v>
      </c>
    </row>
    <row r="98" spans="1:28" ht="14.5" x14ac:dyDescent="0.35">
      <c r="A98" s="127" t="s">
        <v>443</v>
      </c>
      <c r="B98" s="207">
        <v>9.9000000000000005E-2</v>
      </c>
      <c r="C98" s="201">
        <v>4.65E-2</v>
      </c>
      <c r="D98" s="207"/>
      <c r="E98" s="202">
        <v>6.8200000000000011E-2</v>
      </c>
      <c r="F98" s="202">
        <v>0.21809999999999999</v>
      </c>
      <c r="G98" s="226">
        <f t="shared" si="3"/>
        <v>141.21962402567627</v>
      </c>
      <c r="H98" s="207">
        <v>6.9099999999999995E-2</v>
      </c>
      <c r="I98" s="207" t="str">
        <f>""</f>
        <v/>
      </c>
      <c r="J98" s="207"/>
      <c r="K98" s="207">
        <v>1.55E-2</v>
      </c>
      <c r="L98" s="127">
        <v>7000</v>
      </c>
      <c r="M98" s="127">
        <v>12</v>
      </c>
      <c r="N98" s="200">
        <f>MIN($B98,(75*$F98/1000)+$E98)</f>
        <v>8.4557500000000008E-2</v>
      </c>
      <c r="O98" s="200">
        <f>MIN($B98,(150*$F98/1000)+$E98)</f>
        <v>9.9000000000000005E-2</v>
      </c>
      <c r="P98" s="200">
        <f>MIN($B98,(225*$F98/1000)+$E98)</f>
        <v>9.9000000000000005E-2</v>
      </c>
      <c r="Q98" s="200">
        <f>MIN($B98,(300*$F98/1000)+$E98)</f>
        <v>9.9000000000000005E-2</v>
      </c>
      <c r="R98" s="127" t="s">
        <v>176</v>
      </c>
      <c r="S98" s="127" t="str">
        <f>""</f>
        <v/>
      </c>
      <c r="T98" s="127" t="s">
        <v>177</v>
      </c>
      <c r="U98" s="127" t="s">
        <v>178</v>
      </c>
      <c r="V98" s="127" t="s">
        <v>179</v>
      </c>
      <c r="W98" s="127" t="s">
        <v>449</v>
      </c>
      <c r="X98" s="127" t="s">
        <v>187</v>
      </c>
      <c r="Y98" s="127" t="s">
        <v>182</v>
      </c>
      <c r="Z98" s="127" t="s">
        <v>183</v>
      </c>
      <c r="AA98" s="127" t="str">
        <f>IF(Productie_en_afzet!$D$17&gt;=1.5,"Indien het nominaal thermisch ingangsvermogen van de installatie ≥ 2 MW is, gelden er duurzaamheidseisen voor de ingezette biomassa!","")</f>
        <v/>
      </c>
      <c r="AB98" s="127">
        <v>12</v>
      </c>
    </row>
    <row r="99" spans="1:28" ht="14.5" x14ac:dyDescent="0.35">
      <c r="A99" s="127" t="s">
        <v>407</v>
      </c>
      <c r="B99" s="207">
        <v>0.25569999999999998</v>
      </c>
      <c r="C99" s="201">
        <v>4.65E-2</v>
      </c>
      <c r="D99" s="207"/>
      <c r="E99" s="202">
        <v>6.8200000000000011E-2</v>
      </c>
      <c r="F99" s="202">
        <v>0.58740000000000003</v>
      </c>
      <c r="G99" s="226">
        <f t="shared" si="3"/>
        <v>319.2032686414708</v>
      </c>
      <c r="H99" s="207">
        <v>6.9099999999999995E-2</v>
      </c>
      <c r="I99" s="207" t="str">
        <f>""</f>
        <v/>
      </c>
      <c r="J99" s="207"/>
      <c r="K99" s="207">
        <v>1.55E-2</v>
      </c>
      <c r="L99" s="127">
        <v>8000</v>
      </c>
      <c r="M99" s="127">
        <v>12</v>
      </c>
      <c r="N99" s="200">
        <f t="shared" ref="N99:N103" si="9">MIN($B99,(75*$F99/1000)+$E99)</f>
        <v>0.11225500000000001</v>
      </c>
      <c r="O99" s="200">
        <f t="shared" ref="O99:O103" si="10">MIN($B99,(150*$F99/1000)+$E99)</f>
        <v>0.15631</v>
      </c>
      <c r="P99" s="200">
        <f t="shared" ref="P99:P103" si="11">MIN($B99,(225*$F99/1000)+$E99)</f>
        <v>0.20036500000000004</v>
      </c>
      <c r="Q99" s="200">
        <f t="shared" si="8"/>
        <v>0.24442</v>
      </c>
      <c r="R99" s="127" t="s">
        <v>176</v>
      </c>
      <c r="S99" s="127" t="str">
        <f>""</f>
        <v/>
      </c>
      <c r="T99" s="127" t="s">
        <v>177</v>
      </c>
      <c r="U99" s="127" t="s">
        <v>178</v>
      </c>
      <c r="V99" s="127" t="s">
        <v>179</v>
      </c>
      <c r="W99" s="127" t="s">
        <v>180</v>
      </c>
      <c r="X99" s="127" t="s">
        <v>187</v>
      </c>
      <c r="Y99" s="127" t="s">
        <v>182</v>
      </c>
      <c r="Z99" s="127" t="s">
        <v>183</v>
      </c>
      <c r="AA99" s="127" t="str">
        <f>""</f>
        <v/>
      </c>
      <c r="AB99" s="127">
        <v>12</v>
      </c>
    </row>
    <row r="100" spans="1:28" ht="14.5" x14ac:dyDescent="0.35">
      <c r="A100" s="127" t="s">
        <v>539</v>
      </c>
      <c r="B100" s="207">
        <v>0.19620000000000001</v>
      </c>
      <c r="C100" s="201">
        <v>4.65E-2</v>
      </c>
      <c r="D100" s="207"/>
      <c r="E100" s="202">
        <v>6.8200000000000011E-2</v>
      </c>
      <c r="F100" s="202">
        <v>0.55940000000000001</v>
      </c>
      <c r="G100" s="226">
        <f t="shared" si="3"/>
        <v>228.81658920271718</v>
      </c>
      <c r="H100" s="207">
        <v>6.9099999999999995E-2</v>
      </c>
      <c r="I100" s="207"/>
      <c r="J100" s="207"/>
      <c r="K100" s="207">
        <v>1.55E-2</v>
      </c>
      <c r="L100" s="127">
        <v>8000</v>
      </c>
      <c r="M100" s="127">
        <v>12</v>
      </c>
      <c r="N100" s="200">
        <f t="shared" si="9"/>
        <v>0.110155</v>
      </c>
      <c r="O100" s="200">
        <f t="shared" si="10"/>
        <v>0.15211000000000002</v>
      </c>
      <c r="P100" s="200">
        <f t="shared" si="11"/>
        <v>0.19406500000000002</v>
      </c>
      <c r="Q100" s="200">
        <f t="shared" si="8"/>
        <v>0.19620000000000001</v>
      </c>
      <c r="R100" s="127" t="s">
        <v>176</v>
      </c>
      <c r="S100" s="127" t="str">
        <f>""</f>
        <v/>
      </c>
      <c r="T100" s="127" t="s">
        <v>177</v>
      </c>
      <c r="U100" s="127" t="s">
        <v>178</v>
      </c>
      <c r="V100" s="127" t="s">
        <v>179</v>
      </c>
      <c r="W100" s="127" t="s">
        <v>180</v>
      </c>
      <c r="X100" s="127" t="s">
        <v>187</v>
      </c>
      <c r="Y100" s="127" t="s">
        <v>182</v>
      </c>
      <c r="Z100" s="127" t="s">
        <v>183</v>
      </c>
      <c r="AA100" s="127"/>
      <c r="AB100" s="127">
        <v>12</v>
      </c>
    </row>
    <row r="101" spans="1:28" ht="14.5" x14ac:dyDescent="0.35">
      <c r="A101" s="127" t="s">
        <v>463</v>
      </c>
      <c r="B101" s="208">
        <v>0.14319999999999999</v>
      </c>
      <c r="C101" s="201">
        <v>4.65E-2</v>
      </c>
      <c r="D101" s="207"/>
      <c r="E101" s="202">
        <v>6.8200000000000011E-2</v>
      </c>
      <c r="F101" s="202">
        <v>0.37730000000000002</v>
      </c>
      <c r="G101" s="226">
        <f t="shared" si="3"/>
        <v>198.78081102570894</v>
      </c>
      <c r="H101" s="207">
        <v>6.9099999999999995E-2</v>
      </c>
      <c r="I101" s="207" t="str">
        <f>""</f>
        <v/>
      </c>
      <c r="J101" s="207"/>
      <c r="K101" s="207">
        <v>1.55E-2</v>
      </c>
      <c r="L101" s="127">
        <v>8000</v>
      </c>
      <c r="M101" s="127">
        <v>12</v>
      </c>
      <c r="N101" s="200">
        <f t="shared" si="9"/>
        <v>9.6497500000000014E-2</v>
      </c>
      <c r="O101" s="200">
        <f t="shared" si="10"/>
        <v>0.12479500000000002</v>
      </c>
      <c r="P101" s="200">
        <f t="shared" si="11"/>
        <v>0.14319999999999999</v>
      </c>
      <c r="Q101" s="200">
        <f t="shared" si="8"/>
        <v>0.14319999999999999</v>
      </c>
      <c r="R101" s="127" t="s">
        <v>176</v>
      </c>
      <c r="S101" s="127" t="str">
        <f>""</f>
        <v/>
      </c>
      <c r="T101" s="127" t="s">
        <v>177</v>
      </c>
      <c r="U101" s="127" t="s">
        <v>178</v>
      </c>
      <c r="V101" s="127" t="s">
        <v>179</v>
      </c>
      <c r="W101" s="127" t="s">
        <v>180</v>
      </c>
      <c r="X101" s="127" t="s">
        <v>187</v>
      </c>
      <c r="Y101" s="127" t="s">
        <v>182</v>
      </c>
      <c r="Z101" s="127" t="s">
        <v>183</v>
      </c>
      <c r="AA101" s="127" t="str">
        <f>IF(Productie_en_afzet!$D$17&gt;=1.5,"Indien het nominaal thermisch ingangsvermogen van de installatie ≥ 2 MW is, gelden er duurzaamheidseisen voor de ingezette biomassa!","")</f>
        <v/>
      </c>
      <c r="AB101" s="127">
        <v>12</v>
      </c>
    </row>
    <row r="102" spans="1:28" ht="14.5" x14ac:dyDescent="0.35">
      <c r="A102" s="127" t="s">
        <v>540</v>
      </c>
      <c r="B102" s="208">
        <v>0.1178</v>
      </c>
      <c r="C102" s="201">
        <v>4.65E-2</v>
      </c>
      <c r="D102" s="207"/>
      <c r="E102" s="202">
        <v>6.8200000000000011E-2</v>
      </c>
      <c r="F102" s="202">
        <v>0.55940000000000001</v>
      </c>
      <c r="G102" s="226">
        <f t="shared" si="3"/>
        <v>88.666428316052901</v>
      </c>
      <c r="H102" s="207">
        <v>6.9099999999999995E-2</v>
      </c>
      <c r="I102" s="207"/>
      <c r="J102" s="207"/>
      <c r="K102" s="207">
        <v>1.55E-2</v>
      </c>
      <c r="L102" s="127">
        <v>8000</v>
      </c>
      <c r="M102" s="127">
        <v>12</v>
      </c>
      <c r="N102" s="200">
        <f t="shared" si="9"/>
        <v>0.110155</v>
      </c>
      <c r="O102" s="200">
        <f t="shared" si="10"/>
        <v>0.1178</v>
      </c>
      <c r="P102" s="200">
        <f t="shared" si="11"/>
        <v>0.1178</v>
      </c>
      <c r="Q102" s="200">
        <f t="shared" si="8"/>
        <v>0.1178</v>
      </c>
      <c r="R102" s="127" t="s">
        <v>176</v>
      </c>
      <c r="S102" s="127" t="str">
        <f>""</f>
        <v/>
      </c>
      <c r="T102" s="127" t="s">
        <v>177</v>
      </c>
      <c r="U102" s="127" t="s">
        <v>178</v>
      </c>
      <c r="V102" s="127" t="s">
        <v>179</v>
      </c>
      <c r="W102" s="127" t="s">
        <v>449</v>
      </c>
      <c r="X102" s="127" t="s">
        <v>187</v>
      </c>
      <c r="Y102" s="127" t="s">
        <v>182</v>
      </c>
      <c r="Z102" s="127" t="s">
        <v>183</v>
      </c>
      <c r="AA102" s="127"/>
      <c r="AB102" s="127">
        <v>12</v>
      </c>
    </row>
    <row r="103" spans="1:28" ht="14.5" x14ac:dyDescent="0.35">
      <c r="A103" s="127" t="s">
        <v>188</v>
      </c>
      <c r="B103" s="207">
        <v>0.1658</v>
      </c>
      <c r="C103" s="201">
        <v>6.0600000000000001E-2</v>
      </c>
      <c r="D103" s="207"/>
      <c r="E103" s="202">
        <v>8.2400000000000001E-2</v>
      </c>
      <c r="F103" s="202">
        <v>0.20860000000000001</v>
      </c>
      <c r="G103" s="226">
        <f t="shared" si="3"/>
        <v>399.80824544582936</v>
      </c>
      <c r="H103" s="207">
        <v>8.3299999999999999E-2</v>
      </c>
      <c r="I103" s="207" t="str">
        <f>""</f>
        <v/>
      </c>
      <c r="J103" s="207"/>
      <c r="K103" s="207">
        <v>1.55E-2</v>
      </c>
      <c r="L103" s="127">
        <v>4138</v>
      </c>
      <c r="M103" s="127">
        <v>12</v>
      </c>
      <c r="N103" s="200">
        <f t="shared" si="9"/>
        <v>9.8045000000000007E-2</v>
      </c>
      <c r="O103" s="200">
        <f t="shared" si="10"/>
        <v>0.11369000000000001</v>
      </c>
      <c r="P103" s="200">
        <f t="shared" si="11"/>
        <v>0.12933500000000001</v>
      </c>
      <c r="Q103" s="200">
        <f t="shared" si="8"/>
        <v>0.14498</v>
      </c>
      <c r="R103" s="127" t="s">
        <v>176</v>
      </c>
      <c r="S103" s="127" t="str">
        <f>""</f>
        <v/>
      </c>
      <c r="T103" s="127" t="s">
        <v>177</v>
      </c>
      <c r="U103" s="127" t="s">
        <v>178</v>
      </c>
      <c r="V103" s="127" t="s">
        <v>179</v>
      </c>
      <c r="W103" s="127" t="s">
        <v>185</v>
      </c>
      <c r="X103" s="127" t="s">
        <v>187</v>
      </c>
      <c r="Y103" s="127" t="s">
        <v>182</v>
      </c>
      <c r="Z103" s="127" t="s">
        <v>183</v>
      </c>
      <c r="AA103" s="127" t="str">
        <f>IF(Productie_en_afzet!$D$17&gt;=1.5,"Indien het nominaal thermisch ingangsvermogen van de installatie ≥ 2 MW is, gelden er duurzaamheidseisen voor de ingezette biomassa!","")</f>
        <v/>
      </c>
      <c r="AB103" s="127">
        <v>12</v>
      </c>
    </row>
    <row r="104" spans="1:28" ht="14.5" x14ac:dyDescent="0.35">
      <c r="A104" s="127"/>
      <c r="B104" s="207"/>
      <c r="C104" s="201"/>
      <c r="D104" s="207"/>
      <c r="E104" s="202"/>
      <c r="F104" s="202"/>
      <c r="G104" s="226"/>
      <c r="H104" s="207"/>
      <c r="I104" s="207"/>
      <c r="J104" s="207"/>
      <c r="K104" s="207"/>
      <c r="L104" s="127"/>
      <c r="M104" s="127"/>
      <c r="N104" s="200"/>
      <c r="O104" s="200"/>
      <c r="P104" s="200"/>
      <c r="Q104" s="200"/>
      <c r="R104" s="127"/>
      <c r="S104" s="127"/>
      <c r="T104" s="127"/>
      <c r="U104" s="127"/>
      <c r="V104" s="127"/>
      <c r="W104" s="127"/>
      <c r="X104" s="127"/>
      <c r="Y104" s="127"/>
      <c r="Z104" s="242"/>
      <c r="AA104" s="127"/>
      <c r="AB104" s="127"/>
    </row>
    <row r="105" spans="1:28" ht="14.5" x14ac:dyDescent="0.35">
      <c r="A105" s="203" t="s">
        <v>417</v>
      </c>
      <c r="B105" s="209"/>
      <c r="C105" s="201"/>
      <c r="D105" s="207"/>
      <c r="E105" s="202"/>
      <c r="F105" s="202"/>
      <c r="G105" s="226"/>
      <c r="H105" s="207"/>
      <c r="I105" s="207"/>
      <c r="J105" s="207"/>
      <c r="K105" s="207"/>
      <c r="L105" s="127"/>
      <c r="M105" s="127"/>
      <c r="N105" s="200"/>
      <c r="O105" s="200"/>
      <c r="P105" s="200"/>
      <c r="Q105" s="200"/>
      <c r="R105" s="127"/>
      <c r="S105" s="127"/>
      <c r="T105" s="127"/>
      <c r="U105" s="127"/>
      <c r="V105" s="127"/>
      <c r="W105" s="127"/>
      <c r="X105" s="127"/>
      <c r="Y105" s="127"/>
      <c r="Z105" s="127"/>
      <c r="AA105" s="127"/>
      <c r="AB105" s="127"/>
    </row>
    <row r="106" spans="1:28" ht="14.5" x14ac:dyDescent="0.35">
      <c r="A106" s="127" t="s">
        <v>190</v>
      </c>
      <c r="B106" s="207">
        <v>0.1027</v>
      </c>
      <c r="C106" s="201">
        <v>1.6799999999999999E-2</v>
      </c>
      <c r="D106" s="207"/>
      <c r="E106" s="202">
        <v>5.2900000000000003E-2</v>
      </c>
      <c r="F106" s="202">
        <v>0.1709</v>
      </c>
      <c r="G106" s="226">
        <f t="shared" si="3"/>
        <v>291.398478642481</v>
      </c>
      <c r="H106" s="207">
        <v>3.5099999999999999E-2</v>
      </c>
      <c r="I106" s="207" t="str">
        <f>""</f>
        <v/>
      </c>
      <c r="J106" s="207">
        <v>1.4E-2</v>
      </c>
      <c r="K106" s="208"/>
      <c r="L106" s="127">
        <v>8000</v>
      </c>
      <c r="M106" s="127">
        <v>12</v>
      </c>
      <c r="N106" s="200">
        <f>MIN($B106,(75*$F106/1000)+$E106)</f>
        <v>6.5717499999999998E-2</v>
      </c>
      <c r="O106" s="200">
        <f>MIN($B106,(150*$F106/1000)+$E106)</f>
        <v>7.8534999999999994E-2</v>
      </c>
      <c r="P106" s="200">
        <f>MIN($B106,(225*$F106/1000)+$E106)</f>
        <v>9.1352500000000003E-2</v>
      </c>
      <c r="Q106" s="200">
        <f t="shared" si="8"/>
        <v>0.1027</v>
      </c>
      <c r="R106" s="127" t="s">
        <v>191</v>
      </c>
      <c r="S106" s="127" t="str">
        <f>""</f>
        <v/>
      </c>
      <c r="T106" s="127" t="s">
        <v>177</v>
      </c>
      <c r="U106" s="127" t="s">
        <v>178</v>
      </c>
      <c r="V106" s="127" t="s">
        <v>179</v>
      </c>
      <c r="W106" s="127" t="s">
        <v>180</v>
      </c>
      <c r="X106" s="127" t="s">
        <v>139</v>
      </c>
      <c r="Y106" s="127" t="s">
        <v>182</v>
      </c>
      <c r="Z106" s="127" t="s">
        <v>183</v>
      </c>
      <c r="AA106" s="127" t="str">
        <f>IF(Productie_en_afzet!$D$17&gt;=2,"Het vermogen van de gasopwaardeerinstallatie is ≥ 2 MW, er gelden duurzaamheidseisen voor de ingezette biomassa!","")</f>
        <v/>
      </c>
      <c r="AB106" s="127">
        <v>12</v>
      </c>
    </row>
    <row r="107" spans="1:28" ht="14.5" x14ac:dyDescent="0.35">
      <c r="A107" s="127" t="s">
        <v>444</v>
      </c>
      <c r="B107" s="207">
        <v>8.1000000000000003E-2</v>
      </c>
      <c r="C107" s="201">
        <v>1.6799999999999999E-2</v>
      </c>
      <c r="D107" s="207"/>
      <c r="E107" s="202">
        <v>5.2900000000000003E-2</v>
      </c>
      <c r="F107" s="202">
        <v>0.1709</v>
      </c>
      <c r="G107" s="226">
        <f>(B107-E107)*1000/F107</f>
        <v>164.42363955529549</v>
      </c>
      <c r="H107" s="207">
        <v>3.5099999999999999E-2</v>
      </c>
      <c r="I107" s="207" t="str">
        <f>""</f>
        <v/>
      </c>
      <c r="J107" s="207">
        <v>1.4E-2</v>
      </c>
      <c r="K107" s="208"/>
      <c r="L107" s="127">
        <v>8000</v>
      </c>
      <c r="M107" s="127">
        <v>12</v>
      </c>
      <c r="N107" s="200">
        <f>MIN($B107,(75*$F107/1000)+$E107)</f>
        <v>6.5717499999999998E-2</v>
      </c>
      <c r="O107" s="200">
        <f>MIN($B107,(150*$F107/1000)+$E107)</f>
        <v>7.8534999999999994E-2</v>
      </c>
      <c r="P107" s="200">
        <f>MIN($B107,(225*$F107/1000)+$E107)</f>
        <v>8.1000000000000003E-2</v>
      </c>
      <c r="Q107" s="200">
        <f>MIN($B107,(300*$F107/1000)+$E107)</f>
        <v>8.1000000000000003E-2</v>
      </c>
      <c r="R107" s="127" t="s">
        <v>191</v>
      </c>
      <c r="S107" s="127" t="str">
        <f>""</f>
        <v/>
      </c>
      <c r="T107" s="127" t="s">
        <v>177</v>
      </c>
      <c r="U107" s="127" t="s">
        <v>178</v>
      </c>
      <c r="V107" s="127" t="s">
        <v>179</v>
      </c>
      <c r="W107" s="127" t="s">
        <v>449</v>
      </c>
      <c r="X107" s="127" t="s">
        <v>139</v>
      </c>
      <c r="Y107" s="127" t="s">
        <v>182</v>
      </c>
      <c r="Z107" s="127" t="s">
        <v>183</v>
      </c>
      <c r="AA107" s="127" t="str">
        <f>IF(Productie_en_afzet!$D$17&gt;=2,"Het vermogen van de gasopwaardeerinstallatie is ≥ 2 MW, er gelden duurzaamheidseisen voor de ingezette biomassa!","")</f>
        <v/>
      </c>
      <c r="AB107" s="127">
        <v>12</v>
      </c>
    </row>
    <row r="108" spans="1:28" ht="14.5" x14ac:dyDescent="0.35">
      <c r="A108" s="127" t="s">
        <v>555</v>
      </c>
      <c r="B108" s="207">
        <v>8.7499999999999994E-2</v>
      </c>
      <c r="C108" s="201">
        <v>1.6799999999999999E-2</v>
      </c>
      <c r="D108" s="207"/>
      <c r="E108" s="202">
        <v>5.2900000000000003E-2</v>
      </c>
      <c r="F108" s="202">
        <v>0.1709</v>
      </c>
      <c r="G108" s="226">
        <f>(B108-E108)*1000/F108</f>
        <v>202.4575775307197</v>
      </c>
      <c r="H108" s="207">
        <v>3.5099999999999999E-2</v>
      </c>
      <c r="I108" s="207" t="str">
        <f>""</f>
        <v/>
      </c>
      <c r="J108" s="207">
        <v>1.4E-2</v>
      </c>
      <c r="K108" s="208"/>
      <c r="L108" s="127">
        <v>8000</v>
      </c>
      <c r="M108" s="127">
        <v>12</v>
      </c>
      <c r="N108" s="200">
        <f>MIN($B108,(75*$F108/1000)+$E108)</f>
        <v>6.5717499999999998E-2</v>
      </c>
      <c r="O108" s="200">
        <f>MIN($B108,(150*$F108/1000)+$E108)</f>
        <v>7.8534999999999994E-2</v>
      </c>
      <c r="P108" s="200">
        <f>MIN($B108,(225*$F108/1000)+$E108)</f>
        <v>8.7499999999999994E-2</v>
      </c>
      <c r="Q108" s="200">
        <f>MIN($B108,(300*$F108/1000)+$E108)</f>
        <v>8.7499999999999994E-2</v>
      </c>
      <c r="R108" s="127" t="s">
        <v>191</v>
      </c>
      <c r="S108" s="127" t="str">
        <f>""</f>
        <v/>
      </c>
      <c r="T108" s="127" t="s">
        <v>177</v>
      </c>
      <c r="U108" s="127" t="s">
        <v>178</v>
      </c>
      <c r="V108" s="127" t="s">
        <v>179</v>
      </c>
      <c r="W108" s="127" t="s">
        <v>448</v>
      </c>
      <c r="X108" s="127" t="s">
        <v>139</v>
      </c>
      <c r="Y108" s="127" t="s">
        <v>182</v>
      </c>
      <c r="Z108" s="127" t="s">
        <v>183</v>
      </c>
      <c r="AA108" s="127" t="str">
        <f>IF(Productie_en_afzet!$D$17&gt;=2,"Het vermogen van de gasopwaardeerinstallatie is ≥ 2 MW, er gelden duurzaamheidseisen voor de ingezette biomassa!","")</f>
        <v/>
      </c>
      <c r="AB108" s="127">
        <v>12</v>
      </c>
    </row>
    <row r="109" spans="1:28" ht="14.5" x14ac:dyDescent="0.35">
      <c r="A109" s="127" t="s">
        <v>405</v>
      </c>
      <c r="B109" s="207">
        <v>0.25219999999999998</v>
      </c>
      <c r="C109" s="201">
        <v>1.6799999999999999E-2</v>
      </c>
      <c r="D109" s="207"/>
      <c r="E109" s="202">
        <v>5.2900000000000003E-2</v>
      </c>
      <c r="F109" s="202">
        <v>0.50980000000000003</v>
      </c>
      <c r="G109" s="226">
        <f t="shared" si="3"/>
        <v>390.93762259709683</v>
      </c>
      <c r="H109" s="207">
        <v>3.5099999999999999E-2</v>
      </c>
      <c r="I109" s="207" t="str">
        <f>""</f>
        <v/>
      </c>
      <c r="J109" s="207">
        <v>1.4E-2</v>
      </c>
      <c r="K109" s="208"/>
      <c r="L109" s="127">
        <v>8000</v>
      </c>
      <c r="M109" s="127">
        <v>12</v>
      </c>
      <c r="N109" s="200">
        <f t="shared" ref="N109:N117" si="12">MIN($B109,(75*$F109/1000)+$E109)</f>
        <v>9.1134999999999994E-2</v>
      </c>
      <c r="O109" s="200">
        <f t="shared" ref="O109:O117" si="13">MIN($B109,(150*$F109/1000)+$E109)</f>
        <v>0.12936999999999999</v>
      </c>
      <c r="P109" s="200">
        <f t="shared" ref="P109:P117" si="14">MIN($B109,(225*$F109/1000)+$E109)</f>
        <v>0.167605</v>
      </c>
      <c r="Q109" s="200">
        <f t="shared" si="8"/>
        <v>0.20584</v>
      </c>
      <c r="R109" s="127" t="s">
        <v>191</v>
      </c>
      <c r="S109" s="127" t="str">
        <f>""</f>
        <v/>
      </c>
      <c r="T109" s="127" t="s">
        <v>177</v>
      </c>
      <c r="U109" s="127" t="s">
        <v>178</v>
      </c>
      <c r="V109" s="127" t="s">
        <v>179</v>
      </c>
      <c r="W109" s="127" t="s">
        <v>180</v>
      </c>
      <c r="X109" s="127" t="s">
        <v>139</v>
      </c>
      <c r="Y109" s="127" t="s">
        <v>182</v>
      </c>
      <c r="Z109" s="127" t="s">
        <v>183</v>
      </c>
      <c r="AA109" s="127" t="str">
        <f>""</f>
        <v/>
      </c>
      <c r="AB109" s="127">
        <v>12</v>
      </c>
    </row>
    <row r="110" spans="1:28" ht="14.5" x14ac:dyDescent="0.35">
      <c r="A110" s="127" t="s">
        <v>543</v>
      </c>
      <c r="B110" s="207">
        <v>0.1822</v>
      </c>
      <c r="C110" s="201">
        <v>1.6799999999999999E-2</v>
      </c>
      <c r="D110" s="207"/>
      <c r="E110" s="202">
        <v>5.2900000000000003E-2</v>
      </c>
      <c r="F110" s="202">
        <v>0.47910000000000003</v>
      </c>
      <c r="G110" s="226">
        <f t="shared" si="3"/>
        <v>269.88102692548529</v>
      </c>
      <c r="H110" s="207">
        <v>3.5099999999999999E-2</v>
      </c>
      <c r="I110" s="207"/>
      <c r="J110" s="207">
        <v>1.4E-2</v>
      </c>
      <c r="K110" s="208"/>
      <c r="L110" s="127">
        <v>8000</v>
      </c>
      <c r="M110" s="127">
        <v>12</v>
      </c>
      <c r="N110" s="200">
        <f t="shared" si="12"/>
        <v>8.8832500000000009E-2</v>
      </c>
      <c r="O110" s="200">
        <f t="shared" si="13"/>
        <v>0.12476500000000001</v>
      </c>
      <c r="P110" s="200">
        <f t="shared" si="14"/>
        <v>0.16069749999999999</v>
      </c>
      <c r="Q110" s="200">
        <f t="shared" si="8"/>
        <v>0.1822</v>
      </c>
      <c r="R110" s="127" t="s">
        <v>191</v>
      </c>
      <c r="S110" s="127" t="str">
        <f>""</f>
        <v/>
      </c>
      <c r="T110" s="127" t="s">
        <v>177</v>
      </c>
      <c r="U110" s="127" t="s">
        <v>178</v>
      </c>
      <c r="V110" s="127" t="s">
        <v>179</v>
      </c>
      <c r="W110" s="127" t="s">
        <v>180</v>
      </c>
      <c r="X110" s="127" t="s">
        <v>139</v>
      </c>
      <c r="Y110" s="127" t="s">
        <v>182</v>
      </c>
      <c r="Z110" s="127" t="s">
        <v>183</v>
      </c>
      <c r="AA110" s="127"/>
      <c r="AB110" s="127">
        <v>12</v>
      </c>
    </row>
    <row r="111" spans="1:28" ht="14.5" x14ac:dyDescent="0.35">
      <c r="A111" s="127" t="s">
        <v>461</v>
      </c>
      <c r="B111" s="208">
        <v>0.1313</v>
      </c>
      <c r="C111" s="201">
        <v>1.6799999999999999E-2</v>
      </c>
      <c r="D111" s="207"/>
      <c r="E111" s="202">
        <v>5.2900000000000003E-2</v>
      </c>
      <c r="F111" s="202">
        <v>0.31569999999999998</v>
      </c>
      <c r="G111" s="226">
        <f t="shared" si="3"/>
        <v>248.33702882483368</v>
      </c>
      <c r="H111" s="207">
        <v>3.5099999999999999E-2</v>
      </c>
      <c r="I111" s="207" t="str">
        <f>""</f>
        <v/>
      </c>
      <c r="J111" s="207">
        <v>1.4E-2</v>
      </c>
      <c r="K111" s="208"/>
      <c r="L111" s="127">
        <v>8000</v>
      </c>
      <c r="M111" s="127">
        <v>12</v>
      </c>
      <c r="N111" s="200">
        <f t="shared" si="12"/>
        <v>7.6577499999999993E-2</v>
      </c>
      <c r="O111" s="200">
        <f t="shared" si="13"/>
        <v>0.100255</v>
      </c>
      <c r="P111" s="200">
        <f t="shared" si="14"/>
        <v>0.1239325</v>
      </c>
      <c r="Q111" s="200">
        <f t="shared" si="8"/>
        <v>0.1313</v>
      </c>
      <c r="R111" s="127" t="s">
        <v>191</v>
      </c>
      <c r="S111" s="127" t="str">
        <f>""</f>
        <v/>
      </c>
      <c r="T111" s="127" t="s">
        <v>177</v>
      </c>
      <c r="U111" s="127" t="s">
        <v>178</v>
      </c>
      <c r="V111" s="127" t="s">
        <v>179</v>
      </c>
      <c r="W111" s="127" t="s">
        <v>180</v>
      </c>
      <c r="X111" s="127" t="s">
        <v>139</v>
      </c>
      <c r="Y111" s="127" t="s">
        <v>182</v>
      </c>
      <c r="Z111" s="127" t="s">
        <v>183</v>
      </c>
      <c r="AA111" s="127" t="str">
        <f>IF(Productie_en_afzet!$D$17&gt;=2,"Het vermogen van de gasopwaardeerinstallatie is ≥ 2 MW, er gelden duurzaamheidseisen voor de ingezette biomassa!","")</f>
        <v/>
      </c>
      <c r="AB111" s="127">
        <v>12</v>
      </c>
    </row>
    <row r="112" spans="1:28" ht="14.5" x14ac:dyDescent="0.35">
      <c r="A112" s="127" t="s">
        <v>544</v>
      </c>
      <c r="B112" s="207">
        <v>9.9699999999999997E-2</v>
      </c>
      <c r="C112" s="201">
        <v>1.6799999999999999E-2</v>
      </c>
      <c r="D112" s="207"/>
      <c r="E112" s="202">
        <v>5.2900000000000003E-2</v>
      </c>
      <c r="F112" s="202">
        <v>0.47910000000000003</v>
      </c>
      <c r="G112" s="226">
        <f t="shared" si="3"/>
        <v>97.683155917345005</v>
      </c>
      <c r="H112" s="207">
        <v>3.5099999999999999E-2</v>
      </c>
      <c r="I112" s="207" t="str">
        <f>""</f>
        <v/>
      </c>
      <c r="J112" s="207">
        <v>1.4E-2</v>
      </c>
      <c r="K112" s="208"/>
      <c r="L112" s="127">
        <v>8000</v>
      </c>
      <c r="M112" s="127">
        <v>12</v>
      </c>
      <c r="N112" s="200">
        <f t="shared" si="12"/>
        <v>8.8832500000000009E-2</v>
      </c>
      <c r="O112" s="200">
        <f t="shared" si="13"/>
        <v>9.9699999999999997E-2</v>
      </c>
      <c r="P112" s="200">
        <f t="shared" si="14"/>
        <v>9.9699999999999997E-2</v>
      </c>
      <c r="Q112" s="200">
        <f t="shared" si="8"/>
        <v>9.9699999999999997E-2</v>
      </c>
      <c r="R112" s="127" t="s">
        <v>191</v>
      </c>
      <c r="S112" s="127" t="str">
        <f>""</f>
        <v/>
      </c>
      <c r="T112" s="127" t="s">
        <v>177</v>
      </c>
      <c r="U112" s="127" t="s">
        <v>178</v>
      </c>
      <c r="V112" s="127" t="s">
        <v>179</v>
      </c>
      <c r="W112" s="127" t="s">
        <v>449</v>
      </c>
      <c r="X112" s="127" t="s">
        <v>139</v>
      </c>
      <c r="Y112" s="127" t="s">
        <v>182</v>
      </c>
      <c r="Z112" s="127" t="s">
        <v>183</v>
      </c>
      <c r="AA112" s="127" t="str">
        <f>""</f>
        <v/>
      </c>
      <c r="AB112" s="127">
        <v>12</v>
      </c>
    </row>
    <row r="113" spans="1:28" ht="14.5" x14ac:dyDescent="0.35">
      <c r="A113" s="127" t="s">
        <v>556</v>
      </c>
      <c r="B113" s="207">
        <v>0.11409999999999999</v>
      </c>
      <c r="C113" s="201">
        <v>1.6799999999999999E-2</v>
      </c>
      <c r="D113" s="207"/>
      <c r="E113" s="202">
        <v>5.2900000000000003E-2</v>
      </c>
      <c r="F113" s="202">
        <v>0.47910000000000003</v>
      </c>
      <c r="G113" s="226">
        <f t="shared" si="3"/>
        <v>127.73951158422038</v>
      </c>
      <c r="H113" s="207">
        <v>3.5099999999999999E-2</v>
      </c>
      <c r="I113" s="207" t="str">
        <f>""</f>
        <v/>
      </c>
      <c r="J113" s="207">
        <v>1.4E-2</v>
      </c>
      <c r="K113" s="208"/>
      <c r="L113" s="127">
        <v>8000</v>
      </c>
      <c r="M113" s="127">
        <v>12</v>
      </c>
      <c r="N113" s="200">
        <f t="shared" si="12"/>
        <v>8.8832500000000009E-2</v>
      </c>
      <c r="O113" s="200">
        <f t="shared" si="13"/>
        <v>0.11409999999999999</v>
      </c>
      <c r="P113" s="200">
        <f t="shared" si="14"/>
        <v>0.11409999999999999</v>
      </c>
      <c r="Q113" s="200">
        <f t="shared" si="8"/>
        <v>0.11409999999999999</v>
      </c>
      <c r="R113" s="127" t="s">
        <v>191</v>
      </c>
      <c r="S113" s="127" t="str">
        <f>""</f>
        <v/>
      </c>
      <c r="T113" s="127" t="s">
        <v>177</v>
      </c>
      <c r="U113" s="127" t="s">
        <v>178</v>
      </c>
      <c r="V113" s="127" t="s">
        <v>179</v>
      </c>
      <c r="W113" s="127" t="s">
        <v>448</v>
      </c>
      <c r="X113" s="127" t="s">
        <v>139</v>
      </c>
      <c r="Y113" s="127" t="s">
        <v>182</v>
      </c>
      <c r="Z113" s="127" t="s">
        <v>183</v>
      </c>
      <c r="AA113" s="127" t="str">
        <f>""</f>
        <v/>
      </c>
      <c r="AB113" s="127">
        <v>12</v>
      </c>
    </row>
    <row r="114" spans="1:28" ht="14.5" x14ac:dyDescent="0.35">
      <c r="A114" s="127" t="s">
        <v>192</v>
      </c>
      <c r="B114" s="207">
        <v>0.1211</v>
      </c>
      <c r="C114" s="201">
        <v>1.6799999999999999E-2</v>
      </c>
      <c r="D114" s="207"/>
      <c r="E114" s="202">
        <v>5.2900000000000003E-2</v>
      </c>
      <c r="F114" s="202">
        <v>0.17050000000000001</v>
      </c>
      <c r="G114" s="226">
        <f t="shared" si="3"/>
        <v>400</v>
      </c>
      <c r="H114" s="207">
        <v>3.5099999999999999E-2</v>
      </c>
      <c r="I114" s="207" t="str">
        <f>""</f>
        <v/>
      </c>
      <c r="J114" s="207">
        <v>1.4E-2</v>
      </c>
      <c r="K114" s="208"/>
      <c r="L114" s="127">
        <v>8000</v>
      </c>
      <c r="M114" s="127">
        <v>12</v>
      </c>
      <c r="N114" s="200">
        <f t="shared" si="12"/>
        <v>6.568750000000001E-2</v>
      </c>
      <c r="O114" s="200">
        <f t="shared" si="13"/>
        <v>7.8475000000000003E-2</v>
      </c>
      <c r="P114" s="200">
        <f t="shared" si="14"/>
        <v>9.126250000000001E-2</v>
      </c>
      <c r="Q114" s="200">
        <f t="shared" si="8"/>
        <v>0.10405</v>
      </c>
      <c r="R114" s="127" t="s">
        <v>191</v>
      </c>
      <c r="S114" s="127" t="str">
        <f>""</f>
        <v/>
      </c>
      <c r="T114" s="127" t="s">
        <v>177</v>
      </c>
      <c r="U114" s="127" t="s">
        <v>178</v>
      </c>
      <c r="V114" s="127" t="s">
        <v>179</v>
      </c>
      <c r="W114" s="127" t="s">
        <v>185</v>
      </c>
      <c r="X114" s="127" t="s">
        <v>139</v>
      </c>
      <c r="Y114" s="127" t="s">
        <v>182</v>
      </c>
      <c r="Z114" s="127" t="s">
        <v>183</v>
      </c>
      <c r="AA114" s="127" t="str">
        <f>IF(Productie_en_afzet!$D$17&gt;=2,"Het vermogen van de gasopwaardeerinstallatie is ≥ 2 MW, er gelden duurzaamheidseisen voor de ingezette biomassa!","")</f>
        <v/>
      </c>
      <c r="AB114" s="127">
        <v>12</v>
      </c>
    </row>
    <row r="115" spans="1:28" ht="14.5" x14ac:dyDescent="0.35">
      <c r="A115" s="127" t="s">
        <v>557</v>
      </c>
      <c r="B115" s="207">
        <v>5.5899999999999998E-2</v>
      </c>
      <c r="C115" s="201">
        <v>1.6799999999999999E-2</v>
      </c>
      <c r="D115" s="207"/>
      <c r="E115" s="202">
        <v>5.2900000000000003E-2</v>
      </c>
      <c r="F115" s="202">
        <v>0.1716</v>
      </c>
      <c r="G115" s="226">
        <f t="shared" si="3"/>
        <v>17.482517482517455</v>
      </c>
      <c r="H115" s="207">
        <v>3.5099999999999999E-2</v>
      </c>
      <c r="I115" s="207"/>
      <c r="J115" s="207">
        <v>1.4E-2</v>
      </c>
      <c r="K115" s="208"/>
      <c r="L115" s="127">
        <v>8000</v>
      </c>
      <c r="M115" s="127">
        <v>12</v>
      </c>
      <c r="N115" s="200">
        <f t="shared" si="12"/>
        <v>5.5899999999999998E-2</v>
      </c>
      <c r="O115" s="200">
        <f t="shared" si="13"/>
        <v>5.5899999999999998E-2</v>
      </c>
      <c r="P115" s="200">
        <f t="shared" si="14"/>
        <v>5.5899999999999998E-2</v>
      </c>
      <c r="Q115" s="200">
        <f t="shared" si="8"/>
        <v>5.5899999999999998E-2</v>
      </c>
      <c r="R115" s="127" t="s">
        <v>191</v>
      </c>
      <c r="S115" s="127" t="str">
        <f>""</f>
        <v/>
      </c>
      <c r="T115" s="127" t="s">
        <v>177</v>
      </c>
      <c r="U115" s="127" t="s">
        <v>178</v>
      </c>
      <c r="V115" s="127" t="s">
        <v>179</v>
      </c>
      <c r="W115" s="127" t="s">
        <v>448</v>
      </c>
      <c r="X115" s="127" t="s">
        <v>139</v>
      </c>
      <c r="Y115" s="127" t="s">
        <v>182</v>
      </c>
      <c r="Z115" s="127" t="s">
        <v>183</v>
      </c>
      <c r="AA115" s="127" t="str">
        <f>IF(Productie_en_afzet!$D$17&gt;=2,"Het vermogen van de gasopwaardeerinstallatie is ≥ 2 MW, er gelden duurzaamheidseisen voor de ingezette biomassa!","")</f>
        <v/>
      </c>
      <c r="AB115" s="127">
        <v>12</v>
      </c>
    </row>
    <row r="116" spans="1:28" ht="14.5" x14ac:dyDescent="0.35">
      <c r="A116" s="127" t="s">
        <v>541</v>
      </c>
      <c r="B116" s="207">
        <v>0.104</v>
      </c>
      <c r="C116" s="201">
        <v>1.6799999999999999E-2</v>
      </c>
      <c r="D116" s="207"/>
      <c r="E116" s="202">
        <v>5.2900000000000003E-2</v>
      </c>
      <c r="F116" s="202">
        <v>0.1651</v>
      </c>
      <c r="G116" s="226">
        <f t="shared" si="3"/>
        <v>309.50938824954568</v>
      </c>
      <c r="H116" s="207">
        <v>3.5099999999999999E-2</v>
      </c>
      <c r="I116" s="207" t="str">
        <f>""</f>
        <v/>
      </c>
      <c r="J116" s="207">
        <v>1.4E-2</v>
      </c>
      <c r="K116" s="208"/>
      <c r="L116" s="127">
        <v>7500</v>
      </c>
      <c r="M116" s="127">
        <v>15</v>
      </c>
      <c r="N116" s="200">
        <f t="shared" si="12"/>
        <v>6.5282500000000007E-2</v>
      </c>
      <c r="O116" s="200">
        <f t="shared" si="13"/>
        <v>7.7665000000000012E-2</v>
      </c>
      <c r="P116" s="200">
        <f t="shared" si="14"/>
        <v>9.0047500000000003E-2</v>
      </c>
      <c r="Q116" s="200">
        <f t="shared" si="8"/>
        <v>0.10243000000000001</v>
      </c>
      <c r="R116" s="127" t="s">
        <v>191</v>
      </c>
      <c r="S116" s="127" t="str">
        <f>""</f>
        <v/>
      </c>
      <c r="T116" s="127" t="s">
        <v>177</v>
      </c>
      <c r="U116" s="127" t="s">
        <v>178</v>
      </c>
      <c r="V116" s="127" t="s">
        <v>179</v>
      </c>
      <c r="W116" s="127" t="s">
        <v>180</v>
      </c>
      <c r="X116" s="127" t="s">
        <v>139</v>
      </c>
      <c r="Y116" s="127" t="s">
        <v>182</v>
      </c>
      <c r="Z116" s="127" t="s">
        <v>183</v>
      </c>
      <c r="AA116" s="127" t="str">
        <f>IF(Productie_en_afzet!$D$17&gt;=2,"Het vermogen van de gasopwaardeerinstallatie is ≥ 2 MW, er gelden duurzaamheidseisen voor de ingezette biomassa!","")</f>
        <v/>
      </c>
      <c r="AB116" s="127">
        <v>12</v>
      </c>
    </row>
    <row r="117" spans="1:28" ht="14.5" x14ac:dyDescent="0.35">
      <c r="A117" s="127" t="s">
        <v>542</v>
      </c>
      <c r="B117" s="207">
        <v>0.11890000000000001</v>
      </c>
      <c r="C117" s="201">
        <v>1.6799999999999999E-2</v>
      </c>
      <c r="D117" s="207"/>
      <c r="E117" s="202">
        <v>5.2900000000000003E-2</v>
      </c>
      <c r="F117" s="202">
        <v>0.1651</v>
      </c>
      <c r="G117" s="226">
        <f t="shared" ref="G117" si="15">(B117-E117)*1000/F117</f>
        <v>399.75772259236828</v>
      </c>
      <c r="H117" s="207">
        <v>3.5099999999999999E-2</v>
      </c>
      <c r="I117" s="207" t="str">
        <f>""</f>
        <v/>
      </c>
      <c r="J117" s="207">
        <v>1.4E-2</v>
      </c>
      <c r="K117" s="208"/>
      <c r="L117" s="127">
        <v>7500</v>
      </c>
      <c r="M117" s="127">
        <v>15</v>
      </c>
      <c r="N117" s="200">
        <f t="shared" si="12"/>
        <v>6.5282500000000007E-2</v>
      </c>
      <c r="O117" s="200">
        <f t="shared" si="13"/>
        <v>7.7665000000000012E-2</v>
      </c>
      <c r="P117" s="200">
        <f t="shared" si="14"/>
        <v>9.0047500000000003E-2</v>
      </c>
      <c r="Q117" s="200">
        <f t="shared" si="8"/>
        <v>0.10243000000000001</v>
      </c>
      <c r="R117" s="127" t="s">
        <v>191</v>
      </c>
      <c r="S117" s="127" t="str">
        <f>""</f>
        <v/>
      </c>
      <c r="T117" s="127" t="s">
        <v>177</v>
      </c>
      <c r="U117" s="127" t="s">
        <v>178</v>
      </c>
      <c r="V117" s="127" t="s">
        <v>179</v>
      </c>
      <c r="W117" s="127" t="s">
        <v>180</v>
      </c>
      <c r="X117" s="127" t="s">
        <v>139</v>
      </c>
      <c r="Y117" s="127" t="s">
        <v>182</v>
      </c>
      <c r="Z117" s="127" t="s">
        <v>183</v>
      </c>
      <c r="AA117" s="127" t="str">
        <f>IF(Productie_en_afzet!$D$17&gt;=2,"Het vermogen van de gasopwaardeerinstallatie is ≥ 2 MW, er gelden duurzaamheidseisen voor de ingezette biomassa!","")</f>
        <v/>
      </c>
      <c r="AB117" s="127">
        <v>12</v>
      </c>
    </row>
    <row r="118" spans="1:28" ht="14.5" x14ac:dyDescent="0.35">
      <c r="A118" s="127"/>
      <c r="B118" s="207"/>
      <c r="C118" s="202"/>
      <c r="D118" s="207"/>
      <c r="E118" s="202"/>
      <c r="F118" s="202"/>
      <c r="G118" s="226"/>
      <c r="H118" s="207"/>
      <c r="I118" s="207"/>
      <c r="J118" s="207"/>
      <c r="K118" s="207"/>
      <c r="L118" s="127"/>
      <c r="M118" s="127"/>
      <c r="N118" s="200"/>
      <c r="O118" s="200"/>
      <c r="P118" s="200"/>
      <c r="Q118" s="200"/>
      <c r="R118" s="127"/>
      <c r="S118" s="127"/>
      <c r="T118" s="127"/>
      <c r="U118" s="127"/>
      <c r="V118" s="127"/>
      <c r="W118" s="127"/>
      <c r="X118" s="127"/>
      <c r="Y118" s="127"/>
      <c r="Z118" s="127"/>
      <c r="AA118" s="127"/>
      <c r="AB118" s="127"/>
    </row>
    <row r="119" spans="1:28" ht="14.5" x14ac:dyDescent="0.35">
      <c r="A119" s="203" t="s">
        <v>418</v>
      </c>
      <c r="B119" s="208"/>
      <c r="C119" s="202"/>
      <c r="D119" s="207"/>
      <c r="E119" s="202"/>
      <c r="F119" s="202"/>
      <c r="G119" s="226"/>
      <c r="H119" s="207"/>
      <c r="I119" s="207"/>
      <c r="J119" s="207"/>
      <c r="K119" s="207"/>
      <c r="L119" s="127"/>
      <c r="M119" s="127"/>
      <c r="N119" s="200"/>
      <c r="O119" s="200"/>
      <c r="P119" s="200"/>
      <c r="Q119" s="200"/>
      <c r="R119" s="127"/>
      <c r="S119" s="127"/>
      <c r="T119" s="127"/>
      <c r="U119" s="127"/>
      <c r="V119" s="127"/>
      <c r="W119" s="127"/>
      <c r="X119" s="127"/>
      <c r="Y119" s="127"/>
      <c r="Z119" s="127"/>
      <c r="AA119" s="127"/>
      <c r="AB119" s="127"/>
    </row>
    <row r="120" spans="1:28" ht="14.5" x14ac:dyDescent="0.35">
      <c r="A120" s="127" t="s">
        <v>545</v>
      </c>
      <c r="B120" s="208">
        <v>0.14990000000000001</v>
      </c>
      <c r="C120" s="202">
        <v>4.65E-2</v>
      </c>
      <c r="D120" s="207"/>
      <c r="E120" s="202">
        <v>5.9900000000000002E-2</v>
      </c>
      <c r="F120" s="202">
        <v>0.22500000000000001</v>
      </c>
      <c r="G120" s="226">
        <f t="shared" si="3"/>
        <v>400</v>
      </c>
      <c r="H120" s="207">
        <v>6.9099999999999995E-2</v>
      </c>
      <c r="I120" s="207" t="str">
        <f>""</f>
        <v/>
      </c>
      <c r="J120" s="207"/>
      <c r="K120" s="207">
        <v>1.6000000000000001E-3</v>
      </c>
      <c r="L120" s="127">
        <v>7000</v>
      </c>
      <c r="M120" s="127">
        <v>12</v>
      </c>
      <c r="N120" s="200">
        <f>MIN($B120,(75*$F120/1000)+$E120)</f>
        <v>7.677500000000001E-2</v>
      </c>
      <c r="O120" s="200">
        <f>MIN($B120,(150*$F120/1000)+$E120)</f>
        <v>9.3650000000000011E-2</v>
      </c>
      <c r="P120" s="200">
        <f>MIN($B120,(225*$F120/1000)+$E120)</f>
        <v>0.11052500000000001</v>
      </c>
      <c r="Q120" s="200">
        <f t="shared" si="8"/>
        <v>0.12740000000000001</v>
      </c>
      <c r="R120" s="127" t="s">
        <v>176</v>
      </c>
      <c r="S120" s="127"/>
      <c r="T120" s="127" t="s">
        <v>177</v>
      </c>
      <c r="U120" s="127" t="s">
        <v>178</v>
      </c>
      <c r="V120" s="127" t="s">
        <v>179</v>
      </c>
      <c r="W120" s="127" t="s">
        <v>180</v>
      </c>
      <c r="X120" s="127" t="s">
        <v>187</v>
      </c>
      <c r="Y120" s="127" t="s">
        <v>182</v>
      </c>
      <c r="Z120" s="127" t="s">
        <v>183</v>
      </c>
      <c r="AA120" s="127" t="s">
        <v>193</v>
      </c>
      <c r="AB120" s="127">
        <v>12</v>
      </c>
    </row>
    <row r="121" spans="1:28" ht="14.5" x14ac:dyDescent="0.35">
      <c r="A121" s="127" t="s">
        <v>546</v>
      </c>
      <c r="B121" s="208">
        <v>0.16639999999999999</v>
      </c>
      <c r="C121" s="202">
        <v>4.65E-2</v>
      </c>
      <c r="D121" s="207"/>
      <c r="E121" s="202">
        <v>8.7600000000000011E-2</v>
      </c>
      <c r="F121" s="202">
        <v>0.22500000000000001</v>
      </c>
      <c r="G121" s="226">
        <f t="shared" si="3"/>
        <v>350.22222222222211</v>
      </c>
      <c r="H121" s="207">
        <v>6.9099999999999995E-2</v>
      </c>
      <c r="I121" s="207"/>
      <c r="J121" s="207"/>
      <c r="K121" s="207">
        <v>1.55E-2</v>
      </c>
      <c r="L121" s="127">
        <v>7000</v>
      </c>
      <c r="M121" s="127">
        <v>12</v>
      </c>
      <c r="N121" s="200">
        <f t="shared" ref="N121:N127" si="16">MIN($B121,(75*$F121/1000)+$E121)</f>
        <v>0.10447500000000001</v>
      </c>
      <c r="O121" s="200">
        <f t="shared" ref="O121:O127" si="17">MIN($B121,(150*$F121/1000)+$E121)</f>
        <v>0.12135000000000001</v>
      </c>
      <c r="P121" s="200">
        <f t="shared" ref="P121:P127" si="18">MIN($B121,(225*$F121/1000)+$E121)</f>
        <v>0.13822500000000001</v>
      </c>
      <c r="Q121" s="200">
        <f t="shared" si="8"/>
        <v>0.15510000000000002</v>
      </c>
      <c r="R121" s="127" t="s">
        <v>176</v>
      </c>
      <c r="S121" s="127"/>
      <c r="T121" s="127" t="s">
        <v>177</v>
      </c>
      <c r="U121" s="127" t="s">
        <v>178</v>
      </c>
      <c r="V121" s="127" t="s">
        <v>179</v>
      </c>
      <c r="W121" s="127" t="s">
        <v>180</v>
      </c>
      <c r="X121" s="127" t="s">
        <v>187</v>
      </c>
      <c r="Y121" s="127" t="s">
        <v>182</v>
      </c>
      <c r="Z121" s="127" t="s">
        <v>183</v>
      </c>
      <c r="AA121" s="127" t="s">
        <v>193</v>
      </c>
      <c r="AB121" s="127">
        <v>12</v>
      </c>
    </row>
    <row r="122" spans="1:28" ht="14.5" x14ac:dyDescent="0.35">
      <c r="A122" s="127" t="s">
        <v>548</v>
      </c>
      <c r="B122" s="208">
        <v>6.9800000000000001E-2</v>
      </c>
      <c r="C122" s="202">
        <v>1.3100000000000001E-2</v>
      </c>
      <c r="D122" s="207"/>
      <c r="E122" s="202">
        <v>3.1E-2</v>
      </c>
      <c r="F122" s="202">
        <v>0.22500000000000001</v>
      </c>
      <c r="G122" s="226">
        <f t="shared" si="3"/>
        <v>172.44444444444446</v>
      </c>
      <c r="H122" s="207">
        <v>2.7300000000000001E-2</v>
      </c>
      <c r="I122" s="207" t="str">
        <f>""</f>
        <v/>
      </c>
      <c r="J122" s="207"/>
      <c r="K122" s="207">
        <v>1.55E-2</v>
      </c>
      <c r="L122" s="127">
        <v>7000</v>
      </c>
      <c r="M122" s="127">
        <v>12</v>
      </c>
      <c r="N122" s="200">
        <f t="shared" si="16"/>
        <v>4.7875000000000001E-2</v>
      </c>
      <c r="O122" s="200">
        <f t="shared" si="17"/>
        <v>6.4750000000000002E-2</v>
      </c>
      <c r="P122" s="200">
        <f t="shared" si="18"/>
        <v>6.9800000000000001E-2</v>
      </c>
      <c r="Q122" s="200">
        <f t="shared" si="8"/>
        <v>6.9800000000000001E-2</v>
      </c>
      <c r="R122" s="127" t="s">
        <v>176</v>
      </c>
      <c r="S122" s="127"/>
      <c r="T122" s="127" t="s">
        <v>177</v>
      </c>
      <c r="U122" s="127" t="s">
        <v>178</v>
      </c>
      <c r="V122" s="127" t="s">
        <v>179</v>
      </c>
      <c r="W122" s="127" t="s">
        <v>194</v>
      </c>
      <c r="X122" s="127" t="s">
        <v>187</v>
      </c>
      <c r="Y122" s="127" t="s">
        <v>182</v>
      </c>
      <c r="Z122" s="127" t="s">
        <v>183</v>
      </c>
      <c r="AA122" s="127" t="str">
        <f>IF(Productie_en_afzet!$D$17&gt;=15,"De ingezette brandstof moet voor ten minste 97% van de energetische waarde biogeen zijn! Daarnaast gelden voor installaties met een nominaal thermisch ingangsvermogen ≥ 20 MW  duurzaamheidseisen voor de ingezette biomassa!","Voor deze categorie geldt dat de ingezette brandstof voor ten minste 97% van de energetische waarde biogeen is!")</f>
        <v>Voor deze categorie geldt dat de ingezette brandstof voor ten minste 97% van de energetische waarde biogeen is!</v>
      </c>
      <c r="AB122" s="127">
        <v>12</v>
      </c>
    </row>
    <row r="123" spans="1:28" ht="14.5" x14ac:dyDescent="0.35">
      <c r="A123" s="127" t="s">
        <v>386</v>
      </c>
      <c r="B123" s="208">
        <v>9.6600000000000005E-2</v>
      </c>
      <c r="C123" s="202">
        <v>1.3100000000000001E-2</v>
      </c>
      <c r="D123" s="207"/>
      <c r="E123" s="202">
        <v>5.04E-2</v>
      </c>
      <c r="F123" s="202">
        <v>0.22500000000000001</v>
      </c>
      <c r="G123" s="226">
        <f t="shared" si="3"/>
        <v>205.33333333333334</v>
      </c>
      <c r="H123" s="207">
        <v>2.7300000000000001E-2</v>
      </c>
      <c r="I123" s="207" t="str">
        <f>""</f>
        <v/>
      </c>
      <c r="J123" s="207"/>
      <c r="K123" s="207">
        <v>1.55E-2</v>
      </c>
      <c r="L123" s="127">
        <v>8500</v>
      </c>
      <c r="M123" s="127">
        <v>12</v>
      </c>
      <c r="N123" s="200">
        <f t="shared" si="16"/>
        <v>6.7275000000000001E-2</v>
      </c>
      <c r="O123" s="200">
        <f t="shared" si="17"/>
        <v>8.4150000000000003E-2</v>
      </c>
      <c r="P123" s="200">
        <f t="shared" si="18"/>
        <v>9.6600000000000005E-2</v>
      </c>
      <c r="Q123" s="200">
        <f t="shared" si="8"/>
        <v>9.6600000000000005E-2</v>
      </c>
      <c r="R123" s="127" t="s">
        <v>176</v>
      </c>
      <c r="S123" s="127"/>
      <c r="T123" s="127" t="s">
        <v>177</v>
      </c>
      <c r="U123" s="127" t="s">
        <v>178</v>
      </c>
      <c r="V123" s="127" t="s">
        <v>179</v>
      </c>
      <c r="W123" s="127" t="s">
        <v>180</v>
      </c>
      <c r="X123" s="127" t="s">
        <v>187</v>
      </c>
      <c r="Y123" s="127" t="s">
        <v>182</v>
      </c>
      <c r="Z123" s="127" t="s">
        <v>183</v>
      </c>
      <c r="AA123" s="127" t="s">
        <v>195</v>
      </c>
      <c r="AB123" s="127">
        <v>12</v>
      </c>
    </row>
    <row r="124" spans="1:28" ht="14.5" x14ac:dyDescent="0.35">
      <c r="A124" s="127" t="s">
        <v>387</v>
      </c>
      <c r="B124" s="208">
        <v>0.1119</v>
      </c>
      <c r="C124" s="202">
        <v>1.3100000000000001E-2</v>
      </c>
      <c r="D124" s="207"/>
      <c r="E124" s="202">
        <v>5.04E-2</v>
      </c>
      <c r="F124" s="202">
        <v>0.22500000000000001</v>
      </c>
      <c r="G124" s="226">
        <f t="shared" si="3"/>
        <v>273.33333333333331</v>
      </c>
      <c r="H124" s="207">
        <v>2.7300000000000001E-2</v>
      </c>
      <c r="I124" s="207"/>
      <c r="J124" s="207"/>
      <c r="K124" s="207">
        <v>1.55E-2</v>
      </c>
      <c r="L124" s="127">
        <v>8500</v>
      </c>
      <c r="M124" s="127">
        <v>12</v>
      </c>
      <c r="N124" s="200">
        <f t="shared" si="16"/>
        <v>6.7275000000000001E-2</v>
      </c>
      <c r="O124" s="200">
        <f t="shared" si="17"/>
        <v>8.4150000000000003E-2</v>
      </c>
      <c r="P124" s="200">
        <f t="shared" si="18"/>
        <v>0.101025</v>
      </c>
      <c r="Q124" s="200">
        <f t="shared" si="8"/>
        <v>0.1119</v>
      </c>
      <c r="R124" s="127" t="s">
        <v>176</v>
      </c>
      <c r="S124" s="127"/>
      <c r="T124" s="127" t="s">
        <v>177</v>
      </c>
      <c r="U124" s="127" t="s">
        <v>178</v>
      </c>
      <c r="V124" s="127" t="s">
        <v>179</v>
      </c>
      <c r="W124" s="127" t="s">
        <v>180</v>
      </c>
      <c r="X124" s="127" t="s">
        <v>187</v>
      </c>
      <c r="Y124" s="127" t="s">
        <v>182</v>
      </c>
      <c r="Z124" s="127" t="s">
        <v>183</v>
      </c>
      <c r="AA124" s="127" t="s">
        <v>195</v>
      </c>
      <c r="AB124" s="127">
        <v>12</v>
      </c>
    </row>
    <row r="125" spans="1:28" ht="14.5" x14ac:dyDescent="0.35">
      <c r="A125" s="127" t="s">
        <v>419</v>
      </c>
      <c r="B125" s="208">
        <v>7.2599999999999998E-2</v>
      </c>
      <c r="C125" s="202">
        <v>4.1799999999999997E-2</v>
      </c>
      <c r="D125" s="207"/>
      <c r="E125" s="202">
        <v>8.1900000000000001E-2</v>
      </c>
      <c r="F125" s="202">
        <v>0.22500000000000001</v>
      </c>
      <c r="G125" s="226">
        <f t="shared" si="3"/>
        <v>-41.333333333333343</v>
      </c>
      <c r="H125" s="207">
        <v>6.2199999999999998E-2</v>
      </c>
      <c r="I125" s="207" t="str">
        <f>""</f>
        <v/>
      </c>
      <c r="J125" s="207"/>
      <c r="K125" s="207">
        <v>1.55E-2</v>
      </c>
      <c r="L125" s="127">
        <v>3000</v>
      </c>
      <c r="M125" s="127">
        <v>12</v>
      </c>
      <c r="N125" s="200">
        <f t="shared" si="16"/>
        <v>7.2599999999999998E-2</v>
      </c>
      <c r="O125" s="200">
        <f t="shared" si="17"/>
        <v>7.2599999999999998E-2</v>
      </c>
      <c r="P125" s="200">
        <f t="shared" si="18"/>
        <v>7.2599999999999998E-2</v>
      </c>
      <c r="Q125" s="200">
        <f t="shared" si="8"/>
        <v>7.2599999999999998E-2</v>
      </c>
      <c r="R125" s="127" t="s">
        <v>176</v>
      </c>
      <c r="S125" s="127"/>
      <c r="T125" s="127" t="s">
        <v>177</v>
      </c>
      <c r="U125" s="127" t="s">
        <v>178</v>
      </c>
      <c r="V125" s="127" t="s">
        <v>179</v>
      </c>
      <c r="W125" s="127" t="s">
        <v>180</v>
      </c>
      <c r="X125" s="127" t="s">
        <v>187</v>
      </c>
      <c r="Y125" s="127" t="s">
        <v>182</v>
      </c>
      <c r="Z125" s="127" t="s">
        <v>183</v>
      </c>
      <c r="AA125" s="127" t="s">
        <v>195</v>
      </c>
      <c r="AB125" s="127">
        <v>12</v>
      </c>
    </row>
    <row r="126" spans="1:28" ht="14.5" x14ac:dyDescent="0.35">
      <c r="A126" s="127" t="s">
        <v>445</v>
      </c>
      <c r="B126" s="208">
        <v>5.21E-2</v>
      </c>
      <c r="C126" s="202">
        <v>1.3100000000000001E-2</v>
      </c>
      <c r="D126" s="207"/>
      <c r="E126" s="202">
        <v>3.1E-2</v>
      </c>
      <c r="F126" s="202">
        <v>0.22500000000000001</v>
      </c>
      <c r="G126" s="226">
        <f t="shared" si="3"/>
        <v>93.777777777777786</v>
      </c>
      <c r="H126" s="207">
        <v>2.7300000000000001E-2</v>
      </c>
      <c r="I126" s="207" t="str">
        <f>""</f>
        <v/>
      </c>
      <c r="J126" s="207"/>
      <c r="K126" s="207">
        <v>1.55E-2</v>
      </c>
      <c r="L126" s="127">
        <v>8000</v>
      </c>
      <c r="M126" s="127">
        <v>12</v>
      </c>
      <c r="N126" s="200">
        <f t="shared" si="16"/>
        <v>4.7875000000000001E-2</v>
      </c>
      <c r="O126" s="200">
        <f t="shared" si="17"/>
        <v>5.21E-2</v>
      </c>
      <c r="P126" s="200">
        <f t="shared" si="18"/>
        <v>5.21E-2</v>
      </c>
      <c r="Q126" s="200">
        <f t="shared" si="8"/>
        <v>5.21E-2</v>
      </c>
      <c r="R126" s="127" t="s">
        <v>176</v>
      </c>
      <c r="S126" s="127"/>
      <c r="T126" s="127" t="s">
        <v>177</v>
      </c>
      <c r="U126" s="127" t="s">
        <v>178</v>
      </c>
      <c r="V126" s="127" t="s">
        <v>179</v>
      </c>
      <c r="W126" s="127" t="s">
        <v>453</v>
      </c>
      <c r="X126" s="127" t="s">
        <v>187</v>
      </c>
      <c r="Y126" s="127" t="s">
        <v>182</v>
      </c>
      <c r="Z126" s="127" t="s">
        <v>183</v>
      </c>
      <c r="AA126" s="127" t="s">
        <v>189</v>
      </c>
      <c r="AB126" s="127">
        <v>12</v>
      </c>
    </row>
    <row r="127" spans="1:28" ht="14.5" x14ac:dyDescent="0.35">
      <c r="A127" s="127" t="s">
        <v>547</v>
      </c>
      <c r="B127" s="208">
        <v>3.9399999999999998E-2</v>
      </c>
      <c r="C127" s="202">
        <v>1.3100000000000001E-2</v>
      </c>
      <c r="D127" s="207"/>
      <c r="E127" s="202">
        <v>5.04E-2</v>
      </c>
      <c r="F127" s="202">
        <v>0.22500000000000001</v>
      </c>
      <c r="G127" s="226">
        <f t="shared" ref="G127" si="19">(B127-E127)*1000/F127</f>
        <v>-48.8888888888889</v>
      </c>
      <c r="H127" s="207">
        <v>2.7300000000000001E-2</v>
      </c>
      <c r="I127" s="207" t="str">
        <f>""</f>
        <v/>
      </c>
      <c r="J127" s="207"/>
      <c r="K127" s="207">
        <v>1.55E-2</v>
      </c>
      <c r="L127" s="127">
        <v>8000</v>
      </c>
      <c r="M127" s="127">
        <v>12</v>
      </c>
      <c r="N127" s="200">
        <f t="shared" si="16"/>
        <v>3.9399999999999998E-2</v>
      </c>
      <c r="O127" s="200">
        <f t="shared" si="17"/>
        <v>3.9399999999999998E-2</v>
      </c>
      <c r="P127" s="200">
        <f t="shared" si="18"/>
        <v>3.9399999999999998E-2</v>
      </c>
      <c r="Q127" s="200">
        <f t="shared" si="8"/>
        <v>3.9399999999999998E-2</v>
      </c>
      <c r="R127" s="127" t="s">
        <v>176</v>
      </c>
      <c r="S127" s="127"/>
      <c r="T127" s="127" t="s">
        <v>177</v>
      </c>
      <c r="U127" s="127" t="s">
        <v>178</v>
      </c>
      <c r="V127" s="127" t="s">
        <v>179</v>
      </c>
      <c r="W127" s="127" t="s">
        <v>453</v>
      </c>
      <c r="X127" s="127" t="s">
        <v>187</v>
      </c>
      <c r="Y127" s="127" t="s">
        <v>182</v>
      </c>
      <c r="Z127" s="127" t="s">
        <v>183</v>
      </c>
      <c r="AA127" s="127" t="s">
        <v>189</v>
      </c>
      <c r="AB127" s="127">
        <v>12</v>
      </c>
    </row>
    <row r="128" spans="1:28" ht="14.5" x14ac:dyDescent="0.35">
      <c r="A128" s="127"/>
      <c r="B128" s="208"/>
      <c r="C128" s="202"/>
      <c r="D128" s="207"/>
      <c r="E128" s="202"/>
      <c r="F128" s="202"/>
      <c r="G128" s="226"/>
      <c r="H128" s="207"/>
      <c r="I128" s="207"/>
      <c r="J128" s="207"/>
      <c r="K128" s="207"/>
      <c r="L128" s="127"/>
      <c r="M128" s="127"/>
      <c r="N128" s="200"/>
      <c r="O128" s="200"/>
      <c r="P128" s="200"/>
      <c r="Q128" s="200"/>
      <c r="R128" s="127"/>
      <c r="S128" s="127"/>
      <c r="T128" s="127"/>
      <c r="U128" s="127"/>
      <c r="V128" s="127"/>
      <c r="W128" s="127"/>
      <c r="X128" s="127"/>
      <c r="Y128" s="127"/>
      <c r="Z128" s="127"/>
      <c r="AA128" s="127"/>
      <c r="AB128" s="127"/>
    </row>
    <row r="129" spans="1:28" ht="14.5" x14ac:dyDescent="0.35">
      <c r="A129" s="203" t="s">
        <v>196</v>
      </c>
      <c r="B129" s="246"/>
      <c r="C129" s="202"/>
      <c r="D129" s="207"/>
      <c r="E129" s="202"/>
      <c r="F129" s="202"/>
      <c r="G129" s="226"/>
      <c r="H129" s="207"/>
      <c r="I129" s="207"/>
      <c r="J129" s="207"/>
      <c r="K129" s="207"/>
      <c r="L129" s="127"/>
      <c r="M129" s="127"/>
      <c r="N129" s="200"/>
      <c r="O129" s="200"/>
      <c r="P129" s="200"/>
      <c r="Q129" s="200"/>
      <c r="R129" s="127"/>
      <c r="S129" s="127"/>
      <c r="T129" s="127"/>
      <c r="U129" s="127"/>
      <c r="V129" s="127"/>
      <c r="W129" s="127"/>
      <c r="X129" s="127"/>
      <c r="Y129" s="127"/>
      <c r="Z129" s="127"/>
      <c r="AA129" s="127"/>
      <c r="AB129" s="127"/>
    </row>
    <row r="130" spans="1:28" ht="14.5" x14ac:dyDescent="0.35">
      <c r="A130" s="127" t="s">
        <v>197</v>
      </c>
      <c r="B130" s="208">
        <v>0.1075</v>
      </c>
      <c r="C130" s="202">
        <v>1.3100000000000001E-2</v>
      </c>
      <c r="D130" s="207"/>
      <c r="E130" s="202">
        <v>3.1E-2</v>
      </c>
      <c r="F130" s="202">
        <v>0.36359999999999998</v>
      </c>
      <c r="G130" s="226">
        <f t="shared" si="3"/>
        <v>210.39603960396042</v>
      </c>
      <c r="H130" s="207">
        <v>2.7300000000000001E-2</v>
      </c>
      <c r="I130" s="207" t="str">
        <f>""</f>
        <v/>
      </c>
      <c r="J130" s="207"/>
      <c r="K130" s="207">
        <v>1.6000000000000001E-3</v>
      </c>
      <c r="L130" s="127">
        <v>6000</v>
      </c>
      <c r="M130" s="127">
        <v>15</v>
      </c>
      <c r="N130" s="200">
        <f>MIN($B130,(75*$F130/1000)+$E130)</f>
        <v>5.8270000000000002E-2</v>
      </c>
      <c r="O130" s="200">
        <f>MIN($B130,(150*$F130/1000)+$E130)</f>
        <v>8.5540000000000005E-2</v>
      </c>
      <c r="P130" s="200">
        <f>MIN($B130,(225*$F130/1000)+$E130)</f>
        <v>0.1075</v>
      </c>
      <c r="Q130" s="200">
        <f t="shared" si="8"/>
        <v>0.1075</v>
      </c>
      <c r="R130" s="127" t="s">
        <v>176</v>
      </c>
      <c r="S130" s="127" t="str">
        <f>""</f>
        <v/>
      </c>
      <c r="T130" s="127" t="s">
        <v>177</v>
      </c>
      <c r="U130" s="127" t="s">
        <v>178</v>
      </c>
      <c r="V130" s="127" t="s">
        <v>179</v>
      </c>
      <c r="W130" s="127" t="s">
        <v>198</v>
      </c>
      <c r="X130" s="127" t="s">
        <v>187</v>
      </c>
      <c r="Y130" s="127" t="s">
        <v>524</v>
      </c>
      <c r="Z130" s="127" t="s">
        <v>183</v>
      </c>
      <c r="AA130" s="127" t="s">
        <v>200</v>
      </c>
      <c r="AB130" s="127">
        <v>15</v>
      </c>
    </row>
    <row r="131" spans="1:28" ht="14.5" x14ac:dyDescent="0.35">
      <c r="A131" s="127" t="s">
        <v>201</v>
      </c>
      <c r="B131" s="208">
        <v>0.1681</v>
      </c>
      <c r="C131" s="202">
        <v>1.3100000000000001E-2</v>
      </c>
      <c r="D131" s="207"/>
      <c r="E131" s="202">
        <v>2.2699999999999998E-2</v>
      </c>
      <c r="F131" s="202">
        <v>0.36359999999999998</v>
      </c>
      <c r="G131" s="226">
        <f t="shared" si="3"/>
        <v>399.88998899889992</v>
      </c>
      <c r="H131" s="207">
        <v>2.7300000000000001E-2</v>
      </c>
      <c r="I131" s="207" t="str">
        <f>""</f>
        <v/>
      </c>
      <c r="J131" s="207"/>
      <c r="K131" s="207">
        <v>1.6000000000000001E-3</v>
      </c>
      <c r="L131" s="127">
        <v>3500</v>
      </c>
      <c r="M131" s="127">
        <v>15</v>
      </c>
      <c r="N131" s="200">
        <f t="shared" ref="N131:N144" si="20">MIN($B131,(75*$F131/1000)+$E131)</f>
        <v>4.9970000000000001E-2</v>
      </c>
      <c r="O131" s="200">
        <f t="shared" ref="O131:O144" si="21">MIN($B131,(150*$F131/1000)+$E131)</f>
        <v>7.7240000000000003E-2</v>
      </c>
      <c r="P131" s="200">
        <f t="shared" ref="P131:P144" si="22">MIN($B131,(225*$F131/1000)+$E131)</f>
        <v>0.10451000000000001</v>
      </c>
      <c r="Q131" s="200">
        <f t="shared" si="8"/>
        <v>0.13178000000000001</v>
      </c>
      <c r="R131" s="127" t="s">
        <v>176</v>
      </c>
      <c r="S131" s="127" t="str">
        <f>""</f>
        <v/>
      </c>
      <c r="T131" s="127" t="s">
        <v>177</v>
      </c>
      <c r="U131" s="127" t="s">
        <v>178</v>
      </c>
      <c r="V131" s="127" t="s">
        <v>179</v>
      </c>
      <c r="W131" s="127" t="s">
        <v>198</v>
      </c>
      <c r="X131" s="127" t="s">
        <v>187</v>
      </c>
      <c r="Y131" s="127" t="s">
        <v>524</v>
      </c>
      <c r="Z131" s="127" t="s">
        <v>183</v>
      </c>
      <c r="AA131" s="127" t="s">
        <v>500</v>
      </c>
      <c r="AB131" s="127">
        <v>15</v>
      </c>
    </row>
    <row r="132" spans="1:28" ht="14.5" x14ac:dyDescent="0.35">
      <c r="A132" s="127" t="s">
        <v>688</v>
      </c>
      <c r="B132" s="208">
        <v>0.16741999999999999</v>
      </c>
      <c r="C132" s="202">
        <v>1.3100000000000001E-2</v>
      </c>
      <c r="D132" s="207"/>
      <c r="E132" s="202">
        <v>2.2699999999999998E-2</v>
      </c>
      <c r="F132" s="202">
        <v>0.36180000000000001</v>
      </c>
      <c r="G132" s="226">
        <f t="shared" si="3"/>
        <v>400</v>
      </c>
      <c r="H132" s="207">
        <v>2.7300000000000001E-2</v>
      </c>
      <c r="I132" s="207"/>
      <c r="J132" s="207"/>
      <c r="K132" s="207">
        <v>1.6000000000000001E-3</v>
      </c>
      <c r="L132" s="127">
        <v>3500</v>
      </c>
      <c r="M132" s="127">
        <v>15</v>
      </c>
      <c r="N132" s="200">
        <f t="shared" si="20"/>
        <v>4.9835000000000004E-2</v>
      </c>
      <c r="O132" s="200">
        <f t="shared" si="21"/>
        <v>7.6970000000000011E-2</v>
      </c>
      <c r="P132" s="200">
        <f t="shared" si="22"/>
        <v>0.104105</v>
      </c>
      <c r="Q132" s="200">
        <f t="shared" si="8"/>
        <v>0.13124000000000002</v>
      </c>
      <c r="R132" s="127" t="s">
        <v>176</v>
      </c>
      <c r="S132" s="127" t="str">
        <f>""</f>
        <v/>
      </c>
      <c r="T132" s="127" t="s">
        <v>177</v>
      </c>
      <c r="U132" s="127" t="s">
        <v>178</v>
      </c>
      <c r="V132" s="127" t="s">
        <v>179</v>
      </c>
      <c r="W132" s="127" t="s">
        <v>198</v>
      </c>
      <c r="X132" s="127" t="s">
        <v>187</v>
      </c>
      <c r="Y132" s="127" t="s">
        <v>524</v>
      </c>
      <c r="Z132" s="127" t="s">
        <v>183</v>
      </c>
      <c r="AA132" s="127" t="s">
        <v>500</v>
      </c>
      <c r="AB132" s="127">
        <v>15</v>
      </c>
    </row>
    <row r="133" spans="1:28" ht="14.5" x14ac:dyDescent="0.35">
      <c r="A133" s="127" t="s">
        <v>689</v>
      </c>
      <c r="B133" s="208">
        <v>0.14760000000000001</v>
      </c>
      <c r="C133" s="202">
        <v>1.3100000000000001E-2</v>
      </c>
      <c r="D133" s="207"/>
      <c r="E133" s="202">
        <v>2.2699999999999998E-2</v>
      </c>
      <c r="F133" s="202">
        <v>0.36170000000000002</v>
      </c>
      <c r="G133" s="226">
        <f t="shared" si="3"/>
        <v>345.31379596350564</v>
      </c>
      <c r="H133" s="207">
        <v>2.7300000000000001E-2</v>
      </c>
      <c r="I133" s="207"/>
      <c r="J133" s="207"/>
      <c r="K133" s="207">
        <v>1.6000000000000001E-3</v>
      </c>
      <c r="L133" s="127">
        <v>6000</v>
      </c>
      <c r="M133" s="127">
        <v>15</v>
      </c>
      <c r="N133" s="200">
        <f t="shared" si="20"/>
        <v>4.9827499999999997E-2</v>
      </c>
      <c r="O133" s="200">
        <f t="shared" si="21"/>
        <v>7.6954999999999996E-2</v>
      </c>
      <c r="P133" s="200">
        <f t="shared" si="22"/>
        <v>0.10408250000000001</v>
      </c>
      <c r="Q133" s="200">
        <f t="shared" si="8"/>
        <v>0.13120999999999999</v>
      </c>
      <c r="R133" s="127" t="s">
        <v>176</v>
      </c>
      <c r="S133" s="127" t="str">
        <f>""</f>
        <v/>
      </c>
      <c r="T133" s="127" t="s">
        <v>177</v>
      </c>
      <c r="U133" s="127" t="s">
        <v>178</v>
      </c>
      <c r="V133" s="127" t="s">
        <v>179</v>
      </c>
      <c r="W133" s="127" t="s">
        <v>198</v>
      </c>
      <c r="X133" s="127" t="s">
        <v>187</v>
      </c>
      <c r="Y133" s="127" t="s">
        <v>524</v>
      </c>
      <c r="Z133" s="127" t="s">
        <v>183</v>
      </c>
      <c r="AA133" s="127" t="s">
        <v>500</v>
      </c>
      <c r="AB133" s="127">
        <v>15</v>
      </c>
    </row>
    <row r="134" spans="1:28" ht="14.5" x14ac:dyDescent="0.35">
      <c r="A134" s="127" t="s">
        <v>690</v>
      </c>
      <c r="B134" s="208">
        <v>0.13250000000000001</v>
      </c>
      <c r="C134" s="202">
        <v>1.3100000000000001E-2</v>
      </c>
      <c r="D134" s="207"/>
      <c r="E134" s="202">
        <v>2.2699999999999998E-2</v>
      </c>
      <c r="F134" s="202">
        <v>0.36180000000000001</v>
      </c>
      <c r="G134" s="226">
        <f t="shared" si="3"/>
        <v>303.48258706467664</v>
      </c>
      <c r="H134" s="207">
        <v>2.7300000000000001E-2</v>
      </c>
      <c r="I134" s="207"/>
      <c r="J134" s="207"/>
      <c r="K134" s="207">
        <v>1.6000000000000001E-3</v>
      </c>
      <c r="L134" s="127">
        <v>6000</v>
      </c>
      <c r="M134" s="127">
        <v>15</v>
      </c>
      <c r="N134" s="200">
        <f t="shared" si="20"/>
        <v>4.9835000000000004E-2</v>
      </c>
      <c r="O134" s="200">
        <f t="shared" si="21"/>
        <v>7.6970000000000011E-2</v>
      </c>
      <c r="P134" s="200">
        <f t="shared" si="22"/>
        <v>0.104105</v>
      </c>
      <c r="Q134" s="200">
        <f t="shared" si="8"/>
        <v>0.13124000000000002</v>
      </c>
      <c r="R134" s="127" t="s">
        <v>176</v>
      </c>
      <c r="S134" s="127" t="str">
        <f>""</f>
        <v/>
      </c>
      <c r="T134" s="127" t="s">
        <v>177</v>
      </c>
      <c r="U134" s="127" t="s">
        <v>178</v>
      </c>
      <c r="V134" s="127" t="s">
        <v>179</v>
      </c>
      <c r="W134" s="127" t="s">
        <v>198</v>
      </c>
      <c r="X134" s="127" t="s">
        <v>187</v>
      </c>
      <c r="Y134" s="127" t="s">
        <v>524</v>
      </c>
      <c r="Z134" s="127" t="s">
        <v>183</v>
      </c>
      <c r="AA134" s="127" t="s">
        <v>500</v>
      </c>
      <c r="AB134" s="127">
        <v>15</v>
      </c>
    </row>
    <row r="135" spans="1:28" ht="14.5" x14ac:dyDescent="0.35">
      <c r="A135" s="127" t="s">
        <v>202</v>
      </c>
      <c r="B135" s="208">
        <v>7.9899999999999999E-2</v>
      </c>
      <c r="C135" s="202">
        <v>1.3100000000000001E-2</v>
      </c>
      <c r="D135" s="207"/>
      <c r="E135" s="202">
        <v>3.1E-2</v>
      </c>
      <c r="F135" s="202">
        <v>0.43519999999999998</v>
      </c>
      <c r="G135" s="226">
        <f t="shared" si="3"/>
        <v>112.36213235294117</v>
      </c>
      <c r="H135" s="207">
        <v>2.7300000000000001E-2</v>
      </c>
      <c r="I135" s="207" t="str">
        <f>""</f>
        <v/>
      </c>
      <c r="J135" s="207"/>
      <c r="K135" s="207">
        <v>1.6000000000000001E-3</v>
      </c>
      <c r="L135" s="127">
        <v>6000</v>
      </c>
      <c r="M135" s="127">
        <v>15</v>
      </c>
      <c r="N135" s="200">
        <f t="shared" si="20"/>
        <v>6.3640000000000002E-2</v>
      </c>
      <c r="O135" s="200">
        <f t="shared" si="21"/>
        <v>7.9899999999999999E-2</v>
      </c>
      <c r="P135" s="200">
        <f t="shared" si="22"/>
        <v>7.9899999999999999E-2</v>
      </c>
      <c r="Q135" s="200">
        <f t="shared" si="8"/>
        <v>7.9899999999999999E-2</v>
      </c>
      <c r="R135" s="127" t="s">
        <v>176</v>
      </c>
      <c r="S135" s="127" t="str">
        <f>""</f>
        <v/>
      </c>
      <c r="T135" s="127" t="s">
        <v>177</v>
      </c>
      <c r="U135" s="127" t="s">
        <v>178</v>
      </c>
      <c r="V135" s="127" t="s">
        <v>179</v>
      </c>
      <c r="W135" s="127" t="s">
        <v>203</v>
      </c>
      <c r="X135" s="127" t="s">
        <v>187</v>
      </c>
      <c r="Y135" s="127" t="s">
        <v>199</v>
      </c>
      <c r="Z135" s="127" t="s">
        <v>183</v>
      </c>
      <c r="AA135" s="127" t="str">
        <f>""</f>
        <v/>
      </c>
      <c r="AB135" s="127">
        <v>15</v>
      </c>
    </row>
    <row r="136" spans="1:28" ht="14.5" x14ac:dyDescent="0.35">
      <c r="A136" s="127" t="s">
        <v>204</v>
      </c>
      <c r="B136" s="208">
        <v>6.9599999999999995E-2</v>
      </c>
      <c r="C136" s="202">
        <v>1.3100000000000001E-2</v>
      </c>
      <c r="D136" s="207"/>
      <c r="E136" s="202">
        <v>3.1E-2</v>
      </c>
      <c r="F136" s="202">
        <v>0.43859999999999999</v>
      </c>
      <c r="G136" s="226">
        <f t="shared" si="3"/>
        <v>88.007295941632449</v>
      </c>
      <c r="H136" s="207">
        <v>2.7300000000000001E-2</v>
      </c>
      <c r="I136" s="207" t="str">
        <f>""</f>
        <v/>
      </c>
      <c r="J136" s="207"/>
      <c r="K136" s="207">
        <v>1.6000000000000001E-3</v>
      </c>
      <c r="L136" s="127">
        <v>6000</v>
      </c>
      <c r="M136" s="127">
        <v>15</v>
      </c>
      <c r="N136" s="200">
        <f t="shared" si="20"/>
        <v>6.3894999999999993E-2</v>
      </c>
      <c r="O136" s="200">
        <f t="shared" si="21"/>
        <v>6.9599999999999995E-2</v>
      </c>
      <c r="P136" s="200">
        <f t="shared" si="22"/>
        <v>6.9599999999999995E-2</v>
      </c>
      <c r="Q136" s="200">
        <f t="shared" si="8"/>
        <v>6.9599999999999995E-2</v>
      </c>
      <c r="R136" s="127" t="s">
        <v>176</v>
      </c>
      <c r="S136" s="127" t="str">
        <f>""</f>
        <v/>
      </c>
      <c r="T136" s="127" t="s">
        <v>177</v>
      </c>
      <c r="U136" s="127" t="s">
        <v>178</v>
      </c>
      <c r="V136" s="127" t="s">
        <v>179</v>
      </c>
      <c r="W136" s="127" t="s">
        <v>203</v>
      </c>
      <c r="X136" s="127" t="s">
        <v>187</v>
      </c>
      <c r="Y136" s="127" t="s">
        <v>199</v>
      </c>
      <c r="Z136" s="127" t="s">
        <v>183</v>
      </c>
      <c r="AA136" s="127" t="str">
        <f>""</f>
        <v/>
      </c>
      <c r="AB136" s="127">
        <v>15</v>
      </c>
    </row>
    <row r="137" spans="1:28" ht="14.5" x14ac:dyDescent="0.35">
      <c r="A137" s="127" t="s">
        <v>205</v>
      </c>
      <c r="B137" s="208">
        <v>6.2700000000000006E-2</v>
      </c>
      <c r="C137" s="202">
        <v>1.3100000000000001E-2</v>
      </c>
      <c r="D137" s="207"/>
      <c r="E137" s="202">
        <v>3.1E-2</v>
      </c>
      <c r="F137" s="202">
        <v>0.43690000000000001</v>
      </c>
      <c r="G137" s="226">
        <f t="shared" si="3"/>
        <v>72.556649118791498</v>
      </c>
      <c r="H137" s="207">
        <v>2.7300000000000001E-2</v>
      </c>
      <c r="I137" s="207" t="str">
        <f>""</f>
        <v/>
      </c>
      <c r="J137" s="207"/>
      <c r="K137" s="207">
        <v>1.6000000000000001E-3</v>
      </c>
      <c r="L137" s="127">
        <v>6000</v>
      </c>
      <c r="M137" s="127">
        <v>15</v>
      </c>
      <c r="N137" s="200">
        <f t="shared" si="20"/>
        <v>6.2700000000000006E-2</v>
      </c>
      <c r="O137" s="200">
        <f t="shared" si="21"/>
        <v>6.2700000000000006E-2</v>
      </c>
      <c r="P137" s="200">
        <f t="shared" si="22"/>
        <v>6.2700000000000006E-2</v>
      </c>
      <c r="Q137" s="200">
        <f t="shared" si="8"/>
        <v>6.2700000000000006E-2</v>
      </c>
      <c r="R137" s="127" t="s">
        <v>176</v>
      </c>
      <c r="S137" s="127" t="str">
        <f>""</f>
        <v/>
      </c>
      <c r="T137" s="127" t="s">
        <v>177</v>
      </c>
      <c r="U137" s="127" t="s">
        <v>178</v>
      </c>
      <c r="V137" s="127" t="s">
        <v>179</v>
      </c>
      <c r="W137" s="127" t="s">
        <v>203</v>
      </c>
      <c r="X137" s="127" t="s">
        <v>187</v>
      </c>
      <c r="Y137" s="127" t="s">
        <v>199</v>
      </c>
      <c r="Z137" s="127" t="s">
        <v>183</v>
      </c>
      <c r="AA137" s="127" t="str">
        <f>""</f>
        <v/>
      </c>
      <c r="AB137" s="127">
        <v>15</v>
      </c>
    </row>
    <row r="138" spans="1:28" ht="14.5" x14ac:dyDescent="0.35">
      <c r="A138" s="127" t="s">
        <v>206</v>
      </c>
      <c r="B138" s="208">
        <v>7.9899999999999999E-2</v>
      </c>
      <c r="C138" s="202">
        <v>1.3100000000000001E-2</v>
      </c>
      <c r="D138" s="207"/>
      <c r="E138" s="202">
        <v>3.1E-2</v>
      </c>
      <c r="F138" s="202">
        <v>0.43519999999999998</v>
      </c>
      <c r="G138" s="226">
        <f t="shared" si="3"/>
        <v>112.36213235294117</v>
      </c>
      <c r="H138" s="207">
        <v>2.7300000000000001E-2</v>
      </c>
      <c r="I138" s="207" t="str">
        <f>""</f>
        <v/>
      </c>
      <c r="J138" s="207"/>
      <c r="K138" s="207">
        <v>1.6000000000000001E-3</v>
      </c>
      <c r="L138" s="127">
        <v>6000</v>
      </c>
      <c r="M138" s="127">
        <v>15</v>
      </c>
      <c r="N138" s="200">
        <f t="shared" si="20"/>
        <v>6.3640000000000002E-2</v>
      </c>
      <c r="O138" s="200">
        <f t="shared" si="21"/>
        <v>7.9899999999999999E-2</v>
      </c>
      <c r="P138" s="200">
        <f t="shared" si="22"/>
        <v>7.9899999999999999E-2</v>
      </c>
      <c r="Q138" s="200">
        <f t="shared" si="8"/>
        <v>7.9899999999999999E-2</v>
      </c>
      <c r="R138" s="127" t="s">
        <v>176</v>
      </c>
      <c r="S138" s="127" t="str">
        <f>""</f>
        <v/>
      </c>
      <c r="T138" s="127" t="s">
        <v>177</v>
      </c>
      <c r="U138" s="127" t="s">
        <v>178</v>
      </c>
      <c r="V138" s="127" t="s">
        <v>179</v>
      </c>
      <c r="W138" s="127" t="s">
        <v>203</v>
      </c>
      <c r="X138" s="127" t="s">
        <v>187</v>
      </c>
      <c r="Y138" s="127" t="s">
        <v>199</v>
      </c>
      <c r="Z138" s="127" t="s">
        <v>183</v>
      </c>
      <c r="AA138" s="127" t="str">
        <f>""</f>
        <v/>
      </c>
      <c r="AB138" s="127">
        <v>15</v>
      </c>
    </row>
    <row r="139" spans="1:28" ht="14.5" x14ac:dyDescent="0.35">
      <c r="A139" s="127" t="s">
        <v>207</v>
      </c>
      <c r="B139" s="208">
        <v>6.9599999999999995E-2</v>
      </c>
      <c r="C139" s="202">
        <v>1.3100000000000001E-2</v>
      </c>
      <c r="D139" s="207"/>
      <c r="E139" s="202">
        <v>3.1E-2</v>
      </c>
      <c r="F139" s="202">
        <v>0.43859999999999999</v>
      </c>
      <c r="G139" s="226">
        <f t="shared" si="3"/>
        <v>88.007295941632449</v>
      </c>
      <c r="H139" s="207">
        <v>2.7300000000000001E-2</v>
      </c>
      <c r="I139" s="207" t="str">
        <f>""</f>
        <v/>
      </c>
      <c r="J139" s="207"/>
      <c r="K139" s="207">
        <v>1.6000000000000001E-3</v>
      </c>
      <c r="L139" s="127">
        <v>6000</v>
      </c>
      <c r="M139" s="127">
        <v>15</v>
      </c>
      <c r="N139" s="200">
        <f t="shared" si="20"/>
        <v>6.3894999999999993E-2</v>
      </c>
      <c r="O139" s="200">
        <f t="shared" si="21"/>
        <v>6.9599999999999995E-2</v>
      </c>
      <c r="P139" s="200">
        <f t="shared" si="22"/>
        <v>6.9599999999999995E-2</v>
      </c>
      <c r="Q139" s="200">
        <f t="shared" si="8"/>
        <v>6.9599999999999995E-2</v>
      </c>
      <c r="R139" s="127" t="s">
        <v>176</v>
      </c>
      <c r="S139" s="127" t="str">
        <f>""</f>
        <v/>
      </c>
      <c r="T139" s="127" t="s">
        <v>177</v>
      </c>
      <c r="U139" s="127" t="s">
        <v>178</v>
      </c>
      <c r="V139" s="127" t="s">
        <v>179</v>
      </c>
      <c r="W139" s="127" t="s">
        <v>203</v>
      </c>
      <c r="X139" s="127" t="s">
        <v>187</v>
      </c>
      <c r="Y139" s="127" t="s">
        <v>199</v>
      </c>
      <c r="Z139" s="127" t="s">
        <v>183</v>
      </c>
      <c r="AA139" s="127" t="str">
        <f>""</f>
        <v/>
      </c>
      <c r="AB139" s="127">
        <v>15</v>
      </c>
    </row>
    <row r="140" spans="1:28" ht="14.5" x14ac:dyDescent="0.35">
      <c r="A140" s="127" t="s">
        <v>208</v>
      </c>
      <c r="B140" s="208">
        <v>6.2700000000000006E-2</v>
      </c>
      <c r="C140" s="202">
        <v>1.3100000000000001E-2</v>
      </c>
      <c r="D140" s="207"/>
      <c r="E140" s="202">
        <v>3.1E-2</v>
      </c>
      <c r="F140" s="202">
        <v>0.43690000000000001</v>
      </c>
      <c r="G140" s="226">
        <f t="shared" si="3"/>
        <v>72.556649118791498</v>
      </c>
      <c r="H140" s="207">
        <v>2.7300000000000001E-2</v>
      </c>
      <c r="I140" s="207" t="str">
        <f>""</f>
        <v/>
      </c>
      <c r="J140" s="207"/>
      <c r="K140" s="207">
        <v>1.6000000000000001E-3</v>
      </c>
      <c r="L140" s="127">
        <v>6000</v>
      </c>
      <c r="M140" s="127">
        <v>15</v>
      </c>
      <c r="N140" s="200">
        <f t="shared" si="20"/>
        <v>6.2700000000000006E-2</v>
      </c>
      <c r="O140" s="200">
        <f t="shared" si="21"/>
        <v>6.2700000000000006E-2</v>
      </c>
      <c r="P140" s="200">
        <f t="shared" si="22"/>
        <v>6.2700000000000006E-2</v>
      </c>
      <c r="Q140" s="200">
        <f t="shared" si="8"/>
        <v>6.2700000000000006E-2</v>
      </c>
      <c r="R140" s="127" t="s">
        <v>176</v>
      </c>
      <c r="S140" s="127" t="str">
        <f>""</f>
        <v/>
      </c>
      <c r="T140" s="127" t="s">
        <v>177</v>
      </c>
      <c r="U140" s="127" t="s">
        <v>178</v>
      </c>
      <c r="V140" s="127" t="s">
        <v>179</v>
      </c>
      <c r="W140" s="127" t="s">
        <v>203</v>
      </c>
      <c r="X140" s="127" t="s">
        <v>187</v>
      </c>
      <c r="Y140" s="127" t="s">
        <v>199</v>
      </c>
      <c r="Z140" s="127" t="s">
        <v>183</v>
      </c>
      <c r="AA140" s="127" t="str">
        <f>""</f>
        <v/>
      </c>
      <c r="AB140" s="127">
        <v>15</v>
      </c>
    </row>
    <row r="141" spans="1:28" ht="14.5" x14ac:dyDescent="0.35">
      <c r="A141" s="127" t="s">
        <v>464</v>
      </c>
      <c r="B141" s="208">
        <v>0.185</v>
      </c>
      <c r="C141" s="202">
        <v>1.3100000000000001E-2</v>
      </c>
      <c r="D141" s="207"/>
      <c r="E141" s="202">
        <v>2.2699999999999998E-2</v>
      </c>
      <c r="F141" s="202">
        <v>0.4304</v>
      </c>
      <c r="G141" s="226">
        <f t="shared" si="3"/>
        <v>377.09107806691452</v>
      </c>
      <c r="H141" s="207">
        <v>2.7300000000000001E-2</v>
      </c>
      <c r="I141" s="207" t="str">
        <f>""</f>
        <v/>
      </c>
      <c r="J141" s="207"/>
      <c r="K141" s="207">
        <v>1.6000000000000001E-3</v>
      </c>
      <c r="L141" s="127">
        <v>3500</v>
      </c>
      <c r="M141" s="127">
        <v>15</v>
      </c>
      <c r="N141" s="200">
        <f t="shared" si="20"/>
        <v>5.4980000000000001E-2</v>
      </c>
      <c r="O141" s="200">
        <f t="shared" si="21"/>
        <v>8.7260000000000004E-2</v>
      </c>
      <c r="P141" s="200">
        <f t="shared" si="22"/>
        <v>0.11954000000000001</v>
      </c>
      <c r="Q141" s="200">
        <f t="shared" si="8"/>
        <v>0.15182000000000001</v>
      </c>
      <c r="R141" s="127" t="s">
        <v>176</v>
      </c>
      <c r="S141" s="127" t="str">
        <f>""</f>
        <v/>
      </c>
      <c r="T141" s="127" t="s">
        <v>177</v>
      </c>
      <c r="U141" s="127" t="s">
        <v>178</v>
      </c>
      <c r="V141" s="127" t="s">
        <v>179</v>
      </c>
      <c r="W141" s="127" t="s">
        <v>203</v>
      </c>
      <c r="X141" s="127" t="s">
        <v>187</v>
      </c>
      <c r="Y141" s="127" t="s">
        <v>199</v>
      </c>
      <c r="Z141" s="127" t="s">
        <v>183</v>
      </c>
      <c r="AA141" s="127" t="s">
        <v>209</v>
      </c>
      <c r="AB141" s="127">
        <v>15</v>
      </c>
    </row>
    <row r="142" spans="1:28" ht="14.5" x14ac:dyDescent="0.35">
      <c r="A142" s="127" t="s">
        <v>465</v>
      </c>
      <c r="B142" s="208">
        <v>0.16470000000000001</v>
      </c>
      <c r="C142" s="202">
        <v>1.3100000000000001E-2</v>
      </c>
      <c r="D142" s="207"/>
      <c r="E142" s="202">
        <v>2.2699999999999998E-2</v>
      </c>
      <c r="F142" s="202">
        <v>0.4304</v>
      </c>
      <c r="G142" s="226">
        <f t="shared" si="3"/>
        <v>329.92565055762088</v>
      </c>
      <c r="H142" s="207">
        <v>2.7300000000000001E-2</v>
      </c>
      <c r="I142" s="207"/>
      <c r="J142" s="207"/>
      <c r="K142" s="207">
        <v>1.6000000000000001E-3</v>
      </c>
      <c r="L142" s="127">
        <v>3500</v>
      </c>
      <c r="M142" s="127">
        <v>15</v>
      </c>
      <c r="N142" s="200">
        <f t="shared" si="20"/>
        <v>5.4980000000000001E-2</v>
      </c>
      <c r="O142" s="200">
        <f t="shared" si="21"/>
        <v>8.7260000000000004E-2</v>
      </c>
      <c r="P142" s="200">
        <f t="shared" si="22"/>
        <v>0.11954000000000001</v>
      </c>
      <c r="Q142" s="200">
        <f t="shared" si="8"/>
        <v>0.15182000000000001</v>
      </c>
      <c r="R142" s="127" t="s">
        <v>176</v>
      </c>
      <c r="S142" s="127" t="str">
        <f>""</f>
        <v/>
      </c>
      <c r="T142" s="127" t="s">
        <v>177</v>
      </c>
      <c r="U142" s="127" t="s">
        <v>178</v>
      </c>
      <c r="V142" s="127" t="s">
        <v>179</v>
      </c>
      <c r="W142" s="127" t="s">
        <v>203</v>
      </c>
      <c r="X142" s="127" t="s">
        <v>187</v>
      </c>
      <c r="Y142" s="127" t="s">
        <v>199</v>
      </c>
      <c r="Z142" s="127" t="s">
        <v>183</v>
      </c>
      <c r="AA142" s="127" t="s">
        <v>209</v>
      </c>
      <c r="AB142" s="127">
        <v>15</v>
      </c>
    </row>
    <row r="143" spans="1:28" ht="14.5" x14ac:dyDescent="0.35">
      <c r="A143" s="127" t="s">
        <v>210</v>
      </c>
      <c r="B143" s="208">
        <v>9.9699999999999997E-2</v>
      </c>
      <c r="C143" s="202">
        <v>1.3100000000000001E-2</v>
      </c>
      <c r="D143" s="207"/>
      <c r="E143" s="202">
        <v>2.2699999999999998E-2</v>
      </c>
      <c r="F143" s="202">
        <v>0.43790000000000001</v>
      </c>
      <c r="G143" s="226">
        <f t="shared" si="3"/>
        <v>175.83923270153002</v>
      </c>
      <c r="H143" s="207">
        <v>2.7300000000000001E-2</v>
      </c>
      <c r="I143" s="207" t="str">
        <f>""</f>
        <v/>
      </c>
      <c r="J143" s="207"/>
      <c r="K143" s="207">
        <v>1.6000000000000001E-3</v>
      </c>
      <c r="L143" s="127">
        <v>5000</v>
      </c>
      <c r="M143" s="127">
        <v>15</v>
      </c>
      <c r="N143" s="200">
        <f t="shared" si="20"/>
        <v>5.5542500000000002E-2</v>
      </c>
      <c r="O143" s="200">
        <f t="shared" si="21"/>
        <v>8.8385000000000005E-2</v>
      </c>
      <c r="P143" s="200">
        <f t="shared" si="22"/>
        <v>9.9699999999999997E-2</v>
      </c>
      <c r="Q143" s="200">
        <f t="shared" si="8"/>
        <v>9.9699999999999997E-2</v>
      </c>
      <c r="R143" s="127" t="s">
        <v>176</v>
      </c>
      <c r="S143" s="127" t="str">
        <f>""</f>
        <v/>
      </c>
      <c r="T143" s="127" t="s">
        <v>177</v>
      </c>
      <c r="U143" s="127" t="s">
        <v>178</v>
      </c>
      <c r="V143" s="127" t="s">
        <v>179</v>
      </c>
      <c r="W143" s="127" t="s">
        <v>203</v>
      </c>
      <c r="X143" s="127" t="s">
        <v>187</v>
      </c>
      <c r="Y143" s="127" t="s">
        <v>199</v>
      </c>
      <c r="Z143" s="127" t="s">
        <v>183</v>
      </c>
      <c r="AA143" s="127" t="s">
        <v>209</v>
      </c>
      <c r="AB143" s="127">
        <v>15</v>
      </c>
    </row>
    <row r="144" spans="1:28" ht="14.5" x14ac:dyDescent="0.35">
      <c r="A144" s="127" t="s">
        <v>211</v>
      </c>
      <c r="B144" s="208">
        <v>4.7699999999999999E-2</v>
      </c>
      <c r="C144" s="202">
        <v>1.3100000000000001E-2</v>
      </c>
      <c r="D144" s="207"/>
      <c r="E144" s="202">
        <v>3.1E-2</v>
      </c>
      <c r="F144" s="202">
        <v>0.43859999999999999</v>
      </c>
      <c r="G144" s="226">
        <f t="shared" si="3"/>
        <v>38.075695394436842</v>
      </c>
      <c r="H144" s="207">
        <v>2.7300000000000001E-2</v>
      </c>
      <c r="I144" s="207" t="str">
        <f>""</f>
        <v/>
      </c>
      <c r="J144" s="207"/>
      <c r="K144" s="207">
        <v>1.6000000000000001E-3</v>
      </c>
      <c r="L144" s="127">
        <v>6000</v>
      </c>
      <c r="M144" s="127">
        <v>15</v>
      </c>
      <c r="N144" s="200">
        <f t="shared" si="20"/>
        <v>4.7699999999999999E-2</v>
      </c>
      <c r="O144" s="200">
        <f t="shared" si="21"/>
        <v>4.7699999999999999E-2</v>
      </c>
      <c r="P144" s="200">
        <f t="shared" si="22"/>
        <v>4.7699999999999999E-2</v>
      </c>
      <c r="Q144" s="200">
        <f t="shared" si="8"/>
        <v>4.7699999999999999E-2</v>
      </c>
      <c r="R144" s="127" t="s">
        <v>176</v>
      </c>
      <c r="S144" s="127" t="str">
        <f>""</f>
        <v/>
      </c>
      <c r="T144" s="127" t="s">
        <v>177</v>
      </c>
      <c r="U144" s="127" t="s">
        <v>178</v>
      </c>
      <c r="V144" s="127" t="s">
        <v>179</v>
      </c>
      <c r="W144" s="127" t="s">
        <v>203</v>
      </c>
      <c r="X144" s="127" t="s">
        <v>187</v>
      </c>
      <c r="Y144" s="127" t="s">
        <v>199</v>
      </c>
      <c r="Z144" s="127" t="s">
        <v>183</v>
      </c>
      <c r="AA144" s="127" t="str">
        <f>""</f>
        <v/>
      </c>
      <c r="AB144" s="127">
        <v>15</v>
      </c>
    </row>
    <row r="145" spans="1:28" ht="14.5" x14ac:dyDescent="0.35">
      <c r="A145" s="127"/>
      <c r="B145" s="208"/>
      <c r="C145" s="202"/>
      <c r="D145" s="207"/>
      <c r="E145" s="202"/>
      <c r="F145" s="202"/>
      <c r="G145" s="226"/>
      <c r="H145" s="207"/>
      <c r="I145" s="207"/>
      <c r="J145" s="207"/>
      <c r="K145" s="207"/>
      <c r="L145" s="127"/>
      <c r="M145" s="127"/>
      <c r="N145" s="200"/>
      <c r="O145" s="200"/>
      <c r="P145" s="200"/>
      <c r="Q145" s="200"/>
      <c r="R145" s="127"/>
      <c r="S145" s="127" t="s">
        <v>212</v>
      </c>
      <c r="T145" s="127"/>
      <c r="U145" s="127"/>
      <c r="V145" s="127"/>
      <c r="W145" s="127"/>
      <c r="X145" s="127"/>
      <c r="Y145" s="127"/>
      <c r="Z145" s="127"/>
      <c r="AA145" s="127"/>
      <c r="AB145" s="127"/>
    </row>
    <row r="146" spans="1:28" ht="14.5" x14ac:dyDescent="0.35">
      <c r="A146" s="203" t="s">
        <v>215</v>
      </c>
      <c r="B146" s="208"/>
      <c r="C146" s="202"/>
      <c r="D146" s="207"/>
      <c r="E146" s="202"/>
      <c r="F146" s="202"/>
      <c r="G146" s="226"/>
      <c r="H146" s="207"/>
      <c r="I146" s="207"/>
      <c r="J146" s="207"/>
      <c r="K146" s="207"/>
      <c r="L146" s="127"/>
      <c r="M146" s="127"/>
      <c r="N146" s="200"/>
      <c r="O146" s="200"/>
      <c r="P146" s="200"/>
      <c r="Q146" s="200"/>
      <c r="R146" s="127"/>
      <c r="S146" s="127" t="s">
        <v>212</v>
      </c>
      <c r="T146" s="127"/>
      <c r="U146" s="127"/>
      <c r="V146" s="127"/>
      <c r="W146" s="127"/>
      <c r="X146" s="127"/>
      <c r="Y146" s="127"/>
      <c r="Z146" s="127"/>
      <c r="AA146" s="127"/>
      <c r="AB146" s="127"/>
    </row>
    <row r="147" spans="1:28" ht="14.5" x14ac:dyDescent="0.35">
      <c r="A147" s="127" t="s">
        <v>432</v>
      </c>
      <c r="B147" s="208">
        <v>9.5399999999999999E-2</v>
      </c>
      <c r="C147" s="202">
        <v>1.3100000000000001E-2</v>
      </c>
      <c r="D147" s="207"/>
      <c r="E147" s="202">
        <v>2.2699999999999998E-2</v>
      </c>
      <c r="F147" s="202">
        <v>0.18179999999999999</v>
      </c>
      <c r="G147" s="226">
        <f>(B147-E147)*1000/F147</f>
        <v>399.88998899889992</v>
      </c>
      <c r="H147" s="207">
        <v>2.7300000000000001E-2</v>
      </c>
      <c r="I147" s="207" t="str">
        <f>""</f>
        <v/>
      </c>
      <c r="J147" s="207"/>
      <c r="K147" s="207">
        <v>1.6000000000000001E-3</v>
      </c>
      <c r="L147" s="127">
        <v>6000</v>
      </c>
      <c r="M147" s="127">
        <v>15</v>
      </c>
      <c r="N147" s="200">
        <f>MIN($B147,(75*$F147/1000)+$E147)</f>
        <v>3.6334999999999999E-2</v>
      </c>
      <c r="O147" s="200">
        <f>MIN($B147,(150*$F147/1000)+$E147)</f>
        <v>4.9970000000000001E-2</v>
      </c>
      <c r="P147" s="200">
        <f>MIN($B147,(225*$F147/1000)+$E147)</f>
        <v>6.3604999999999995E-2</v>
      </c>
      <c r="Q147" s="200">
        <f>MIN($B147,(300*$F147/1000)+$E147)</f>
        <v>7.7240000000000003E-2</v>
      </c>
      <c r="R147" s="127" t="s">
        <v>176</v>
      </c>
      <c r="S147" s="127" t="str">
        <f>""</f>
        <v/>
      </c>
      <c r="T147" s="127" t="s">
        <v>177</v>
      </c>
      <c r="U147" s="127" t="s">
        <v>178</v>
      </c>
      <c r="V147" s="127" t="s">
        <v>179</v>
      </c>
      <c r="W147" s="127" t="s">
        <v>439</v>
      </c>
      <c r="X147" s="127" t="s">
        <v>187</v>
      </c>
      <c r="Y147" s="127" t="s">
        <v>523</v>
      </c>
      <c r="Z147" s="127" t="s">
        <v>183</v>
      </c>
      <c r="AA147" s="127" t="s">
        <v>433</v>
      </c>
      <c r="AB147" s="127">
        <v>15</v>
      </c>
    </row>
    <row r="148" spans="1:28" ht="14.5" x14ac:dyDescent="0.35">
      <c r="A148" s="127" t="s">
        <v>411</v>
      </c>
      <c r="B148" s="208">
        <v>8.7599999999999997E-2</v>
      </c>
      <c r="C148" s="202">
        <v>1.3100000000000001E-2</v>
      </c>
      <c r="D148" s="207"/>
      <c r="E148" s="202">
        <v>2.2699999999999998E-2</v>
      </c>
      <c r="F148" s="202">
        <v>0.1827</v>
      </c>
      <c r="G148" s="226">
        <f t="shared" ref="G148:G310" si="23">(B148-E148)*1000/F148</f>
        <v>355.22714833059666</v>
      </c>
      <c r="H148" s="207">
        <v>2.7300000000000001E-2</v>
      </c>
      <c r="I148" s="207" t="str">
        <f>""</f>
        <v/>
      </c>
      <c r="J148" s="207"/>
      <c r="K148" s="207">
        <v>1.6000000000000001E-3</v>
      </c>
      <c r="L148" s="127">
        <v>6000</v>
      </c>
      <c r="M148" s="127">
        <v>15</v>
      </c>
      <c r="N148" s="200">
        <f t="shared" ref="N148:N150" si="24">MIN($B148,(75*$F148/1000)+$E148)</f>
        <v>3.6402499999999997E-2</v>
      </c>
      <c r="O148" s="200">
        <f t="shared" ref="O148:O150" si="25">MIN($B148,(150*$F148/1000)+$E148)</f>
        <v>5.0104999999999997E-2</v>
      </c>
      <c r="P148" s="200">
        <f t="shared" ref="P148:P150" si="26">MIN($B148,(225*$F148/1000)+$E148)</f>
        <v>6.3807500000000003E-2</v>
      </c>
      <c r="Q148" s="200">
        <f t="shared" ref="Q148:Q310" si="27">MIN($B148,(300*$F148/1000)+$E148)</f>
        <v>7.7509999999999996E-2</v>
      </c>
      <c r="R148" s="127" t="s">
        <v>176</v>
      </c>
      <c r="S148" s="127" t="str">
        <f>""</f>
        <v/>
      </c>
      <c r="T148" s="127" t="s">
        <v>177</v>
      </c>
      <c r="U148" s="127" t="s">
        <v>178</v>
      </c>
      <c r="V148" s="127" t="s">
        <v>179</v>
      </c>
      <c r="W148" s="127" t="s">
        <v>440</v>
      </c>
      <c r="X148" s="127" t="s">
        <v>187</v>
      </c>
      <c r="Y148" s="127" t="s">
        <v>523</v>
      </c>
      <c r="Z148" s="127" t="s">
        <v>183</v>
      </c>
      <c r="AA148" s="127" t="s">
        <v>217</v>
      </c>
      <c r="AB148" s="127">
        <v>15</v>
      </c>
    </row>
    <row r="149" spans="1:28" ht="14.5" x14ac:dyDescent="0.35">
      <c r="A149" s="127" t="s">
        <v>561</v>
      </c>
      <c r="B149" s="208">
        <v>9.6799999999999997E-2</v>
      </c>
      <c r="C149" s="202">
        <v>1.3100000000000001E-2</v>
      </c>
      <c r="D149" s="207"/>
      <c r="E149" s="202">
        <v>2.2699999999999998E-2</v>
      </c>
      <c r="F149" s="202">
        <v>0.1852</v>
      </c>
      <c r="G149" s="226">
        <f t="shared" si="23"/>
        <v>400.10799136069113</v>
      </c>
      <c r="H149" s="207">
        <v>2.7300000000000001E-2</v>
      </c>
      <c r="I149" s="207" t="str">
        <f>""</f>
        <v/>
      </c>
      <c r="J149" s="207"/>
      <c r="K149" s="207">
        <v>1.6000000000000001E-3</v>
      </c>
      <c r="L149" s="127">
        <v>3500</v>
      </c>
      <c r="M149" s="127">
        <v>15</v>
      </c>
      <c r="N149" s="200">
        <f t="shared" si="24"/>
        <v>3.6589999999999998E-2</v>
      </c>
      <c r="O149" s="200">
        <f t="shared" si="25"/>
        <v>5.0479999999999997E-2</v>
      </c>
      <c r="P149" s="200">
        <f t="shared" si="26"/>
        <v>6.4369999999999997E-2</v>
      </c>
      <c r="Q149" s="200">
        <f t="shared" si="27"/>
        <v>7.8259999999999996E-2</v>
      </c>
      <c r="R149" s="127" t="s">
        <v>176</v>
      </c>
      <c r="S149" s="127" t="str">
        <f>""</f>
        <v/>
      </c>
      <c r="T149" s="127" t="s">
        <v>177</v>
      </c>
      <c r="U149" s="127" t="s">
        <v>178</v>
      </c>
      <c r="V149" s="127" t="s">
        <v>179</v>
      </c>
      <c r="W149" s="127" t="s">
        <v>440</v>
      </c>
      <c r="X149" s="127" t="s">
        <v>187</v>
      </c>
      <c r="Y149" s="127" t="s">
        <v>523</v>
      </c>
      <c r="Z149" s="127" t="s">
        <v>183</v>
      </c>
      <c r="AA149" s="127" t="s">
        <v>434</v>
      </c>
      <c r="AB149" s="127">
        <v>15</v>
      </c>
    </row>
    <row r="150" spans="1:28" ht="14.5" x14ac:dyDescent="0.35">
      <c r="A150" s="127" t="s">
        <v>562</v>
      </c>
      <c r="B150" s="208">
        <v>9.9599999999999994E-2</v>
      </c>
      <c r="C150" s="202">
        <v>1.3100000000000001E-2</v>
      </c>
      <c r="D150" s="207"/>
      <c r="E150" s="202">
        <v>3.1E-2</v>
      </c>
      <c r="F150" s="202">
        <v>0.18390000000000001</v>
      </c>
      <c r="G150" s="226">
        <f t="shared" si="23"/>
        <v>373.02882001087545</v>
      </c>
      <c r="H150" s="207">
        <v>2.7300000000000001E-2</v>
      </c>
      <c r="I150" s="207" t="str">
        <f>""</f>
        <v/>
      </c>
      <c r="J150" s="207"/>
      <c r="K150" s="207">
        <v>0</v>
      </c>
      <c r="L150" s="127">
        <v>3500</v>
      </c>
      <c r="M150" s="127">
        <v>15</v>
      </c>
      <c r="N150" s="200">
        <f t="shared" si="24"/>
        <v>4.4792499999999999E-2</v>
      </c>
      <c r="O150" s="200">
        <f t="shared" si="25"/>
        <v>5.8584999999999998E-2</v>
      </c>
      <c r="P150" s="200">
        <f t="shared" si="26"/>
        <v>7.2377500000000011E-2</v>
      </c>
      <c r="Q150" s="200">
        <f t="shared" si="27"/>
        <v>8.6169999999999997E-2</v>
      </c>
      <c r="R150" s="127" t="s">
        <v>176</v>
      </c>
      <c r="S150" s="127" t="str">
        <f>""</f>
        <v/>
      </c>
      <c r="T150" s="127" t="s">
        <v>177</v>
      </c>
      <c r="U150" s="127" t="s">
        <v>178</v>
      </c>
      <c r="V150" s="127" t="s">
        <v>179</v>
      </c>
      <c r="W150" s="127" t="s">
        <v>440</v>
      </c>
      <c r="X150" s="127" t="s">
        <v>187</v>
      </c>
      <c r="Y150" s="127" t="s">
        <v>523</v>
      </c>
      <c r="Z150" s="127" t="s">
        <v>183</v>
      </c>
      <c r="AA150" s="127" t="s">
        <v>200</v>
      </c>
      <c r="AB150" s="127">
        <v>15</v>
      </c>
    </row>
    <row r="151" spans="1:28" ht="14.5" x14ac:dyDescent="0.35">
      <c r="A151" s="127"/>
      <c r="B151" s="208"/>
      <c r="C151" s="202"/>
      <c r="D151" s="207"/>
      <c r="E151" s="202"/>
      <c r="F151" s="202"/>
      <c r="G151" s="226"/>
      <c r="H151" s="207"/>
      <c r="I151" s="207"/>
      <c r="J151" s="207"/>
      <c r="K151" s="207"/>
      <c r="L151" s="127"/>
      <c r="M151" s="127"/>
      <c r="N151" s="200"/>
      <c r="O151" s="200"/>
      <c r="P151" s="200"/>
      <c r="Q151" s="200"/>
      <c r="R151" s="127"/>
      <c r="S151" s="127"/>
      <c r="T151" s="127"/>
      <c r="U151" s="127"/>
      <c r="V151" s="127"/>
      <c r="W151" s="127"/>
      <c r="X151" s="127"/>
      <c r="Y151" s="127"/>
      <c r="Z151" s="127"/>
      <c r="AA151" s="127"/>
      <c r="AB151" s="127"/>
    </row>
    <row r="152" spans="1:28" ht="14.5" x14ac:dyDescent="0.35">
      <c r="A152" s="203" t="s">
        <v>388</v>
      </c>
      <c r="B152" s="208"/>
      <c r="C152" s="202"/>
      <c r="D152" s="207"/>
      <c r="E152" s="202"/>
      <c r="F152" s="202"/>
      <c r="G152" s="226"/>
      <c r="H152" s="207"/>
      <c r="I152" s="207"/>
      <c r="J152" s="207"/>
      <c r="K152" s="207"/>
      <c r="L152" s="127"/>
      <c r="M152" s="127"/>
      <c r="N152" s="200"/>
      <c r="O152" s="200"/>
      <c r="P152" s="200"/>
      <c r="Q152" s="200"/>
      <c r="R152" s="127"/>
      <c r="S152" s="127"/>
      <c r="T152" s="127"/>
      <c r="U152" s="127"/>
      <c r="V152" s="127"/>
      <c r="W152" s="127"/>
      <c r="X152" s="127"/>
      <c r="Y152" s="127"/>
      <c r="Z152" s="127"/>
      <c r="AA152" s="127"/>
      <c r="AB152" s="127"/>
    </row>
    <row r="153" spans="1:28" ht="14.5" x14ac:dyDescent="0.35">
      <c r="A153" s="127" t="s">
        <v>435</v>
      </c>
      <c r="B153" s="208">
        <v>0.14030000000000001</v>
      </c>
      <c r="C153" s="202">
        <v>4.65E-2</v>
      </c>
      <c r="D153" s="207"/>
      <c r="E153" s="202">
        <v>6.8200000000000011E-2</v>
      </c>
      <c r="F153" s="202">
        <v>0.18240000000000001</v>
      </c>
      <c r="G153" s="226">
        <f t="shared" si="23"/>
        <v>395.28508771929819</v>
      </c>
      <c r="H153" s="207">
        <v>6.9099999999999995E-2</v>
      </c>
      <c r="I153" s="207"/>
      <c r="J153" s="207"/>
      <c r="K153" s="207">
        <v>1.6000000000000001E-3</v>
      </c>
      <c r="L153" s="127">
        <v>3500</v>
      </c>
      <c r="M153" s="127">
        <v>15</v>
      </c>
      <c r="N153" s="200">
        <f>MIN($B153,(75*$F153/1000)+$E153)</f>
        <v>8.1880000000000008E-2</v>
      </c>
      <c r="O153" s="200">
        <f>MIN($B153,(150*$F153/1000)+$E153)</f>
        <v>9.5560000000000006E-2</v>
      </c>
      <c r="P153" s="200">
        <f>MIN($B153,(225*$F153/1000)+$E153)</f>
        <v>0.10924</v>
      </c>
      <c r="Q153" s="200">
        <f t="shared" si="27"/>
        <v>0.12292</v>
      </c>
      <c r="R153" s="127" t="s">
        <v>176</v>
      </c>
      <c r="S153" s="127" t="str">
        <f>""</f>
        <v/>
      </c>
      <c r="T153" s="127" t="s">
        <v>177</v>
      </c>
      <c r="U153" s="127" t="s">
        <v>178</v>
      </c>
      <c r="V153" s="127" t="s">
        <v>179</v>
      </c>
      <c r="W153" s="127" t="s">
        <v>428</v>
      </c>
      <c r="X153" s="127" t="s">
        <v>187</v>
      </c>
      <c r="Y153" s="127" t="s">
        <v>530</v>
      </c>
      <c r="Z153" s="127" t="s">
        <v>183</v>
      </c>
      <c r="AA153" s="127" t="s">
        <v>436</v>
      </c>
      <c r="AB153" s="127">
        <v>15</v>
      </c>
    </row>
    <row r="154" spans="1:28" ht="14.5" x14ac:dyDescent="0.35">
      <c r="A154" s="127" t="s">
        <v>471</v>
      </c>
      <c r="B154" s="208">
        <v>7.8200000000000006E-2</v>
      </c>
      <c r="C154" s="202">
        <v>1.3100000000000001E-2</v>
      </c>
      <c r="D154" s="207"/>
      <c r="E154" s="202">
        <v>3.1E-2</v>
      </c>
      <c r="F154" s="202">
        <v>0.1925</v>
      </c>
      <c r="G154" s="226">
        <f t="shared" si="23"/>
        <v>245.19480519480521</v>
      </c>
      <c r="H154" s="207">
        <v>2.7300000000000001E-2</v>
      </c>
      <c r="I154" s="207"/>
      <c r="J154" s="207"/>
      <c r="K154" s="207">
        <v>1.6000000000000001E-3</v>
      </c>
      <c r="L154" s="127">
        <v>3500</v>
      </c>
      <c r="M154" s="127">
        <v>15</v>
      </c>
      <c r="N154" s="200">
        <f>MIN($B154,(75*$F154/1000)+$E154)</f>
        <v>4.5437499999999999E-2</v>
      </c>
      <c r="O154" s="200">
        <f>MIN($B154,(150*$F154/1000)+$E154)</f>
        <v>5.9874999999999998E-2</v>
      </c>
      <c r="P154" s="200">
        <f>MIN($B154,(225*$F154/1000)+$E154)</f>
        <v>7.4312500000000004E-2</v>
      </c>
      <c r="Q154" s="200">
        <f t="shared" si="27"/>
        <v>7.8200000000000006E-2</v>
      </c>
      <c r="R154" s="127" t="s">
        <v>176</v>
      </c>
      <c r="S154" s="127" t="str">
        <f>""</f>
        <v/>
      </c>
      <c r="T154" s="127" t="s">
        <v>177</v>
      </c>
      <c r="U154" s="127" t="s">
        <v>178</v>
      </c>
      <c r="V154" s="127" t="s">
        <v>179</v>
      </c>
      <c r="W154" s="127" t="s">
        <v>429</v>
      </c>
      <c r="X154" s="127" t="s">
        <v>187</v>
      </c>
      <c r="Y154" s="127" t="s">
        <v>530</v>
      </c>
      <c r="Z154" s="127" t="s">
        <v>183</v>
      </c>
      <c r="AA154" s="127" t="s">
        <v>403</v>
      </c>
      <c r="AB154" s="127">
        <v>15</v>
      </c>
    </row>
    <row r="155" spans="1:28" ht="14.5" x14ac:dyDescent="0.35">
      <c r="A155" s="127"/>
      <c r="B155" s="208"/>
      <c r="C155" s="202"/>
      <c r="D155" s="207"/>
      <c r="E155" s="202"/>
      <c r="F155" s="202"/>
      <c r="G155" s="226"/>
      <c r="H155" s="207"/>
      <c r="I155" s="207"/>
      <c r="J155" s="207"/>
      <c r="K155" s="207"/>
      <c r="L155" s="127"/>
      <c r="M155" s="127"/>
      <c r="N155" s="200"/>
      <c r="O155" s="200"/>
      <c r="P155" s="200"/>
      <c r="Q155" s="200"/>
      <c r="R155" s="127"/>
      <c r="S155" s="127"/>
      <c r="T155" s="127"/>
      <c r="U155" s="127"/>
      <c r="V155" s="127"/>
      <c r="W155" s="127"/>
      <c r="X155" s="127"/>
      <c r="Y155" s="127"/>
      <c r="Z155" s="127"/>
      <c r="AA155" s="127"/>
      <c r="AB155" s="127"/>
    </row>
    <row r="156" spans="1:28" ht="14.5" x14ac:dyDescent="0.35">
      <c r="A156" s="203" t="s">
        <v>143</v>
      </c>
      <c r="B156" s="246"/>
      <c r="C156" s="202"/>
      <c r="D156" s="207"/>
      <c r="E156" s="202"/>
      <c r="F156" s="202"/>
      <c r="G156" s="226"/>
      <c r="H156" s="207"/>
      <c r="I156" s="207"/>
      <c r="J156" s="207"/>
      <c r="K156" s="207"/>
      <c r="L156" s="127"/>
      <c r="M156" s="127"/>
      <c r="N156" s="200"/>
      <c r="O156" s="200"/>
      <c r="P156" s="200"/>
      <c r="Q156" s="200"/>
      <c r="R156" s="127"/>
      <c r="S156" s="127" t="s">
        <v>212</v>
      </c>
      <c r="T156" s="127"/>
      <c r="U156" s="127"/>
      <c r="V156" s="127"/>
      <c r="W156" s="127"/>
      <c r="X156" s="127"/>
      <c r="Y156" s="127"/>
      <c r="Z156" s="127"/>
      <c r="AA156" s="127"/>
      <c r="AB156" s="127"/>
    </row>
    <row r="157" spans="1:28" x14ac:dyDescent="0.25">
      <c r="A157" s="127" t="s">
        <v>456</v>
      </c>
      <c r="B157" s="208">
        <v>6.5199999999999994E-2</v>
      </c>
      <c r="C157" s="201">
        <v>3.8300000000000001E-2</v>
      </c>
      <c r="D157" s="207"/>
      <c r="E157" s="201">
        <v>5.9400000000000001E-2</v>
      </c>
      <c r="F157" s="201">
        <v>0.11070000000000001</v>
      </c>
      <c r="G157" s="226">
        <f t="shared" si="23"/>
        <v>52.393857271905986</v>
      </c>
      <c r="H157" s="207">
        <f>0.0799+J157</f>
        <v>8.1900000000000001E-2</v>
      </c>
      <c r="I157" s="207" t="str">
        <f>""</f>
        <v/>
      </c>
      <c r="J157" s="207">
        <v>2E-3</v>
      </c>
      <c r="K157" s="208"/>
      <c r="L157" s="248">
        <v>8766</v>
      </c>
      <c r="M157" s="127">
        <v>15</v>
      </c>
      <c r="N157" s="200">
        <f t="shared" ref="N157:N171" si="28">MIN($B157,(75*$F157/1000)+$E157)</f>
        <v>6.5199999999999994E-2</v>
      </c>
      <c r="O157" s="200">
        <f t="shared" ref="O157:O171" si="29">MIN($B157,(150*$F157/1000)+$E157)</f>
        <v>6.5199999999999994E-2</v>
      </c>
      <c r="P157" s="200">
        <f t="shared" ref="P157:P171" si="30">MIN($B157,(225*$F157/1000)+$E157)</f>
        <v>6.5199999999999994E-2</v>
      </c>
      <c r="Q157" s="200">
        <f t="shared" si="27"/>
        <v>6.5199999999999994E-2</v>
      </c>
      <c r="R157" s="127" t="s">
        <v>175</v>
      </c>
      <c r="S157" s="127" t="str">
        <f>""</f>
        <v/>
      </c>
      <c r="T157" s="127" t="s">
        <v>177</v>
      </c>
      <c r="U157" s="127" t="s">
        <v>178</v>
      </c>
      <c r="V157" s="127" t="s">
        <v>179</v>
      </c>
      <c r="W157" s="127" t="s">
        <v>218</v>
      </c>
      <c r="X157" s="127" t="s">
        <v>214</v>
      </c>
      <c r="Y157" s="127" t="s">
        <v>219</v>
      </c>
      <c r="Z157" s="127" t="s">
        <v>183</v>
      </c>
      <c r="AA157" s="127" t="str">
        <f>""</f>
        <v/>
      </c>
      <c r="AB157" s="127">
        <v>20</v>
      </c>
    </row>
    <row r="158" spans="1:28" x14ac:dyDescent="0.25">
      <c r="A158" s="127" t="s">
        <v>220</v>
      </c>
      <c r="B158" s="208">
        <v>7.1099999999999997E-2</v>
      </c>
      <c r="C158" s="201">
        <v>3.8300000000000001E-2</v>
      </c>
      <c r="D158" s="207"/>
      <c r="E158" s="201">
        <v>5.9400000000000001E-2</v>
      </c>
      <c r="F158" s="201">
        <v>0.11070000000000001</v>
      </c>
      <c r="G158" s="226">
        <f t="shared" si="23"/>
        <v>105.69105691056906</v>
      </c>
      <c r="H158" s="207">
        <f t="shared" ref="H158:H171" si="31">0.0799+J158</f>
        <v>8.1900000000000001E-2</v>
      </c>
      <c r="I158" s="207" t="str">
        <f>""</f>
        <v/>
      </c>
      <c r="J158" s="207">
        <v>2E-3</v>
      </c>
      <c r="K158" s="208"/>
      <c r="L158" s="248">
        <v>8766</v>
      </c>
      <c r="M158" s="127">
        <v>15</v>
      </c>
      <c r="N158" s="200">
        <f t="shared" si="28"/>
        <v>6.7702499999999999E-2</v>
      </c>
      <c r="O158" s="200">
        <f t="shared" si="29"/>
        <v>7.1099999999999997E-2</v>
      </c>
      <c r="P158" s="200">
        <f t="shared" si="30"/>
        <v>7.1099999999999997E-2</v>
      </c>
      <c r="Q158" s="200">
        <f t="shared" si="27"/>
        <v>7.1099999999999997E-2</v>
      </c>
      <c r="R158" s="127" t="s">
        <v>175</v>
      </c>
      <c r="S158" s="127" t="str">
        <f>""</f>
        <v/>
      </c>
      <c r="T158" s="127" t="s">
        <v>177</v>
      </c>
      <c r="U158" s="127" t="s">
        <v>178</v>
      </c>
      <c r="V158" s="127" t="s">
        <v>179</v>
      </c>
      <c r="W158" s="127" t="s">
        <v>218</v>
      </c>
      <c r="X158" s="127" t="s">
        <v>214</v>
      </c>
      <c r="Y158" s="127" t="s">
        <v>219</v>
      </c>
      <c r="Z158" s="127" t="s">
        <v>183</v>
      </c>
      <c r="AA158" s="127" t="str">
        <f>""</f>
        <v/>
      </c>
      <c r="AB158" s="127">
        <v>20</v>
      </c>
    </row>
    <row r="159" spans="1:28" x14ac:dyDescent="0.25">
      <c r="A159" s="127" t="s">
        <v>221</v>
      </c>
      <c r="B159" s="208">
        <v>7.7200000000000005E-2</v>
      </c>
      <c r="C159" s="201">
        <v>3.8300000000000001E-2</v>
      </c>
      <c r="D159" s="207"/>
      <c r="E159" s="201">
        <v>5.9400000000000001E-2</v>
      </c>
      <c r="F159" s="201">
        <v>0.11070000000000001</v>
      </c>
      <c r="G159" s="226">
        <f t="shared" si="23"/>
        <v>160.79494128274618</v>
      </c>
      <c r="H159" s="207">
        <f t="shared" si="31"/>
        <v>8.1900000000000001E-2</v>
      </c>
      <c r="I159" s="207" t="str">
        <f>""</f>
        <v/>
      </c>
      <c r="J159" s="207">
        <v>2E-3</v>
      </c>
      <c r="K159" s="208"/>
      <c r="L159" s="248">
        <v>8766</v>
      </c>
      <c r="M159" s="127">
        <v>15</v>
      </c>
      <c r="N159" s="200">
        <f t="shared" si="28"/>
        <v>6.7702499999999999E-2</v>
      </c>
      <c r="O159" s="200">
        <f t="shared" si="29"/>
        <v>7.6005000000000003E-2</v>
      </c>
      <c r="P159" s="200">
        <f t="shared" si="30"/>
        <v>7.7200000000000005E-2</v>
      </c>
      <c r="Q159" s="200">
        <f t="shared" si="27"/>
        <v>7.7200000000000005E-2</v>
      </c>
      <c r="R159" s="127" t="s">
        <v>175</v>
      </c>
      <c r="S159" s="127" t="str">
        <f>""</f>
        <v/>
      </c>
      <c r="T159" s="127" t="s">
        <v>177</v>
      </c>
      <c r="U159" s="127" t="s">
        <v>178</v>
      </c>
      <c r="V159" s="127" t="s">
        <v>179</v>
      </c>
      <c r="W159" s="127" t="s">
        <v>218</v>
      </c>
      <c r="X159" s="127" t="s">
        <v>214</v>
      </c>
      <c r="Y159" s="127" t="s">
        <v>219</v>
      </c>
      <c r="Z159" s="127" t="s">
        <v>183</v>
      </c>
      <c r="AA159" s="127" t="str">
        <f>""</f>
        <v/>
      </c>
      <c r="AB159" s="127">
        <v>20</v>
      </c>
    </row>
    <row r="160" spans="1:28" x14ac:dyDescent="0.25">
      <c r="A160" s="127" t="s">
        <v>222</v>
      </c>
      <c r="B160" s="208">
        <v>8.1799999999999998E-2</v>
      </c>
      <c r="C160" s="201">
        <v>3.8300000000000001E-2</v>
      </c>
      <c r="D160" s="207"/>
      <c r="E160" s="201">
        <v>5.9400000000000001E-2</v>
      </c>
      <c r="F160" s="201">
        <v>0.11070000000000001</v>
      </c>
      <c r="G160" s="226">
        <f t="shared" si="23"/>
        <v>202.34869015356816</v>
      </c>
      <c r="H160" s="207">
        <f t="shared" si="31"/>
        <v>8.1900000000000001E-2</v>
      </c>
      <c r="I160" s="207" t="str">
        <f>""</f>
        <v/>
      </c>
      <c r="J160" s="207">
        <v>2E-3</v>
      </c>
      <c r="K160" s="208"/>
      <c r="L160" s="248">
        <v>8766</v>
      </c>
      <c r="M160" s="127">
        <v>15</v>
      </c>
      <c r="N160" s="200">
        <f t="shared" si="28"/>
        <v>6.7702499999999999E-2</v>
      </c>
      <c r="O160" s="200">
        <f t="shared" si="29"/>
        <v>7.6005000000000003E-2</v>
      </c>
      <c r="P160" s="200">
        <f t="shared" si="30"/>
        <v>8.1799999999999998E-2</v>
      </c>
      <c r="Q160" s="200">
        <f t="shared" si="27"/>
        <v>8.1799999999999998E-2</v>
      </c>
      <c r="R160" s="127" t="s">
        <v>175</v>
      </c>
      <c r="S160" s="127" t="str">
        <f>""</f>
        <v/>
      </c>
      <c r="T160" s="127" t="s">
        <v>177</v>
      </c>
      <c r="U160" s="127" t="s">
        <v>178</v>
      </c>
      <c r="V160" s="127" t="s">
        <v>179</v>
      </c>
      <c r="W160" s="127" t="s">
        <v>218</v>
      </c>
      <c r="X160" s="127" t="s">
        <v>214</v>
      </c>
      <c r="Y160" s="127" t="s">
        <v>219</v>
      </c>
      <c r="Z160" s="127" t="s">
        <v>183</v>
      </c>
      <c r="AA160" s="127" t="str">
        <f>""</f>
        <v/>
      </c>
      <c r="AB160" s="127">
        <v>20</v>
      </c>
    </row>
    <row r="161" spans="1:29" x14ac:dyDescent="0.25">
      <c r="A161" s="127" t="s">
        <v>223</v>
      </c>
      <c r="B161" s="208">
        <v>8.72E-2</v>
      </c>
      <c r="C161" s="201">
        <v>3.8300000000000001E-2</v>
      </c>
      <c r="D161" s="207"/>
      <c r="E161" s="201">
        <v>5.9400000000000001E-2</v>
      </c>
      <c r="F161" s="201">
        <v>0.11070000000000001</v>
      </c>
      <c r="G161" s="226">
        <f t="shared" si="23"/>
        <v>251.12917795844621</v>
      </c>
      <c r="H161" s="207">
        <f t="shared" si="31"/>
        <v>8.1900000000000001E-2</v>
      </c>
      <c r="I161" s="207" t="str">
        <f>""</f>
        <v/>
      </c>
      <c r="J161" s="207">
        <v>2E-3</v>
      </c>
      <c r="K161" s="208"/>
      <c r="L161" s="248">
        <v>8766</v>
      </c>
      <c r="M161" s="127">
        <v>15</v>
      </c>
      <c r="N161" s="200">
        <f t="shared" si="28"/>
        <v>6.7702499999999999E-2</v>
      </c>
      <c r="O161" s="200">
        <f t="shared" si="29"/>
        <v>7.6005000000000003E-2</v>
      </c>
      <c r="P161" s="200">
        <f t="shared" si="30"/>
        <v>8.4307500000000007E-2</v>
      </c>
      <c r="Q161" s="200">
        <f t="shared" si="27"/>
        <v>8.72E-2</v>
      </c>
      <c r="R161" s="127" t="s">
        <v>175</v>
      </c>
      <c r="S161" s="127" t="str">
        <f>""</f>
        <v/>
      </c>
      <c r="T161" s="127" t="s">
        <v>177</v>
      </c>
      <c r="U161" s="127" t="s">
        <v>178</v>
      </c>
      <c r="V161" s="127" t="s">
        <v>179</v>
      </c>
      <c r="W161" s="127" t="s">
        <v>218</v>
      </c>
      <c r="X161" s="127" t="s">
        <v>214</v>
      </c>
      <c r="Y161" s="127" t="s">
        <v>219</v>
      </c>
      <c r="Z161" s="127" t="s">
        <v>183</v>
      </c>
      <c r="AA161" s="127" t="str">
        <f>""</f>
        <v/>
      </c>
      <c r="AB161" s="127">
        <v>20</v>
      </c>
    </row>
    <row r="162" spans="1:29" x14ac:dyDescent="0.25">
      <c r="A162" s="127" t="s">
        <v>457</v>
      </c>
      <c r="B162" s="208">
        <v>7.7399999999999997E-2</v>
      </c>
      <c r="C162" s="201">
        <v>3.8300000000000001E-2</v>
      </c>
      <c r="D162" s="207"/>
      <c r="E162" s="201">
        <v>5.9400000000000001E-2</v>
      </c>
      <c r="F162" s="201">
        <v>0.11070000000000001</v>
      </c>
      <c r="G162" s="226">
        <f t="shared" si="23"/>
        <v>162.60162601626013</v>
      </c>
      <c r="H162" s="207">
        <f t="shared" si="31"/>
        <v>8.1900000000000001E-2</v>
      </c>
      <c r="I162" s="207" t="str">
        <f>""</f>
        <v/>
      </c>
      <c r="J162" s="207">
        <v>2E-3</v>
      </c>
      <c r="K162" s="208"/>
      <c r="L162" s="248">
        <v>8766</v>
      </c>
      <c r="M162" s="127">
        <v>15</v>
      </c>
      <c r="N162" s="200">
        <f t="shared" si="28"/>
        <v>6.7702499999999999E-2</v>
      </c>
      <c r="O162" s="200">
        <f t="shared" si="29"/>
        <v>7.6005000000000003E-2</v>
      </c>
      <c r="P162" s="200">
        <f t="shared" si="30"/>
        <v>7.7399999999999997E-2</v>
      </c>
      <c r="Q162" s="200">
        <f t="shared" si="27"/>
        <v>7.7399999999999997E-2</v>
      </c>
      <c r="R162" s="127" t="s">
        <v>175</v>
      </c>
      <c r="S162" s="127" t="str">
        <f>""</f>
        <v/>
      </c>
      <c r="T162" s="127" t="s">
        <v>177</v>
      </c>
      <c r="U162" s="127" t="s">
        <v>178</v>
      </c>
      <c r="V162" s="127" t="s">
        <v>179</v>
      </c>
      <c r="W162" s="127" t="s">
        <v>224</v>
      </c>
      <c r="X162" s="127" t="s">
        <v>214</v>
      </c>
      <c r="Y162" s="127" t="s">
        <v>225</v>
      </c>
      <c r="Z162" s="127" t="s">
        <v>183</v>
      </c>
      <c r="AA162" s="127" t="str">
        <f>""</f>
        <v/>
      </c>
      <c r="AB162" s="127">
        <v>20</v>
      </c>
    </row>
    <row r="163" spans="1:29" x14ac:dyDescent="0.25">
      <c r="A163" s="127" t="s">
        <v>226</v>
      </c>
      <c r="B163" s="208">
        <v>8.5699999999999998E-2</v>
      </c>
      <c r="C163" s="201">
        <v>3.8300000000000001E-2</v>
      </c>
      <c r="D163" s="207"/>
      <c r="E163" s="201">
        <v>5.9400000000000001E-2</v>
      </c>
      <c r="F163" s="201">
        <v>0.11070000000000001</v>
      </c>
      <c r="G163" s="226">
        <f t="shared" si="23"/>
        <v>237.57904245709119</v>
      </c>
      <c r="H163" s="207">
        <f t="shared" si="31"/>
        <v>8.1900000000000001E-2</v>
      </c>
      <c r="I163" s="207" t="str">
        <f>""</f>
        <v/>
      </c>
      <c r="J163" s="207">
        <v>2E-3</v>
      </c>
      <c r="K163" s="208"/>
      <c r="L163" s="248">
        <v>8766</v>
      </c>
      <c r="M163" s="127">
        <v>15</v>
      </c>
      <c r="N163" s="200">
        <f t="shared" si="28"/>
        <v>6.7702499999999999E-2</v>
      </c>
      <c r="O163" s="200">
        <f t="shared" si="29"/>
        <v>7.6005000000000003E-2</v>
      </c>
      <c r="P163" s="200">
        <f t="shared" si="30"/>
        <v>8.4307500000000007E-2</v>
      </c>
      <c r="Q163" s="200">
        <f t="shared" si="27"/>
        <v>8.5699999999999998E-2</v>
      </c>
      <c r="R163" s="127" t="s">
        <v>175</v>
      </c>
      <c r="S163" s="127" t="str">
        <f>""</f>
        <v/>
      </c>
      <c r="T163" s="127" t="s">
        <v>177</v>
      </c>
      <c r="U163" s="127" t="s">
        <v>178</v>
      </c>
      <c r="V163" s="127" t="s">
        <v>179</v>
      </c>
      <c r="W163" s="127" t="s">
        <v>224</v>
      </c>
      <c r="X163" s="127" t="s">
        <v>214</v>
      </c>
      <c r="Y163" s="127" t="s">
        <v>225</v>
      </c>
      <c r="Z163" s="127" t="s">
        <v>183</v>
      </c>
      <c r="AA163" s="127" t="str">
        <f>""</f>
        <v/>
      </c>
      <c r="AB163" s="127">
        <v>20</v>
      </c>
    </row>
    <row r="164" spans="1:29" x14ac:dyDescent="0.25">
      <c r="A164" s="127" t="s">
        <v>227</v>
      </c>
      <c r="B164" s="208">
        <v>9.2600000000000002E-2</v>
      </c>
      <c r="C164" s="201">
        <v>3.8300000000000001E-2</v>
      </c>
      <c r="D164" s="207"/>
      <c r="E164" s="201">
        <v>5.9400000000000001E-2</v>
      </c>
      <c r="F164" s="201">
        <v>0.11070000000000001</v>
      </c>
      <c r="G164" s="226">
        <f t="shared" si="23"/>
        <v>299.90966576332431</v>
      </c>
      <c r="H164" s="207">
        <f t="shared" si="31"/>
        <v>8.1900000000000001E-2</v>
      </c>
      <c r="I164" s="207" t="str">
        <f>""</f>
        <v/>
      </c>
      <c r="J164" s="207">
        <v>2E-3</v>
      </c>
      <c r="K164" s="208"/>
      <c r="L164" s="248">
        <v>8766</v>
      </c>
      <c r="M164" s="127">
        <v>15</v>
      </c>
      <c r="N164" s="200">
        <f t="shared" si="28"/>
        <v>6.7702499999999999E-2</v>
      </c>
      <c r="O164" s="200">
        <f t="shared" si="29"/>
        <v>7.6005000000000003E-2</v>
      </c>
      <c r="P164" s="200">
        <f t="shared" si="30"/>
        <v>8.4307500000000007E-2</v>
      </c>
      <c r="Q164" s="200">
        <f t="shared" si="27"/>
        <v>9.2600000000000002E-2</v>
      </c>
      <c r="R164" s="127" t="s">
        <v>175</v>
      </c>
      <c r="S164" s="127" t="str">
        <f>""</f>
        <v/>
      </c>
      <c r="T164" s="127" t="s">
        <v>177</v>
      </c>
      <c r="U164" s="127" t="s">
        <v>178</v>
      </c>
      <c r="V164" s="127" t="s">
        <v>179</v>
      </c>
      <c r="W164" s="127" t="s">
        <v>224</v>
      </c>
      <c r="X164" s="127" t="s">
        <v>214</v>
      </c>
      <c r="Y164" s="127" t="s">
        <v>225</v>
      </c>
      <c r="Z164" s="127" t="s">
        <v>183</v>
      </c>
      <c r="AA164" s="127" t="str">
        <f>""</f>
        <v/>
      </c>
      <c r="AB164" s="127">
        <v>20</v>
      </c>
    </row>
    <row r="165" spans="1:29" x14ac:dyDescent="0.25">
      <c r="A165" s="127" t="s">
        <v>228</v>
      </c>
      <c r="B165" s="208">
        <v>9.2600000000000002E-2</v>
      </c>
      <c r="C165" s="201">
        <v>3.8300000000000001E-2</v>
      </c>
      <c r="D165" s="207"/>
      <c r="E165" s="201">
        <v>5.9400000000000001E-2</v>
      </c>
      <c r="F165" s="201">
        <v>0.11070000000000001</v>
      </c>
      <c r="G165" s="226">
        <f t="shared" si="23"/>
        <v>299.90966576332431</v>
      </c>
      <c r="H165" s="207">
        <f t="shared" si="31"/>
        <v>8.1900000000000001E-2</v>
      </c>
      <c r="I165" s="207" t="str">
        <f>""</f>
        <v/>
      </c>
      <c r="J165" s="207">
        <v>2E-3</v>
      </c>
      <c r="K165" s="208"/>
      <c r="L165" s="248">
        <v>8766</v>
      </c>
      <c r="M165" s="127">
        <v>15</v>
      </c>
      <c r="N165" s="200">
        <f t="shared" si="28"/>
        <v>6.7702499999999999E-2</v>
      </c>
      <c r="O165" s="200">
        <f t="shared" si="29"/>
        <v>7.6005000000000003E-2</v>
      </c>
      <c r="P165" s="200">
        <f t="shared" si="30"/>
        <v>8.4307500000000007E-2</v>
      </c>
      <c r="Q165" s="200">
        <f t="shared" si="27"/>
        <v>9.2600000000000002E-2</v>
      </c>
      <c r="R165" s="127" t="s">
        <v>175</v>
      </c>
      <c r="S165" s="127" t="str">
        <f>""</f>
        <v/>
      </c>
      <c r="T165" s="127" t="s">
        <v>177</v>
      </c>
      <c r="U165" s="127" t="s">
        <v>178</v>
      </c>
      <c r="V165" s="127" t="s">
        <v>179</v>
      </c>
      <c r="W165" s="127" t="s">
        <v>224</v>
      </c>
      <c r="X165" s="127" t="s">
        <v>214</v>
      </c>
      <c r="Y165" s="127" t="s">
        <v>225</v>
      </c>
      <c r="Z165" s="127" t="s">
        <v>183</v>
      </c>
      <c r="AA165" s="127" t="str">
        <f>""</f>
        <v/>
      </c>
      <c r="AB165" s="127">
        <v>20</v>
      </c>
    </row>
    <row r="166" spans="1:29" x14ac:dyDescent="0.25">
      <c r="A166" s="127" t="s">
        <v>229</v>
      </c>
      <c r="B166" s="208">
        <v>9.2600000000000002E-2</v>
      </c>
      <c r="C166" s="201">
        <v>3.8300000000000001E-2</v>
      </c>
      <c r="D166" s="207"/>
      <c r="E166" s="201">
        <v>5.9400000000000001E-2</v>
      </c>
      <c r="F166" s="201">
        <v>0.11070000000000001</v>
      </c>
      <c r="G166" s="226">
        <f t="shared" si="23"/>
        <v>299.90966576332431</v>
      </c>
      <c r="H166" s="207">
        <f t="shared" si="31"/>
        <v>8.1900000000000001E-2</v>
      </c>
      <c r="I166" s="207" t="str">
        <f>""</f>
        <v/>
      </c>
      <c r="J166" s="207">
        <v>2E-3</v>
      </c>
      <c r="K166" s="208"/>
      <c r="L166" s="248">
        <v>8766</v>
      </c>
      <c r="M166" s="127">
        <v>15</v>
      </c>
      <c r="N166" s="200">
        <f t="shared" si="28"/>
        <v>6.7702499999999999E-2</v>
      </c>
      <c r="O166" s="200">
        <f t="shared" si="29"/>
        <v>7.6005000000000003E-2</v>
      </c>
      <c r="P166" s="200">
        <f t="shared" si="30"/>
        <v>8.4307500000000007E-2</v>
      </c>
      <c r="Q166" s="200">
        <f t="shared" si="27"/>
        <v>9.2600000000000002E-2</v>
      </c>
      <c r="R166" s="127" t="s">
        <v>175</v>
      </c>
      <c r="S166" s="127" t="str">
        <f>""</f>
        <v/>
      </c>
      <c r="T166" s="127" t="s">
        <v>177</v>
      </c>
      <c r="U166" s="127" t="s">
        <v>178</v>
      </c>
      <c r="V166" s="127" t="s">
        <v>179</v>
      </c>
      <c r="W166" s="127" t="s">
        <v>224</v>
      </c>
      <c r="X166" s="127" t="s">
        <v>214</v>
      </c>
      <c r="Y166" s="127" t="s">
        <v>225</v>
      </c>
      <c r="Z166" s="127" t="s">
        <v>183</v>
      </c>
      <c r="AA166" s="127" t="str">
        <f>""</f>
        <v/>
      </c>
      <c r="AB166" s="127">
        <v>20</v>
      </c>
    </row>
    <row r="167" spans="1:29" x14ac:dyDescent="0.25">
      <c r="A167" s="127" t="s">
        <v>458</v>
      </c>
      <c r="B167" s="208">
        <v>7.1999999999999995E-2</v>
      </c>
      <c r="C167" s="201">
        <v>3.8300000000000001E-2</v>
      </c>
      <c r="D167" s="207"/>
      <c r="E167" s="201">
        <v>5.9400000000000001E-2</v>
      </c>
      <c r="F167" s="201">
        <v>0.11070000000000001</v>
      </c>
      <c r="G167" s="226">
        <f t="shared" si="23"/>
        <v>113.82113821138203</v>
      </c>
      <c r="H167" s="207">
        <f t="shared" si="31"/>
        <v>8.1900000000000001E-2</v>
      </c>
      <c r="I167" s="207" t="str">
        <f>""</f>
        <v/>
      </c>
      <c r="J167" s="207">
        <v>2E-3</v>
      </c>
      <c r="K167" s="208"/>
      <c r="L167" s="248">
        <v>8766</v>
      </c>
      <c r="M167" s="127">
        <v>15</v>
      </c>
      <c r="N167" s="200">
        <f t="shared" si="28"/>
        <v>6.7702499999999999E-2</v>
      </c>
      <c r="O167" s="200">
        <f t="shared" si="29"/>
        <v>7.1999999999999995E-2</v>
      </c>
      <c r="P167" s="200">
        <f t="shared" si="30"/>
        <v>7.1999999999999995E-2</v>
      </c>
      <c r="Q167" s="200">
        <f t="shared" si="27"/>
        <v>7.1999999999999995E-2</v>
      </c>
      <c r="R167" s="127" t="s">
        <v>175</v>
      </c>
      <c r="S167" s="127" t="str">
        <f>""</f>
        <v/>
      </c>
      <c r="T167" s="127" t="s">
        <v>177</v>
      </c>
      <c r="U167" s="127" t="s">
        <v>178</v>
      </c>
      <c r="V167" s="127" t="s">
        <v>179</v>
      </c>
      <c r="W167" s="127" t="s">
        <v>218</v>
      </c>
      <c r="X167" s="127" t="s">
        <v>214</v>
      </c>
      <c r="Y167" s="127" t="s">
        <v>219</v>
      </c>
      <c r="Z167" s="127" t="s">
        <v>183</v>
      </c>
      <c r="AA167" s="127" t="str">
        <f>""</f>
        <v/>
      </c>
      <c r="AB167" s="127">
        <v>20</v>
      </c>
    </row>
    <row r="168" spans="1:29" x14ac:dyDescent="0.25">
      <c r="A168" s="127" t="s">
        <v>230</v>
      </c>
      <c r="B168" s="208">
        <v>7.8799999999999995E-2</v>
      </c>
      <c r="C168" s="201">
        <v>3.8300000000000001E-2</v>
      </c>
      <c r="D168" s="207"/>
      <c r="E168" s="201">
        <v>5.9400000000000001E-2</v>
      </c>
      <c r="F168" s="201">
        <v>0.11070000000000001</v>
      </c>
      <c r="G168" s="226">
        <f t="shared" si="23"/>
        <v>175.24841915085813</v>
      </c>
      <c r="H168" s="207">
        <f t="shared" si="31"/>
        <v>8.1900000000000001E-2</v>
      </c>
      <c r="I168" s="207" t="str">
        <f>""</f>
        <v/>
      </c>
      <c r="J168" s="207">
        <v>2E-3</v>
      </c>
      <c r="K168" s="208"/>
      <c r="L168" s="248">
        <v>8766</v>
      </c>
      <c r="M168" s="127">
        <v>15</v>
      </c>
      <c r="N168" s="200">
        <f t="shared" si="28"/>
        <v>6.7702499999999999E-2</v>
      </c>
      <c r="O168" s="200">
        <f t="shared" si="29"/>
        <v>7.6005000000000003E-2</v>
      </c>
      <c r="P168" s="200">
        <f t="shared" si="30"/>
        <v>7.8799999999999995E-2</v>
      </c>
      <c r="Q168" s="200">
        <f t="shared" si="27"/>
        <v>7.8799999999999995E-2</v>
      </c>
      <c r="R168" s="127" t="s">
        <v>175</v>
      </c>
      <c r="S168" s="127" t="str">
        <f>""</f>
        <v/>
      </c>
      <c r="T168" s="127" t="s">
        <v>177</v>
      </c>
      <c r="U168" s="127" t="s">
        <v>178</v>
      </c>
      <c r="V168" s="127" t="s">
        <v>179</v>
      </c>
      <c r="W168" s="127" t="s">
        <v>218</v>
      </c>
      <c r="X168" s="127" t="s">
        <v>214</v>
      </c>
      <c r="Y168" s="127" t="s">
        <v>219</v>
      </c>
      <c r="Z168" s="127" t="s">
        <v>183</v>
      </c>
      <c r="AA168" s="127" t="str">
        <f>""</f>
        <v/>
      </c>
      <c r="AB168" s="127">
        <v>20</v>
      </c>
    </row>
    <row r="169" spans="1:29" x14ac:dyDescent="0.25">
      <c r="A169" s="127" t="s">
        <v>231</v>
      </c>
      <c r="B169" s="208">
        <v>8.5500000000000007E-2</v>
      </c>
      <c r="C169" s="201">
        <v>3.8300000000000001E-2</v>
      </c>
      <c r="D169" s="207"/>
      <c r="E169" s="201">
        <v>5.9400000000000001E-2</v>
      </c>
      <c r="F169" s="201">
        <v>0.11070000000000001</v>
      </c>
      <c r="G169" s="226">
        <f t="shared" si="23"/>
        <v>235.77235772357727</v>
      </c>
      <c r="H169" s="207">
        <f t="shared" si="31"/>
        <v>8.1900000000000001E-2</v>
      </c>
      <c r="I169" s="207" t="str">
        <f>""</f>
        <v/>
      </c>
      <c r="J169" s="207">
        <v>2E-3</v>
      </c>
      <c r="K169" s="208"/>
      <c r="L169" s="248">
        <v>8766</v>
      </c>
      <c r="M169" s="127">
        <v>15</v>
      </c>
      <c r="N169" s="200">
        <f t="shared" si="28"/>
        <v>6.7702499999999999E-2</v>
      </c>
      <c r="O169" s="200">
        <f t="shared" si="29"/>
        <v>7.6005000000000003E-2</v>
      </c>
      <c r="P169" s="200">
        <f t="shared" si="30"/>
        <v>8.4307500000000007E-2</v>
      </c>
      <c r="Q169" s="200">
        <f t="shared" si="27"/>
        <v>8.5500000000000007E-2</v>
      </c>
      <c r="R169" s="127" t="s">
        <v>175</v>
      </c>
      <c r="S169" s="127" t="str">
        <f>""</f>
        <v/>
      </c>
      <c r="T169" s="127" t="s">
        <v>177</v>
      </c>
      <c r="U169" s="127" t="s">
        <v>178</v>
      </c>
      <c r="V169" s="127" t="s">
        <v>179</v>
      </c>
      <c r="W169" s="127" t="s">
        <v>218</v>
      </c>
      <c r="X169" s="127" t="s">
        <v>214</v>
      </c>
      <c r="Y169" s="127" t="s">
        <v>219</v>
      </c>
      <c r="Z169" s="127" t="s">
        <v>183</v>
      </c>
      <c r="AA169" s="127" t="str">
        <f>""</f>
        <v/>
      </c>
      <c r="AB169" s="127">
        <v>20</v>
      </c>
    </row>
    <row r="170" spans="1:29" x14ac:dyDescent="0.25">
      <c r="A170" s="127" t="s">
        <v>232</v>
      </c>
      <c r="B170" s="208">
        <v>9.0700000000000003E-2</v>
      </c>
      <c r="C170" s="201">
        <v>3.8300000000000001E-2</v>
      </c>
      <c r="D170" s="207"/>
      <c r="E170" s="201">
        <v>5.9400000000000001E-2</v>
      </c>
      <c r="F170" s="201">
        <v>0.11070000000000001</v>
      </c>
      <c r="G170" s="226">
        <f t="shared" si="23"/>
        <v>282.74616079494126</v>
      </c>
      <c r="H170" s="207">
        <f t="shared" si="31"/>
        <v>8.1900000000000001E-2</v>
      </c>
      <c r="I170" s="207" t="str">
        <f>""</f>
        <v/>
      </c>
      <c r="J170" s="207">
        <v>2E-3</v>
      </c>
      <c r="K170" s="208"/>
      <c r="L170" s="248">
        <v>8766</v>
      </c>
      <c r="M170" s="127">
        <v>15</v>
      </c>
      <c r="N170" s="200">
        <f t="shared" si="28"/>
        <v>6.7702499999999999E-2</v>
      </c>
      <c r="O170" s="200">
        <f t="shared" si="29"/>
        <v>7.6005000000000003E-2</v>
      </c>
      <c r="P170" s="200">
        <f t="shared" si="30"/>
        <v>8.4307500000000007E-2</v>
      </c>
      <c r="Q170" s="200">
        <f t="shared" si="27"/>
        <v>9.0700000000000003E-2</v>
      </c>
      <c r="R170" s="127" t="s">
        <v>175</v>
      </c>
      <c r="S170" s="127" t="str">
        <f>""</f>
        <v/>
      </c>
      <c r="T170" s="127" t="s">
        <v>177</v>
      </c>
      <c r="U170" s="127" t="s">
        <v>178</v>
      </c>
      <c r="V170" s="127" t="s">
        <v>179</v>
      </c>
      <c r="W170" s="127" t="s">
        <v>218</v>
      </c>
      <c r="X170" s="127" t="s">
        <v>214</v>
      </c>
      <c r="Y170" s="127" t="s">
        <v>219</v>
      </c>
      <c r="Z170" s="127" t="s">
        <v>183</v>
      </c>
      <c r="AA170" s="127" t="str">
        <f>""</f>
        <v/>
      </c>
      <c r="AB170" s="127">
        <v>20</v>
      </c>
    </row>
    <row r="171" spans="1:29" x14ac:dyDescent="0.25">
      <c r="A171" s="127" t="s">
        <v>233</v>
      </c>
      <c r="B171" s="208">
        <v>9.2600000000000002E-2</v>
      </c>
      <c r="C171" s="201">
        <v>3.8300000000000001E-2</v>
      </c>
      <c r="D171" s="207"/>
      <c r="E171" s="201">
        <v>5.9400000000000001E-2</v>
      </c>
      <c r="F171" s="201">
        <v>0.11070000000000001</v>
      </c>
      <c r="G171" s="226">
        <f t="shared" si="23"/>
        <v>299.90966576332431</v>
      </c>
      <c r="H171" s="207">
        <f t="shared" si="31"/>
        <v>8.1900000000000001E-2</v>
      </c>
      <c r="I171" s="207" t="str">
        <f>""</f>
        <v/>
      </c>
      <c r="J171" s="207">
        <v>2E-3</v>
      </c>
      <c r="K171" s="208"/>
      <c r="L171" s="248">
        <v>8766</v>
      </c>
      <c r="M171" s="127">
        <v>15</v>
      </c>
      <c r="N171" s="200">
        <f t="shared" si="28"/>
        <v>6.7702499999999999E-2</v>
      </c>
      <c r="O171" s="200">
        <f t="shared" si="29"/>
        <v>7.6005000000000003E-2</v>
      </c>
      <c r="P171" s="200">
        <f t="shared" si="30"/>
        <v>8.4307500000000007E-2</v>
      </c>
      <c r="Q171" s="200">
        <f t="shared" si="27"/>
        <v>9.2600000000000002E-2</v>
      </c>
      <c r="R171" s="127" t="s">
        <v>175</v>
      </c>
      <c r="S171" s="127" t="str">
        <f>""</f>
        <v/>
      </c>
      <c r="T171" s="127" t="s">
        <v>177</v>
      </c>
      <c r="U171" s="127" t="s">
        <v>178</v>
      </c>
      <c r="V171" s="127" t="s">
        <v>179</v>
      </c>
      <c r="W171" s="127" t="s">
        <v>218</v>
      </c>
      <c r="X171" s="127" t="s">
        <v>214</v>
      </c>
      <c r="Y171" s="127" t="s">
        <v>219</v>
      </c>
      <c r="Z171" s="127" t="s">
        <v>183</v>
      </c>
      <c r="AA171" s="127" t="str">
        <f>""</f>
        <v/>
      </c>
      <c r="AB171" s="127">
        <v>20</v>
      </c>
    </row>
    <row r="172" spans="1:29" ht="14.5" x14ac:dyDescent="0.35">
      <c r="A172" s="127"/>
      <c r="B172" s="208"/>
      <c r="C172" s="202"/>
      <c r="D172" s="207"/>
      <c r="E172" s="202"/>
      <c r="F172" s="202"/>
      <c r="G172" s="226"/>
      <c r="H172" s="207"/>
      <c r="I172" s="207"/>
      <c r="J172" s="207"/>
      <c r="K172" s="208"/>
      <c r="L172" s="127"/>
      <c r="M172" s="127"/>
      <c r="N172" s="200"/>
      <c r="O172" s="200"/>
      <c r="P172" s="200"/>
      <c r="Q172" s="200"/>
      <c r="R172" s="127"/>
      <c r="S172" s="127" t="s">
        <v>212</v>
      </c>
      <c r="T172" s="127"/>
      <c r="U172" s="127"/>
      <c r="V172" s="127"/>
      <c r="W172" s="127"/>
      <c r="X172" s="127"/>
      <c r="Y172" s="127"/>
      <c r="Z172" s="127"/>
      <c r="AA172" s="127"/>
      <c r="AB172" s="127"/>
    </row>
    <row r="173" spans="1:29" ht="15" customHeight="1" x14ac:dyDescent="0.35">
      <c r="A173" s="203" t="s">
        <v>234</v>
      </c>
      <c r="B173" s="208"/>
      <c r="C173" s="202"/>
      <c r="D173" s="207"/>
      <c r="E173" s="202"/>
      <c r="F173" s="202"/>
      <c r="G173" s="226"/>
      <c r="H173" s="207"/>
      <c r="I173" s="207"/>
      <c r="J173" s="207"/>
      <c r="K173" s="208"/>
      <c r="L173" s="127"/>
      <c r="M173" s="127"/>
      <c r="N173" s="200"/>
      <c r="O173" s="200"/>
      <c r="P173" s="200"/>
      <c r="Q173" s="200"/>
      <c r="R173" s="127"/>
      <c r="S173" s="127" t="s">
        <v>212</v>
      </c>
      <c r="T173" s="127"/>
      <c r="U173" s="127"/>
      <c r="V173" s="127"/>
      <c r="W173" s="127"/>
      <c r="X173" s="127"/>
      <c r="Y173" s="127"/>
      <c r="Z173" s="127"/>
      <c r="AA173" s="127"/>
      <c r="AB173" s="127"/>
    </row>
    <row r="174" spans="1:29" ht="15" customHeight="1" x14ac:dyDescent="0.25">
      <c r="A174" s="127" t="s">
        <v>389</v>
      </c>
      <c r="B174" s="249">
        <v>9.4500000000000001E-2</v>
      </c>
      <c r="C174" s="201">
        <v>4.7300000000000002E-2</v>
      </c>
      <c r="D174" s="207"/>
      <c r="E174" s="201">
        <v>7.2999999999999995E-2</v>
      </c>
      <c r="F174" s="201">
        <v>0.23230000000000001</v>
      </c>
      <c r="G174" s="226">
        <f t="shared" si="23"/>
        <v>92.552733534222995</v>
      </c>
      <c r="H174" s="207">
        <f>0.0726+J174</f>
        <v>7.46E-2</v>
      </c>
      <c r="I174" s="207"/>
      <c r="J174" s="207">
        <v>2E-3</v>
      </c>
      <c r="K174" s="208"/>
      <c r="L174" s="127">
        <v>840</v>
      </c>
      <c r="M174" s="127">
        <v>15</v>
      </c>
      <c r="N174" s="200">
        <f>MIN($B174,(75*$F174/1000)+$E174)</f>
        <v>9.0422499999999989E-2</v>
      </c>
      <c r="O174" s="200">
        <f>MIN($B174,(150*$F174/1000)+$E174)</f>
        <v>9.4500000000000001E-2</v>
      </c>
      <c r="P174" s="200">
        <f>MIN($B174,(225*$F174/1000)+$E174)</f>
        <v>9.4500000000000001E-2</v>
      </c>
      <c r="Q174" s="200">
        <f t="shared" si="27"/>
        <v>9.4500000000000001E-2</v>
      </c>
      <c r="R174" s="127" t="s">
        <v>175</v>
      </c>
      <c r="S174" s="127" t="str">
        <f>""</f>
        <v/>
      </c>
      <c r="T174" s="127" t="s">
        <v>177</v>
      </c>
      <c r="U174" s="127" t="s">
        <v>178</v>
      </c>
      <c r="V174" s="127" t="s">
        <v>179</v>
      </c>
      <c r="W174" s="127" t="s">
        <v>235</v>
      </c>
      <c r="X174" s="127" t="s">
        <v>214</v>
      </c>
      <c r="Y174" s="127" t="s">
        <v>534</v>
      </c>
      <c r="Z174" s="127" t="s">
        <v>183</v>
      </c>
      <c r="AA174" s="127" t="s">
        <v>237</v>
      </c>
      <c r="AB174" s="127">
        <v>20</v>
      </c>
      <c r="AC174" s="229"/>
    </row>
    <row r="175" spans="1:29" x14ac:dyDescent="0.25">
      <c r="A175" s="127" t="s">
        <v>390</v>
      </c>
      <c r="B175" s="249">
        <v>8.6099999999999996E-2</v>
      </c>
      <c r="C175" s="201">
        <v>4.7300000000000002E-2</v>
      </c>
      <c r="D175" s="207"/>
      <c r="E175" s="201">
        <v>7.2999999999999995E-2</v>
      </c>
      <c r="F175" s="201">
        <v>0.12509999999999999</v>
      </c>
      <c r="G175" s="226">
        <f t="shared" si="23"/>
        <v>104.71622701838531</v>
      </c>
      <c r="H175" s="207">
        <f t="shared" ref="H175:H187" si="32">0.0726+J175</f>
        <v>7.46E-2</v>
      </c>
      <c r="I175" s="207"/>
      <c r="J175" s="207">
        <v>2E-3</v>
      </c>
      <c r="K175" s="208"/>
      <c r="L175" s="127">
        <v>840</v>
      </c>
      <c r="M175" s="127">
        <v>15</v>
      </c>
      <c r="N175" s="200">
        <f t="shared" ref="N175:N187" si="33">MIN($B175,(75*$F175/1000)+$E175)</f>
        <v>8.2382499999999997E-2</v>
      </c>
      <c r="O175" s="200">
        <f t="shared" ref="O175:O187" si="34">MIN($B175,(150*$F175/1000)+$E175)</f>
        <v>8.6099999999999996E-2</v>
      </c>
      <c r="P175" s="200">
        <f t="shared" ref="P175:P187" si="35">MIN($B175,(225*$F175/1000)+$E175)</f>
        <v>8.6099999999999996E-2</v>
      </c>
      <c r="Q175" s="200">
        <f t="shared" si="27"/>
        <v>8.6099999999999996E-2</v>
      </c>
      <c r="R175" s="127" t="s">
        <v>175</v>
      </c>
      <c r="S175" s="127" t="str">
        <f>""</f>
        <v/>
      </c>
      <c r="T175" s="127" t="s">
        <v>177</v>
      </c>
      <c r="U175" s="127" t="s">
        <v>178</v>
      </c>
      <c r="V175" s="127" t="s">
        <v>179</v>
      </c>
      <c r="W175" s="127" t="s">
        <v>235</v>
      </c>
      <c r="X175" s="127" t="s">
        <v>214</v>
      </c>
      <c r="Y175" s="127" t="s">
        <v>534</v>
      </c>
      <c r="Z175" s="127" t="s">
        <v>183</v>
      </c>
      <c r="AA175" s="127" t="s">
        <v>237</v>
      </c>
      <c r="AB175" s="127">
        <v>20</v>
      </c>
    </row>
    <row r="176" spans="1:29" x14ac:dyDescent="0.25">
      <c r="A176" s="127" t="s">
        <v>551</v>
      </c>
      <c r="B176" s="249">
        <v>9.8699999999999996E-2</v>
      </c>
      <c r="C176" s="201">
        <v>4.7300000000000002E-2</v>
      </c>
      <c r="D176" s="207"/>
      <c r="E176" s="201">
        <v>7.2999999999999995E-2</v>
      </c>
      <c r="F176" s="201">
        <v>0.23230000000000001</v>
      </c>
      <c r="G176" s="226">
        <f t="shared" si="23"/>
        <v>110.63280241067585</v>
      </c>
      <c r="H176" s="207">
        <f t="shared" si="32"/>
        <v>7.46E-2</v>
      </c>
      <c r="I176" s="207"/>
      <c r="J176" s="207">
        <v>2E-3</v>
      </c>
      <c r="K176" s="208"/>
      <c r="L176" s="127">
        <v>840</v>
      </c>
      <c r="M176" s="127">
        <v>15</v>
      </c>
      <c r="N176" s="200">
        <f t="shared" si="33"/>
        <v>9.0422499999999989E-2</v>
      </c>
      <c r="O176" s="200">
        <f t="shared" si="34"/>
        <v>9.8699999999999996E-2</v>
      </c>
      <c r="P176" s="200">
        <f t="shared" si="35"/>
        <v>9.8699999999999996E-2</v>
      </c>
      <c r="Q176" s="200">
        <f t="shared" si="27"/>
        <v>9.8699999999999996E-2</v>
      </c>
      <c r="R176" s="127" t="s">
        <v>175</v>
      </c>
      <c r="S176" s="127" t="str">
        <f>""</f>
        <v/>
      </c>
      <c r="T176" s="127" t="s">
        <v>177</v>
      </c>
      <c r="U176" s="127" t="s">
        <v>178</v>
      </c>
      <c r="V176" s="127" t="s">
        <v>179</v>
      </c>
      <c r="W176" s="127" t="s">
        <v>421</v>
      </c>
      <c r="X176" s="127" t="s">
        <v>214</v>
      </c>
      <c r="Y176" s="127" t="s">
        <v>534</v>
      </c>
      <c r="Z176" s="127" t="s">
        <v>183</v>
      </c>
      <c r="AA176" s="127" t="s">
        <v>237</v>
      </c>
      <c r="AB176" s="127">
        <v>20</v>
      </c>
    </row>
    <row r="177" spans="1:29" x14ac:dyDescent="0.25">
      <c r="A177" s="127" t="s">
        <v>552</v>
      </c>
      <c r="B177" s="249">
        <v>9.0300000000000005E-2</v>
      </c>
      <c r="C177" s="201">
        <v>4.7300000000000002E-2</v>
      </c>
      <c r="D177" s="207"/>
      <c r="E177" s="201">
        <v>7.2999999999999995E-2</v>
      </c>
      <c r="F177" s="201">
        <v>0.12509999999999999</v>
      </c>
      <c r="G177" s="226">
        <f t="shared" si="23"/>
        <v>138.28936850519594</v>
      </c>
      <c r="H177" s="207">
        <f t="shared" si="32"/>
        <v>7.46E-2</v>
      </c>
      <c r="I177" s="207"/>
      <c r="J177" s="207">
        <v>2E-3</v>
      </c>
      <c r="K177" s="208"/>
      <c r="L177" s="127">
        <v>840</v>
      </c>
      <c r="M177" s="127">
        <v>15</v>
      </c>
      <c r="N177" s="200">
        <f t="shared" si="33"/>
        <v>8.2382499999999997E-2</v>
      </c>
      <c r="O177" s="200">
        <f t="shared" si="34"/>
        <v>9.0300000000000005E-2</v>
      </c>
      <c r="P177" s="200">
        <f t="shared" si="35"/>
        <v>9.0300000000000005E-2</v>
      </c>
      <c r="Q177" s="200">
        <f t="shared" si="27"/>
        <v>9.0300000000000005E-2</v>
      </c>
      <c r="R177" s="127" t="s">
        <v>175</v>
      </c>
      <c r="S177" s="127" t="str">
        <f>""</f>
        <v/>
      </c>
      <c r="T177" s="127" t="s">
        <v>177</v>
      </c>
      <c r="U177" s="127" t="s">
        <v>178</v>
      </c>
      <c r="V177" s="127" t="s">
        <v>179</v>
      </c>
      <c r="W177" s="127" t="s">
        <v>421</v>
      </c>
      <c r="X177" s="127" t="s">
        <v>214</v>
      </c>
      <c r="Y177" s="127" t="s">
        <v>534</v>
      </c>
      <c r="Z177" s="127" t="s">
        <v>183</v>
      </c>
      <c r="AA177" s="127" t="s">
        <v>237</v>
      </c>
      <c r="AB177" s="127">
        <v>20</v>
      </c>
    </row>
    <row r="178" spans="1:29" x14ac:dyDescent="0.25">
      <c r="A178" s="127" t="s">
        <v>460</v>
      </c>
      <c r="B178" s="249">
        <v>0.13350000000000001</v>
      </c>
      <c r="C178" s="201">
        <v>4.7300000000000002E-2</v>
      </c>
      <c r="D178" s="207"/>
      <c r="E178" s="201">
        <v>7.2999999999999995E-2</v>
      </c>
      <c r="F178" s="201">
        <v>0.2293</v>
      </c>
      <c r="G178" s="226">
        <f t="shared" si="23"/>
        <v>263.84648931530751</v>
      </c>
      <c r="H178" s="207">
        <f t="shared" si="32"/>
        <v>7.46E-2</v>
      </c>
      <c r="I178" s="207"/>
      <c r="J178" s="207">
        <v>2E-3</v>
      </c>
      <c r="K178" s="208"/>
      <c r="L178" s="127">
        <v>600</v>
      </c>
      <c r="M178" s="127">
        <v>15</v>
      </c>
      <c r="N178" s="200">
        <f t="shared" si="33"/>
        <v>9.01975E-2</v>
      </c>
      <c r="O178" s="200">
        <f t="shared" si="34"/>
        <v>0.10739499999999999</v>
      </c>
      <c r="P178" s="200">
        <f t="shared" si="35"/>
        <v>0.12459249999999999</v>
      </c>
      <c r="Q178" s="200">
        <f t="shared" si="27"/>
        <v>0.13350000000000001</v>
      </c>
      <c r="R178" s="127" t="s">
        <v>175</v>
      </c>
      <c r="S178" s="127" t="str">
        <f>""</f>
        <v/>
      </c>
      <c r="T178" s="127" t="s">
        <v>177</v>
      </c>
      <c r="U178" s="127" t="s">
        <v>178</v>
      </c>
      <c r="V178" s="127" t="s">
        <v>179</v>
      </c>
      <c r="W178" s="127" t="s">
        <v>504</v>
      </c>
      <c r="X178" s="127" t="s">
        <v>214</v>
      </c>
      <c r="Y178" s="127" t="s">
        <v>534</v>
      </c>
      <c r="Z178" s="127" t="s">
        <v>183</v>
      </c>
      <c r="AA178" s="127" t="s">
        <v>237</v>
      </c>
      <c r="AB178" s="127">
        <v>20</v>
      </c>
    </row>
    <row r="179" spans="1:29" x14ac:dyDescent="0.25">
      <c r="A179" s="127" t="s">
        <v>391</v>
      </c>
      <c r="B179" s="249">
        <v>9.7900000000000001E-2</v>
      </c>
      <c r="C179" s="201">
        <v>4.7300000000000002E-2</v>
      </c>
      <c r="D179" s="207"/>
      <c r="E179" s="201">
        <v>7.2999999999999995E-2</v>
      </c>
      <c r="F179" s="201">
        <v>0.1084</v>
      </c>
      <c r="G179" s="226">
        <f t="shared" si="23"/>
        <v>229.70479704797054</v>
      </c>
      <c r="H179" s="207">
        <f t="shared" si="32"/>
        <v>7.46E-2</v>
      </c>
      <c r="I179" s="207"/>
      <c r="J179" s="207">
        <v>2E-3</v>
      </c>
      <c r="K179" s="208"/>
      <c r="L179" s="127">
        <v>855</v>
      </c>
      <c r="M179" s="127">
        <v>15</v>
      </c>
      <c r="N179" s="200">
        <f t="shared" si="33"/>
        <v>8.1129999999999994E-2</v>
      </c>
      <c r="O179" s="200">
        <f t="shared" si="34"/>
        <v>8.9259999999999992E-2</v>
      </c>
      <c r="P179" s="200">
        <f t="shared" si="35"/>
        <v>9.7390000000000004E-2</v>
      </c>
      <c r="Q179" s="200">
        <f t="shared" si="27"/>
        <v>9.7900000000000001E-2</v>
      </c>
      <c r="R179" s="127" t="s">
        <v>175</v>
      </c>
      <c r="S179" s="127" t="str">
        <f>""</f>
        <v/>
      </c>
      <c r="T179" s="127" t="s">
        <v>177</v>
      </c>
      <c r="U179" s="127" t="s">
        <v>178</v>
      </c>
      <c r="V179" s="127" t="s">
        <v>179</v>
      </c>
      <c r="W179" s="127" t="s">
        <v>507</v>
      </c>
      <c r="X179" s="127" t="s">
        <v>214</v>
      </c>
      <c r="Y179" s="127" t="s">
        <v>236</v>
      </c>
      <c r="Z179" s="127" t="s">
        <v>183</v>
      </c>
      <c r="AA179" s="127" t="s">
        <v>237</v>
      </c>
      <c r="AB179" s="127">
        <v>20</v>
      </c>
      <c r="AC179" s="229"/>
    </row>
    <row r="180" spans="1:29" x14ac:dyDescent="0.25">
      <c r="A180" s="127" t="s">
        <v>392</v>
      </c>
      <c r="B180" s="249">
        <v>9.2499999999999999E-2</v>
      </c>
      <c r="C180" s="201">
        <v>4.7300000000000002E-2</v>
      </c>
      <c r="D180" s="207"/>
      <c r="E180" s="201">
        <v>7.2999999999999995E-2</v>
      </c>
      <c r="F180" s="201">
        <v>9.0399999999999994E-2</v>
      </c>
      <c r="G180" s="226">
        <f t="shared" si="23"/>
        <v>215.70796460176996</v>
      </c>
      <c r="H180" s="207">
        <f t="shared" si="32"/>
        <v>7.46E-2</v>
      </c>
      <c r="I180" s="207"/>
      <c r="J180" s="207">
        <v>2E-3</v>
      </c>
      <c r="K180" s="208"/>
      <c r="L180" s="127">
        <v>855</v>
      </c>
      <c r="M180" s="127">
        <v>15</v>
      </c>
      <c r="N180" s="200">
        <f t="shared" si="33"/>
        <v>7.977999999999999E-2</v>
      </c>
      <c r="O180" s="200">
        <f t="shared" si="34"/>
        <v>8.6559999999999998E-2</v>
      </c>
      <c r="P180" s="200">
        <f t="shared" si="35"/>
        <v>9.2499999999999999E-2</v>
      </c>
      <c r="Q180" s="200">
        <f t="shared" si="27"/>
        <v>9.2499999999999999E-2</v>
      </c>
      <c r="R180" s="127" t="s">
        <v>175</v>
      </c>
      <c r="S180" s="127" t="str">
        <f>""</f>
        <v/>
      </c>
      <c r="T180" s="127" t="s">
        <v>177</v>
      </c>
      <c r="U180" s="127" t="s">
        <v>178</v>
      </c>
      <c r="V180" s="127" t="s">
        <v>179</v>
      </c>
      <c r="W180" s="127" t="s">
        <v>507</v>
      </c>
      <c r="X180" s="127" t="s">
        <v>214</v>
      </c>
      <c r="Y180" s="127" t="s">
        <v>236</v>
      </c>
      <c r="Z180" s="127" t="s">
        <v>183</v>
      </c>
      <c r="AA180" s="127" t="s">
        <v>237</v>
      </c>
      <c r="AB180" s="127">
        <v>20</v>
      </c>
    </row>
    <row r="181" spans="1:29" x14ac:dyDescent="0.25">
      <c r="A181" s="127" t="s">
        <v>466</v>
      </c>
      <c r="B181" s="249">
        <v>0.1038</v>
      </c>
      <c r="C181" s="201">
        <v>4.7300000000000002E-2</v>
      </c>
      <c r="D181" s="207"/>
      <c r="E181" s="201">
        <v>7.2999999999999995E-2</v>
      </c>
      <c r="F181" s="201">
        <v>0.1356</v>
      </c>
      <c r="G181" s="226">
        <f t="shared" si="23"/>
        <v>227.13864306784666</v>
      </c>
      <c r="H181" s="207">
        <f t="shared" si="32"/>
        <v>7.46E-2</v>
      </c>
      <c r="I181" s="207"/>
      <c r="J181" s="207">
        <v>2E-3</v>
      </c>
      <c r="K181" s="208"/>
      <c r="L181" s="127">
        <v>855</v>
      </c>
      <c r="M181" s="127">
        <v>15</v>
      </c>
      <c r="N181" s="200">
        <f t="shared" si="33"/>
        <v>8.3169999999999994E-2</v>
      </c>
      <c r="O181" s="200">
        <f t="shared" si="34"/>
        <v>9.3339999999999992E-2</v>
      </c>
      <c r="P181" s="200">
        <f t="shared" si="35"/>
        <v>0.10350999999999999</v>
      </c>
      <c r="Q181" s="200">
        <f t="shared" si="27"/>
        <v>0.1038</v>
      </c>
      <c r="R181" s="127" t="s">
        <v>175</v>
      </c>
      <c r="S181" s="127" t="str">
        <f>""</f>
        <v/>
      </c>
      <c r="T181" s="127" t="s">
        <v>177</v>
      </c>
      <c r="U181" s="127" t="s">
        <v>178</v>
      </c>
      <c r="V181" s="127" t="s">
        <v>179</v>
      </c>
      <c r="W181" s="127" t="s">
        <v>505</v>
      </c>
      <c r="X181" s="127" t="s">
        <v>214</v>
      </c>
      <c r="Y181" s="127" t="s">
        <v>236</v>
      </c>
      <c r="Z181" s="127" t="s">
        <v>183</v>
      </c>
      <c r="AA181" s="127" t="s">
        <v>237</v>
      </c>
      <c r="AB181" s="127">
        <v>20</v>
      </c>
    </row>
    <row r="182" spans="1:29" x14ac:dyDescent="0.25">
      <c r="A182" s="127" t="s">
        <v>467</v>
      </c>
      <c r="B182" s="249">
        <v>8.8900000000000007E-2</v>
      </c>
      <c r="C182" s="201">
        <v>4.7300000000000002E-2</v>
      </c>
      <c r="D182" s="207"/>
      <c r="E182" s="201">
        <v>7.2999999999999995E-2</v>
      </c>
      <c r="F182" s="201">
        <v>9.0399999999999994E-2</v>
      </c>
      <c r="G182" s="226">
        <f t="shared" si="23"/>
        <v>175.88495575221253</v>
      </c>
      <c r="H182" s="207">
        <f t="shared" si="32"/>
        <v>7.46E-2</v>
      </c>
      <c r="I182" s="207"/>
      <c r="J182" s="207">
        <v>2E-3</v>
      </c>
      <c r="K182" s="208"/>
      <c r="L182" s="127">
        <v>855</v>
      </c>
      <c r="M182" s="127">
        <v>15</v>
      </c>
      <c r="N182" s="200">
        <f t="shared" si="33"/>
        <v>7.977999999999999E-2</v>
      </c>
      <c r="O182" s="200">
        <f t="shared" si="34"/>
        <v>8.6559999999999998E-2</v>
      </c>
      <c r="P182" s="200">
        <f t="shared" si="35"/>
        <v>8.8900000000000007E-2</v>
      </c>
      <c r="Q182" s="200">
        <f t="shared" si="27"/>
        <v>8.8900000000000007E-2</v>
      </c>
      <c r="R182" s="127" t="s">
        <v>175</v>
      </c>
      <c r="S182" s="127" t="str">
        <f>""</f>
        <v/>
      </c>
      <c r="T182" s="127" t="s">
        <v>177</v>
      </c>
      <c r="U182" s="127" t="s">
        <v>178</v>
      </c>
      <c r="V182" s="127" t="s">
        <v>179</v>
      </c>
      <c r="W182" s="127" t="s">
        <v>505</v>
      </c>
      <c r="X182" s="127" t="s">
        <v>214</v>
      </c>
      <c r="Y182" s="127" t="s">
        <v>236</v>
      </c>
      <c r="Z182" s="127" t="s">
        <v>183</v>
      </c>
      <c r="AA182" s="127" t="s">
        <v>237</v>
      </c>
      <c r="AB182" s="127">
        <v>20</v>
      </c>
    </row>
    <row r="183" spans="1:29" x14ac:dyDescent="0.25">
      <c r="A183" s="127" t="s">
        <v>404</v>
      </c>
      <c r="B183" s="249">
        <v>7.8E-2</v>
      </c>
      <c r="C183" s="201">
        <v>4.7300000000000002E-2</v>
      </c>
      <c r="D183" s="207"/>
      <c r="E183" s="201">
        <v>7.2999999999999995E-2</v>
      </c>
      <c r="F183" s="201">
        <v>8.1299999999999997E-2</v>
      </c>
      <c r="G183" s="226">
        <f t="shared" si="23"/>
        <v>61.50061500615012</v>
      </c>
      <c r="H183" s="207">
        <f t="shared" si="32"/>
        <v>7.46E-2</v>
      </c>
      <c r="I183" s="207"/>
      <c r="J183" s="207">
        <v>2E-3</v>
      </c>
      <c r="K183" s="208"/>
      <c r="L183" s="127">
        <v>855</v>
      </c>
      <c r="M183" s="127">
        <v>15</v>
      </c>
      <c r="N183" s="200">
        <f t="shared" si="33"/>
        <v>7.8E-2</v>
      </c>
      <c r="O183" s="200">
        <f t="shared" si="34"/>
        <v>7.8E-2</v>
      </c>
      <c r="P183" s="200">
        <f t="shared" si="35"/>
        <v>7.8E-2</v>
      </c>
      <c r="Q183" s="200">
        <f t="shared" si="27"/>
        <v>7.8E-2</v>
      </c>
      <c r="R183" s="127" t="s">
        <v>175</v>
      </c>
      <c r="S183" s="127" t="str">
        <f>""</f>
        <v/>
      </c>
      <c r="T183" s="127" t="s">
        <v>177</v>
      </c>
      <c r="U183" s="127" t="s">
        <v>178</v>
      </c>
      <c r="V183" s="127" t="s">
        <v>179</v>
      </c>
      <c r="W183" s="127" t="s">
        <v>505</v>
      </c>
      <c r="X183" s="127" t="s">
        <v>214</v>
      </c>
      <c r="Y183" s="127" t="s">
        <v>236</v>
      </c>
      <c r="Z183" s="127" t="s">
        <v>183</v>
      </c>
      <c r="AA183" s="127" t="s">
        <v>237</v>
      </c>
      <c r="AB183" s="127">
        <v>20</v>
      </c>
    </row>
    <row r="184" spans="1:29" x14ac:dyDescent="0.25">
      <c r="A184" s="127" t="s">
        <v>459</v>
      </c>
      <c r="B184" s="249">
        <v>0.1013</v>
      </c>
      <c r="C184" s="201">
        <v>4.7300000000000002E-2</v>
      </c>
      <c r="D184" s="207"/>
      <c r="E184" s="201">
        <v>7.2999999999999995E-2</v>
      </c>
      <c r="F184" s="201">
        <v>0.13550000000000001</v>
      </c>
      <c r="G184" s="226">
        <f t="shared" si="23"/>
        <v>208.85608856088564</v>
      </c>
      <c r="H184" s="207">
        <f t="shared" si="32"/>
        <v>7.46E-2</v>
      </c>
      <c r="I184" s="207"/>
      <c r="J184" s="207">
        <v>2E-3</v>
      </c>
      <c r="K184" s="208"/>
      <c r="L184" s="127">
        <v>825</v>
      </c>
      <c r="M184" s="127">
        <v>15</v>
      </c>
      <c r="N184" s="200">
        <f t="shared" si="33"/>
        <v>8.31625E-2</v>
      </c>
      <c r="O184" s="200">
        <f t="shared" si="34"/>
        <v>9.3324999999999991E-2</v>
      </c>
      <c r="P184" s="200">
        <f t="shared" si="35"/>
        <v>0.1013</v>
      </c>
      <c r="Q184" s="200">
        <f t="shared" si="27"/>
        <v>0.1013</v>
      </c>
      <c r="R184" s="127" t="s">
        <v>175</v>
      </c>
      <c r="S184" s="127" t="str">
        <f>""</f>
        <v/>
      </c>
      <c r="T184" s="127" t="s">
        <v>177</v>
      </c>
      <c r="U184" s="127" t="s">
        <v>178</v>
      </c>
      <c r="V184" s="127" t="s">
        <v>179</v>
      </c>
      <c r="W184" s="127" t="s">
        <v>506</v>
      </c>
      <c r="X184" s="127" t="s">
        <v>214</v>
      </c>
      <c r="Y184" s="127" t="s">
        <v>236</v>
      </c>
      <c r="Z184" s="127" t="s">
        <v>183</v>
      </c>
      <c r="AA184" s="127"/>
      <c r="AB184" s="127">
        <v>20</v>
      </c>
    </row>
    <row r="185" spans="1:29" x14ac:dyDescent="0.25">
      <c r="A185" s="127" t="s">
        <v>468</v>
      </c>
      <c r="B185" s="249">
        <v>0.09</v>
      </c>
      <c r="C185" s="201">
        <v>4.7300000000000002E-2</v>
      </c>
      <c r="D185" s="207"/>
      <c r="E185" s="201">
        <v>7.2999999999999995E-2</v>
      </c>
      <c r="F185" s="201">
        <v>9.0300000000000005E-2</v>
      </c>
      <c r="G185" s="226">
        <f t="shared" si="23"/>
        <v>188.26135105204872</v>
      </c>
      <c r="H185" s="207">
        <f t="shared" si="32"/>
        <v>7.46E-2</v>
      </c>
      <c r="I185" s="207"/>
      <c r="J185" s="207">
        <v>2E-3</v>
      </c>
      <c r="K185" s="208"/>
      <c r="L185" s="127">
        <v>825</v>
      </c>
      <c r="M185" s="127">
        <v>15</v>
      </c>
      <c r="N185" s="200">
        <f t="shared" si="33"/>
        <v>7.9772499999999996E-2</v>
      </c>
      <c r="O185" s="200">
        <f t="shared" si="34"/>
        <v>8.6544999999999997E-2</v>
      </c>
      <c r="P185" s="200">
        <f t="shared" si="35"/>
        <v>0.09</v>
      </c>
      <c r="Q185" s="200">
        <f t="shared" si="27"/>
        <v>0.09</v>
      </c>
      <c r="R185" s="127" t="s">
        <v>175</v>
      </c>
      <c r="S185" s="127" t="str">
        <f>""</f>
        <v/>
      </c>
      <c r="T185" s="127" t="s">
        <v>177</v>
      </c>
      <c r="U185" s="127" t="s">
        <v>178</v>
      </c>
      <c r="V185" s="127" t="s">
        <v>179</v>
      </c>
      <c r="W185" s="127" t="s">
        <v>506</v>
      </c>
      <c r="X185" s="127" t="s">
        <v>214</v>
      </c>
      <c r="Y185" s="127" t="s">
        <v>236</v>
      </c>
      <c r="Z185" s="127" t="s">
        <v>183</v>
      </c>
      <c r="AA185" s="127"/>
      <c r="AB185" s="127">
        <v>20</v>
      </c>
    </row>
    <row r="186" spans="1:29" x14ac:dyDescent="0.25">
      <c r="A186" s="127" t="s">
        <v>553</v>
      </c>
      <c r="B186" s="200">
        <v>8.8900000000000007E-2</v>
      </c>
      <c r="C186" s="201">
        <v>4.7300000000000002E-2</v>
      </c>
      <c r="D186" s="127"/>
      <c r="E186" s="201">
        <v>7.2999999999999995E-2</v>
      </c>
      <c r="F186" s="201">
        <v>9.0300000000000005E-2</v>
      </c>
      <c r="G186" s="226">
        <f t="shared" si="23"/>
        <v>176.07973421926923</v>
      </c>
      <c r="H186" s="207">
        <f t="shared" si="32"/>
        <v>7.46E-2</v>
      </c>
      <c r="I186" s="127"/>
      <c r="J186" s="207">
        <v>2E-3</v>
      </c>
      <c r="K186" s="127"/>
      <c r="L186" s="127">
        <v>1045</v>
      </c>
      <c r="M186" s="127">
        <v>15</v>
      </c>
      <c r="N186" s="200">
        <f t="shared" si="33"/>
        <v>7.9772499999999996E-2</v>
      </c>
      <c r="O186" s="200">
        <f t="shared" si="34"/>
        <v>8.6544999999999997E-2</v>
      </c>
      <c r="P186" s="200">
        <f t="shared" si="35"/>
        <v>8.8900000000000007E-2</v>
      </c>
      <c r="Q186" s="200">
        <f t="shared" si="27"/>
        <v>8.8900000000000007E-2</v>
      </c>
      <c r="R186" s="127" t="s">
        <v>175</v>
      </c>
      <c r="S186" s="127" t="str">
        <f>""</f>
        <v/>
      </c>
      <c r="T186" s="127" t="s">
        <v>177</v>
      </c>
      <c r="U186" s="127" t="s">
        <v>178</v>
      </c>
      <c r="V186" s="127" t="s">
        <v>179</v>
      </c>
      <c r="W186" s="127" t="s">
        <v>422</v>
      </c>
      <c r="X186" s="127" t="s">
        <v>214</v>
      </c>
      <c r="Y186" s="127" t="s">
        <v>238</v>
      </c>
      <c r="Z186" s="127" t="s">
        <v>183</v>
      </c>
      <c r="AA186" s="127"/>
      <c r="AB186" s="127">
        <v>20</v>
      </c>
    </row>
    <row r="187" spans="1:29" x14ac:dyDescent="0.25">
      <c r="A187" s="127" t="s">
        <v>554</v>
      </c>
      <c r="B187" s="200">
        <v>0.1137</v>
      </c>
      <c r="C187" s="201">
        <v>4.7300000000000002E-2</v>
      </c>
      <c r="D187" s="127"/>
      <c r="E187" s="201">
        <v>7.2999999999999995E-2</v>
      </c>
      <c r="F187" s="201">
        <v>0.1356</v>
      </c>
      <c r="G187" s="226">
        <f t="shared" si="23"/>
        <v>300.14749262536878</v>
      </c>
      <c r="H187" s="207">
        <f t="shared" si="32"/>
        <v>7.46E-2</v>
      </c>
      <c r="I187" s="127"/>
      <c r="J187" s="207">
        <v>2E-3</v>
      </c>
      <c r="K187" s="127"/>
      <c r="L187" s="127">
        <v>855</v>
      </c>
      <c r="M187" s="127">
        <v>15</v>
      </c>
      <c r="N187" s="200">
        <f t="shared" si="33"/>
        <v>8.3169999999999994E-2</v>
      </c>
      <c r="O187" s="200">
        <f t="shared" si="34"/>
        <v>9.3339999999999992E-2</v>
      </c>
      <c r="P187" s="200">
        <f t="shared" si="35"/>
        <v>0.10350999999999999</v>
      </c>
      <c r="Q187" s="200">
        <f t="shared" si="27"/>
        <v>0.11368</v>
      </c>
      <c r="R187" s="127" t="s">
        <v>175</v>
      </c>
      <c r="S187" s="127" t="str">
        <f>""</f>
        <v/>
      </c>
      <c r="T187" s="127" t="s">
        <v>177</v>
      </c>
      <c r="U187" s="127" t="s">
        <v>178</v>
      </c>
      <c r="V187" s="127" t="s">
        <v>179</v>
      </c>
      <c r="W187" s="127" t="s">
        <v>577</v>
      </c>
      <c r="X187" s="127" t="s">
        <v>214</v>
      </c>
      <c r="Y187" s="127" t="s">
        <v>236</v>
      </c>
      <c r="Z187" s="127" t="s">
        <v>183</v>
      </c>
      <c r="AA187" s="127" t="s">
        <v>237</v>
      </c>
      <c r="AB187" s="127">
        <v>20</v>
      </c>
    </row>
    <row r="188" spans="1:29" ht="14.5" x14ac:dyDescent="0.35">
      <c r="A188" s="127"/>
      <c r="B188" s="208"/>
      <c r="C188" s="201"/>
      <c r="D188" s="207"/>
      <c r="E188" s="202"/>
      <c r="F188" s="202"/>
      <c r="G188" s="226"/>
      <c r="H188" s="207"/>
      <c r="I188" s="207"/>
      <c r="J188" s="207"/>
      <c r="K188" s="207"/>
      <c r="L188" s="127"/>
      <c r="M188" s="127"/>
      <c r="N188" s="200"/>
      <c r="O188" s="200"/>
      <c r="P188" s="200"/>
      <c r="Q188" s="200"/>
      <c r="R188" s="127"/>
      <c r="S188" s="127" t="s">
        <v>212</v>
      </c>
      <c r="T188" s="127"/>
      <c r="U188" s="127"/>
      <c r="V188" s="127"/>
      <c r="W188" s="127"/>
      <c r="X188" s="127"/>
      <c r="Y188" s="127"/>
      <c r="Z188" s="127"/>
      <c r="AA188" s="127"/>
      <c r="AB188" s="127"/>
    </row>
    <row r="189" spans="1:29" ht="14.5" x14ac:dyDescent="0.35">
      <c r="A189" s="203" t="s">
        <v>239</v>
      </c>
      <c r="B189" s="208"/>
      <c r="C189" s="201"/>
      <c r="D189" s="207"/>
      <c r="E189" s="202"/>
      <c r="F189" s="202"/>
      <c r="G189" s="226"/>
      <c r="H189" s="207"/>
      <c r="I189" s="207"/>
      <c r="J189" s="207"/>
      <c r="K189" s="207"/>
      <c r="L189" s="127"/>
      <c r="M189" s="127"/>
      <c r="N189" s="200"/>
      <c r="O189" s="200"/>
      <c r="P189" s="200"/>
      <c r="Q189" s="200"/>
      <c r="R189" s="127"/>
      <c r="S189" s="127" t="s">
        <v>212</v>
      </c>
      <c r="T189" s="127"/>
      <c r="U189" s="127"/>
      <c r="V189" s="127"/>
      <c r="W189" s="127"/>
      <c r="X189" s="127"/>
      <c r="Y189" s="127"/>
      <c r="Z189" s="127"/>
      <c r="AA189" s="127"/>
      <c r="AB189" s="127"/>
    </row>
    <row r="190" spans="1:29" ht="14.5" x14ac:dyDescent="0.35">
      <c r="A190" s="127" t="s">
        <v>240</v>
      </c>
      <c r="B190" s="208">
        <v>0.112</v>
      </c>
      <c r="C190" s="247">
        <v>6.0600000000000001E-2</v>
      </c>
      <c r="D190" s="207"/>
      <c r="E190" s="202">
        <v>8.2400000000000001E-2</v>
      </c>
      <c r="F190" s="202">
        <v>0.22500000000000001</v>
      </c>
      <c r="G190" s="226">
        <f t="shared" si="23"/>
        <v>131.55555555555557</v>
      </c>
      <c r="H190" s="207">
        <v>8.3299999999999999E-2</v>
      </c>
      <c r="I190" s="207" t="str">
        <f>""</f>
        <v/>
      </c>
      <c r="J190" s="207"/>
      <c r="K190" s="207">
        <v>1.6000000000000001E-3</v>
      </c>
      <c r="L190" s="127">
        <v>600</v>
      </c>
      <c r="M190" s="127">
        <v>15</v>
      </c>
      <c r="N190" s="200">
        <f>MIN($B190,(75*$F190/1000)+$E190)</f>
        <v>9.9275000000000002E-2</v>
      </c>
      <c r="O190" s="200">
        <f>MIN($B190,(150*$F190/1000)+$E190)</f>
        <v>0.112</v>
      </c>
      <c r="P190" s="200">
        <f>MIN($B190,(225*$F190/1000)+$E190)</f>
        <v>0.112</v>
      </c>
      <c r="Q190" s="200">
        <f t="shared" si="27"/>
        <v>0.112</v>
      </c>
      <c r="R190" s="127" t="s">
        <v>176</v>
      </c>
      <c r="S190" s="127" t="str">
        <f>""</f>
        <v/>
      </c>
      <c r="T190" s="127" t="s">
        <v>177</v>
      </c>
      <c r="U190" s="127" t="s">
        <v>178</v>
      </c>
      <c r="V190" s="127" t="s">
        <v>179</v>
      </c>
      <c r="W190" s="127" t="s">
        <v>241</v>
      </c>
      <c r="X190" s="127" t="s">
        <v>187</v>
      </c>
      <c r="Y190" s="127" t="s">
        <v>535</v>
      </c>
      <c r="Z190" s="127" t="s">
        <v>183</v>
      </c>
      <c r="AA190" s="127" t="str">
        <f>""</f>
        <v/>
      </c>
      <c r="AB190" s="127">
        <v>15</v>
      </c>
    </row>
    <row r="191" spans="1:29" ht="14.5" x14ac:dyDescent="0.35">
      <c r="A191" s="127" t="s">
        <v>242</v>
      </c>
      <c r="B191" s="208">
        <v>9.4600000000000004E-2</v>
      </c>
      <c r="C191" s="247">
        <v>1.3100000000000001E-2</v>
      </c>
      <c r="D191" s="207"/>
      <c r="E191" s="202">
        <v>3.1E-2</v>
      </c>
      <c r="F191" s="202">
        <v>0.22500000000000001</v>
      </c>
      <c r="G191" s="226">
        <f t="shared" si="23"/>
        <v>282.66666666666669</v>
      </c>
      <c r="H191" s="207">
        <v>2.7300000000000001E-2</v>
      </c>
      <c r="I191" s="207" t="str">
        <f>""</f>
        <v/>
      </c>
      <c r="J191" s="207"/>
      <c r="K191" s="207">
        <v>1.6000000000000001E-3</v>
      </c>
      <c r="L191" s="127">
        <v>600</v>
      </c>
      <c r="M191" s="127">
        <v>15</v>
      </c>
      <c r="N191" s="200">
        <f t="shared" ref="N191:N285" si="36">MIN($B191,(75*$F191/1000)+$E191)</f>
        <v>4.7875000000000001E-2</v>
      </c>
      <c r="O191" s="200">
        <f t="shared" ref="O191:O285" si="37">MIN($B191,(150*$F191/1000)+$E191)</f>
        <v>6.4750000000000002E-2</v>
      </c>
      <c r="P191" s="200">
        <f t="shared" ref="P191:P285" si="38">MIN($B191,(225*$F191/1000)+$E191)</f>
        <v>8.1625000000000003E-2</v>
      </c>
      <c r="Q191" s="200">
        <f t="shared" si="27"/>
        <v>9.4600000000000004E-2</v>
      </c>
      <c r="R191" s="127" t="s">
        <v>176</v>
      </c>
      <c r="S191" s="127" t="str">
        <f>""</f>
        <v/>
      </c>
      <c r="T191" s="127" t="s">
        <v>177</v>
      </c>
      <c r="U191" s="127" t="s">
        <v>178</v>
      </c>
      <c r="V191" s="127" t="s">
        <v>179</v>
      </c>
      <c r="W191" s="127" t="s">
        <v>241</v>
      </c>
      <c r="X191" s="127" t="s">
        <v>187</v>
      </c>
      <c r="Y191" s="127" t="s">
        <v>535</v>
      </c>
      <c r="Z191" s="127" t="s">
        <v>183</v>
      </c>
      <c r="AA191" s="127" t="str">
        <f>""</f>
        <v/>
      </c>
      <c r="AB191" s="127">
        <v>15</v>
      </c>
    </row>
    <row r="192" spans="1:29" ht="15" customHeight="1" x14ac:dyDescent="0.35">
      <c r="A192" s="127" t="s">
        <v>478</v>
      </c>
      <c r="B192" s="208">
        <v>9.0700000000000003E-2</v>
      </c>
      <c r="C192" s="247">
        <v>1.3100000000000001E-2</v>
      </c>
      <c r="D192" s="207"/>
      <c r="E192" s="202">
        <v>3.1E-2</v>
      </c>
      <c r="F192" s="202">
        <v>0.21199999999999999</v>
      </c>
      <c r="G192" s="226">
        <f t="shared" si="23"/>
        <v>281.6037735849057</v>
      </c>
      <c r="H192" s="207">
        <v>2.7300000000000001E-2</v>
      </c>
      <c r="I192" s="207"/>
      <c r="J192" s="207"/>
      <c r="K192" s="207">
        <v>1.6000000000000001E-3</v>
      </c>
      <c r="L192" s="127">
        <v>4600</v>
      </c>
      <c r="M192" s="127">
        <v>15</v>
      </c>
      <c r="N192" s="200">
        <f t="shared" si="36"/>
        <v>4.6899999999999997E-2</v>
      </c>
      <c r="O192" s="200">
        <f t="shared" si="37"/>
        <v>6.2799999999999995E-2</v>
      </c>
      <c r="P192" s="200">
        <f t="shared" si="38"/>
        <v>7.8699999999999992E-2</v>
      </c>
      <c r="Q192" s="200">
        <f t="shared" si="27"/>
        <v>9.0700000000000003E-2</v>
      </c>
      <c r="R192" s="127" t="s">
        <v>176</v>
      </c>
      <c r="S192" s="127" t="str">
        <f>""</f>
        <v/>
      </c>
      <c r="T192" s="127" t="s">
        <v>177</v>
      </c>
      <c r="U192" s="127" t="s">
        <v>178</v>
      </c>
      <c r="V192" s="127" t="s">
        <v>179</v>
      </c>
      <c r="W192" s="127" t="s">
        <v>527</v>
      </c>
      <c r="X192" s="127" t="s">
        <v>187</v>
      </c>
      <c r="Y192" s="128" t="s">
        <v>536</v>
      </c>
      <c r="Z192" s="127" t="s">
        <v>183</v>
      </c>
      <c r="AA192" s="127"/>
      <c r="AB192" s="127">
        <v>15</v>
      </c>
    </row>
    <row r="193" spans="1:28" ht="14.5" x14ac:dyDescent="0.35">
      <c r="A193" s="127"/>
      <c r="B193" s="208"/>
      <c r="C193" s="201"/>
      <c r="D193" s="207"/>
      <c r="E193" s="202"/>
      <c r="F193" s="202"/>
      <c r="G193" s="226"/>
      <c r="H193" s="207"/>
      <c r="I193" s="207"/>
      <c r="J193" s="207"/>
      <c r="K193" s="207"/>
      <c r="L193" s="127"/>
      <c r="M193" s="127"/>
      <c r="N193" s="200"/>
      <c r="O193" s="200"/>
      <c r="P193" s="200"/>
      <c r="Q193" s="200"/>
      <c r="R193" s="127"/>
      <c r="S193" s="127"/>
      <c r="T193" s="127"/>
      <c r="U193" s="127"/>
      <c r="V193" s="127"/>
      <c r="W193" s="127"/>
      <c r="X193" s="127"/>
      <c r="Y193" s="127"/>
      <c r="Z193" s="127"/>
      <c r="AA193" s="127"/>
      <c r="AB193" s="127"/>
    </row>
    <row r="194" spans="1:28" ht="15" x14ac:dyDescent="0.35">
      <c r="A194" s="252" t="s">
        <v>587</v>
      </c>
      <c r="B194" s="208"/>
      <c r="C194" s="201"/>
      <c r="D194" s="207"/>
      <c r="E194" s="202"/>
      <c r="F194" s="202"/>
      <c r="G194" s="226"/>
      <c r="H194" s="207"/>
      <c r="I194" s="207"/>
      <c r="J194" s="207"/>
      <c r="K194" s="207"/>
      <c r="L194" s="127"/>
      <c r="M194" s="127"/>
      <c r="N194" s="200"/>
      <c r="O194" s="200"/>
      <c r="P194" s="200"/>
      <c r="Q194" s="200"/>
      <c r="R194" s="127"/>
      <c r="S194" s="127"/>
      <c r="T194" s="127"/>
      <c r="U194" s="127"/>
      <c r="V194" s="127"/>
      <c r="W194" s="127"/>
      <c r="X194" s="127"/>
      <c r="Y194" s="127"/>
      <c r="Z194" s="127"/>
      <c r="AA194" s="127"/>
      <c r="AB194" s="127"/>
    </row>
    <row r="195" spans="1:28" ht="15.5" x14ac:dyDescent="0.4">
      <c r="A195" s="127" t="s">
        <v>612</v>
      </c>
      <c r="B195" s="208">
        <v>282.9162</v>
      </c>
      <c r="C195" s="201">
        <v>0</v>
      </c>
      <c r="D195" s="207"/>
      <c r="E195" s="202">
        <v>0</v>
      </c>
      <c r="F195" s="202">
        <v>943.05399999999997</v>
      </c>
      <c r="G195" s="226">
        <f t="shared" si="23"/>
        <v>300</v>
      </c>
      <c r="H195" s="207">
        <v>0</v>
      </c>
      <c r="I195" s="207"/>
      <c r="J195" s="207"/>
      <c r="K195" s="207">
        <v>0</v>
      </c>
      <c r="L195" s="127">
        <v>4000</v>
      </c>
      <c r="M195" s="127">
        <v>15</v>
      </c>
      <c r="N195" s="200">
        <f t="shared" si="36"/>
        <v>70.729050000000001</v>
      </c>
      <c r="O195" s="200">
        <f t="shared" si="37"/>
        <v>141.4581</v>
      </c>
      <c r="P195" s="200">
        <f t="shared" si="38"/>
        <v>212.18715</v>
      </c>
      <c r="Q195" s="200">
        <f t="shared" si="27"/>
        <v>282.9162</v>
      </c>
      <c r="R195" s="127" t="s">
        <v>243</v>
      </c>
      <c r="S195" s="127" t="str">
        <f>""</f>
        <v/>
      </c>
      <c r="T195" s="127" t="s">
        <v>244</v>
      </c>
      <c r="U195" s="127" t="s">
        <v>245</v>
      </c>
      <c r="V195" s="127" t="s">
        <v>246</v>
      </c>
      <c r="W195" s="127" t="s">
        <v>247</v>
      </c>
      <c r="X195" s="127" t="s">
        <v>248</v>
      </c>
      <c r="Y195" s="127" t="s">
        <v>402</v>
      </c>
      <c r="Z195" s="127" t="s">
        <v>249</v>
      </c>
      <c r="AA195" s="127" t="str">
        <f>""</f>
        <v/>
      </c>
      <c r="AB195" s="127">
        <v>15</v>
      </c>
    </row>
    <row r="196" spans="1:28" ht="15.5" x14ac:dyDescent="0.4">
      <c r="A196" s="127" t="s">
        <v>613</v>
      </c>
      <c r="B196" s="208">
        <v>279.55110000000002</v>
      </c>
      <c r="C196" s="201">
        <v>0</v>
      </c>
      <c r="D196" s="207"/>
      <c r="E196" s="202">
        <v>0</v>
      </c>
      <c r="F196" s="202">
        <v>939.54399999999998</v>
      </c>
      <c r="G196" s="226">
        <f t="shared" si="23"/>
        <v>297.53912536294206</v>
      </c>
      <c r="H196" s="207">
        <v>0</v>
      </c>
      <c r="I196" s="207"/>
      <c r="J196" s="207"/>
      <c r="K196" s="207">
        <v>0</v>
      </c>
      <c r="L196" s="127">
        <v>4000</v>
      </c>
      <c r="M196" s="127">
        <v>15</v>
      </c>
      <c r="N196" s="200">
        <f t="shared" si="36"/>
        <v>70.465800000000002</v>
      </c>
      <c r="O196" s="200">
        <f t="shared" si="37"/>
        <v>140.9316</v>
      </c>
      <c r="P196" s="200">
        <f t="shared" si="38"/>
        <v>211.3974</v>
      </c>
      <c r="Q196" s="200">
        <f t="shared" si="27"/>
        <v>279.55110000000002</v>
      </c>
      <c r="R196" s="127" t="s">
        <v>243</v>
      </c>
      <c r="S196" s="127" t="str">
        <f>""</f>
        <v/>
      </c>
      <c r="T196" s="127" t="s">
        <v>244</v>
      </c>
      <c r="U196" s="127" t="s">
        <v>245</v>
      </c>
      <c r="V196" s="127" t="s">
        <v>246</v>
      </c>
      <c r="W196" s="127" t="s">
        <v>247</v>
      </c>
      <c r="X196" s="127" t="s">
        <v>248</v>
      </c>
      <c r="Y196" s="127" t="s">
        <v>402</v>
      </c>
      <c r="Z196" s="127" t="s">
        <v>249</v>
      </c>
      <c r="AA196" s="127" t="str">
        <f>""</f>
        <v/>
      </c>
      <c r="AB196" s="127">
        <v>15</v>
      </c>
    </row>
    <row r="197" spans="1:28" ht="15.5" x14ac:dyDescent="0.4">
      <c r="A197" s="127" t="s">
        <v>614</v>
      </c>
      <c r="B197" s="208">
        <v>220.1705</v>
      </c>
      <c r="C197" s="201">
        <v>0</v>
      </c>
      <c r="D197" s="207"/>
      <c r="E197" s="202">
        <v>0</v>
      </c>
      <c r="F197" s="202">
        <v>939.54399999999998</v>
      </c>
      <c r="G197" s="226">
        <f t="shared" si="23"/>
        <v>234.3376148429451</v>
      </c>
      <c r="H197" s="207">
        <v>0</v>
      </c>
      <c r="I197" s="207"/>
      <c r="J197" s="207"/>
      <c r="K197" s="207">
        <v>0</v>
      </c>
      <c r="L197" s="127">
        <v>4000</v>
      </c>
      <c r="M197" s="127">
        <v>15</v>
      </c>
      <c r="N197" s="200">
        <f t="shared" si="36"/>
        <v>70.465800000000002</v>
      </c>
      <c r="O197" s="200">
        <f t="shared" si="37"/>
        <v>140.9316</v>
      </c>
      <c r="P197" s="200">
        <f t="shared" si="38"/>
        <v>211.3974</v>
      </c>
      <c r="Q197" s="200">
        <f t="shared" si="27"/>
        <v>220.1705</v>
      </c>
      <c r="R197" s="127" t="s">
        <v>243</v>
      </c>
      <c r="S197" s="127" t="str">
        <f>""</f>
        <v/>
      </c>
      <c r="T197" s="127" t="s">
        <v>244</v>
      </c>
      <c r="U197" s="127" t="s">
        <v>245</v>
      </c>
      <c r="V197" s="127" t="s">
        <v>246</v>
      </c>
      <c r="W197" s="127" t="s">
        <v>247</v>
      </c>
      <c r="X197" s="127" t="s">
        <v>248</v>
      </c>
      <c r="Y197" s="127" t="s">
        <v>402</v>
      </c>
      <c r="Z197" s="127" t="s">
        <v>249</v>
      </c>
      <c r="AA197" s="127" t="str">
        <f>""</f>
        <v/>
      </c>
      <c r="AB197" s="127">
        <v>15</v>
      </c>
    </row>
    <row r="198" spans="1:28" ht="14.5" x14ac:dyDescent="0.35">
      <c r="A198" s="127" t="s">
        <v>658</v>
      </c>
      <c r="B198" s="208">
        <v>281.86320000000001</v>
      </c>
      <c r="C198" s="201">
        <v>0</v>
      </c>
      <c r="D198" s="207"/>
      <c r="E198" s="202">
        <v>0</v>
      </c>
      <c r="F198" s="202">
        <v>939.54399999999998</v>
      </c>
      <c r="G198" s="226">
        <f t="shared" si="23"/>
        <v>300</v>
      </c>
      <c r="H198" s="207">
        <v>0</v>
      </c>
      <c r="I198" s="207"/>
      <c r="J198" s="207"/>
      <c r="K198" s="207">
        <v>0</v>
      </c>
      <c r="L198" s="127">
        <v>4000</v>
      </c>
      <c r="M198" s="127">
        <v>15</v>
      </c>
      <c r="N198" s="200">
        <f t="shared" si="36"/>
        <v>70.465800000000002</v>
      </c>
      <c r="O198" s="200">
        <f t="shared" si="37"/>
        <v>140.9316</v>
      </c>
      <c r="P198" s="200">
        <f t="shared" si="38"/>
        <v>211.3974</v>
      </c>
      <c r="Q198" s="200">
        <f t="shared" si="27"/>
        <v>281.86320000000001</v>
      </c>
      <c r="R198" s="127" t="s">
        <v>243</v>
      </c>
      <c r="S198" s="127" t="str">
        <f>""</f>
        <v/>
      </c>
      <c r="T198" s="127" t="s">
        <v>244</v>
      </c>
      <c r="U198" s="127" t="s">
        <v>245</v>
      </c>
      <c r="V198" s="127" t="s">
        <v>246</v>
      </c>
      <c r="W198" s="127" t="s">
        <v>247</v>
      </c>
      <c r="X198" s="127" t="s">
        <v>248</v>
      </c>
      <c r="Y198" s="127" t="s">
        <v>402</v>
      </c>
      <c r="Z198" s="127" t="s">
        <v>249</v>
      </c>
      <c r="AA198" s="127"/>
      <c r="AB198" s="127">
        <v>15</v>
      </c>
    </row>
    <row r="199" spans="1:28" ht="14.5" x14ac:dyDescent="0.35">
      <c r="A199" s="127" t="s">
        <v>659</v>
      </c>
      <c r="B199" s="208">
        <v>281.86320000000001</v>
      </c>
      <c r="C199" s="201">
        <v>0</v>
      </c>
      <c r="D199" s="207"/>
      <c r="E199" s="202">
        <v>0</v>
      </c>
      <c r="F199" s="202">
        <v>939.54399999999998</v>
      </c>
      <c r="G199" s="226">
        <f t="shared" si="23"/>
        <v>300</v>
      </c>
      <c r="H199" s="207">
        <v>0</v>
      </c>
      <c r="I199" s="207"/>
      <c r="J199" s="207"/>
      <c r="K199" s="207">
        <v>0</v>
      </c>
      <c r="L199" s="127">
        <v>4000</v>
      </c>
      <c r="M199" s="127">
        <v>15</v>
      </c>
      <c r="N199" s="200">
        <f t="shared" si="36"/>
        <v>70.465800000000002</v>
      </c>
      <c r="O199" s="200">
        <f t="shared" si="37"/>
        <v>140.9316</v>
      </c>
      <c r="P199" s="200">
        <f t="shared" si="38"/>
        <v>211.3974</v>
      </c>
      <c r="Q199" s="200">
        <f t="shared" si="27"/>
        <v>281.86320000000001</v>
      </c>
      <c r="R199" s="127" t="s">
        <v>243</v>
      </c>
      <c r="S199" s="127" t="str">
        <f>""</f>
        <v/>
      </c>
      <c r="T199" s="127" t="s">
        <v>244</v>
      </c>
      <c r="U199" s="127" t="s">
        <v>245</v>
      </c>
      <c r="V199" s="127" t="s">
        <v>246</v>
      </c>
      <c r="W199" s="127" t="s">
        <v>247</v>
      </c>
      <c r="X199" s="127" t="s">
        <v>248</v>
      </c>
      <c r="Y199" s="127" t="s">
        <v>402</v>
      </c>
      <c r="Z199" s="127" t="s">
        <v>249</v>
      </c>
      <c r="AA199" s="127"/>
      <c r="AB199" s="127">
        <v>15</v>
      </c>
    </row>
    <row r="200" spans="1:28" ht="15.5" x14ac:dyDescent="0.4">
      <c r="A200" s="127" t="s">
        <v>618</v>
      </c>
      <c r="B200" s="208">
        <v>282.9162</v>
      </c>
      <c r="C200" s="201">
        <v>0</v>
      </c>
      <c r="D200" s="207"/>
      <c r="E200" s="202">
        <v>0</v>
      </c>
      <c r="F200" s="202">
        <v>943.05399999999997</v>
      </c>
      <c r="G200" s="226">
        <f t="shared" si="23"/>
        <v>300</v>
      </c>
      <c r="H200" s="207">
        <v>0</v>
      </c>
      <c r="I200" s="207"/>
      <c r="J200" s="207"/>
      <c r="K200" s="207">
        <v>0</v>
      </c>
      <c r="L200" s="127">
        <v>4000</v>
      </c>
      <c r="M200" s="127">
        <v>15</v>
      </c>
      <c r="N200" s="200">
        <f t="shared" si="36"/>
        <v>70.729050000000001</v>
      </c>
      <c r="O200" s="200">
        <f t="shared" si="37"/>
        <v>141.4581</v>
      </c>
      <c r="P200" s="200">
        <f t="shared" si="38"/>
        <v>212.18715</v>
      </c>
      <c r="Q200" s="200">
        <f t="shared" si="27"/>
        <v>282.9162</v>
      </c>
      <c r="R200" s="127" t="s">
        <v>243</v>
      </c>
      <c r="S200" s="127" t="str">
        <f>""</f>
        <v/>
      </c>
      <c r="T200" s="127" t="s">
        <v>244</v>
      </c>
      <c r="U200" s="127" t="s">
        <v>245</v>
      </c>
      <c r="V200" s="127" t="s">
        <v>246</v>
      </c>
      <c r="W200" s="127" t="s">
        <v>247</v>
      </c>
      <c r="X200" s="127" t="s">
        <v>248</v>
      </c>
      <c r="Y200" s="127" t="s">
        <v>402</v>
      </c>
      <c r="Z200" s="127" t="s">
        <v>249</v>
      </c>
      <c r="AA200" s="127" t="str">
        <f>""</f>
        <v/>
      </c>
      <c r="AB200" s="127">
        <v>15</v>
      </c>
    </row>
    <row r="201" spans="1:28" ht="15.5" x14ac:dyDescent="0.4">
      <c r="A201" s="127" t="s">
        <v>619</v>
      </c>
      <c r="B201" s="208">
        <v>279.55110000000002</v>
      </c>
      <c r="C201" s="201">
        <v>0</v>
      </c>
      <c r="D201" s="207"/>
      <c r="E201" s="202">
        <v>0</v>
      </c>
      <c r="F201" s="202">
        <v>939.54399999999998</v>
      </c>
      <c r="G201" s="226">
        <f t="shared" si="23"/>
        <v>297.53912536294206</v>
      </c>
      <c r="H201" s="207">
        <v>0</v>
      </c>
      <c r="I201" s="207"/>
      <c r="J201" s="207"/>
      <c r="K201" s="207">
        <v>0</v>
      </c>
      <c r="L201" s="127">
        <v>4000</v>
      </c>
      <c r="M201" s="127">
        <v>15</v>
      </c>
      <c r="N201" s="200">
        <f t="shared" si="36"/>
        <v>70.465800000000002</v>
      </c>
      <c r="O201" s="200">
        <f t="shared" si="37"/>
        <v>140.9316</v>
      </c>
      <c r="P201" s="200">
        <f t="shared" si="38"/>
        <v>211.3974</v>
      </c>
      <c r="Q201" s="200">
        <f t="shared" si="27"/>
        <v>279.55110000000002</v>
      </c>
      <c r="R201" s="127" t="s">
        <v>243</v>
      </c>
      <c r="S201" s="127" t="str">
        <f>""</f>
        <v/>
      </c>
      <c r="T201" s="127" t="s">
        <v>244</v>
      </c>
      <c r="U201" s="127" t="s">
        <v>245</v>
      </c>
      <c r="V201" s="127" t="s">
        <v>246</v>
      </c>
      <c r="W201" s="127" t="s">
        <v>247</v>
      </c>
      <c r="X201" s="127" t="s">
        <v>248</v>
      </c>
      <c r="Y201" s="127" t="s">
        <v>402</v>
      </c>
      <c r="Z201" s="127" t="s">
        <v>249</v>
      </c>
      <c r="AA201" s="127" t="str">
        <f>""</f>
        <v/>
      </c>
      <c r="AB201" s="127">
        <v>15</v>
      </c>
    </row>
    <row r="202" spans="1:28" ht="15.5" x14ac:dyDescent="0.4">
      <c r="A202" s="127" t="s">
        <v>620</v>
      </c>
      <c r="B202" s="208">
        <v>220.1705</v>
      </c>
      <c r="C202" s="201">
        <v>0</v>
      </c>
      <c r="D202" s="207"/>
      <c r="E202" s="202">
        <v>0</v>
      </c>
      <c r="F202" s="202">
        <v>939.54399999999998</v>
      </c>
      <c r="G202" s="226">
        <f t="shared" si="23"/>
        <v>234.3376148429451</v>
      </c>
      <c r="H202" s="207">
        <v>0</v>
      </c>
      <c r="I202" s="207"/>
      <c r="J202" s="207"/>
      <c r="K202" s="207">
        <v>0</v>
      </c>
      <c r="L202" s="127">
        <v>4000</v>
      </c>
      <c r="M202" s="127">
        <v>15</v>
      </c>
      <c r="N202" s="200">
        <f t="shared" si="36"/>
        <v>70.465800000000002</v>
      </c>
      <c r="O202" s="200">
        <f t="shared" si="37"/>
        <v>140.9316</v>
      </c>
      <c r="P202" s="200">
        <f t="shared" si="38"/>
        <v>211.3974</v>
      </c>
      <c r="Q202" s="200">
        <f t="shared" si="27"/>
        <v>220.1705</v>
      </c>
      <c r="R202" s="127" t="s">
        <v>243</v>
      </c>
      <c r="S202" s="127" t="str">
        <f>""</f>
        <v/>
      </c>
      <c r="T202" s="127" t="s">
        <v>244</v>
      </c>
      <c r="U202" s="127" t="s">
        <v>245</v>
      </c>
      <c r="V202" s="127" t="s">
        <v>246</v>
      </c>
      <c r="W202" s="127" t="s">
        <v>247</v>
      </c>
      <c r="X202" s="127" t="s">
        <v>248</v>
      </c>
      <c r="Y202" s="127" t="s">
        <v>402</v>
      </c>
      <c r="Z202" s="127" t="s">
        <v>249</v>
      </c>
      <c r="AA202" s="127" t="str">
        <f>""</f>
        <v/>
      </c>
      <c r="AB202" s="127">
        <v>15</v>
      </c>
    </row>
    <row r="203" spans="1:28" ht="14.5" x14ac:dyDescent="0.35">
      <c r="A203" s="127" t="s">
        <v>665</v>
      </c>
      <c r="B203" s="208">
        <v>281.86320000000001</v>
      </c>
      <c r="C203" s="201">
        <v>0</v>
      </c>
      <c r="D203" s="207"/>
      <c r="E203" s="202">
        <v>0</v>
      </c>
      <c r="F203" s="202">
        <v>939.54399999999998</v>
      </c>
      <c r="G203" s="226">
        <f t="shared" si="23"/>
        <v>300</v>
      </c>
      <c r="H203" s="207">
        <v>0</v>
      </c>
      <c r="I203" s="207"/>
      <c r="J203" s="207"/>
      <c r="K203" s="207">
        <v>0</v>
      </c>
      <c r="L203" s="127">
        <v>4000</v>
      </c>
      <c r="M203" s="127">
        <v>15</v>
      </c>
      <c r="N203" s="200">
        <f t="shared" si="36"/>
        <v>70.465800000000002</v>
      </c>
      <c r="O203" s="200">
        <f t="shared" si="37"/>
        <v>140.9316</v>
      </c>
      <c r="P203" s="200">
        <f t="shared" si="38"/>
        <v>211.3974</v>
      </c>
      <c r="Q203" s="200">
        <f t="shared" si="27"/>
        <v>281.86320000000001</v>
      </c>
      <c r="R203" s="127" t="s">
        <v>243</v>
      </c>
      <c r="S203" s="127" t="str">
        <f>""</f>
        <v/>
      </c>
      <c r="T203" s="127" t="s">
        <v>244</v>
      </c>
      <c r="U203" s="127" t="s">
        <v>245</v>
      </c>
      <c r="V203" s="127" t="s">
        <v>246</v>
      </c>
      <c r="W203" s="127" t="s">
        <v>247</v>
      </c>
      <c r="X203" s="127" t="s">
        <v>248</v>
      </c>
      <c r="Y203" s="127" t="s">
        <v>402</v>
      </c>
      <c r="Z203" s="127" t="s">
        <v>249</v>
      </c>
      <c r="AA203" s="127"/>
      <c r="AB203" s="127">
        <v>15</v>
      </c>
    </row>
    <row r="204" spans="1:28" ht="14.5" x14ac:dyDescent="0.35">
      <c r="A204" s="127" t="s">
        <v>666</v>
      </c>
      <c r="B204" s="208">
        <v>281.86320000000001</v>
      </c>
      <c r="C204" s="201">
        <v>0</v>
      </c>
      <c r="D204" s="207"/>
      <c r="E204" s="202">
        <v>0</v>
      </c>
      <c r="F204" s="202">
        <v>939.54399999999998</v>
      </c>
      <c r="G204" s="226">
        <f t="shared" si="23"/>
        <v>300</v>
      </c>
      <c r="H204" s="207">
        <v>0</v>
      </c>
      <c r="I204" s="207"/>
      <c r="J204" s="207"/>
      <c r="K204" s="207">
        <v>0</v>
      </c>
      <c r="L204" s="127">
        <v>4000</v>
      </c>
      <c r="M204" s="127">
        <v>15</v>
      </c>
      <c r="N204" s="200">
        <f t="shared" si="36"/>
        <v>70.465800000000002</v>
      </c>
      <c r="O204" s="200">
        <f t="shared" si="37"/>
        <v>140.9316</v>
      </c>
      <c r="P204" s="200">
        <f t="shared" si="38"/>
        <v>211.3974</v>
      </c>
      <c r="Q204" s="200">
        <f t="shared" si="27"/>
        <v>281.86320000000001</v>
      </c>
      <c r="R204" s="127" t="s">
        <v>243</v>
      </c>
      <c r="S204" s="127" t="str">
        <f>""</f>
        <v/>
      </c>
      <c r="T204" s="127" t="s">
        <v>244</v>
      </c>
      <c r="U204" s="127" t="s">
        <v>245</v>
      </c>
      <c r="V204" s="127" t="s">
        <v>246</v>
      </c>
      <c r="W204" s="127" t="s">
        <v>247</v>
      </c>
      <c r="X204" s="127" t="s">
        <v>248</v>
      </c>
      <c r="Y204" s="127" t="s">
        <v>402</v>
      </c>
      <c r="Z204" s="127" t="s">
        <v>249</v>
      </c>
      <c r="AA204" s="127"/>
      <c r="AB204" s="127">
        <v>15</v>
      </c>
    </row>
    <row r="205" spans="1:28" ht="14.5" x14ac:dyDescent="0.35">
      <c r="A205" s="127"/>
      <c r="B205" s="208"/>
      <c r="C205" s="201"/>
      <c r="D205" s="207"/>
      <c r="E205" s="202"/>
      <c r="F205" s="202"/>
      <c r="G205" s="226"/>
      <c r="H205" s="207"/>
      <c r="I205" s="207"/>
      <c r="J205" s="207"/>
      <c r="K205" s="207"/>
      <c r="L205" s="127"/>
      <c r="M205" s="127"/>
      <c r="N205" s="200"/>
      <c r="O205" s="200"/>
      <c r="P205" s="200"/>
      <c r="Q205" s="200"/>
      <c r="R205" s="127"/>
      <c r="S205" s="127"/>
      <c r="T205" s="127"/>
      <c r="U205" s="127"/>
      <c r="V205" s="127"/>
      <c r="W205" s="127"/>
      <c r="X205" s="127"/>
      <c r="Y205" s="127"/>
      <c r="Z205" s="127"/>
      <c r="AA205" s="127"/>
      <c r="AB205" s="127"/>
    </row>
    <row r="206" spans="1:28" ht="15" x14ac:dyDescent="0.35">
      <c r="A206" s="252" t="s">
        <v>586</v>
      </c>
      <c r="B206" s="208"/>
      <c r="C206" s="201"/>
      <c r="D206" s="207"/>
      <c r="E206" s="202"/>
      <c r="F206" s="202"/>
      <c r="G206" s="226"/>
      <c r="H206" s="207"/>
      <c r="I206" s="207"/>
      <c r="J206" s="207"/>
      <c r="K206" s="207"/>
      <c r="L206" s="127"/>
      <c r="M206" s="127"/>
      <c r="N206" s="200"/>
      <c r="O206" s="200"/>
      <c r="P206" s="200"/>
      <c r="Q206" s="200"/>
      <c r="R206" s="127"/>
      <c r="S206" s="127"/>
      <c r="T206" s="127"/>
      <c r="U206" s="127"/>
      <c r="V206" s="127"/>
      <c r="W206" s="127"/>
      <c r="X206" s="127"/>
      <c r="Y206" s="127"/>
      <c r="Z206" s="127"/>
      <c r="AA206" s="127"/>
      <c r="AB206" s="127"/>
    </row>
    <row r="207" spans="1:28" ht="15.5" x14ac:dyDescent="0.4">
      <c r="A207" s="127" t="s">
        <v>615</v>
      </c>
      <c r="B207" s="208">
        <v>236.12180000000001</v>
      </c>
      <c r="C207" s="201">
        <v>0</v>
      </c>
      <c r="D207" s="207"/>
      <c r="E207" s="202">
        <v>0</v>
      </c>
      <c r="F207" s="202">
        <v>943.05399999999997</v>
      </c>
      <c r="G207" s="226">
        <f t="shared" si="23"/>
        <v>250.37993582552008</v>
      </c>
      <c r="H207" s="207">
        <v>0</v>
      </c>
      <c r="I207" s="207"/>
      <c r="J207" s="207"/>
      <c r="K207" s="207">
        <v>0</v>
      </c>
      <c r="L207" s="127">
        <v>8000</v>
      </c>
      <c r="M207" s="127">
        <v>15</v>
      </c>
      <c r="N207" s="200">
        <f t="shared" si="36"/>
        <v>70.729050000000001</v>
      </c>
      <c r="O207" s="200">
        <f t="shared" si="37"/>
        <v>141.4581</v>
      </c>
      <c r="P207" s="200">
        <f t="shared" si="38"/>
        <v>212.18715</v>
      </c>
      <c r="Q207" s="200">
        <f t="shared" si="27"/>
        <v>236.12180000000001</v>
      </c>
      <c r="R207" s="127" t="s">
        <v>243</v>
      </c>
      <c r="S207" s="127" t="str">
        <f>""</f>
        <v/>
      </c>
      <c r="T207" s="127" t="s">
        <v>244</v>
      </c>
      <c r="U207" s="127" t="s">
        <v>245</v>
      </c>
      <c r="V207" s="127" t="s">
        <v>246</v>
      </c>
      <c r="W207" s="127" t="s">
        <v>247</v>
      </c>
      <c r="X207" s="127" t="s">
        <v>248</v>
      </c>
      <c r="Y207" s="127" t="s">
        <v>402</v>
      </c>
      <c r="Z207" s="127" t="s">
        <v>249</v>
      </c>
      <c r="AA207" s="127" t="str">
        <f>""</f>
        <v/>
      </c>
      <c r="AB207" s="127">
        <v>15</v>
      </c>
    </row>
    <row r="208" spans="1:28" ht="15.5" x14ac:dyDescent="0.4">
      <c r="A208" s="127" t="s">
        <v>616</v>
      </c>
      <c r="B208" s="208">
        <v>234.77440000000001</v>
      </c>
      <c r="C208" s="201">
        <v>0</v>
      </c>
      <c r="D208" s="207"/>
      <c r="E208" s="202">
        <v>0</v>
      </c>
      <c r="F208" s="202">
        <v>939.54399999999998</v>
      </c>
      <c r="G208" s="226">
        <f t="shared" si="23"/>
        <v>249.88121897431097</v>
      </c>
      <c r="H208" s="207">
        <v>0</v>
      </c>
      <c r="I208" s="207"/>
      <c r="J208" s="207"/>
      <c r="K208" s="207">
        <v>0</v>
      </c>
      <c r="L208" s="127">
        <v>8000</v>
      </c>
      <c r="M208" s="127">
        <v>15</v>
      </c>
      <c r="N208" s="200">
        <f t="shared" si="36"/>
        <v>70.465800000000002</v>
      </c>
      <c r="O208" s="200">
        <f t="shared" si="37"/>
        <v>140.9316</v>
      </c>
      <c r="P208" s="200">
        <f t="shared" si="38"/>
        <v>211.3974</v>
      </c>
      <c r="Q208" s="200">
        <f t="shared" si="27"/>
        <v>234.77440000000001</v>
      </c>
      <c r="R208" s="127" t="s">
        <v>243</v>
      </c>
      <c r="S208" s="127" t="str">
        <f>""</f>
        <v/>
      </c>
      <c r="T208" s="127" t="s">
        <v>244</v>
      </c>
      <c r="U208" s="127" t="s">
        <v>245</v>
      </c>
      <c r="V208" s="127" t="s">
        <v>246</v>
      </c>
      <c r="W208" s="127" t="s">
        <v>247</v>
      </c>
      <c r="X208" s="127" t="s">
        <v>248</v>
      </c>
      <c r="Y208" s="127" t="s">
        <v>402</v>
      </c>
      <c r="Z208" s="127" t="s">
        <v>249</v>
      </c>
      <c r="AA208" s="127" t="str">
        <f>""</f>
        <v/>
      </c>
      <c r="AB208" s="127">
        <v>15</v>
      </c>
    </row>
    <row r="209" spans="1:28" ht="14.5" x14ac:dyDescent="0.35">
      <c r="A209" s="127" t="s">
        <v>660</v>
      </c>
      <c r="B209" s="208">
        <v>281.86320000000001</v>
      </c>
      <c r="C209" s="201">
        <v>0</v>
      </c>
      <c r="D209" s="207"/>
      <c r="E209" s="202">
        <v>0</v>
      </c>
      <c r="F209" s="202">
        <v>939.54399999999998</v>
      </c>
      <c r="G209" s="226">
        <f t="shared" si="23"/>
        <v>300</v>
      </c>
      <c r="H209" s="207">
        <v>0</v>
      </c>
      <c r="I209" s="207"/>
      <c r="J209" s="207"/>
      <c r="K209" s="207">
        <v>0</v>
      </c>
      <c r="L209" s="127">
        <v>8000</v>
      </c>
      <c r="M209" s="127">
        <v>15</v>
      </c>
      <c r="N209" s="200">
        <f t="shared" si="36"/>
        <v>70.465800000000002</v>
      </c>
      <c r="O209" s="200">
        <f t="shared" si="37"/>
        <v>140.9316</v>
      </c>
      <c r="P209" s="200">
        <f t="shared" si="38"/>
        <v>211.3974</v>
      </c>
      <c r="Q209" s="200">
        <f t="shared" si="27"/>
        <v>281.86320000000001</v>
      </c>
      <c r="R209" s="127" t="s">
        <v>243</v>
      </c>
      <c r="S209" s="127" t="str">
        <f>""</f>
        <v/>
      </c>
      <c r="T209" s="127" t="s">
        <v>244</v>
      </c>
      <c r="U209" s="127" t="s">
        <v>245</v>
      </c>
      <c r="V209" s="127" t="s">
        <v>246</v>
      </c>
      <c r="W209" s="127" t="s">
        <v>247</v>
      </c>
      <c r="X209" s="127" t="s">
        <v>248</v>
      </c>
      <c r="Y209" s="127" t="s">
        <v>402</v>
      </c>
      <c r="Z209" s="127" t="s">
        <v>249</v>
      </c>
      <c r="AA209" s="127"/>
      <c r="AB209" s="127">
        <v>15</v>
      </c>
    </row>
    <row r="210" spans="1:28" ht="15.5" x14ac:dyDescent="0.4">
      <c r="A210" s="127" t="s">
        <v>621</v>
      </c>
      <c r="B210" s="208">
        <v>179.3614</v>
      </c>
      <c r="C210" s="201">
        <v>0</v>
      </c>
      <c r="D210" s="207"/>
      <c r="E210" s="202">
        <v>0</v>
      </c>
      <c r="F210" s="202">
        <v>906.82500000000005</v>
      </c>
      <c r="G210" s="226">
        <f t="shared" si="23"/>
        <v>197.79053290326135</v>
      </c>
      <c r="H210" s="207">
        <v>0</v>
      </c>
      <c r="I210" s="207"/>
      <c r="J210" s="207"/>
      <c r="K210" s="207">
        <v>0</v>
      </c>
      <c r="L210" s="127">
        <v>8000</v>
      </c>
      <c r="M210" s="127">
        <v>15</v>
      </c>
      <c r="N210" s="200">
        <f t="shared" si="36"/>
        <v>68.011875000000003</v>
      </c>
      <c r="O210" s="200">
        <f t="shared" si="37"/>
        <v>136.02375000000001</v>
      </c>
      <c r="P210" s="200">
        <f t="shared" si="38"/>
        <v>179.3614</v>
      </c>
      <c r="Q210" s="200">
        <f t="shared" si="27"/>
        <v>179.3614</v>
      </c>
      <c r="R210" s="127" t="s">
        <v>243</v>
      </c>
      <c r="S210" s="127" t="str">
        <f>""</f>
        <v/>
      </c>
      <c r="T210" s="127" t="s">
        <v>244</v>
      </c>
      <c r="U210" s="127" t="s">
        <v>245</v>
      </c>
      <c r="V210" s="127" t="s">
        <v>246</v>
      </c>
      <c r="W210" s="127" t="s">
        <v>247</v>
      </c>
      <c r="X210" s="127" t="s">
        <v>248</v>
      </c>
      <c r="Y210" s="127" t="s">
        <v>402</v>
      </c>
      <c r="Z210" s="127" t="s">
        <v>249</v>
      </c>
      <c r="AA210" s="127" t="str">
        <f>""</f>
        <v/>
      </c>
      <c r="AB210" s="127">
        <v>15</v>
      </c>
    </row>
    <row r="211" spans="1:28" ht="15.5" x14ac:dyDescent="0.4">
      <c r="A211" s="127" t="s">
        <v>622</v>
      </c>
      <c r="B211" s="208">
        <v>178.2373</v>
      </c>
      <c r="C211" s="201">
        <v>0</v>
      </c>
      <c r="D211" s="207"/>
      <c r="E211" s="202">
        <v>0</v>
      </c>
      <c r="F211" s="202">
        <v>902.01499999999999</v>
      </c>
      <c r="G211" s="226">
        <f t="shared" si="23"/>
        <v>197.59904214453198</v>
      </c>
      <c r="H211" s="207">
        <v>0</v>
      </c>
      <c r="I211" s="207"/>
      <c r="J211" s="207"/>
      <c r="K211" s="207">
        <v>0</v>
      </c>
      <c r="L211" s="127">
        <v>8000</v>
      </c>
      <c r="M211" s="127">
        <v>15</v>
      </c>
      <c r="N211" s="200">
        <f t="shared" si="36"/>
        <v>67.651124999999993</v>
      </c>
      <c r="O211" s="200">
        <f t="shared" si="37"/>
        <v>135.30224999999999</v>
      </c>
      <c r="P211" s="200">
        <f t="shared" si="38"/>
        <v>178.2373</v>
      </c>
      <c r="Q211" s="200">
        <f t="shared" si="27"/>
        <v>178.2373</v>
      </c>
      <c r="R211" s="127" t="s">
        <v>243</v>
      </c>
      <c r="S211" s="127" t="str">
        <f>""</f>
        <v/>
      </c>
      <c r="T211" s="127" t="s">
        <v>244</v>
      </c>
      <c r="U211" s="127" t="s">
        <v>245</v>
      </c>
      <c r="V211" s="127" t="s">
        <v>246</v>
      </c>
      <c r="W211" s="127" t="s">
        <v>247</v>
      </c>
      <c r="X211" s="127" t="s">
        <v>248</v>
      </c>
      <c r="Y211" s="127" t="s">
        <v>402</v>
      </c>
      <c r="Z211" s="127" t="s">
        <v>249</v>
      </c>
      <c r="AA211" s="127" t="str">
        <f>""</f>
        <v/>
      </c>
      <c r="AB211" s="127">
        <v>15</v>
      </c>
    </row>
    <row r="212" spans="1:28" ht="14.5" x14ac:dyDescent="0.35">
      <c r="A212" s="127" t="s">
        <v>661</v>
      </c>
      <c r="B212" s="208">
        <v>228.81039999999999</v>
      </c>
      <c r="C212" s="201">
        <v>0</v>
      </c>
      <c r="D212" s="207"/>
      <c r="E212" s="202">
        <v>0</v>
      </c>
      <c r="F212" s="202">
        <v>902.01499999999999</v>
      </c>
      <c r="G212" s="226">
        <f t="shared" si="23"/>
        <v>253.66584812891139</v>
      </c>
      <c r="H212" s="207">
        <v>0</v>
      </c>
      <c r="I212" s="207"/>
      <c r="J212" s="207"/>
      <c r="K212" s="207">
        <v>0</v>
      </c>
      <c r="L212" s="127">
        <v>8000</v>
      </c>
      <c r="M212" s="127">
        <v>15</v>
      </c>
      <c r="N212" s="200">
        <f t="shared" si="36"/>
        <v>67.651124999999993</v>
      </c>
      <c r="O212" s="200">
        <f t="shared" si="37"/>
        <v>135.30224999999999</v>
      </c>
      <c r="P212" s="200">
        <f t="shared" si="38"/>
        <v>202.95337499999999</v>
      </c>
      <c r="Q212" s="200">
        <f t="shared" si="27"/>
        <v>228.81039999999999</v>
      </c>
      <c r="R212" s="127" t="s">
        <v>243</v>
      </c>
      <c r="S212" s="127" t="str">
        <f>""</f>
        <v/>
      </c>
      <c r="T212" s="127" t="s">
        <v>244</v>
      </c>
      <c r="U212" s="127" t="s">
        <v>245</v>
      </c>
      <c r="V212" s="127" t="s">
        <v>246</v>
      </c>
      <c r="W212" s="127" t="s">
        <v>247</v>
      </c>
      <c r="X212" s="127" t="s">
        <v>248</v>
      </c>
      <c r="Y212" s="127" t="s">
        <v>402</v>
      </c>
      <c r="Z212" s="127" t="s">
        <v>249</v>
      </c>
      <c r="AA212" s="127"/>
      <c r="AB212" s="127">
        <v>15</v>
      </c>
    </row>
    <row r="213" spans="1:28" ht="15.5" x14ac:dyDescent="0.4">
      <c r="A213" s="127" t="s">
        <v>623</v>
      </c>
      <c r="B213" s="208">
        <v>151.5119</v>
      </c>
      <c r="C213" s="201">
        <v>0</v>
      </c>
      <c r="D213" s="207"/>
      <c r="E213" s="202">
        <v>0</v>
      </c>
      <c r="F213" s="202">
        <v>912.9</v>
      </c>
      <c r="G213" s="226">
        <f t="shared" si="23"/>
        <v>165.96768539818163</v>
      </c>
      <c r="H213" s="207">
        <v>0</v>
      </c>
      <c r="I213" s="207"/>
      <c r="J213" s="207"/>
      <c r="K213" s="207">
        <v>0</v>
      </c>
      <c r="L213" s="127">
        <v>8000</v>
      </c>
      <c r="M213" s="127">
        <v>15</v>
      </c>
      <c r="N213" s="200">
        <f t="shared" si="36"/>
        <v>68.467500000000001</v>
      </c>
      <c r="O213" s="200">
        <f t="shared" si="37"/>
        <v>136.935</v>
      </c>
      <c r="P213" s="200">
        <f t="shared" si="38"/>
        <v>151.5119</v>
      </c>
      <c r="Q213" s="200">
        <f t="shared" si="27"/>
        <v>151.5119</v>
      </c>
      <c r="R213" s="127" t="s">
        <v>243</v>
      </c>
      <c r="S213" s="127" t="str">
        <f>""</f>
        <v/>
      </c>
      <c r="T213" s="127" t="s">
        <v>244</v>
      </c>
      <c r="U213" s="127" t="s">
        <v>245</v>
      </c>
      <c r="V213" s="127" t="s">
        <v>246</v>
      </c>
      <c r="W213" s="127" t="s">
        <v>247</v>
      </c>
      <c r="X213" s="127" t="s">
        <v>248</v>
      </c>
      <c r="Y213" s="127" t="s">
        <v>402</v>
      </c>
      <c r="Z213" s="127" t="s">
        <v>249</v>
      </c>
      <c r="AA213" s="127" t="str">
        <f>""</f>
        <v/>
      </c>
      <c r="AB213" s="127">
        <v>15</v>
      </c>
    </row>
    <row r="214" spans="1:28" ht="15.5" x14ac:dyDescent="0.4">
      <c r="A214" s="127" t="s">
        <v>624</v>
      </c>
      <c r="B214" s="208">
        <v>155.80500000000001</v>
      </c>
      <c r="C214" s="201">
        <v>0</v>
      </c>
      <c r="D214" s="207"/>
      <c r="E214" s="202">
        <v>0</v>
      </c>
      <c r="F214" s="202">
        <v>908.09</v>
      </c>
      <c r="G214" s="226">
        <f t="shared" si="23"/>
        <v>171.5744034181634</v>
      </c>
      <c r="H214" s="207">
        <v>0</v>
      </c>
      <c r="I214" s="207"/>
      <c r="J214" s="207"/>
      <c r="K214" s="207">
        <v>0</v>
      </c>
      <c r="L214" s="127">
        <v>8000</v>
      </c>
      <c r="M214" s="127">
        <v>15</v>
      </c>
      <c r="N214" s="200">
        <f t="shared" si="36"/>
        <v>68.106750000000005</v>
      </c>
      <c r="O214" s="200">
        <f t="shared" si="37"/>
        <v>136.21350000000001</v>
      </c>
      <c r="P214" s="200">
        <f t="shared" si="38"/>
        <v>155.80500000000001</v>
      </c>
      <c r="Q214" s="200">
        <f t="shared" si="27"/>
        <v>155.80500000000001</v>
      </c>
      <c r="R214" s="127" t="s">
        <v>243</v>
      </c>
      <c r="S214" s="127" t="str">
        <f>""</f>
        <v/>
      </c>
      <c r="T214" s="127" t="s">
        <v>244</v>
      </c>
      <c r="U214" s="127" t="s">
        <v>245</v>
      </c>
      <c r="V214" s="127" t="s">
        <v>246</v>
      </c>
      <c r="W214" s="127" t="s">
        <v>247</v>
      </c>
      <c r="X214" s="127" t="s">
        <v>248</v>
      </c>
      <c r="Y214" s="127" t="s">
        <v>402</v>
      </c>
      <c r="Z214" s="127" t="s">
        <v>249</v>
      </c>
      <c r="AA214" s="127" t="str">
        <f>""</f>
        <v/>
      </c>
      <c r="AB214" s="127">
        <v>15</v>
      </c>
    </row>
    <row r="215" spans="1:28" ht="14.5" x14ac:dyDescent="0.35">
      <c r="A215" s="127" t="s">
        <v>662</v>
      </c>
      <c r="B215" s="208">
        <v>206.37809999999999</v>
      </c>
      <c r="C215" s="201">
        <v>0</v>
      </c>
      <c r="D215" s="207"/>
      <c r="E215" s="202">
        <v>0</v>
      </c>
      <c r="F215" s="202">
        <v>908.09</v>
      </c>
      <c r="G215" s="226">
        <f t="shared" si="23"/>
        <v>227.26613000914003</v>
      </c>
      <c r="H215" s="207">
        <v>0</v>
      </c>
      <c r="I215" s="207"/>
      <c r="J215" s="207"/>
      <c r="K215" s="207">
        <v>0</v>
      </c>
      <c r="L215" s="127">
        <v>8000</v>
      </c>
      <c r="M215" s="127">
        <v>15</v>
      </c>
      <c r="N215" s="200">
        <f t="shared" si="36"/>
        <v>68.106750000000005</v>
      </c>
      <c r="O215" s="200">
        <f t="shared" si="37"/>
        <v>136.21350000000001</v>
      </c>
      <c r="P215" s="200">
        <f t="shared" si="38"/>
        <v>204.32024999999999</v>
      </c>
      <c r="Q215" s="200">
        <f t="shared" si="27"/>
        <v>206.37809999999999</v>
      </c>
      <c r="R215" s="127" t="s">
        <v>243</v>
      </c>
      <c r="S215" s="127" t="str">
        <f>""</f>
        <v/>
      </c>
      <c r="T215" s="127" t="s">
        <v>244</v>
      </c>
      <c r="U215" s="127" t="s">
        <v>245</v>
      </c>
      <c r="V215" s="127" t="s">
        <v>246</v>
      </c>
      <c r="W215" s="127" t="s">
        <v>247</v>
      </c>
      <c r="X215" s="127" t="s">
        <v>248</v>
      </c>
      <c r="Y215" s="127" t="s">
        <v>402</v>
      </c>
      <c r="Z215" s="127" t="s">
        <v>249</v>
      </c>
      <c r="AA215" s="127"/>
      <c r="AB215" s="127">
        <v>15</v>
      </c>
    </row>
    <row r="216" spans="1:28" ht="14.5" x14ac:dyDescent="0.35">
      <c r="A216" s="127" t="s">
        <v>617</v>
      </c>
      <c r="B216" s="208">
        <v>187.572</v>
      </c>
      <c r="C216" s="201">
        <v>0</v>
      </c>
      <c r="D216" s="207"/>
      <c r="E216" s="202">
        <v>0</v>
      </c>
      <c r="F216" s="202">
        <v>625.24</v>
      </c>
      <c r="G216" s="226">
        <f t="shared" ref="G216" si="39">(B216-E216)*1000/F216</f>
        <v>300</v>
      </c>
      <c r="H216" s="207">
        <v>0</v>
      </c>
      <c r="I216" s="207"/>
      <c r="J216" s="207"/>
      <c r="K216" s="207">
        <v>0</v>
      </c>
      <c r="L216" s="127">
        <v>8000</v>
      </c>
      <c r="M216" s="127">
        <v>15</v>
      </c>
      <c r="N216" s="200">
        <f>MIN($B216,(75*$F216/1000)+$E216)</f>
        <v>46.893000000000001</v>
      </c>
      <c r="O216" s="200">
        <f>MIN($B216,(150*$F216/1000)+$E216)</f>
        <v>93.786000000000001</v>
      </c>
      <c r="P216" s="200">
        <f>MIN($B216,(225*$F216/1000)+$E216)</f>
        <v>140.679</v>
      </c>
      <c r="Q216" s="200">
        <f>MIN($B216,(300*$F216/1000)+$E216)</f>
        <v>187.572</v>
      </c>
      <c r="R216" s="127" t="s">
        <v>243</v>
      </c>
      <c r="S216" s="127" t="str">
        <f>""</f>
        <v/>
      </c>
      <c r="T216" s="127" t="s">
        <v>244</v>
      </c>
      <c r="U216" s="127" t="s">
        <v>245</v>
      </c>
      <c r="V216" s="127" t="s">
        <v>246</v>
      </c>
      <c r="W216" s="127" t="s">
        <v>247</v>
      </c>
      <c r="X216" s="127" t="s">
        <v>248</v>
      </c>
      <c r="Y216" s="127" t="s">
        <v>402</v>
      </c>
      <c r="Z216" s="127" t="s">
        <v>249</v>
      </c>
      <c r="AA216" s="127"/>
      <c r="AB216" s="127">
        <v>15</v>
      </c>
    </row>
    <row r="217" spans="1:28" ht="14.5" x14ac:dyDescent="0.35">
      <c r="A217" s="127"/>
      <c r="B217" s="208"/>
      <c r="C217" s="201"/>
      <c r="D217" s="207"/>
      <c r="E217" s="202"/>
      <c r="F217" s="202"/>
      <c r="G217" s="226"/>
      <c r="H217" s="207"/>
      <c r="I217" s="207"/>
      <c r="J217" s="207"/>
      <c r="K217" s="207"/>
      <c r="L217" s="127"/>
      <c r="M217" s="127"/>
      <c r="N217" s="200"/>
      <c r="O217" s="200"/>
      <c r="P217" s="200"/>
      <c r="Q217" s="200"/>
      <c r="R217" s="127"/>
      <c r="S217" s="127"/>
      <c r="T217" s="127"/>
      <c r="U217" s="127"/>
      <c r="V217" s="127"/>
      <c r="W217" s="127"/>
      <c r="X217" s="127"/>
      <c r="Y217" s="127"/>
      <c r="Z217" s="127"/>
      <c r="AA217" s="127"/>
      <c r="AB217" s="127"/>
    </row>
    <row r="218" spans="1:28" ht="15" x14ac:dyDescent="0.35">
      <c r="A218" s="252" t="s">
        <v>480</v>
      </c>
      <c r="B218" s="208"/>
      <c r="C218" s="201"/>
      <c r="D218" s="207"/>
      <c r="E218" s="202"/>
      <c r="F218" s="202"/>
      <c r="G218" s="226"/>
      <c r="H218" s="207"/>
      <c r="I218" s="207"/>
      <c r="J218" s="207"/>
      <c r="K218" s="207"/>
      <c r="L218" s="127"/>
      <c r="M218" s="127"/>
      <c r="N218" s="200"/>
      <c r="O218" s="200"/>
      <c r="P218" s="200"/>
      <c r="Q218" s="200"/>
      <c r="R218" s="127"/>
      <c r="S218" s="127"/>
      <c r="T218" s="127"/>
      <c r="U218" s="127"/>
      <c r="V218" s="127"/>
      <c r="W218" s="127"/>
      <c r="X218" s="127"/>
      <c r="Y218" s="127"/>
      <c r="Z218" s="127"/>
      <c r="AA218" s="127"/>
      <c r="AB218" s="127"/>
    </row>
    <row r="219" spans="1:28" ht="15.5" x14ac:dyDescent="0.4">
      <c r="A219" s="127" t="s">
        <v>607</v>
      </c>
      <c r="B219" s="208">
        <v>282.9162</v>
      </c>
      <c r="C219" s="201">
        <v>0</v>
      </c>
      <c r="D219" s="207"/>
      <c r="E219" s="202">
        <v>0</v>
      </c>
      <c r="F219" s="202">
        <v>943.05399999999997</v>
      </c>
      <c r="G219" s="226">
        <f t="shared" si="23"/>
        <v>300</v>
      </c>
      <c r="H219" s="207">
        <v>0</v>
      </c>
      <c r="I219" s="207"/>
      <c r="J219" s="207"/>
      <c r="K219" s="207">
        <v>0</v>
      </c>
      <c r="L219" s="127">
        <v>4000</v>
      </c>
      <c r="M219" s="127">
        <v>15</v>
      </c>
      <c r="N219" s="200">
        <f t="shared" si="36"/>
        <v>70.729050000000001</v>
      </c>
      <c r="O219" s="200">
        <f t="shared" si="37"/>
        <v>141.4581</v>
      </c>
      <c r="P219" s="200">
        <f t="shared" si="38"/>
        <v>212.18715</v>
      </c>
      <c r="Q219" s="200">
        <f t="shared" si="27"/>
        <v>282.9162</v>
      </c>
      <c r="R219" s="127" t="s">
        <v>243</v>
      </c>
      <c r="S219" s="127" t="str">
        <f>""</f>
        <v/>
      </c>
      <c r="T219" s="127" t="s">
        <v>244</v>
      </c>
      <c r="U219" s="127" t="s">
        <v>245</v>
      </c>
      <c r="V219" s="127" t="s">
        <v>246</v>
      </c>
      <c r="W219" s="127" t="s">
        <v>247</v>
      </c>
      <c r="X219" s="127" t="s">
        <v>248</v>
      </c>
      <c r="Y219" s="127" t="s">
        <v>402</v>
      </c>
      <c r="Z219" s="127" t="s">
        <v>249</v>
      </c>
      <c r="AA219" s="127" t="str">
        <f>""</f>
        <v/>
      </c>
      <c r="AB219" s="127">
        <v>15</v>
      </c>
    </row>
    <row r="220" spans="1:28" ht="15.5" x14ac:dyDescent="0.4">
      <c r="A220" s="127" t="s">
        <v>608</v>
      </c>
      <c r="B220" s="208">
        <v>279.55110000000002</v>
      </c>
      <c r="C220" s="201">
        <v>0</v>
      </c>
      <c r="D220" s="207"/>
      <c r="E220" s="202">
        <v>0</v>
      </c>
      <c r="F220" s="202">
        <v>939.54399999999998</v>
      </c>
      <c r="G220" s="226">
        <f t="shared" si="23"/>
        <v>297.53912536294206</v>
      </c>
      <c r="H220" s="207">
        <v>0</v>
      </c>
      <c r="I220" s="207"/>
      <c r="J220" s="207"/>
      <c r="K220" s="207">
        <v>0</v>
      </c>
      <c r="L220" s="127">
        <v>4000</v>
      </c>
      <c r="M220" s="127">
        <v>15</v>
      </c>
      <c r="N220" s="200">
        <f t="shared" si="36"/>
        <v>70.465800000000002</v>
      </c>
      <c r="O220" s="200">
        <f t="shared" si="37"/>
        <v>140.9316</v>
      </c>
      <c r="P220" s="200">
        <f t="shared" si="38"/>
        <v>211.3974</v>
      </c>
      <c r="Q220" s="200">
        <f t="shared" si="27"/>
        <v>279.55110000000002</v>
      </c>
      <c r="R220" s="127" t="s">
        <v>243</v>
      </c>
      <c r="S220" s="127" t="str">
        <f>""</f>
        <v/>
      </c>
      <c r="T220" s="127" t="s">
        <v>244</v>
      </c>
      <c r="U220" s="127" t="s">
        <v>245</v>
      </c>
      <c r="V220" s="127" t="s">
        <v>246</v>
      </c>
      <c r="W220" s="127" t="s">
        <v>247</v>
      </c>
      <c r="X220" s="127" t="s">
        <v>248</v>
      </c>
      <c r="Y220" s="127" t="s">
        <v>402</v>
      </c>
      <c r="Z220" s="127" t="s">
        <v>249</v>
      </c>
      <c r="AA220" s="127" t="str">
        <f>""</f>
        <v/>
      </c>
      <c r="AB220" s="127">
        <v>15</v>
      </c>
    </row>
    <row r="221" spans="1:28" ht="15.5" x14ac:dyDescent="0.4">
      <c r="A221" s="127" t="s">
        <v>609</v>
      </c>
      <c r="B221" s="208">
        <v>220.1705</v>
      </c>
      <c r="C221" s="201">
        <v>0</v>
      </c>
      <c r="D221" s="207"/>
      <c r="E221" s="202">
        <v>0</v>
      </c>
      <c r="F221" s="202">
        <v>939.54399999999998</v>
      </c>
      <c r="G221" s="226">
        <f t="shared" si="23"/>
        <v>234.3376148429451</v>
      </c>
      <c r="H221" s="207">
        <v>0</v>
      </c>
      <c r="I221" s="207"/>
      <c r="J221" s="207"/>
      <c r="K221" s="207">
        <v>0</v>
      </c>
      <c r="L221" s="127">
        <v>4000</v>
      </c>
      <c r="M221" s="127">
        <v>15</v>
      </c>
      <c r="N221" s="200">
        <f t="shared" si="36"/>
        <v>70.465800000000002</v>
      </c>
      <c r="O221" s="200">
        <f t="shared" si="37"/>
        <v>140.9316</v>
      </c>
      <c r="P221" s="200">
        <f t="shared" si="38"/>
        <v>211.3974</v>
      </c>
      <c r="Q221" s="200">
        <f t="shared" si="27"/>
        <v>220.1705</v>
      </c>
      <c r="R221" s="127" t="s">
        <v>243</v>
      </c>
      <c r="S221" s="127" t="str">
        <f>""</f>
        <v/>
      </c>
      <c r="T221" s="127" t="s">
        <v>244</v>
      </c>
      <c r="U221" s="127" t="s">
        <v>245</v>
      </c>
      <c r="V221" s="127" t="s">
        <v>246</v>
      </c>
      <c r="W221" s="127" t="s">
        <v>247</v>
      </c>
      <c r="X221" s="127" t="s">
        <v>248</v>
      </c>
      <c r="Y221" s="127" t="s">
        <v>402</v>
      </c>
      <c r="Z221" s="127" t="s">
        <v>249</v>
      </c>
      <c r="AA221" s="127" t="str">
        <f>""</f>
        <v/>
      </c>
      <c r="AB221" s="127">
        <v>15</v>
      </c>
    </row>
    <row r="222" spans="1:28" ht="14.5" x14ac:dyDescent="0.35">
      <c r="A222" s="127" t="s">
        <v>663</v>
      </c>
      <c r="B222" s="208">
        <v>281.86320000000001</v>
      </c>
      <c r="C222" s="201">
        <v>0</v>
      </c>
      <c r="D222" s="207"/>
      <c r="E222" s="202">
        <v>0</v>
      </c>
      <c r="F222" s="202">
        <v>939.54399999999998</v>
      </c>
      <c r="G222" s="226">
        <f t="shared" si="23"/>
        <v>300</v>
      </c>
      <c r="H222" s="207">
        <v>0</v>
      </c>
      <c r="I222" s="207"/>
      <c r="J222" s="207"/>
      <c r="K222" s="207">
        <v>0</v>
      </c>
      <c r="L222" s="127">
        <v>4000</v>
      </c>
      <c r="M222" s="127">
        <v>15</v>
      </c>
      <c r="N222" s="200">
        <f t="shared" si="36"/>
        <v>70.465800000000002</v>
      </c>
      <c r="O222" s="200">
        <f t="shared" si="37"/>
        <v>140.9316</v>
      </c>
      <c r="P222" s="200">
        <f t="shared" si="38"/>
        <v>211.3974</v>
      </c>
      <c r="Q222" s="200">
        <f t="shared" si="27"/>
        <v>281.86320000000001</v>
      </c>
      <c r="R222" s="127" t="s">
        <v>243</v>
      </c>
      <c r="S222" s="127" t="str">
        <f>""</f>
        <v/>
      </c>
      <c r="T222" s="127" t="s">
        <v>244</v>
      </c>
      <c r="U222" s="127" t="s">
        <v>245</v>
      </c>
      <c r="V222" s="127" t="s">
        <v>246</v>
      </c>
      <c r="W222" s="127" t="s">
        <v>247</v>
      </c>
      <c r="X222" s="127" t="s">
        <v>248</v>
      </c>
      <c r="Y222" s="127" t="s">
        <v>402</v>
      </c>
      <c r="Z222" s="127" t="s">
        <v>249</v>
      </c>
      <c r="AA222" s="127"/>
      <c r="AB222" s="127">
        <v>15</v>
      </c>
    </row>
    <row r="223" spans="1:28" ht="14.5" x14ac:dyDescent="0.35">
      <c r="A223" s="127" t="s">
        <v>664</v>
      </c>
      <c r="B223" s="208">
        <v>281.86320000000001</v>
      </c>
      <c r="C223" s="201">
        <v>0</v>
      </c>
      <c r="D223" s="207"/>
      <c r="E223" s="202">
        <v>0</v>
      </c>
      <c r="F223" s="202">
        <v>939.54399999999998</v>
      </c>
      <c r="G223" s="226">
        <f t="shared" si="23"/>
        <v>300</v>
      </c>
      <c r="H223" s="207">
        <v>0</v>
      </c>
      <c r="I223" s="207"/>
      <c r="J223" s="207"/>
      <c r="K223" s="207">
        <v>0</v>
      </c>
      <c r="L223" s="127">
        <v>4000</v>
      </c>
      <c r="M223" s="127">
        <v>15</v>
      </c>
      <c r="N223" s="200">
        <f t="shared" si="36"/>
        <v>70.465800000000002</v>
      </c>
      <c r="O223" s="200">
        <f t="shared" si="37"/>
        <v>140.9316</v>
      </c>
      <c r="P223" s="200">
        <f t="shared" si="38"/>
        <v>211.3974</v>
      </c>
      <c r="Q223" s="200">
        <f t="shared" si="27"/>
        <v>281.86320000000001</v>
      </c>
      <c r="R223" s="127" t="s">
        <v>243</v>
      </c>
      <c r="S223" s="127" t="str">
        <f>""</f>
        <v/>
      </c>
      <c r="T223" s="127" t="s">
        <v>244</v>
      </c>
      <c r="U223" s="127" t="s">
        <v>245</v>
      </c>
      <c r="V223" s="127" t="s">
        <v>246</v>
      </c>
      <c r="W223" s="127" t="s">
        <v>247</v>
      </c>
      <c r="X223" s="127" t="s">
        <v>248</v>
      </c>
      <c r="Y223" s="127" t="s">
        <v>402</v>
      </c>
      <c r="Z223" s="127" t="s">
        <v>249</v>
      </c>
      <c r="AA223" s="127"/>
      <c r="AB223" s="127">
        <v>15</v>
      </c>
    </row>
    <row r="224" spans="1:28" ht="14.5" x14ac:dyDescent="0.35">
      <c r="A224" s="127"/>
      <c r="B224" s="208"/>
      <c r="C224" s="201"/>
      <c r="D224" s="207"/>
      <c r="E224" s="202"/>
      <c r="F224" s="202"/>
      <c r="G224" s="226"/>
      <c r="H224" s="207"/>
      <c r="I224" s="207"/>
      <c r="J224" s="207"/>
      <c r="K224" s="207"/>
      <c r="L224" s="127"/>
      <c r="M224" s="127"/>
      <c r="N224" s="200"/>
      <c r="O224" s="200"/>
      <c r="P224" s="200"/>
      <c r="Q224" s="200"/>
      <c r="R224" s="127"/>
      <c r="S224" s="127"/>
      <c r="T224" s="127"/>
      <c r="U224" s="127"/>
      <c r="V224" s="127"/>
      <c r="W224" s="127"/>
      <c r="X224" s="127"/>
      <c r="Y224" s="127"/>
      <c r="Z224" s="127"/>
      <c r="AA224" s="127"/>
      <c r="AB224" s="127"/>
    </row>
    <row r="225" spans="1:28" ht="15" x14ac:dyDescent="0.35">
      <c r="A225" s="252" t="s">
        <v>513</v>
      </c>
      <c r="B225" s="208"/>
      <c r="C225" s="201"/>
      <c r="D225" s="207"/>
      <c r="E225" s="202"/>
      <c r="F225" s="202"/>
      <c r="G225" s="226"/>
      <c r="H225" s="207"/>
      <c r="I225" s="207"/>
      <c r="J225" s="207"/>
      <c r="K225" s="207"/>
      <c r="L225" s="127"/>
      <c r="M225" s="127"/>
      <c r="N225" s="200"/>
      <c r="O225" s="200"/>
      <c r="P225" s="200"/>
      <c r="Q225" s="200"/>
      <c r="R225" s="127"/>
      <c r="S225" s="127"/>
      <c r="T225" s="127"/>
      <c r="U225" s="127"/>
      <c r="V225" s="127"/>
      <c r="W225" s="127"/>
      <c r="X225" s="127"/>
      <c r="Y225" s="127"/>
      <c r="Z225" s="127"/>
      <c r="AA225" s="127"/>
      <c r="AB225" s="127"/>
    </row>
    <row r="226" spans="1:28" ht="15.5" x14ac:dyDescent="0.4">
      <c r="A226" s="127" t="s">
        <v>610</v>
      </c>
      <c r="B226" s="208">
        <v>236.12180000000001</v>
      </c>
      <c r="C226" s="201">
        <v>0</v>
      </c>
      <c r="D226" s="207"/>
      <c r="E226" s="202">
        <v>0</v>
      </c>
      <c r="F226" s="202">
        <v>943.05399999999997</v>
      </c>
      <c r="G226" s="226">
        <f t="shared" si="23"/>
        <v>250.37993582552008</v>
      </c>
      <c r="H226" s="207">
        <v>0</v>
      </c>
      <c r="I226" s="207"/>
      <c r="J226" s="207"/>
      <c r="K226" s="207">
        <v>0</v>
      </c>
      <c r="L226" s="127">
        <v>8000</v>
      </c>
      <c r="M226" s="127">
        <v>15</v>
      </c>
      <c r="N226" s="200">
        <f t="shared" si="36"/>
        <v>70.729050000000001</v>
      </c>
      <c r="O226" s="200">
        <f t="shared" si="37"/>
        <v>141.4581</v>
      </c>
      <c r="P226" s="200">
        <f t="shared" si="38"/>
        <v>212.18715</v>
      </c>
      <c r="Q226" s="200">
        <f t="shared" si="27"/>
        <v>236.12180000000001</v>
      </c>
      <c r="R226" s="127" t="s">
        <v>243</v>
      </c>
      <c r="S226" s="127" t="str">
        <f>""</f>
        <v/>
      </c>
      <c r="T226" s="127" t="s">
        <v>244</v>
      </c>
      <c r="U226" s="127" t="s">
        <v>245</v>
      </c>
      <c r="V226" s="127" t="s">
        <v>246</v>
      </c>
      <c r="W226" s="127" t="s">
        <v>247</v>
      </c>
      <c r="X226" s="127" t="s">
        <v>248</v>
      </c>
      <c r="Y226" s="127" t="s">
        <v>402</v>
      </c>
      <c r="Z226" s="127" t="s">
        <v>249</v>
      </c>
      <c r="AA226" s="127" t="str">
        <f>""</f>
        <v/>
      </c>
      <c r="AB226" s="127">
        <v>15</v>
      </c>
    </row>
    <row r="227" spans="1:28" ht="15.5" x14ac:dyDescent="0.4">
      <c r="A227" s="127" t="s">
        <v>611</v>
      </c>
      <c r="B227" s="208">
        <v>234.77440000000001</v>
      </c>
      <c r="C227" s="201">
        <v>0</v>
      </c>
      <c r="D227" s="207"/>
      <c r="E227" s="202">
        <v>0</v>
      </c>
      <c r="F227" s="202">
        <v>939.54399999999998</v>
      </c>
      <c r="G227" s="226">
        <f t="shared" si="23"/>
        <v>249.88121897431097</v>
      </c>
      <c r="H227" s="207">
        <v>0</v>
      </c>
      <c r="I227" s="207"/>
      <c r="J227" s="207"/>
      <c r="K227" s="207">
        <v>0</v>
      </c>
      <c r="L227" s="127">
        <v>8000</v>
      </c>
      <c r="M227" s="127">
        <v>15</v>
      </c>
      <c r="N227" s="200">
        <f t="shared" si="36"/>
        <v>70.465800000000002</v>
      </c>
      <c r="O227" s="200">
        <f t="shared" si="37"/>
        <v>140.9316</v>
      </c>
      <c r="P227" s="200">
        <f t="shared" si="38"/>
        <v>211.3974</v>
      </c>
      <c r="Q227" s="200">
        <f t="shared" si="27"/>
        <v>234.77440000000001</v>
      </c>
      <c r="R227" s="127" t="s">
        <v>243</v>
      </c>
      <c r="S227" s="127" t="str">
        <f>""</f>
        <v/>
      </c>
      <c r="T227" s="127" t="s">
        <v>244</v>
      </c>
      <c r="U227" s="127" t="s">
        <v>245</v>
      </c>
      <c r="V227" s="127" t="s">
        <v>246</v>
      </c>
      <c r="W227" s="127" t="s">
        <v>247</v>
      </c>
      <c r="X227" s="127" t="s">
        <v>248</v>
      </c>
      <c r="Y227" s="127" t="s">
        <v>402</v>
      </c>
      <c r="Z227" s="127" t="s">
        <v>249</v>
      </c>
      <c r="AA227" s="127" t="str">
        <f>""</f>
        <v/>
      </c>
      <c r="AB227" s="127">
        <v>15</v>
      </c>
    </row>
    <row r="228" spans="1:28" ht="14.5" x14ac:dyDescent="0.35">
      <c r="A228" s="127" t="s">
        <v>667</v>
      </c>
      <c r="B228" s="208">
        <v>281.86320000000001</v>
      </c>
      <c r="C228" s="201">
        <v>0</v>
      </c>
      <c r="D228" s="207"/>
      <c r="E228" s="202">
        <v>0</v>
      </c>
      <c r="F228" s="202">
        <v>939.54399999999998</v>
      </c>
      <c r="G228" s="226">
        <f t="shared" si="23"/>
        <v>300</v>
      </c>
      <c r="H228" s="207">
        <v>0</v>
      </c>
      <c r="I228" s="207"/>
      <c r="J228" s="207"/>
      <c r="K228" s="207">
        <v>0</v>
      </c>
      <c r="L228" s="127">
        <v>8000</v>
      </c>
      <c r="M228" s="127">
        <v>15</v>
      </c>
      <c r="N228" s="200">
        <f t="shared" si="36"/>
        <v>70.465800000000002</v>
      </c>
      <c r="O228" s="200">
        <f t="shared" si="37"/>
        <v>140.9316</v>
      </c>
      <c r="P228" s="200">
        <f t="shared" si="38"/>
        <v>211.3974</v>
      </c>
      <c r="Q228" s="200">
        <f t="shared" si="27"/>
        <v>281.86320000000001</v>
      </c>
      <c r="R228" s="127" t="s">
        <v>243</v>
      </c>
      <c r="S228" s="127" t="str">
        <f>""</f>
        <v/>
      </c>
      <c r="T228" s="127" t="s">
        <v>244</v>
      </c>
      <c r="U228" s="127" t="s">
        <v>245</v>
      </c>
      <c r="V228" s="127" t="s">
        <v>246</v>
      </c>
      <c r="W228" s="127" t="s">
        <v>247</v>
      </c>
      <c r="X228" s="127" t="s">
        <v>248</v>
      </c>
      <c r="Y228" s="127" t="s">
        <v>402</v>
      </c>
      <c r="Z228" s="127" t="s">
        <v>249</v>
      </c>
      <c r="AA228" s="127" t="str">
        <f>""</f>
        <v/>
      </c>
      <c r="AB228" s="127">
        <v>15</v>
      </c>
    </row>
    <row r="229" spans="1:28" ht="14.5" x14ac:dyDescent="0.35">
      <c r="A229" s="127"/>
      <c r="B229" s="208"/>
      <c r="C229" s="201"/>
      <c r="D229" s="207"/>
      <c r="E229" s="202"/>
      <c r="F229" s="202"/>
      <c r="G229" s="226"/>
      <c r="H229" s="207"/>
      <c r="I229" s="207"/>
      <c r="J229" s="207"/>
      <c r="K229" s="207"/>
      <c r="L229" s="127"/>
      <c r="M229" s="127"/>
      <c r="N229" s="200"/>
      <c r="O229" s="200"/>
      <c r="P229" s="200"/>
      <c r="Q229" s="200"/>
      <c r="R229" s="127"/>
      <c r="S229" s="127"/>
      <c r="T229" s="127"/>
      <c r="U229" s="127"/>
      <c r="V229" s="127"/>
      <c r="W229" s="127"/>
      <c r="X229" s="127"/>
      <c r="Y229" s="127"/>
      <c r="Z229" s="127"/>
      <c r="AA229" s="127"/>
      <c r="AB229" s="127"/>
    </row>
    <row r="230" spans="1:28" ht="15" x14ac:dyDescent="0.35">
      <c r="A230" s="252" t="s">
        <v>481</v>
      </c>
      <c r="B230" s="208"/>
      <c r="C230" s="201"/>
      <c r="D230" s="207"/>
      <c r="E230" s="202"/>
      <c r="F230" s="202"/>
      <c r="G230" s="226"/>
      <c r="H230" s="207"/>
      <c r="I230" s="207"/>
      <c r="J230" s="207"/>
      <c r="K230" s="207"/>
      <c r="L230" s="127"/>
      <c r="M230" s="127"/>
      <c r="N230" s="200"/>
      <c r="O230" s="200"/>
      <c r="P230" s="200"/>
      <c r="Q230" s="200"/>
      <c r="R230" s="127"/>
      <c r="S230" s="127"/>
      <c r="T230" s="127"/>
      <c r="U230" s="127"/>
      <c r="V230" s="127"/>
      <c r="W230" s="127"/>
      <c r="X230" s="127"/>
      <c r="Y230" s="127"/>
      <c r="Z230" s="127"/>
      <c r="AA230" s="127"/>
      <c r="AB230" s="127"/>
    </row>
    <row r="231" spans="1:28" ht="15.5" x14ac:dyDescent="0.4">
      <c r="A231" s="127" t="s">
        <v>590</v>
      </c>
      <c r="B231" s="208">
        <v>284.98390000000001</v>
      </c>
      <c r="C231" s="201">
        <v>91.350999999999999</v>
      </c>
      <c r="D231" s="207"/>
      <c r="E231" s="202">
        <v>137.0265</v>
      </c>
      <c r="F231" s="202">
        <v>943.05399999999997</v>
      </c>
      <c r="G231" s="226">
        <f t="shared" si="23"/>
        <v>156.89175805415172</v>
      </c>
      <c r="H231" s="207">
        <v>0</v>
      </c>
      <c r="I231" s="207"/>
      <c r="J231" s="207"/>
      <c r="K231" s="207">
        <v>91.350999999999999</v>
      </c>
      <c r="L231" s="127">
        <v>4000</v>
      </c>
      <c r="M231" s="127">
        <v>15</v>
      </c>
      <c r="N231" s="200">
        <f t="shared" si="36"/>
        <v>207.75555</v>
      </c>
      <c r="O231" s="200">
        <f t="shared" si="37"/>
        <v>278.4846</v>
      </c>
      <c r="P231" s="200">
        <f t="shared" si="38"/>
        <v>284.98390000000001</v>
      </c>
      <c r="Q231" s="200">
        <f t="shared" si="27"/>
        <v>284.98390000000001</v>
      </c>
      <c r="R231" s="127" t="s">
        <v>243</v>
      </c>
      <c r="S231" s="127" t="str">
        <f>""</f>
        <v/>
      </c>
      <c r="T231" s="127" t="s">
        <v>244</v>
      </c>
      <c r="U231" s="127" t="s">
        <v>245</v>
      </c>
      <c r="V231" s="127" t="s">
        <v>246</v>
      </c>
      <c r="W231" s="127" t="s">
        <v>247</v>
      </c>
      <c r="X231" s="127" t="s">
        <v>248</v>
      </c>
      <c r="Y231" s="127" t="s">
        <v>402</v>
      </c>
      <c r="Z231" s="127" t="s">
        <v>249</v>
      </c>
      <c r="AA231" s="127" t="str">
        <f>""</f>
        <v/>
      </c>
      <c r="AB231" s="127">
        <v>15</v>
      </c>
    </row>
    <row r="232" spans="1:28" ht="15.5" x14ac:dyDescent="0.4">
      <c r="A232" s="127" t="s">
        <v>591</v>
      </c>
      <c r="B232" s="208">
        <v>279.55110000000002</v>
      </c>
      <c r="C232" s="201">
        <v>91.350999999999999</v>
      </c>
      <c r="D232" s="207"/>
      <c r="E232" s="202">
        <v>137.0265</v>
      </c>
      <c r="F232" s="202">
        <v>939.54399999999998</v>
      </c>
      <c r="G232" s="226">
        <f t="shared" si="23"/>
        <v>151.69550335056158</v>
      </c>
      <c r="H232" s="207">
        <v>0</v>
      </c>
      <c r="I232" s="207"/>
      <c r="J232" s="207"/>
      <c r="K232" s="207">
        <v>91.350999999999999</v>
      </c>
      <c r="L232" s="127">
        <v>4000</v>
      </c>
      <c r="M232" s="127">
        <v>15</v>
      </c>
      <c r="N232" s="200">
        <f t="shared" si="36"/>
        <v>207.4923</v>
      </c>
      <c r="O232" s="200">
        <f t="shared" si="37"/>
        <v>277.9581</v>
      </c>
      <c r="P232" s="200">
        <f t="shared" si="38"/>
        <v>279.55110000000002</v>
      </c>
      <c r="Q232" s="200">
        <f t="shared" si="27"/>
        <v>279.55110000000002</v>
      </c>
      <c r="R232" s="127" t="s">
        <v>243</v>
      </c>
      <c r="S232" s="127" t="str">
        <f>""</f>
        <v/>
      </c>
      <c r="T232" s="127" t="s">
        <v>244</v>
      </c>
      <c r="U232" s="127" t="s">
        <v>245</v>
      </c>
      <c r="V232" s="127" t="s">
        <v>246</v>
      </c>
      <c r="W232" s="127" t="s">
        <v>247</v>
      </c>
      <c r="X232" s="127" t="s">
        <v>248</v>
      </c>
      <c r="Y232" s="127" t="s">
        <v>402</v>
      </c>
      <c r="Z232" s="127" t="s">
        <v>249</v>
      </c>
      <c r="AA232" s="127" t="str">
        <f>""</f>
        <v/>
      </c>
      <c r="AB232" s="127">
        <v>15</v>
      </c>
    </row>
    <row r="233" spans="1:28" ht="15.5" x14ac:dyDescent="0.4">
      <c r="A233" s="127" t="s">
        <v>592</v>
      </c>
      <c r="B233" s="208">
        <v>220.1705</v>
      </c>
      <c r="C233" s="201">
        <v>91.350999999999999</v>
      </c>
      <c r="D233" s="207"/>
      <c r="E233" s="202">
        <v>137.0265</v>
      </c>
      <c r="F233" s="202">
        <v>939.54399999999998</v>
      </c>
      <c r="G233" s="226">
        <f t="shared" si="23"/>
        <v>88.493992830564622</v>
      </c>
      <c r="H233" s="207">
        <v>0</v>
      </c>
      <c r="I233" s="207"/>
      <c r="J233" s="207"/>
      <c r="K233" s="207">
        <v>91.350999999999999</v>
      </c>
      <c r="L233" s="127">
        <v>4000</v>
      </c>
      <c r="M233" s="127">
        <v>15</v>
      </c>
      <c r="N233" s="200">
        <f t="shared" si="36"/>
        <v>207.4923</v>
      </c>
      <c r="O233" s="200">
        <f t="shared" si="37"/>
        <v>220.1705</v>
      </c>
      <c r="P233" s="200">
        <f t="shared" si="38"/>
        <v>220.1705</v>
      </c>
      <c r="Q233" s="200">
        <f t="shared" si="27"/>
        <v>220.1705</v>
      </c>
      <c r="R233" s="127" t="s">
        <v>243</v>
      </c>
      <c r="S233" s="127" t="str">
        <f>""</f>
        <v/>
      </c>
      <c r="T233" s="127" t="s">
        <v>244</v>
      </c>
      <c r="U233" s="127" t="s">
        <v>245</v>
      </c>
      <c r="V233" s="127" t="s">
        <v>246</v>
      </c>
      <c r="W233" s="127" t="s">
        <v>247</v>
      </c>
      <c r="X233" s="127" t="s">
        <v>248</v>
      </c>
      <c r="Y233" s="127" t="s">
        <v>402</v>
      </c>
      <c r="Z233" s="127" t="s">
        <v>249</v>
      </c>
      <c r="AA233" s="127" t="str">
        <f>""</f>
        <v/>
      </c>
      <c r="AB233" s="127">
        <v>15</v>
      </c>
    </row>
    <row r="234" spans="1:28" ht="15.5" x14ac:dyDescent="0.4">
      <c r="A234" s="127" t="s">
        <v>668</v>
      </c>
      <c r="B234" s="208">
        <v>380.69729999999998</v>
      </c>
      <c r="C234" s="201">
        <v>91.350999999999999</v>
      </c>
      <c r="D234" s="207"/>
      <c r="E234" s="202">
        <v>137.0265</v>
      </c>
      <c r="F234" s="202">
        <v>939.54399999999998</v>
      </c>
      <c r="G234" s="226">
        <f t="shared" si="23"/>
        <v>259.35006769241249</v>
      </c>
      <c r="H234" s="207">
        <v>0</v>
      </c>
      <c r="I234" s="207"/>
      <c r="J234" s="207"/>
      <c r="K234" s="207">
        <v>91.350999999999999</v>
      </c>
      <c r="L234" s="127">
        <v>4000</v>
      </c>
      <c r="M234" s="127">
        <v>15</v>
      </c>
      <c r="N234" s="200">
        <f t="shared" si="36"/>
        <v>207.4923</v>
      </c>
      <c r="O234" s="200">
        <f t="shared" si="37"/>
        <v>277.9581</v>
      </c>
      <c r="P234" s="200">
        <f t="shared" si="38"/>
        <v>348.4239</v>
      </c>
      <c r="Q234" s="200">
        <f t="shared" si="27"/>
        <v>380.69729999999998</v>
      </c>
      <c r="R234" s="127" t="s">
        <v>243</v>
      </c>
      <c r="S234" s="127" t="str">
        <f>""</f>
        <v/>
      </c>
      <c r="T234" s="127" t="s">
        <v>244</v>
      </c>
      <c r="U234" s="127" t="s">
        <v>245</v>
      </c>
      <c r="V234" s="127" t="s">
        <v>246</v>
      </c>
      <c r="W234" s="127" t="s">
        <v>247</v>
      </c>
      <c r="X234" s="127" t="s">
        <v>248</v>
      </c>
      <c r="Y234" s="127" t="s">
        <v>402</v>
      </c>
      <c r="Z234" s="127" t="s">
        <v>249</v>
      </c>
      <c r="AA234" s="127"/>
      <c r="AB234" s="127">
        <v>15</v>
      </c>
    </row>
    <row r="235" spans="1:28" ht="15.5" x14ac:dyDescent="0.4">
      <c r="A235" s="127" t="s">
        <v>669</v>
      </c>
      <c r="B235" s="208">
        <v>321.31670000000003</v>
      </c>
      <c r="C235" s="201">
        <v>91.350999999999999</v>
      </c>
      <c r="D235" s="207"/>
      <c r="E235" s="202">
        <v>137.0265</v>
      </c>
      <c r="F235" s="202">
        <v>939.54399999999998</v>
      </c>
      <c r="G235" s="226">
        <f t="shared" si="23"/>
        <v>196.14855717241559</v>
      </c>
      <c r="H235" s="207">
        <v>0</v>
      </c>
      <c r="I235" s="207"/>
      <c r="J235" s="207"/>
      <c r="K235" s="207">
        <v>91.350999999999999</v>
      </c>
      <c r="L235" s="127">
        <v>4000</v>
      </c>
      <c r="M235" s="127">
        <v>15</v>
      </c>
      <c r="N235" s="200">
        <f t="shared" si="36"/>
        <v>207.4923</v>
      </c>
      <c r="O235" s="200">
        <f t="shared" si="37"/>
        <v>277.9581</v>
      </c>
      <c r="P235" s="200">
        <f t="shared" si="38"/>
        <v>321.31670000000003</v>
      </c>
      <c r="Q235" s="200">
        <f t="shared" si="27"/>
        <v>321.31670000000003</v>
      </c>
      <c r="R235" s="127" t="s">
        <v>243</v>
      </c>
      <c r="S235" s="127" t="str">
        <f>""</f>
        <v/>
      </c>
      <c r="T235" s="127" t="s">
        <v>244</v>
      </c>
      <c r="U235" s="127" t="s">
        <v>245</v>
      </c>
      <c r="V235" s="127" t="s">
        <v>246</v>
      </c>
      <c r="W235" s="127" t="s">
        <v>247</v>
      </c>
      <c r="X235" s="127" t="s">
        <v>248</v>
      </c>
      <c r="Y235" s="127" t="s">
        <v>402</v>
      </c>
      <c r="Z235" s="127" t="s">
        <v>249</v>
      </c>
      <c r="AA235" s="127"/>
      <c r="AB235" s="127">
        <v>15</v>
      </c>
    </row>
    <row r="236" spans="1:28" ht="14.5" x14ac:dyDescent="0.35">
      <c r="A236" s="127"/>
      <c r="B236" s="208"/>
      <c r="C236" s="201"/>
      <c r="D236" s="207"/>
      <c r="E236" s="202"/>
      <c r="F236" s="202"/>
      <c r="G236" s="226"/>
      <c r="H236" s="207"/>
      <c r="I236" s="207"/>
      <c r="J236" s="207"/>
      <c r="K236" s="207"/>
      <c r="L236" s="127"/>
      <c r="M236" s="127"/>
      <c r="N236" s="200"/>
      <c r="O236" s="200"/>
      <c r="P236" s="200"/>
      <c r="Q236" s="200"/>
      <c r="R236" s="127"/>
      <c r="S236" s="127"/>
      <c r="T236" s="127"/>
      <c r="U236" s="127"/>
      <c r="V236" s="127"/>
      <c r="W236" s="127"/>
      <c r="X236" s="127"/>
      <c r="Y236" s="127"/>
      <c r="Z236" s="127"/>
      <c r="AA236" s="127"/>
      <c r="AB236" s="127"/>
    </row>
    <row r="237" spans="1:28" ht="15" x14ac:dyDescent="0.35">
      <c r="A237" s="252" t="s">
        <v>514</v>
      </c>
      <c r="B237" s="208"/>
      <c r="C237" s="201"/>
      <c r="D237" s="207"/>
      <c r="E237" s="202"/>
      <c r="F237" s="202"/>
      <c r="G237" s="226"/>
      <c r="H237" s="207"/>
      <c r="I237" s="207"/>
      <c r="J237" s="207"/>
      <c r="K237" s="207"/>
      <c r="L237" s="127"/>
      <c r="M237" s="127"/>
      <c r="N237" s="200"/>
      <c r="O237" s="200"/>
      <c r="P237" s="200"/>
      <c r="Q237" s="200"/>
      <c r="R237" s="127"/>
      <c r="S237" s="127"/>
      <c r="T237" s="127"/>
      <c r="U237" s="127"/>
      <c r="V237" s="127"/>
      <c r="W237" s="127"/>
      <c r="X237" s="127"/>
      <c r="Y237" s="127"/>
      <c r="Z237" s="127"/>
      <c r="AA237" s="127"/>
      <c r="AB237" s="127"/>
    </row>
    <row r="238" spans="1:28" ht="15.5" x14ac:dyDescent="0.4">
      <c r="A238" s="127" t="s">
        <v>593</v>
      </c>
      <c r="B238" s="208">
        <v>147.256</v>
      </c>
      <c r="C238" s="201">
        <v>91.350999999999999</v>
      </c>
      <c r="D238" s="207"/>
      <c r="E238" s="202">
        <v>137.0265</v>
      </c>
      <c r="F238" s="202">
        <v>906.82500000000005</v>
      </c>
      <c r="G238" s="226">
        <f t="shared" si="23"/>
        <v>11.280566812780858</v>
      </c>
      <c r="H238" s="207">
        <v>0</v>
      </c>
      <c r="I238" s="207"/>
      <c r="J238" s="207"/>
      <c r="K238" s="207">
        <v>91.350999999999999</v>
      </c>
      <c r="L238" s="127">
        <v>8000</v>
      </c>
      <c r="M238" s="127">
        <v>15</v>
      </c>
      <c r="N238" s="200">
        <f t="shared" si="36"/>
        <v>147.256</v>
      </c>
      <c r="O238" s="200">
        <f t="shared" si="37"/>
        <v>147.256</v>
      </c>
      <c r="P238" s="200">
        <f t="shared" si="38"/>
        <v>147.256</v>
      </c>
      <c r="Q238" s="200">
        <f t="shared" si="27"/>
        <v>147.256</v>
      </c>
      <c r="R238" s="127" t="s">
        <v>243</v>
      </c>
      <c r="S238" s="127" t="str">
        <f>""</f>
        <v/>
      </c>
      <c r="T238" s="127" t="s">
        <v>244</v>
      </c>
      <c r="U238" s="127" t="s">
        <v>245</v>
      </c>
      <c r="V238" s="127" t="s">
        <v>246</v>
      </c>
      <c r="W238" s="127" t="s">
        <v>247</v>
      </c>
      <c r="X238" s="127" t="s">
        <v>248</v>
      </c>
      <c r="Y238" s="127" t="s">
        <v>402</v>
      </c>
      <c r="Z238" s="127" t="s">
        <v>249</v>
      </c>
      <c r="AA238" s="127" t="str">
        <f>""</f>
        <v/>
      </c>
      <c r="AB238" s="127">
        <v>15</v>
      </c>
    </row>
    <row r="239" spans="1:28" ht="15.5" x14ac:dyDescent="0.4">
      <c r="A239" s="127" t="s">
        <v>594</v>
      </c>
      <c r="B239" s="208">
        <v>150.60480000000001</v>
      </c>
      <c r="C239" s="201">
        <v>91.350999999999999</v>
      </c>
      <c r="D239" s="207"/>
      <c r="E239" s="202">
        <v>137.0265</v>
      </c>
      <c r="F239" s="202">
        <v>902.01499999999999</v>
      </c>
      <c r="G239" s="226">
        <f t="shared" si="23"/>
        <v>15.053297339844697</v>
      </c>
      <c r="H239" s="207">
        <v>0</v>
      </c>
      <c r="I239" s="207"/>
      <c r="J239" s="207"/>
      <c r="K239" s="207">
        <v>91.350999999999999</v>
      </c>
      <c r="L239" s="127">
        <v>8000</v>
      </c>
      <c r="M239" s="127">
        <v>15</v>
      </c>
      <c r="N239" s="200">
        <f t="shared" si="36"/>
        <v>150.60480000000001</v>
      </c>
      <c r="O239" s="200">
        <f t="shared" si="37"/>
        <v>150.60480000000001</v>
      </c>
      <c r="P239" s="200">
        <f t="shared" si="38"/>
        <v>150.60480000000001</v>
      </c>
      <c r="Q239" s="200">
        <f t="shared" si="27"/>
        <v>150.60480000000001</v>
      </c>
      <c r="R239" s="127" t="s">
        <v>243</v>
      </c>
      <c r="S239" s="127" t="str">
        <f>""</f>
        <v/>
      </c>
      <c r="T239" s="127" t="s">
        <v>244</v>
      </c>
      <c r="U239" s="127" t="s">
        <v>245</v>
      </c>
      <c r="V239" s="127" t="s">
        <v>246</v>
      </c>
      <c r="W239" s="127" t="s">
        <v>247</v>
      </c>
      <c r="X239" s="127" t="s">
        <v>248</v>
      </c>
      <c r="Y239" s="127" t="s">
        <v>402</v>
      </c>
      <c r="Z239" s="127" t="s">
        <v>249</v>
      </c>
      <c r="AA239" s="127" t="str">
        <f>""</f>
        <v/>
      </c>
      <c r="AB239" s="127">
        <v>15</v>
      </c>
    </row>
    <row r="240" spans="1:28" ht="14.5" x14ac:dyDescent="0.35">
      <c r="A240" s="127" t="s">
        <v>670</v>
      </c>
      <c r="B240" s="208">
        <v>201.17789999999999</v>
      </c>
      <c r="C240" s="201">
        <v>91.350999999999999</v>
      </c>
      <c r="D240" s="207"/>
      <c r="E240" s="202">
        <v>137.0265</v>
      </c>
      <c r="F240" s="202">
        <v>902.01499999999999</v>
      </c>
      <c r="G240" s="226">
        <f t="shared" si="23"/>
        <v>71.12010332422409</v>
      </c>
      <c r="H240" s="207">
        <v>0</v>
      </c>
      <c r="I240" s="207"/>
      <c r="J240" s="207"/>
      <c r="K240" s="207">
        <v>91.350999999999999</v>
      </c>
      <c r="L240" s="127">
        <v>8000</v>
      </c>
      <c r="M240" s="127">
        <v>15</v>
      </c>
      <c r="N240" s="200">
        <f t="shared" si="36"/>
        <v>201.17789999999999</v>
      </c>
      <c r="O240" s="200">
        <f t="shared" si="37"/>
        <v>201.17789999999999</v>
      </c>
      <c r="P240" s="200">
        <f t="shared" si="38"/>
        <v>201.17789999999999</v>
      </c>
      <c r="Q240" s="200">
        <f t="shared" si="27"/>
        <v>201.17789999999999</v>
      </c>
      <c r="R240" s="127" t="s">
        <v>243</v>
      </c>
      <c r="S240" s="127" t="str">
        <f>""</f>
        <v/>
      </c>
      <c r="T240" s="127" t="s">
        <v>244</v>
      </c>
      <c r="U240" s="127" t="s">
        <v>245</v>
      </c>
      <c r="V240" s="127" t="s">
        <v>246</v>
      </c>
      <c r="W240" s="127" t="s">
        <v>247</v>
      </c>
      <c r="X240" s="127" t="s">
        <v>248</v>
      </c>
      <c r="Y240" s="127" t="s">
        <v>402</v>
      </c>
      <c r="Z240" s="127" t="s">
        <v>249</v>
      </c>
      <c r="AA240" s="127"/>
      <c r="AB240" s="127">
        <v>15</v>
      </c>
    </row>
    <row r="241" spans="1:28" ht="15.5" x14ac:dyDescent="0.4">
      <c r="A241" s="127" t="s">
        <v>595</v>
      </c>
      <c r="B241" s="208">
        <v>179.3614</v>
      </c>
      <c r="C241" s="201">
        <v>91.350999999999999</v>
      </c>
      <c r="D241" s="207"/>
      <c r="E241" s="202">
        <v>137.0265</v>
      </c>
      <c r="F241" s="202">
        <v>906.82500000000005</v>
      </c>
      <c r="G241" s="226">
        <f t="shared" si="23"/>
        <v>46.684751743721222</v>
      </c>
      <c r="H241" s="207">
        <v>0</v>
      </c>
      <c r="I241" s="207"/>
      <c r="J241" s="207"/>
      <c r="K241" s="207">
        <v>91.350999999999999</v>
      </c>
      <c r="L241" s="127">
        <v>8000</v>
      </c>
      <c r="M241" s="127">
        <v>15</v>
      </c>
      <c r="N241" s="200">
        <f t="shared" si="36"/>
        <v>179.3614</v>
      </c>
      <c r="O241" s="200">
        <f t="shared" si="37"/>
        <v>179.3614</v>
      </c>
      <c r="P241" s="200">
        <f t="shared" si="38"/>
        <v>179.3614</v>
      </c>
      <c r="Q241" s="200">
        <f t="shared" si="27"/>
        <v>179.3614</v>
      </c>
      <c r="R241" s="127" t="s">
        <v>243</v>
      </c>
      <c r="S241" s="127" t="str">
        <f>""</f>
        <v/>
      </c>
      <c r="T241" s="127" t="s">
        <v>244</v>
      </c>
      <c r="U241" s="127" t="s">
        <v>245</v>
      </c>
      <c r="V241" s="127" t="s">
        <v>246</v>
      </c>
      <c r="W241" s="127" t="s">
        <v>247</v>
      </c>
      <c r="X241" s="127" t="s">
        <v>248</v>
      </c>
      <c r="Y241" s="127" t="s">
        <v>402</v>
      </c>
      <c r="Z241" s="127" t="s">
        <v>249</v>
      </c>
      <c r="AA241" s="127" t="str">
        <f>""</f>
        <v/>
      </c>
      <c r="AB241" s="127">
        <v>15</v>
      </c>
    </row>
    <row r="242" spans="1:28" ht="15.5" x14ac:dyDescent="0.4">
      <c r="A242" s="127" t="s">
        <v>596</v>
      </c>
      <c r="B242" s="208">
        <v>178.2373</v>
      </c>
      <c r="C242" s="201">
        <v>91.350999999999999</v>
      </c>
      <c r="D242" s="207"/>
      <c r="E242" s="202">
        <v>137.0265</v>
      </c>
      <c r="F242" s="202">
        <v>902.01499999999999</v>
      </c>
      <c r="G242" s="226">
        <f t="shared" si="23"/>
        <v>45.687488567263294</v>
      </c>
      <c r="H242" s="207">
        <v>0</v>
      </c>
      <c r="I242" s="207"/>
      <c r="J242" s="207"/>
      <c r="K242" s="207">
        <v>91.350999999999999</v>
      </c>
      <c r="L242" s="127">
        <v>8000</v>
      </c>
      <c r="M242" s="127">
        <v>15</v>
      </c>
      <c r="N242" s="200">
        <f t="shared" si="36"/>
        <v>178.2373</v>
      </c>
      <c r="O242" s="200">
        <f t="shared" si="37"/>
        <v>178.2373</v>
      </c>
      <c r="P242" s="200">
        <f t="shared" si="38"/>
        <v>178.2373</v>
      </c>
      <c r="Q242" s="200">
        <f t="shared" si="27"/>
        <v>178.2373</v>
      </c>
      <c r="R242" s="127" t="s">
        <v>243</v>
      </c>
      <c r="S242" s="127" t="str">
        <f>""</f>
        <v/>
      </c>
      <c r="T242" s="127" t="s">
        <v>244</v>
      </c>
      <c r="U242" s="127" t="s">
        <v>245</v>
      </c>
      <c r="V242" s="127" t="s">
        <v>246</v>
      </c>
      <c r="W242" s="127" t="s">
        <v>247</v>
      </c>
      <c r="X242" s="127" t="s">
        <v>248</v>
      </c>
      <c r="Y242" s="127" t="s">
        <v>402</v>
      </c>
      <c r="Z242" s="127" t="s">
        <v>249</v>
      </c>
      <c r="AA242" s="127" t="str">
        <f>""</f>
        <v/>
      </c>
      <c r="AB242" s="127">
        <v>15</v>
      </c>
    </row>
    <row r="243" spans="1:28" ht="14.5" x14ac:dyDescent="0.35">
      <c r="A243" s="127" t="s">
        <v>671</v>
      </c>
      <c r="B243" s="208">
        <v>228.81039999999999</v>
      </c>
      <c r="C243" s="201">
        <v>91.350999999999999</v>
      </c>
      <c r="D243" s="207"/>
      <c r="E243" s="202">
        <v>137.0265</v>
      </c>
      <c r="F243" s="202">
        <v>902.01499999999999</v>
      </c>
      <c r="G243" s="226">
        <f t="shared" si="23"/>
        <v>101.7542945516427</v>
      </c>
      <c r="H243" s="207">
        <v>0</v>
      </c>
      <c r="I243" s="207"/>
      <c r="J243" s="207"/>
      <c r="K243" s="207">
        <v>91.350999999999999</v>
      </c>
      <c r="L243" s="127">
        <v>8000</v>
      </c>
      <c r="M243" s="127">
        <v>16</v>
      </c>
      <c r="N243" s="200">
        <f t="shared" si="36"/>
        <v>204.67762499999998</v>
      </c>
      <c r="O243" s="200">
        <f t="shared" si="37"/>
        <v>228.81039999999999</v>
      </c>
      <c r="P243" s="200">
        <f t="shared" si="38"/>
        <v>228.81039999999999</v>
      </c>
      <c r="Q243" s="200">
        <f t="shared" si="27"/>
        <v>228.81039999999999</v>
      </c>
      <c r="R243" s="127" t="s">
        <v>243</v>
      </c>
      <c r="S243" s="127" t="str">
        <f>""</f>
        <v/>
      </c>
      <c r="T243" s="127" t="s">
        <v>244</v>
      </c>
      <c r="U243" s="127" t="s">
        <v>245</v>
      </c>
      <c r="V243" s="127" t="s">
        <v>246</v>
      </c>
      <c r="W243" s="127" t="s">
        <v>247</v>
      </c>
      <c r="X243" s="127" t="s">
        <v>248</v>
      </c>
      <c r="Y243" s="127" t="s">
        <v>402</v>
      </c>
      <c r="Z243" s="127" t="s">
        <v>249</v>
      </c>
      <c r="AA243" s="127"/>
      <c r="AB243" s="127">
        <v>15</v>
      </c>
    </row>
    <row r="244" spans="1:28" ht="15.5" x14ac:dyDescent="0.4">
      <c r="A244" s="127" t="s">
        <v>603</v>
      </c>
      <c r="B244" s="208">
        <v>151.5119</v>
      </c>
      <c r="C244" s="201">
        <v>91.350999999999999</v>
      </c>
      <c r="D244" s="207"/>
      <c r="E244" s="202">
        <v>137.0265</v>
      </c>
      <c r="F244" s="202">
        <v>912.9</v>
      </c>
      <c r="G244" s="226">
        <f t="shared" si="23"/>
        <v>15.867455362033079</v>
      </c>
      <c r="H244" s="207">
        <v>0</v>
      </c>
      <c r="I244" s="207"/>
      <c r="J244" s="207"/>
      <c r="K244" s="207">
        <v>91.350999999999999</v>
      </c>
      <c r="L244" s="127">
        <v>8000</v>
      </c>
      <c r="M244" s="127">
        <v>15</v>
      </c>
      <c r="N244" s="200">
        <f t="shared" si="36"/>
        <v>151.5119</v>
      </c>
      <c r="O244" s="200">
        <f t="shared" si="37"/>
        <v>151.5119</v>
      </c>
      <c r="P244" s="200">
        <f t="shared" si="38"/>
        <v>151.5119</v>
      </c>
      <c r="Q244" s="200">
        <f t="shared" si="27"/>
        <v>151.5119</v>
      </c>
      <c r="R244" s="127" t="s">
        <v>243</v>
      </c>
      <c r="S244" s="127" t="str">
        <f>""</f>
        <v/>
      </c>
      <c r="T244" s="127" t="s">
        <v>244</v>
      </c>
      <c r="U244" s="127" t="s">
        <v>245</v>
      </c>
      <c r="V244" s="127" t="s">
        <v>246</v>
      </c>
      <c r="W244" s="127" t="s">
        <v>247</v>
      </c>
      <c r="X244" s="127" t="s">
        <v>248</v>
      </c>
      <c r="Y244" s="127" t="s">
        <v>402</v>
      </c>
      <c r="Z244" s="127" t="s">
        <v>249</v>
      </c>
      <c r="AA244" s="127" t="str">
        <f>""</f>
        <v/>
      </c>
      <c r="AB244" s="127">
        <v>15</v>
      </c>
    </row>
    <row r="245" spans="1:28" ht="15.5" x14ac:dyDescent="0.4">
      <c r="A245" s="127" t="s">
        <v>604</v>
      </c>
      <c r="B245" s="208">
        <v>155.80500000000001</v>
      </c>
      <c r="C245" s="201">
        <v>91.350999999999999</v>
      </c>
      <c r="D245" s="207"/>
      <c r="E245" s="202">
        <v>137.0265</v>
      </c>
      <c r="F245" s="202">
        <v>908.09</v>
      </c>
      <c r="G245" s="226">
        <f t="shared" si="23"/>
        <v>20.679117708597172</v>
      </c>
      <c r="H245" s="207">
        <v>0</v>
      </c>
      <c r="I245" s="207"/>
      <c r="J245" s="207"/>
      <c r="K245" s="207">
        <v>91.350999999999999</v>
      </c>
      <c r="L245" s="127">
        <v>8000</v>
      </c>
      <c r="M245" s="127">
        <v>15</v>
      </c>
      <c r="N245" s="200">
        <f t="shared" si="36"/>
        <v>155.80500000000001</v>
      </c>
      <c r="O245" s="200">
        <f t="shared" si="37"/>
        <v>155.80500000000001</v>
      </c>
      <c r="P245" s="200">
        <f t="shared" si="38"/>
        <v>155.80500000000001</v>
      </c>
      <c r="Q245" s="200">
        <f t="shared" si="27"/>
        <v>155.80500000000001</v>
      </c>
      <c r="R245" s="127" t="s">
        <v>243</v>
      </c>
      <c r="S245" s="127" t="str">
        <f>""</f>
        <v/>
      </c>
      <c r="T245" s="127" t="s">
        <v>244</v>
      </c>
      <c r="U245" s="127" t="s">
        <v>245</v>
      </c>
      <c r="V245" s="127" t="s">
        <v>246</v>
      </c>
      <c r="W245" s="127" t="s">
        <v>247</v>
      </c>
      <c r="X245" s="127" t="s">
        <v>248</v>
      </c>
      <c r="Y245" s="127" t="s">
        <v>402</v>
      </c>
      <c r="Z245" s="127" t="s">
        <v>249</v>
      </c>
      <c r="AA245" s="127" t="str">
        <f>""</f>
        <v/>
      </c>
      <c r="AB245" s="127">
        <v>15</v>
      </c>
    </row>
    <row r="246" spans="1:28" ht="15.5" x14ac:dyDescent="0.4">
      <c r="A246" s="127" t="s">
        <v>672</v>
      </c>
      <c r="B246" s="208">
        <v>206.37809999999999</v>
      </c>
      <c r="C246" s="201">
        <v>91.350999999999999</v>
      </c>
      <c r="D246" s="207"/>
      <c r="E246" s="202">
        <v>137.0265</v>
      </c>
      <c r="F246" s="202">
        <v>908.09</v>
      </c>
      <c r="G246" s="226">
        <f t="shared" si="23"/>
        <v>76.370844299573818</v>
      </c>
      <c r="H246" s="207">
        <v>0</v>
      </c>
      <c r="I246" s="207"/>
      <c r="J246" s="207"/>
      <c r="K246" s="207">
        <v>91.350999999999999</v>
      </c>
      <c r="L246" s="127">
        <v>8000</v>
      </c>
      <c r="M246" s="127">
        <v>15</v>
      </c>
      <c r="N246" s="200">
        <f t="shared" si="36"/>
        <v>205.13325</v>
      </c>
      <c r="O246" s="200">
        <f t="shared" si="37"/>
        <v>206.37809999999999</v>
      </c>
      <c r="P246" s="200">
        <f t="shared" si="38"/>
        <v>206.37809999999999</v>
      </c>
      <c r="Q246" s="200">
        <f t="shared" si="27"/>
        <v>206.37809999999999</v>
      </c>
      <c r="R246" s="127" t="s">
        <v>243</v>
      </c>
      <c r="S246" s="127" t="str">
        <f>""</f>
        <v/>
      </c>
      <c r="T246" s="127" t="s">
        <v>244</v>
      </c>
      <c r="U246" s="127" t="s">
        <v>245</v>
      </c>
      <c r="V246" s="127" t="s">
        <v>246</v>
      </c>
      <c r="W246" s="127" t="s">
        <v>247</v>
      </c>
      <c r="X246" s="127" t="s">
        <v>248</v>
      </c>
      <c r="Y246" s="127" t="s">
        <v>402</v>
      </c>
      <c r="Z246" s="127" t="s">
        <v>249</v>
      </c>
      <c r="AA246" s="127"/>
      <c r="AB246" s="127">
        <v>15</v>
      </c>
    </row>
    <row r="247" spans="1:28" ht="15.5" x14ac:dyDescent="0.4">
      <c r="A247" s="127" t="s">
        <v>597</v>
      </c>
      <c r="B247" s="208">
        <v>335.03149999999999</v>
      </c>
      <c r="C247" s="201">
        <v>91.350999999999999</v>
      </c>
      <c r="D247" s="207"/>
      <c r="E247" s="202">
        <v>137.0265</v>
      </c>
      <c r="F247" s="202">
        <v>996.56</v>
      </c>
      <c r="G247" s="226">
        <f t="shared" si="23"/>
        <v>198.68848840009633</v>
      </c>
      <c r="H247" s="207">
        <v>0</v>
      </c>
      <c r="I247" s="207"/>
      <c r="J247" s="207"/>
      <c r="K247" s="207">
        <v>91.350999999999999</v>
      </c>
      <c r="L247" s="127">
        <v>8000</v>
      </c>
      <c r="M247" s="127">
        <v>15</v>
      </c>
      <c r="N247" s="200">
        <f t="shared" si="36"/>
        <v>211.76850000000002</v>
      </c>
      <c r="O247" s="200">
        <f t="shared" si="37"/>
        <v>286.51049999999998</v>
      </c>
      <c r="P247" s="200">
        <f t="shared" si="38"/>
        <v>335.03149999999999</v>
      </c>
      <c r="Q247" s="200">
        <f t="shared" si="27"/>
        <v>335.03149999999999</v>
      </c>
      <c r="R247" s="127" t="s">
        <v>243</v>
      </c>
      <c r="S247" s="127" t="str">
        <f>""</f>
        <v/>
      </c>
      <c r="T247" s="127" t="s">
        <v>244</v>
      </c>
      <c r="U247" s="127" t="s">
        <v>245</v>
      </c>
      <c r="V247" s="127" t="s">
        <v>246</v>
      </c>
      <c r="W247" s="127" t="s">
        <v>247</v>
      </c>
      <c r="X247" s="127" t="s">
        <v>248</v>
      </c>
      <c r="Y247" s="127" t="s">
        <v>402</v>
      </c>
      <c r="Z247" s="127" t="s">
        <v>249</v>
      </c>
      <c r="AA247" s="127" t="str">
        <f>""</f>
        <v/>
      </c>
      <c r="AB247" s="127">
        <v>15</v>
      </c>
    </row>
    <row r="248" spans="1:28" ht="15.5" x14ac:dyDescent="0.4">
      <c r="A248" s="127" t="s">
        <v>598</v>
      </c>
      <c r="B248" s="208">
        <v>346.50810000000001</v>
      </c>
      <c r="C248" s="201">
        <v>91.350999999999999</v>
      </c>
      <c r="D248" s="207"/>
      <c r="E248" s="202">
        <v>137.0265</v>
      </c>
      <c r="F248" s="202">
        <v>991.75</v>
      </c>
      <c r="G248" s="226">
        <f t="shared" si="23"/>
        <v>211.22419964708848</v>
      </c>
      <c r="H248" s="207">
        <v>0</v>
      </c>
      <c r="I248" s="207"/>
      <c r="J248" s="207"/>
      <c r="K248" s="207">
        <v>91.350999999999999</v>
      </c>
      <c r="L248" s="127">
        <v>8000</v>
      </c>
      <c r="M248" s="127">
        <v>15</v>
      </c>
      <c r="N248" s="200">
        <f t="shared" si="36"/>
        <v>211.40774999999999</v>
      </c>
      <c r="O248" s="200">
        <f t="shared" si="37"/>
        <v>285.78899999999999</v>
      </c>
      <c r="P248" s="200">
        <f t="shared" si="38"/>
        <v>346.50810000000001</v>
      </c>
      <c r="Q248" s="200">
        <f t="shared" si="27"/>
        <v>346.50810000000001</v>
      </c>
      <c r="R248" s="127" t="s">
        <v>243</v>
      </c>
      <c r="S248" s="127" t="str">
        <f>""</f>
        <v/>
      </c>
      <c r="T248" s="127" t="s">
        <v>244</v>
      </c>
      <c r="U248" s="127" t="s">
        <v>245</v>
      </c>
      <c r="V248" s="127" t="s">
        <v>246</v>
      </c>
      <c r="W248" s="127" t="s">
        <v>247</v>
      </c>
      <c r="X248" s="127" t="s">
        <v>248</v>
      </c>
      <c r="Y248" s="127" t="s">
        <v>402</v>
      </c>
      <c r="Z248" s="127" t="s">
        <v>249</v>
      </c>
      <c r="AA248" s="127" t="str">
        <f>""</f>
        <v/>
      </c>
      <c r="AB248" s="127">
        <v>15</v>
      </c>
    </row>
    <row r="249" spans="1:28" ht="15.5" x14ac:dyDescent="0.4">
      <c r="A249" s="127" t="s">
        <v>673</v>
      </c>
      <c r="B249" s="208">
        <v>397.08120000000002</v>
      </c>
      <c r="C249" s="201">
        <v>91.350999999999999</v>
      </c>
      <c r="D249" s="207"/>
      <c r="E249" s="202">
        <v>137.0265</v>
      </c>
      <c r="F249" s="202">
        <v>991.75</v>
      </c>
      <c r="G249" s="226">
        <f t="shared" si="23"/>
        <v>262.2179984875221</v>
      </c>
      <c r="H249" s="207">
        <v>0</v>
      </c>
      <c r="I249" s="207"/>
      <c r="J249" s="207"/>
      <c r="K249" s="207">
        <v>91.350999999999999</v>
      </c>
      <c r="L249" s="127">
        <v>8000</v>
      </c>
      <c r="M249" s="127">
        <v>15</v>
      </c>
      <c r="N249" s="200">
        <f t="shared" si="36"/>
        <v>211.40774999999999</v>
      </c>
      <c r="O249" s="200">
        <f t="shared" si="37"/>
        <v>285.78899999999999</v>
      </c>
      <c r="P249" s="200">
        <f t="shared" si="38"/>
        <v>360.17025000000001</v>
      </c>
      <c r="Q249" s="200">
        <f t="shared" si="27"/>
        <v>397.08120000000002</v>
      </c>
      <c r="R249" s="127" t="s">
        <v>243</v>
      </c>
      <c r="S249" s="127" t="str">
        <f>""</f>
        <v/>
      </c>
      <c r="T249" s="127" t="s">
        <v>244</v>
      </c>
      <c r="U249" s="127" t="s">
        <v>245</v>
      </c>
      <c r="V249" s="127" t="s">
        <v>246</v>
      </c>
      <c r="W249" s="127" t="s">
        <v>247</v>
      </c>
      <c r="X249" s="127" t="s">
        <v>248</v>
      </c>
      <c r="Y249" s="127" t="s">
        <v>402</v>
      </c>
      <c r="Z249" s="127" t="s">
        <v>249</v>
      </c>
      <c r="AA249" s="127"/>
      <c r="AB249" s="127">
        <v>15</v>
      </c>
    </row>
    <row r="250" spans="1:28" ht="14.5" x14ac:dyDescent="0.35">
      <c r="A250" s="127" t="s">
        <v>599</v>
      </c>
      <c r="B250" s="208">
        <v>294.05990000000003</v>
      </c>
      <c r="C250" s="201">
        <v>91.350999999999999</v>
      </c>
      <c r="D250" s="207"/>
      <c r="E250" s="202">
        <v>137.0265</v>
      </c>
      <c r="F250" s="202">
        <v>977.25</v>
      </c>
      <c r="G250" s="226">
        <f t="shared" si="23"/>
        <v>160.68907649015097</v>
      </c>
      <c r="H250" s="207">
        <v>0</v>
      </c>
      <c r="I250" s="207"/>
      <c r="J250" s="207"/>
      <c r="K250" s="207">
        <v>91.350999999999999</v>
      </c>
      <c r="L250" s="127">
        <v>8000</v>
      </c>
      <c r="M250" s="127">
        <v>15</v>
      </c>
      <c r="N250" s="200">
        <f t="shared" si="36"/>
        <v>210.32024999999999</v>
      </c>
      <c r="O250" s="200">
        <f t="shared" si="37"/>
        <v>283.61400000000003</v>
      </c>
      <c r="P250" s="200">
        <f t="shared" si="38"/>
        <v>294.05990000000003</v>
      </c>
      <c r="Q250" s="200">
        <f t="shared" si="27"/>
        <v>294.05990000000003</v>
      </c>
      <c r="R250" s="127" t="s">
        <v>243</v>
      </c>
      <c r="S250" s="127" t="str">
        <f>""</f>
        <v/>
      </c>
      <c r="T250" s="127" t="s">
        <v>244</v>
      </c>
      <c r="U250" s="127" t="s">
        <v>245</v>
      </c>
      <c r="V250" s="127" t="s">
        <v>246</v>
      </c>
      <c r="W250" s="127" t="s">
        <v>247</v>
      </c>
      <c r="X250" s="127" t="s">
        <v>248</v>
      </c>
      <c r="Y250" s="127" t="s">
        <v>402</v>
      </c>
      <c r="Z250" s="127" t="s">
        <v>249</v>
      </c>
      <c r="AA250" s="127"/>
      <c r="AB250" s="127">
        <v>15</v>
      </c>
    </row>
    <row r="251" spans="1:28" ht="14.5" x14ac:dyDescent="0.35">
      <c r="A251" s="127" t="s">
        <v>600</v>
      </c>
      <c r="B251" s="208">
        <v>305.42649999999998</v>
      </c>
      <c r="C251" s="201">
        <v>91.350999999999999</v>
      </c>
      <c r="D251" s="207"/>
      <c r="E251" s="202">
        <v>137.0265</v>
      </c>
      <c r="F251" s="202">
        <v>972.44</v>
      </c>
      <c r="G251" s="226">
        <f t="shared" si="23"/>
        <v>173.1726379005388</v>
      </c>
      <c r="H251" s="207">
        <v>0</v>
      </c>
      <c r="I251" s="207"/>
      <c r="J251" s="207"/>
      <c r="K251" s="207">
        <v>91.350999999999999</v>
      </c>
      <c r="L251" s="127">
        <v>8000</v>
      </c>
      <c r="M251" s="127">
        <v>15</v>
      </c>
      <c r="N251" s="200">
        <f t="shared" si="36"/>
        <v>209.95949999999999</v>
      </c>
      <c r="O251" s="200">
        <f t="shared" si="37"/>
        <v>282.89250000000004</v>
      </c>
      <c r="P251" s="200">
        <f t="shared" si="38"/>
        <v>305.42649999999998</v>
      </c>
      <c r="Q251" s="200">
        <f t="shared" si="27"/>
        <v>305.42649999999998</v>
      </c>
      <c r="R251" s="127" t="s">
        <v>243</v>
      </c>
      <c r="S251" s="127" t="str">
        <f>""</f>
        <v/>
      </c>
      <c r="T251" s="127" t="s">
        <v>244</v>
      </c>
      <c r="U251" s="127" t="s">
        <v>245</v>
      </c>
      <c r="V251" s="127" t="s">
        <v>246</v>
      </c>
      <c r="W251" s="127" t="s">
        <v>247</v>
      </c>
      <c r="X251" s="127" t="s">
        <v>248</v>
      </c>
      <c r="Y251" s="127" t="s">
        <v>402</v>
      </c>
      <c r="Z251" s="127" t="s">
        <v>249</v>
      </c>
      <c r="AA251" s="127"/>
      <c r="AB251" s="127">
        <v>15</v>
      </c>
    </row>
    <row r="252" spans="1:28" ht="14.5" x14ac:dyDescent="0.35">
      <c r="A252" s="127" t="s">
        <v>674</v>
      </c>
      <c r="B252" s="208">
        <v>355.99959999999999</v>
      </c>
      <c r="C252" s="201">
        <v>91.350999999999999</v>
      </c>
      <c r="D252" s="207"/>
      <c r="E252" s="202">
        <v>137.0265</v>
      </c>
      <c r="F252" s="202">
        <v>972.44</v>
      </c>
      <c r="G252" s="226">
        <f t="shared" si="23"/>
        <v>225.17903418205748</v>
      </c>
      <c r="H252" s="207">
        <v>0</v>
      </c>
      <c r="I252" s="207"/>
      <c r="J252" s="207"/>
      <c r="K252" s="207">
        <v>91.350999999999999</v>
      </c>
      <c r="L252" s="127">
        <v>8000</v>
      </c>
      <c r="M252" s="127">
        <v>15</v>
      </c>
      <c r="N252" s="200">
        <f t="shared" si="36"/>
        <v>209.95949999999999</v>
      </c>
      <c r="O252" s="200">
        <f t="shared" si="37"/>
        <v>282.89250000000004</v>
      </c>
      <c r="P252" s="200">
        <f t="shared" si="38"/>
        <v>355.82550000000003</v>
      </c>
      <c r="Q252" s="200">
        <f t="shared" si="27"/>
        <v>355.99959999999999</v>
      </c>
      <c r="R252" s="127" t="s">
        <v>243</v>
      </c>
      <c r="S252" s="127" t="str">
        <f>""</f>
        <v/>
      </c>
      <c r="T252" s="127" t="s">
        <v>244</v>
      </c>
      <c r="U252" s="127" t="s">
        <v>245</v>
      </c>
      <c r="V252" s="127" t="s">
        <v>246</v>
      </c>
      <c r="W252" s="127" t="s">
        <v>247</v>
      </c>
      <c r="X252" s="127" t="s">
        <v>248</v>
      </c>
      <c r="Y252" s="127" t="s">
        <v>402</v>
      </c>
      <c r="Z252" s="127" t="s">
        <v>249</v>
      </c>
      <c r="AA252" s="127"/>
      <c r="AB252" s="127">
        <v>15</v>
      </c>
    </row>
    <row r="253" spans="1:28" ht="15.5" x14ac:dyDescent="0.4">
      <c r="A253" s="127" t="s">
        <v>601</v>
      </c>
      <c r="B253" s="208">
        <v>227.84360000000001</v>
      </c>
      <c r="C253" s="201">
        <v>91.350999999999999</v>
      </c>
      <c r="D253" s="207"/>
      <c r="E253" s="202">
        <v>137.0265</v>
      </c>
      <c r="F253" s="202">
        <v>825.2</v>
      </c>
      <c r="G253" s="226">
        <f t="shared" si="23"/>
        <v>110.05465341735336</v>
      </c>
      <c r="H253" s="207">
        <v>0</v>
      </c>
      <c r="I253" s="207"/>
      <c r="J253" s="207"/>
      <c r="K253" s="207">
        <v>91.350999999999999</v>
      </c>
      <c r="L253" s="127">
        <v>8000</v>
      </c>
      <c r="M253" s="127">
        <v>15</v>
      </c>
      <c r="N253" s="200">
        <f t="shared" si="36"/>
        <v>198.91649999999998</v>
      </c>
      <c r="O253" s="200">
        <f t="shared" si="37"/>
        <v>227.84360000000001</v>
      </c>
      <c r="P253" s="200">
        <f t="shared" si="38"/>
        <v>227.84360000000001</v>
      </c>
      <c r="Q253" s="200">
        <f t="shared" si="27"/>
        <v>227.84360000000001</v>
      </c>
      <c r="R253" s="127" t="s">
        <v>243</v>
      </c>
      <c r="S253" s="127" t="str">
        <f>""</f>
        <v/>
      </c>
      <c r="T253" s="127" t="s">
        <v>244</v>
      </c>
      <c r="U253" s="127" t="s">
        <v>245</v>
      </c>
      <c r="V253" s="127" t="s">
        <v>246</v>
      </c>
      <c r="W253" s="127" t="s">
        <v>247</v>
      </c>
      <c r="X253" s="127" t="s">
        <v>248</v>
      </c>
      <c r="Y253" s="127" t="s">
        <v>402</v>
      </c>
      <c r="Z253" s="127" t="s">
        <v>249</v>
      </c>
      <c r="AA253" s="127" t="str">
        <f>""</f>
        <v/>
      </c>
      <c r="AB253" s="127">
        <v>15</v>
      </c>
    </row>
    <row r="254" spans="1:28" ht="15.5" x14ac:dyDescent="0.4">
      <c r="A254" s="127" t="s">
        <v>602</v>
      </c>
      <c r="B254" s="208">
        <v>223.93049999999999</v>
      </c>
      <c r="C254" s="201">
        <v>91.350999999999999</v>
      </c>
      <c r="D254" s="207"/>
      <c r="E254" s="202">
        <v>137.0265</v>
      </c>
      <c r="F254" s="202">
        <v>821.69</v>
      </c>
      <c r="G254" s="226">
        <f t="shared" si="23"/>
        <v>105.76251384342027</v>
      </c>
      <c r="H254" s="207">
        <v>0</v>
      </c>
      <c r="I254" s="207"/>
      <c r="J254" s="207"/>
      <c r="K254" s="207">
        <v>91.350999999999999</v>
      </c>
      <c r="L254" s="127">
        <v>8000</v>
      </c>
      <c r="M254" s="127">
        <v>15</v>
      </c>
      <c r="N254" s="200">
        <f t="shared" si="36"/>
        <v>198.65325000000001</v>
      </c>
      <c r="O254" s="200">
        <f t="shared" si="37"/>
        <v>223.93049999999999</v>
      </c>
      <c r="P254" s="200">
        <f t="shared" si="38"/>
        <v>223.93049999999999</v>
      </c>
      <c r="Q254" s="200">
        <f t="shared" si="27"/>
        <v>223.93049999999999</v>
      </c>
      <c r="R254" s="127" t="s">
        <v>243</v>
      </c>
      <c r="S254" s="127" t="str">
        <f>""</f>
        <v/>
      </c>
      <c r="T254" s="127" t="s">
        <v>244</v>
      </c>
      <c r="U254" s="127" t="s">
        <v>245</v>
      </c>
      <c r="V254" s="127" t="s">
        <v>246</v>
      </c>
      <c r="W254" s="127" t="s">
        <v>247</v>
      </c>
      <c r="X254" s="127" t="s">
        <v>248</v>
      </c>
      <c r="Y254" s="127" t="s">
        <v>402</v>
      </c>
      <c r="Z254" s="127" t="s">
        <v>249</v>
      </c>
      <c r="AA254" s="127" t="str">
        <f>""</f>
        <v/>
      </c>
      <c r="AB254" s="127">
        <v>15</v>
      </c>
    </row>
    <row r="255" spans="1:28" ht="14.5" x14ac:dyDescent="0.35">
      <c r="A255" s="127" t="s">
        <v>675</v>
      </c>
      <c r="B255" s="208">
        <v>274.50360000000001</v>
      </c>
      <c r="C255" s="201">
        <v>91.350999999999999</v>
      </c>
      <c r="D255" s="207"/>
      <c r="E255" s="202">
        <v>137.0265</v>
      </c>
      <c r="F255" s="202">
        <v>821.69</v>
      </c>
      <c r="G255" s="226">
        <f t="shared" si="23"/>
        <v>167.31017780428141</v>
      </c>
      <c r="H255" s="207">
        <v>0</v>
      </c>
      <c r="I255" s="207"/>
      <c r="J255" s="207"/>
      <c r="K255" s="207">
        <v>91.350999999999999</v>
      </c>
      <c r="L255" s="127">
        <v>8000</v>
      </c>
      <c r="M255" s="127">
        <v>15</v>
      </c>
      <c r="N255" s="200">
        <f t="shared" si="36"/>
        <v>198.65325000000001</v>
      </c>
      <c r="O255" s="200">
        <f t="shared" si="37"/>
        <v>260.28000000000003</v>
      </c>
      <c r="P255" s="200">
        <f t="shared" si="38"/>
        <v>274.50360000000001</v>
      </c>
      <c r="Q255" s="200">
        <f t="shared" si="27"/>
        <v>274.50360000000001</v>
      </c>
      <c r="R255" s="127" t="s">
        <v>243</v>
      </c>
      <c r="S255" s="127" t="str">
        <f>""</f>
        <v/>
      </c>
      <c r="T255" s="127" t="s">
        <v>244</v>
      </c>
      <c r="U255" s="127" t="s">
        <v>245</v>
      </c>
      <c r="V255" s="127" t="s">
        <v>246</v>
      </c>
      <c r="W255" s="127" t="s">
        <v>247</v>
      </c>
      <c r="X255" s="127" t="s">
        <v>248</v>
      </c>
      <c r="Y255" s="127" t="s">
        <v>402</v>
      </c>
      <c r="Z255" s="127" t="s">
        <v>249</v>
      </c>
      <c r="AA255" s="127"/>
      <c r="AB255" s="127">
        <v>15</v>
      </c>
    </row>
    <row r="256" spans="1:28" ht="15.5" x14ac:dyDescent="0.4">
      <c r="A256" s="127" t="s">
        <v>605</v>
      </c>
      <c r="B256" s="208">
        <v>206.22239999999999</v>
      </c>
      <c r="C256" s="201">
        <v>91.350999999999999</v>
      </c>
      <c r="D256" s="207"/>
      <c r="E256" s="202">
        <v>137.0265</v>
      </c>
      <c r="F256" s="202">
        <v>840.95</v>
      </c>
      <c r="G256" s="226">
        <f t="shared" si="23"/>
        <v>82.283013258814421</v>
      </c>
      <c r="H256" s="207">
        <v>0</v>
      </c>
      <c r="I256" s="207"/>
      <c r="J256" s="207"/>
      <c r="K256" s="207">
        <v>91.350999999999999</v>
      </c>
      <c r="L256" s="127">
        <v>8000</v>
      </c>
      <c r="M256" s="127">
        <v>15</v>
      </c>
      <c r="N256" s="200">
        <f t="shared" si="36"/>
        <v>200.09774999999999</v>
      </c>
      <c r="O256" s="200">
        <f t="shared" si="37"/>
        <v>206.22239999999999</v>
      </c>
      <c r="P256" s="200">
        <f t="shared" si="38"/>
        <v>206.22239999999999</v>
      </c>
      <c r="Q256" s="200">
        <f t="shared" si="27"/>
        <v>206.22239999999999</v>
      </c>
      <c r="R256" s="127" t="s">
        <v>243</v>
      </c>
      <c r="S256" s="127" t="str">
        <f>""</f>
        <v/>
      </c>
      <c r="T256" s="127" t="s">
        <v>244</v>
      </c>
      <c r="U256" s="127" t="s">
        <v>245</v>
      </c>
      <c r="V256" s="127" t="s">
        <v>246</v>
      </c>
      <c r="W256" s="127" t="s">
        <v>247</v>
      </c>
      <c r="X256" s="127" t="s">
        <v>248</v>
      </c>
      <c r="Y256" s="127" t="s">
        <v>402</v>
      </c>
      <c r="Z256" s="127" t="s">
        <v>249</v>
      </c>
      <c r="AA256" s="127" t="str">
        <f>""</f>
        <v/>
      </c>
      <c r="AB256" s="127">
        <v>15</v>
      </c>
    </row>
    <row r="257" spans="1:28" ht="15.5" x14ac:dyDescent="0.4">
      <c r="A257" s="127" t="s">
        <v>606</v>
      </c>
      <c r="B257" s="208">
        <v>197.517</v>
      </c>
      <c r="C257" s="201">
        <v>91.350999999999999</v>
      </c>
      <c r="D257" s="207"/>
      <c r="E257" s="202">
        <v>137.0265</v>
      </c>
      <c r="F257" s="202">
        <v>837.44</v>
      </c>
      <c r="G257" s="226">
        <f t="shared" si="23"/>
        <v>72.232637562093998</v>
      </c>
      <c r="H257" s="207">
        <v>0</v>
      </c>
      <c r="I257" s="207"/>
      <c r="J257" s="207"/>
      <c r="K257" s="207">
        <v>91.350999999999999</v>
      </c>
      <c r="L257" s="127">
        <v>8000</v>
      </c>
      <c r="M257" s="127">
        <v>15</v>
      </c>
      <c r="N257" s="200">
        <f t="shared" si="36"/>
        <v>197.517</v>
      </c>
      <c r="O257" s="200">
        <f t="shared" si="37"/>
        <v>197.517</v>
      </c>
      <c r="P257" s="200">
        <f t="shared" si="38"/>
        <v>197.517</v>
      </c>
      <c r="Q257" s="200">
        <f t="shared" si="27"/>
        <v>197.517</v>
      </c>
      <c r="R257" s="127" t="s">
        <v>243</v>
      </c>
      <c r="S257" s="127" t="str">
        <f>""</f>
        <v/>
      </c>
      <c r="T257" s="127" t="s">
        <v>244</v>
      </c>
      <c r="U257" s="127" t="s">
        <v>245</v>
      </c>
      <c r="V257" s="127" t="s">
        <v>246</v>
      </c>
      <c r="W257" s="127" t="s">
        <v>247</v>
      </c>
      <c r="X257" s="127" t="s">
        <v>248</v>
      </c>
      <c r="Y257" s="127" t="s">
        <v>402</v>
      </c>
      <c r="Z257" s="127" t="s">
        <v>249</v>
      </c>
      <c r="AA257" s="127" t="str">
        <f>""</f>
        <v/>
      </c>
      <c r="AB257" s="127">
        <v>15</v>
      </c>
    </row>
    <row r="258" spans="1:28" ht="14.5" x14ac:dyDescent="0.35">
      <c r="A258" s="127" t="s">
        <v>676</v>
      </c>
      <c r="B258" s="208">
        <v>248.09010000000001</v>
      </c>
      <c r="C258" s="201">
        <v>91.350999999999999</v>
      </c>
      <c r="D258" s="207"/>
      <c r="E258" s="202">
        <v>137.0265</v>
      </c>
      <c r="F258" s="202">
        <v>837.44</v>
      </c>
      <c r="G258" s="226">
        <f t="shared" si="23"/>
        <v>132.62275506304928</v>
      </c>
      <c r="H258" s="207">
        <v>0</v>
      </c>
      <c r="I258" s="207"/>
      <c r="J258" s="207"/>
      <c r="K258" s="207">
        <v>91.350999999999999</v>
      </c>
      <c r="L258" s="127">
        <v>8000</v>
      </c>
      <c r="M258" s="127">
        <v>15</v>
      </c>
      <c r="N258" s="200">
        <f t="shared" si="36"/>
        <v>199.83449999999999</v>
      </c>
      <c r="O258" s="200">
        <f t="shared" si="37"/>
        <v>248.09010000000001</v>
      </c>
      <c r="P258" s="200">
        <f t="shared" si="38"/>
        <v>248.09010000000001</v>
      </c>
      <c r="Q258" s="200">
        <f t="shared" si="27"/>
        <v>248.09010000000001</v>
      </c>
      <c r="R258" s="127" t="s">
        <v>243</v>
      </c>
      <c r="S258" s="127" t="str">
        <f>""</f>
        <v/>
      </c>
      <c r="T258" s="127" t="s">
        <v>244</v>
      </c>
      <c r="U258" s="127" t="s">
        <v>245</v>
      </c>
      <c r="V258" s="127" t="s">
        <v>246</v>
      </c>
      <c r="W258" s="127" t="s">
        <v>247</v>
      </c>
      <c r="X258" s="127" t="s">
        <v>248</v>
      </c>
      <c r="Y258" s="127" t="s">
        <v>402</v>
      </c>
      <c r="Z258" s="127" t="s">
        <v>249</v>
      </c>
      <c r="AA258" s="127"/>
      <c r="AB258" s="127">
        <v>15</v>
      </c>
    </row>
    <row r="259" spans="1:28" ht="14.5" x14ac:dyDescent="0.35">
      <c r="A259" s="127"/>
      <c r="B259" s="208"/>
      <c r="C259" s="201"/>
      <c r="D259" s="207"/>
      <c r="E259" s="202"/>
      <c r="F259" s="202"/>
      <c r="G259" s="226"/>
      <c r="H259" s="207"/>
      <c r="I259" s="207"/>
      <c r="J259" s="207"/>
      <c r="K259" s="207"/>
      <c r="L259" s="127"/>
      <c r="M259" s="127"/>
      <c r="N259" s="200"/>
      <c r="O259" s="200"/>
      <c r="P259" s="200"/>
      <c r="Q259" s="200"/>
      <c r="R259" s="127"/>
      <c r="S259" s="127"/>
      <c r="T259" s="127"/>
      <c r="U259" s="127"/>
      <c r="V259" s="127"/>
      <c r="W259" s="127"/>
      <c r="X259" s="127"/>
      <c r="Y259" s="127"/>
      <c r="Z259" s="127"/>
      <c r="AA259" s="127"/>
      <c r="AB259" s="127"/>
    </row>
    <row r="260" spans="1:28" ht="15" x14ac:dyDescent="0.35">
      <c r="A260" s="252" t="s">
        <v>482</v>
      </c>
      <c r="B260" s="208"/>
      <c r="C260" s="201"/>
      <c r="D260" s="207"/>
      <c r="E260" s="202"/>
      <c r="F260" s="202"/>
      <c r="G260" s="226"/>
      <c r="H260" s="207"/>
      <c r="I260" s="207"/>
      <c r="J260" s="207"/>
      <c r="K260" s="207"/>
      <c r="L260" s="127"/>
      <c r="M260" s="127"/>
      <c r="N260" s="200"/>
      <c r="O260" s="200"/>
      <c r="P260" s="200"/>
      <c r="Q260" s="200"/>
      <c r="R260" s="127"/>
      <c r="S260" s="127"/>
      <c r="T260" s="127"/>
      <c r="U260" s="127"/>
      <c r="V260" s="127"/>
      <c r="W260" s="127"/>
      <c r="X260" s="127"/>
      <c r="Y260" s="127"/>
      <c r="Z260" s="127"/>
      <c r="AA260" s="127"/>
      <c r="AB260" s="127"/>
    </row>
    <row r="261" spans="1:28" ht="15.5" x14ac:dyDescent="0.4">
      <c r="A261" s="127" t="s">
        <v>625</v>
      </c>
      <c r="B261" s="208">
        <v>282.9162</v>
      </c>
      <c r="C261" s="201">
        <v>0</v>
      </c>
      <c r="D261" s="207"/>
      <c r="E261" s="202">
        <v>0</v>
      </c>
      <c r="F261" s="202">
        <v>943.05399999999997</v>
      </c>
      <c r="G261" s="226">
        <f t="shared" si="23"/>
        <v>300</v>
      </c>
      <c r="H261" s="207">
        <v>0</v>
      </c>
      <c r="I261" s="207"/>
      <c r="J261" s="207"/>
      <c r="K261" s="207">
        <v>0</v>
      </c>
      <c r="L261" s="127">
        <v>4000</v>
      </c>
      <c r="M261" s="127">
        <v>15</v>
      </c>
      <c r="N261" s="200">
        <f t="shared" si="36"/>
        <v>70.729050000000001</v>
      </c>
      <c r="O261" s="200">
        <f t="shared" si="37"/>
        <v>141.4581</v>
      </c>
      <c r="P261" s="200">
        <f t="shared" si="38"/>
        <v>212.18715</v>
      </c>
      <c r="Q261" s="200">
        <f t="shared" si="27"/>
        <v>282.9162</v>
      </c>
      <c r="R261" s="127" t="s">
        <v>243</v>
      </c>
      <c r="S261" s="127" t="str">
        <f>""</f>
        <v/>
      </c>
      <c r="T261" s="127" t="s">
        <v>244</v>
      </c>
      <c r="U261" s="127" t="s">
        <v>245</v>
      </c>
      <c r="V261" s="127" t="s">
        <v>246</v>
      </c>
      <c r="W261" s="127" t="s">
        <v>247</v>
      </c>
      <c r="X261" s="127" t="s">
        <v>248</v>
      </c>
      <c r="Y261" s="127" t="s">
        <v>402</v>
      </c>
      <c r="Z261" s="127" t="s">
        <v>249</v>
      </c>
      <c r="AA261" s="127" t="str">
        <f>""</f>
        <v/>
      </c>
      <c r="AB261" s="127">
        <v>15</v>
      </c>
    </row>
    <row r="262" spans="1:28" ht="15.5" x14ac:dyDescent="0.4">
      <c r="A262" s="127" t="s">
        <v>626</v>
      </c>
      <c r="B262" s="208">
        <v>279.55110000000002</v>
      </c>
      <c r="C262" s="201">
        <v>0</v>
      </c>
      <c r="D262" s="207"/>
      <c r="E262" s="202">
        <v>0</v>
      </c>
      <c r="F262" s="202">
        <v>939.54399999999998</v>
      </c>
      <c r="G262" s="226">
        <f t="shared" si="23"/>
        <v>297.53912536294206</v>
      </c>
      <c r="H262" s="207">
        <v>0</v>
      </c>
      <c r="I262" s="207"/>
      <c r="J262" s="207"/>
      <c r="K262" s="207">
        <v>0</v>
      </c>
      <c r="L262" s="127">
        <v>4000</v>
      </c>
      <c r="M262" s="127">
        <v>15</v>
      </c>
      <c r="N262" s="200">
        <f t="shared" si="36"/>
        <v>70.465800000000002</v>
      </c>
      <c r="O262" s="200">
        <f t="shared" si="37"/>
        <v>140.9316</v>
      </c>
      <c r="P262" s="200">
        <f t="shared" si="38"/>
        <v>211.3974</v>
      </c>
      <c r="Q262" s="200">
        <f t="shared" si="27"/>
        <v>279.55110000000002</v>
      </c>
      <c r="R262" s="127" t="s">
        <v>243</v>
      </c>
      <c r="S262" s="127" t="str">
        <f>""</f>
        <v/>
      </c>
      <c r="T262" s="127" t="s">
        <v>244</v>
      </c>
      <c r="U262" s="127" t="s">
        <v>245</v>
      </c>
      <c r="V262" s="127" t="s">
        <v>246</v>
      </c>
      <c r="W262" s="127" t="s">
        <v>247</v>
      </c>
      <c r="X262" s="127" t="s">
        <v>248</v>
      </c>
      <c r="Y262" s="127" t="s">
        <v>402</v>
      </c>
      <c r="Z262" s="127" t="s">
        <v>249</v>
      </c>
      <c r="AA262" s="127" t="str">
        <f>""</f>
        <v/>
      </c>
      <c r="AB262" s="127">
        <v>15</v>
      </c>
    </row>
    <row r="263" spans="1:28" ht="15.5" x14ac:dyDescent="0.4">
      <c r="A263" s="127" t="s">
        <v>627</v>
      </c>
      <c r="B263" s="208">
        <v>220.1705</v>
      </c>
      <c r="C263" s="201">
        <v>0</v>
      </c>
      <c r="D263" s="207"/>
      <c r="E263" s="202">
        <v>0</v>
      </c>
      <c r="F263" s="202">
        <v>939.54399999999998</v>
      </c>
      <c r="G263" s="226">
        <f t="shared" si="23"/>
        <v>234.3376148429451</v>
      </c>
      <c r="H263" s="207">
        <v>0</v>
      </c>
      <c r="I263" s="207"/>
      <c r="J263" s="207"/>
      <c r="K263" s="207">
        <v>0</v>
      </c>
      <c r="L263" s="127">
        <v>4000</v>
      </c>
      <c r="M263" s="127">
        <v>15</v>
      </c>
      <c r="N263" s="200">
        <f t="shared" si="36"/>
        <v>70.465800000000002</v>
      </c>
      <c r="O263" s="200">
        <f t="shared" si="37"/>
        <v>140.9316</v>
      </c>
      <c r="P263" s="200">
        <f t="shared" si="38"/>
        <v>211.3974</v>
      </c>
      <c r="Q263" s="200">
        <f t="shared" si="27"/>
        <v>220.1705</v>
      </c>
      <c r="R263" s="127" t="s">
        <v>243</v>
      </c>
      <c r="S263" s="127" t="str">
        <f>""</f>
        <v/>
      </c>
      <c r="T263" s="127" t="s">
        <v>244</v>
      </c>
      <c r="U263" s="127" t="s">
        <v>245</v>
      </c>
      <c r="V263" s="127" t="s">
        <v>246</v>
      </c>
      <c r="W263" s="127" t="s">
        <v>247</v>
      </c>
      <c r="X263" s="127" t="s">
        <v>248</v>
      </c>
      <c r="Y263" s="127" t="s">
        <v>402</v>
      </c>
      <c r="Z263" s="127" t="s">
        <v>249</v>
      </c>
      <c r="AA263" s="127" t="str">
        <f>""</f>
        <v/>
      </c>
      <c r="AB263" s="127">
        <v>15</v>
      </c>
    </row>
    <row r="264" spans="1:28" ht="14.5" x14ac:dyDescent="0.35">
      <c r="A264" s="127" t="s">
        <v>677</v>
      </c>
      <c r="B264" s="208">
        <v>281.86320000000001</v>
      </c>
      <c r="C264" s="201">
        <v>0</v>
      </c>
      <c r="D264" s="207"/>
      <c r="E264" s="202">
        <v>0</v>
      </c>
      <c r="F264" s="202">
        <v>939.54399999999998</v>
      </c>
      <c r="G264" s="226">
        <f t="shared" si="23"/>
        <v>300</v>
      </c>
      <c r="H264" s="207">
        <v>0</v>
      </c>
      <c r="I264" s="207"/>
      <c r="J264" s="207"/>
      <c r="K264" s="207">
        <v>0</v>
      </c>
      <c r="L264" s="127">
        <v>4000</v>
      </c>
      <c r="M264" s="127">
        <v>15</v>
      </c>
      <c r="N264" s="200">
        <f t="shared" si="36"/>
        <v>70.465800000000002</v>
      </c>
      <c r="O264" s="200">
        <f t="shared" si="37"/>
        <v>140.9316</v>
      </c>
      <c r="P264" s="200">
        <f t="shared" si="38"/>
        <v>211.3974</v>
      </c>
      <c r="Q264" s="200">
        <f t="shared" si="27"/>
        <v>281.86320000000001</v>
      </c>
      <c r="R264" s="127" t="s">
        <v>243</v>
      </c>
      <c r="S264" s="127" t="str">
        <f>""</f>
        <v/>
      </c>
      <c r="T264" s="127" t="s">
        <v>244</v>
      </c>
      <c r="U264" s="127" t="s">
        <v>245</v>
      </c>
      <c r="V264" s="127" t="s">
        <v>246</v>
      </c>
      <c r="W264" s="127" t="s">
        <v>247</v>
      </c>
      <c r="X264" s="127" t="s">
        <v>248</v>
      </c>
      <c r="Y264" s="127" t="s">
        <v>402</v>
      </c>
      <c r="Z264" s="127" t="s">
        <v>249</v>
      </c>
      <c r="AA264" s="127"/>
      <c r="AB264" s="127">
        <v>15</v>
      </c>
    </row>
    <row r="265" spans="1:28" ht="14.5" x14ac:dyDescent="0.35">
      <c r="A265" s="127" t="s">
        <v>685</v>
      </c>
      <c r="B265" s="208">
        <v>281.86320000000001</v>
      </c>
      <c r="C265" s="201">
        <v>0</v>
      </c>
      <c r="D265" s="207"/>
      <c r="E265" s="202">
        <v>0</v>
      </c>
      <c r="F265" s="202">
        <v>939.54399999999998</v>
      </c>
      <c r="G265" s="226">
        <f t="shared" si="23"/>
        <v>300</v>
      </c>
      <c r="H265" s="207">
        <v>0</v>
      </c>
      <c r="I265" s="207"/>
      <c r="J265" s="207"/>
      <c r="K265" s="207">
        <v>0</v>
      </c>
      <c r="L265" s="127">
        <v>4000</v>
      </c>
      <c r="M265" s="127">
        <v>15</v>
      </c>
      <c r="N265" s="200">
        <f t="shared" si="36"/>
        <v>70.465800000000002</v>
      </c>
      <c r="O265" s="200">
        <f t="shared" si="37"/>
        <v>140.9316</v>
      </c>
      <c r="P265" s="200">
        <f t="shared" si="38"/>
        <v>211.3974</v>
      </c>
      <c r="Q265" s="200">
        <f t="shared" si="27"/>
        <v>281.86320000000001</v>
      </c>
      <c r="R265" s="127" t="s">
        <v>243</v>
      </c>
      <c r="S265" s="127" t="str">
        <f>""</f>
        <v/>
      </c>
      <c r="T265" s="127" t="s">
        <v>244</v>
      </c>
      <c r="U265" s="127" t="s">
        <v>245</v>
      </c>
      <c r="V265" s="127" t="s">
        <v>246</v>
      </c>
      <c r="W265" s="127" t="s">
        <v>247</v>
      </c>
      <c r="X265" s="127" t="s">
        <v>248</v>
      </c>
      <c r="Y265" s="127" t="s">
        <v>402</v>
      </c>
      <c r="Z265" s="127" t="s">
        <v>249</v>
      </c>
      <c r="AA265" s="127"/>
      <c r="AB265" s="127">
        <v>15</v>
      </c>
    </row>
    <row r="266" spans="1:28" ht="14.5" x14ac:dyDescent="0.35">
      <c r="A266" s="127"/>
      <c r="B266" s="208"/>
      <c r="C266" s="201"/>
      <c r="D266" s="207"/>
      <c r="E266" s="202"/>
      <c r="F266" s="202"/>
      <c r="G266" s="226"/>
      <c r="H266" s="207"/>
      <c r="I266" s="207"/>
      <c r="J266" s="207"/>
      <c r="K266" s="207"/>
      <c r="L266" s="127"/>
      <c r="M266" s="127"/>
      <c r="N266" s="200"/>
      <c r="O266" s="200"/>
      <c r="P266" s="200"/>
      <c r="Q266" s="200"/>
      <c r="R266" s="127"/>
      <c r="S266" s="127"/>
      <c r="T266" s="127"/>
      <c r="U266" s="127"/>
      <c r="V266" s="127"/>
      <c r="W266" s="127"/>
      <c r="X266" s="127"/>
      <c r="Y266" s="127"/>
      <c r="Z266" s="127"/>
      <c r="AA266" s="127"/>
      <c r="AB266" s="127"/>
    </row>
    <row r="267" spans="1:28" ht="15" x14ac:dyDescent="0.35">
      <c r="A267" s="252" t="s">
        <v>483</v>
      </c>
      <c r="B267" s="208"/>
      <c r="C267" s="201"/>
      <c r="D267" s="207"/>
      <c r="E267" s="202"/>
      <c r="F267" s="202"/>
      <c r="G267" s="226"/>
      <c r="H267" s="207"/>
      <c r="I267" s="207"/>
      <c r="J267" s="207"/>
      <c r="K267" s="207"/>
      <c r="L267" s="127"/>
      <c r="M267" s="127"/>
      <c r="N267" s="200"/>
      <c r="O267" s="200"/>
      <c r="P267" s="200"/>
      <c r="Q267" s="200"/>
      <c r="R267" s="127"/>
      <c r="S267" s="127"/>
      <c r="T267" s="127"/>
      <c r="U267" s="127"/>
      <c r="V267" s="127"/>
      <c r="W267" s="127"/>
      <c r="X267" s="127"/>
      <c r="Y267" s="127"/>
      <c r="Z267" s="127"/>
      <c r="AA267" s="127"/>
      <c r="AB267" s="127"/>
    </row>
    <row r="268" spans="1:28" ht="15.5" x14ac:dyDescent="0.35">
      <c r="A268" s="253" t="s">
        <v>628</v>
      </c>
      <c r="B268" s="208">
        <v>147.256</v>
      </c>
      <c r="C268" s="201">
        <v>0</v>
      </c>
      <c r="D268" s="207"/>
      <c r="E268" s="202">
        <v>0</v>
      </c>
      <c r="F268" s="202">
        <v>906.82500000000005</v>
      </c>
      <c r="G268" s="226">
        <f t="shared" si="23"/>
        <v>162.386347972321</v>
      </c>
      <c r="H268" s="207">
        <v>0</v>
      </c>
      <c r="I268" s="207"/>
      <c r="J268" s="207"/>
      <c r="K268" s="207">
        <v>0</v>
      </c>
      <c r="L268" s="127">
        <v>8000</v>
      </c>
      <c r="M268" s="127">
        <v>15</v>
      </c>
      <c r="N268" s="200">
        <f t="shared" si="36"/>
        <v>68.011875000000003</v>
      </c>
      <c r="O268" s="200">
        <f t="shared" si="37"/>
        <v>136.02375000000001</v>
      </c>
      <c r="P268" s="200">
        <f t="shared" si="38"/>
        <v>147.256</v>
      </c>
      <c r="Q268" s="200">
        <f t="shared" si="27"/>
        <v>147.256</v>
      </c>
      <c r="R268" s="127" t="s">
        <v>243</v>
      </c>
      <c r="S268" s="127" t="str">
        <f>""</f>
        <v/>
      </c>
      <c r="T268" s="127" t="s">
        <v>244</v>
      </c>
      <c r="U268" s="127" t="s">
        <v>245</v>
      </c>
      <c r="V268" s="127" t="s">
        <v>246</v>
      </c>
      <c r="W268" s="127" t="s">
        <v>247</v>
      </c>
      <c r="X268" s="127" t="s">
        <v>248</v>
      </c>
      <c r="Y268" s="127" t="s">
        <v>402</v>
      </c>
      <c r="Z268" s="127" t="s">
        <v>249</v>
      </c>
      <c r="AA268" s="127" t="str">
        <f>""</f>
        <v/>
      </c>
      <c r="AB268" s="127">
        <v>15</v>
      </c>
    </row>
    <row r="269" spans="1:28" ht="15.5" x14ac:dyDescent="0.35">
      <c r="A269" s="253" t="s">
        <v>629</v>
      </c>
      <c r="B269" s="208">
        <v>150.60480000000001</v>
      </c>
      <c r="C269" s="201">
        <v>0</v>
      </c>
      <c r="D269" s="207"/>
      <c r="E269" s="202">
        <v>0</v>
      </c>
      <c r="F269" s="202">
        <v>902.01499999999999</v>
      </c>
      <c r="G269" s="226">
        <f t="shared" si="23"/>
        <v>166.96485091711338</v>
      </c>
      <c r="H269" s="207">
        <v>0</v>
      </c>
      <c r="I269" s="207"/>
      <c r="J269" s="207"/>
      <c r="K269" s="207">
        <v>0</v>
      </c>
      <c r="L269" s="127">
        <v>8000</v>
      </c>
      <c r="M269" s="127">
        <v>15</v>
      </c>
      <c r="N269" s="200">
        <f t="shared" si="36"/>
        <v>67.651124999999993</v>
      </c>
      <c r="O269" s="200">
        <f t="shared" si="37"/>
        <v>135.30224999999999</v>
      </c>
      <c r="P269" s="200">
        <f t="shared" si="38"/>
        <v>150.60480000000001</v>
      </c>
      <c r="Q269" s="200">
        <f t="shared" si="27"/>
        <v>150.60480000000001</v>
      </c>
      <c r="R269" s="127" t="s">
        <v>243</v>
      </c>
      <c r="S269" s="127" t="str">
        <f>""</f>
        <v/>
      </c>
      <c r="T269" s="127" t="s">
        <v>244</v>
      </c>
      <c r="U269" s="127" t="s">
        <v>245</v>
      </c>
      <c r="V269" s="127" t="s">
        <v>246</v>
      </c>
      <c r="W269" s="127" t="s">
        <v>247</v>
      </c>
      <c r="X269" s="127" t="s">
        <v>248</v>
      </c>
      <c r="Y269" s="127" t="s">
        <v>402</v>
      </c>
      <c r="Z269" s="127" t="s">
        <v>249</v>
      </c>
      <c r="AA269" s="127" t="str">
        <f>""</f>
        <v/>
      </c>
      <c r="AB269" s="127">
        <v>15</v>
      </c>
    </row>
    <row r="270" spans="1:28" ht="14.5" x14ac:dyDescent="0.35">
      <c r="A270" s="253" t="s">
        <v>678</v>
      </c>
      <c r="B270" s="208">
        <v>201.17789999999999</v>
      </c>
      <c r="C270" s="201">
        <v>0</v>
      </c>
      <c r="D270" s="207"/>
      <c r="E270" s="202">
        <v>0</v>
      </c>
      <c r="F270" s="202">
        <v>902.01499999999999</v>
      </c>
      <c r="G270" s="226">
        <f t="shared" si="23"/>
        <v>223.03165690149277</v>
      </c>
      <c r="H270" s="207">
        <v>0</v>
      </c>
      <c r="I270" s="207"/>
      <c r="J270" s="207"/>
      <c r="K270" s="207">
        <v>0</v>
      </c>
      <c r="L270" s="127">
        <v>8000</v>
      </c>
      <c r="M270" s="127">
        <v>15</v>
      </c>
      <c r="N270" s="200">
        <f t="shared" si="36"/>
        <v>67.651124999999993</v>
      </c>
      <c r="O270" s="200">
        <f t="shared" si="37"/>
        <v>135.30224999999999</v>
      </c>
      <c r="P270" s="200">
        <f t="shared" si="38"/>
        <v>201.17789999999999</v>
      </c>
      <c r="Q270" s="200">
        <f t="shared" si="27"/>
        <v>201.17789999999999</v>
      </c>
      <c r="R270" s="127" t="s">
        <v>243</v>
      </c>
      <c r="S270" s="127" t="str">
        <f>""</f>
        <v/>
      </c>
      <c r="T270" s="127" t="s">
        <v>244</v>
      </c>
      <c r="U270" s="127" t="s">
        <v>245</v>
      </c>
      <c r="V270" s="127" t="s">
        <v>246</v>
      </c>
      <c r="W270" s="127" t="s">
        <v>247</v>
      </c>
      <c r="X270" s="127" t="s">
        <v>248</v>
      </c>
      <c r="Y270" s="127" t="s">
        <v>402</v>
      </c>
      <c r="Z270" s="127" t="s">
        <v>249</v>
      </c>
      <c r="AA270" s="127"/>
      <c r="AB270" s="127">
        <v>15</v>
      </c>
    </row>
    <row r="271" spans="1:28" ht="15.5" x14ac:dyDescent="0.35">
      <c r="A271" s="253" t="s">
        <v>630</v>
      </c>
      <c r="B271" s="208">
        <v>179.3614</v>
      </c>
      <c r="C271" s="201">
        <v>0</v>
      </c>
      <c r="D271" s="207"/>
      <c r="E271" s="202">
        <v>0</v>
      </c>
      <c r="F271" s="202">
        <v>906.82500000000005</v>
      </c>
      <c r="G271" s="226">
        <f t="shared" si="23"/>
        <v>197.79053290326135</v>
      </c>
      <c r="H271" s="207">
        <v>0</v>
      </c>
      <c r="I271" s="207"/>
      <c r="J271" s="207"/>
      <c r="K271" s="207">
        <v>0</v>
      </c>
      <c r="L271" s="127">
        <v>8000</v>
      </c>
      <c r="M271" s="127">
        <v>15</v>
      </c>
      <c r="N271" s="200">
        <f t="shared" si="36"/>
        <v>68.011875000000003</v>
      </c>
      <c r="O271" s="200">
        <f t="shared" si="37"/>
        <v>136.02375000000001</v>
      </c>
      <c r="P271" s="200">
        <f t="shared" si="38"/>
        <v>179.3614</v>
      </c>
      <c r="Q271" s="200">
        <f t="shared" si="27"/>
        <v>179.3614</v>
      </c>
      <c r="R271" s="127" t="s">
        <v>243</v>
      </c>
      <c r="S271" s="127" t="str">
        <f>""</f>
        <v/>
      </c>
      <c r="T271" s="127" t="s">
        <v>244</v>
      </c>
      <c r="U271" s="127" t="s">
        <v>245</v>
      </c>
      <c r="V271" s="127" t="s">
        <v>246</v>
      </c>
      <c r="W271" s="127" t="s">
        <v>247</v>
      </c>
      <c r="X271" s="127" t="s">
        <v>248</v>
      </c>
      <c r="Y271" s="127" t="s">
        <v>402</v>
      </c>
      <c r="Z271" s="127" t="s">
        <v>249</v>
      </c>
      <c r="AA271" s="127" t="str">
        <f>""</f>
        <v/>
      </c>
      <c r="AB271" s="127">
        <v>15</v>
      </c>
    </row>
    <row r="272" spans="1:28" ht="15.5" x14ac:dyDescent="0.35">
      <c r="A272" s="253" t="s">
        <v>631</v>
      </c>
      <c r="B272" s="208">
        <v>178.2373</v>
      </c>
      <c r="C272" s="201">
        <v>0</v>
      </c>
      <c r="D272" s="207"/>
      <c r="E272" s="202">
        <v>0</v>
      </c>
      <c r="F272" s="202">
        <v>902.01499999999999</v>
      </c>
      <c r="G272" s="226">
        <f t="shared" si="23"/>
        <v>197.59904214453198</v>
      </c>
      <c r="H272" s="207">
        <v>0</v>
      </c>
      <c r="I272" s="207"/>
      <c r="J272" s="207"/>
      <c r="K272" s="207">
        <v>0</v>
      </c>
      <c r="L272" s="127">
        <v>8000</v>
      </c>
      <c r="M272" s="127">
        <v>15</v>
      </c>
      <c r="N272" s="200">
        <f t="shared" si="36"/>
        <v>67.651124999999993</v>
      </c>
      <c r="O272" s="200">
        <f t="shared" si="37"/>
        <v>135.30224999999999</v>
      </c>
      <c r="P272" s="200">
        <f t="shared" si="38"/>
        <v>178.2373</v>
      </c>
      <c r="Q272" s="200">
        <f t="shared" si="27"/>
        <v>178.2373</v>
      </c>
      <c r="R272" s="127" t="s">
        <v>243</v>
      </c>
      <c r="S272" s="127" t="str">
        <f>""</f>
        <v/>
      </c>
      <c r="T272" s="127" t="s">
        <v>244</v>
      </c>
      <c r="U272" s="127" t="s">
        <v>245</v>
      </c>
      <c r="V272" s="127" t="s">
        <v>246</v>
      </c>
      <c r="W272" s="127" t="s">
        <v>247</v>
      </c>
      <c r="X272" s="127" t="s">
        <v>248</v>
      </c>
      <c r="Y272" s="127" t="s">
        <v>402</v>
      </c>
      <c r="Z272" s="127" t="s">
        <v>249</v>
      </c>
      <c r="AA272" s="127" t="str">
        <f>""</f>
        <v/>
      </c>
      <c r="AB272" s="127">
        <v>15</v>
      </c>
    </row>
    <row r="273" spans="1:28" ht="14.5" x14ac:dyDescent="0.35">
      <c r="A273" s="253" t="s">
        <v>679</v>
      </c>
      <c r="B273" s="208">
        <v>228.81039999999999</v>
      </c>
      <c r="C273" s="201">
        <v>0</v>
      </c>
      <c r="D273" s="207"/>
      <c r="E273" s="202">
        <v>0</v>
      </c>
      <c r="F273" s="202">
        <v>902.01499999999999</v>
      </c>
      <c r="G273" s="226">
        <f t="shared" si="23"/>
        <v>253.66584812891139</v>
      </c>
      <c r="H273" s="207">
        <v>0</v>
      </c>
      <c r="I273" s="207"/>
      <c r="J273" s="207"/>
      <c r="K273" s="207">
        <v>0</v>
      </c>
      <c r="L273" s="127">
        <v>8000</v>
      </c>
      <c r="M273" s="127">
        <v>15</v>
      </c>
      <c r="N273" s="200">
        <f t="shared" si="36"/>
        <v>67.651124999999993</v>
      </c>
      <c r="O273" s="200">
        <f t="shared" si="37"/>
        <v>135.30224999999999</v>
      </c>
      <c r="P273" s="200">
        <f t="shared" si="38"/>
        <v>202.95337499999999</v>
      </c>
      <c r="Q273" s="200">
        <f t="shared" si="27"/>
        <v>228.81039999999999</v>
      </c>
      <c r="R273" s="127" t="s">
        <v>243</v>
      </c>
      <c r="S273" s="127" t="str">
        <f>""</f>
        <v/>
      </c>
      <c r="T273" s="127" t="s">
        <v>244</v>
      </c>
      <c r="U273" s="127" t="s">
        <v>245</v>
      </c>
      <c r="V273" s="127" t="s">
        <v>246</v>
      </c>
      <c r="W273" s="127" t="s">
        <v>247</v>
      </c>
      <c r="X273" s="127" t="s">
        <v>248</v>
      </c>
      <c r="Y273" s="127" t="s">
        <v>402</v>
      </c>
      <c r="Z273" s="127" t="s">
        <v>249</v>
      </c>
      <c r="AA273" s="127"/>
      <c r="AB273" s="127">
        <v>15</v>
      </c>
    </row>
    <row r="274" spans="1:28" ht="15.5" x14ac:dyDescent="0.35">
      <c r="A274" s="253" t="s">
        <v>638</v>
      </c>
      <c r="B274" s="208">
        <v>151.5119</v>
      </c>
      <c r="C274" s="201">
        <v>0</v>
      </c>
      <c r="D274" s="207"/>
      <c r="E274" s="202">
        <v>0</v>
      </c>
      <c r="F274" s="202">
        <v>912.9</v>
      </c>
      <c r="G274" s="226">
        <f t="shared" si="23"/>
        <v>165.96768539818163</v>
      </c>
      <c r="H274" s="207">
        <v>0</v>
      </c>
      <c r="I274" s="207"/>
      <c r="J274" s="207"/>
      <c r="K274" s="207">
        <v>0</v>
      </c>
      <c r="L274" s="127">
        <v>8000</v>
      </c>
      <c r="M274" s="127">
        <v>15</v>
      </c>
      <c r="N274" s="200">
        <f t="shared" si="36"/>
        <v>68.467500000000001</v>
      </c>
      <c r="O274" s="200">
        <f t="shared" si="37"/>
        <v>136.935</v>
      </c>
      <c r="P274" s="200">
        <f t="shared" si="38"/>
        <v>151.5119</v>
      </c>
      <c r="Q274" s="200">
        <f t="shared" si="27"/>
        <v>151.5119</v>
      </c>
      <c r="R274" s="127" t="s">
        <v>243</v>
      </c>
      <c r="S274" s="127" t="str">
        <f>""</f>
        <v/>
      </c>
      <c r="T274" s="127" t="s">
        <v>244</v>
      </c>
      <c r="U274" s="127" t="s">
        <v>245</v>
      </c>
      <c r="V274" s="127" t="s">
        <v>246</v>
      </c>
      <c r="W274" s="127" t="s">
        <v>247</v>
      </c>
      <c r="X274" s="127" t="s">
        <v>248</v>
      </c>
      <c r="Y274" s="127" t="s">
        <v>402</v>
      </c>
      <c r="Z274" s="127" t="s">
        <v>249</v>
      </c>
      <c r="AA274" s="127" t="str">
        <f>""</f>
        <v/>
      </c>
      <c r="AB274" s="127">
        <v>15</v>
      </c>
    </row>
    <row r="275" spans="1:28" ht="15.5" x14ac:dyDescent="0.35">
      <c r="A275" s="253" t="s">
        <v>639</v>
      </c>
      <c r="B275" s="208">
        <v>155.80500000000001</v>
      </c>
      <c r="C275" s="201">
        <v>0</v>
      </c>
      <c r="D275" s="207"/>
      <c r="E275" s="202">
        <v>0</v>
      </c>
      <c r="F275" s="202">
        <v>908.09</v>
      </c>
      <c r="G275" s="226">
        <f t="shared" si="23"/>
        <v>171.5744034181634</v>
      </c>
      <c r="H275" s="207">
        <v>0</v>
      </c>
      <c r="I275" s="207"/>
      <c r="J275" s="207"/>
      <c r="K275" s="207">
        <v>0</v>
      </c>
      <c r="L275" s="127">
        <v>8000</v>
      </c>
      <c r="M275" s="127">
        <v>15</v>
      </c>
      <c r="N275" s="200">
        <f t="shared" si="36"/>
        <v>68.106750000000005</v>
      </c>
      <c r="O275" s="200">
        <f t="shared" si="37"/>
        <v>136.21350000000001</v>
      </c>
      <c r="P275" s="200">
        <f t="shared" si="38"/>
        <v>155.80500000000001</v>
      </c>
      <c r="Q275" s="200">
        <f t="shared" si="27"/>
        <v>155.80500000000001</v>
      </c>
      <c r="R275" s="127" t="s">
        <v>243</v>
      </c>
      <c r="S275" s="127" t="str">
        <f>""</f>
        <v/>
      </c>
      <c r="T275" s="127" t="s">
        <v>244</v>
      </c>
      <c r="U275" s="127" t="s">
        <v>245</v>
      </c>
      <c r="V275" s="127" t="s">
        <v>246</v>
      </c>
      <c r="W275" s="127" t="s">
        <v>247</v>
      </c>
      <c r="X275" s="127" t="s">
        <v>248</v>
      </c>
      <c r="Y275" s="127" t="s">
        <v>402</v>
      </c>
      <c r="Z275" s="127" t="s">
        <v>249</v>
      </c>
      <c r="AA275" s="127" t="str">
        <f>""</f>
        <v/>
      </c>
      <c r="AB275" s="127">
        <v>15</v>
      </c>
    </row>
    <row r="276" spans="1:28" ht="14.5" x14ac:dyDescent="0.35">
      <c r="A276" s="253" t="s">
        <v>680</v>
      </c>
      <c r="B276" s="208">
        <v>206.37809999999999</v>
      </c>
      <c r="C276" s="201">
        <v>0</v>
      </c>
      <c r="D276" s="207"/>
      <c r="E276" s="202">
        <v>0</v>
      </c>
      <c r="F276" s="202">
        <v>908.09</v>
      </c>
      <c r="G276" s="226">
        <f t="shared" si="23"/>
        <v>227.26613000914003</v>
      </c>
      <c r="H276" s="207">
        <v>0</v>
      </c>
      <c r="I276" s="207"/>
      <c r="J276" s="207"/>
      <c r="K276" s="207">
        <v>0</v>
      </c>
      <c r="L276" s="127">
        <v>8000</v>
      </c>
      <c r="M276" s="127">
        <v>15</v>
      </c>
      <c r="N276" s="200">
        <f t="shared" si="36"/>
        <v>68.106750000000005</v>
      </c>
      <c r="O276" s="200">
        <f t="shared" si="37"/>
        <v>136.21350000000001</v>
      </c>
      <c r="P276" s="200">
        <f t="shared" si="38"/>
        <v>204.32024999999999</v>
      </c>
      <c r="Q276" s="200">
        <f t="shared" si="27"/>
        <v>206.37809999999999</v>
      </c>
      <c r="R276" s="127" t="s">
        <v>243</v>
      </c>
      <c r="S276" s="127" t="str">
        <f>""</f>
        <v/>
      </c>
      <c r="T276" s="127" t="s">
        <v>244</v>
      </c>
      <c r="U276" s="127" t="s">
        <v>245</v>
      </c>
      <c r="V276" s="127" t="s">
        <v>246</v>
      </c>
      <c r="W276" s="127" t="s">
        <v>247</v>
      </c>
      <c r="X276" s="127" t="s">
        <v>248</v>
      </c>
      <c r="Y276" s="127" t="s">
        <v>402</v>
      </c>
      <c r="Z276" s="127" t="s">
        <v>249</v>
      </c>
      <c r="AA276" s="127"/>
      <c r="AB276" s="127">
        <v>15</v>
      </c>
    </row>
    <row r="277" spans="1:28" ht="14.5" x14ac:dyDescent="0.35">
      <c r="A277" s="253" t="s">
        <v>632</v>
      </c>
      <c r="B277" s="208">
        <v>298.96800000000002</v>
      </c>
      <c r="C277" s="201">
        <v>0</v>
      </c>
      <c r="D277" s="207"/>
      <c r="E277" s="202">
        <v>0</v>
      </c>
      <c r="F277" s="202">
        <v>996.56</v>
      </c>
      <c r="G277" s="226">
        <f t="shared" si="23"/>
        <v>300</v>
      </c>
      <c r="H277" s="207">
        <v>0</v>
      </c>
      <c r="I277" s="207"/>
      <c r="J277" s="207"/>
      <c r="K277" s="207">
        <v>0</v>
      </c>
      <c r="L277" s="127">
        <v>8000</v>
      </c>
      <c r="M277" s="127">
        <v>15</v>
      </c>
      <c r="N277" s="200">
        <f t="shared" si="36"/>
        <v>74.742000000000004</v>
      </c>
      <c r="O277" s="200">
        <f t="shared" si="37"/>
        <v>149.48400000000001</v>
      </c>
      <c r="P277" s="200">
        <f t="shared" si="38"/>
        <v>224.226</v>
      </c>
      <c r="Q277" s="200">
        <f t="shared" si="27"/>
        <v>298.96800000000002</v>
      </c>
      <c r="R277" s="127" t="s">
        <v>243</v>
      </c>
      <c r="S277" s="127" t="str">
        <f>""</f>
        <v/>
      </c>
      <c r="T277" s="127" t="s">
        <v>244</v>
      </c>
      <c r="U277" s="127" t="s">
        <v>245</v>
      </c>
      <c r="V277" s="127" t="s">
        <v>246</v>
      </c>
      <c r="W277" s="127" t="s">
        <v>247</v>
      </c>
      <c r="X277" s="127" t="s">
        <v>248</v>
      </c>
      <c r="Y277" s="127" t="s">
        <v>402</v>
      </c>
      <c r="Z277" s="127" t="s">
        <v>249</v>
      </c>
      <c r="AA277" s="127" t="str">
        <f>""</f>
        <v/>
      </c>
      <c r="AB277" s="127">
        <v>15</v>
      </c>
    </row>
    <row r="278" spans="1:28" ht="14.5" x14ac:dyDescent="0.35">
      <c r="A278" s="253" t="s">
        <v>633</v>
      </c>
      <c r="B278" s="208">
        <v>297.52499999999998</v>
      </c>
      <c r="C278" s="201">
        <v>0</v>
      </c>
      <c r="D278" s="207"/>
      <c r="E278" s="202">
        <v>0</v>
      </c>
      <c r="F278" s="202">
        <v>991.75</v>
      </c>
      <c r="G278" s="226">
        <f t="shared" si="23"/>
        <v>300</v>
      </c>
      <c r="H278" s="207">
        <v>0</v>
      </c>
      <c r="I278" s="207"/>
      <c r="J278" s="207"/>
      <c r="K278" s="207">
        <v>0</v>
      </c>
      <c r="L278" s="127">
        <v>8000</v>
      </c>
      <c r="M278" s="127">
        <v>15</v>
      </c>
      <c r="N278" s="200">
        <f t="shared" si="36"/>
        <v>74.381249999999994</v>
      </c>
      <c r="O278" s="200">
        <f t="shared" si="37"/>
        <v>148.76249999999999</v>
      </c>
      <c r="P278" s="200">
        <f t="shared" si="38"/>
        <v>223.14375000000001</v>
      </c>
      <c r="Q278" s="200">
        <f t="shared" si="27"/>
        <v>297.52499999999998</v>
      </c>
      <c r="R278" s="127" t="s">
        <v>243</v>
      </c>
      <c r="S278" s="127" t="str">
        <f>""</f>
        <v/>
      </c>
      <c r="T278" s="127" t="s">
        <v>244</v>
      </c>
      <c r="U278" s="127" t="s">
        <v>245</v>
      </c>
      <c r="V278" s="127" t="s">
        <v>246</v>
      </c>
      <c r="W278" s="127" t="s">
        <v>247</v>
      </c>
      <c r="X278" s="127" t="s">
        <v>248</v>
      </c>
      <c r="Y278" s="127" t="s">
        <v>402</v>
      </c>
      <c r="Z278" s="127" t="s">
        <v>249</v>
      </c>
      <c r="AA278" s="127" t="str">
        <f>""</f>
        <v/>
      </c>
      <c r="AB278" s="127">
        <v>15</v>
      </c>
    </row>
    <row r="279" spans="1:28" ht="14.5" x14ac:dyDescent="0.35">
      <c r="A279" s="253" t="s">
        <v>681</v>
      </c>
      <c r="B279" s="208">
        <v>297.52499999999998</v>
      </c>
      <c r="C279" s="201">
        <v>0</v>
      </c>
      <c r="D279" s="207"/>
      <c r="E279" s="202">
        <v>0</v>
      </c>
      <c r="F279" s="202">
        <v>991.75</v>
      </c>
      <c r="G279" s="226">
        <f t="shared" si="23"/>
        <v>300</v>
      </c>
      <c r="H279" s="207">
        <v>0</v>
      </c>
      <c r="I279" s="207"/>
      <c r="J279" s="207"/>
      <c r="K279" s="207">
        <v>0</v>
      </c>
      <c r="L279" s="127">
        <v>8000</v>
      </c>
      <c r="M279" s="127">
        <v>15</v>
      </c>
      <c r="N279" s="200">
        <f t="shared" si="36"/>
        <v>74.381249999999994</v>
      </c>
      <c r="O279" s="200">
        <f t="shared" si="37"/>
        <v>148.76249999999999</v>
      </c>
      <c r="P279" s="200">
        <f t="shared" si="38"/>
        <v>223.14375000000001</v>
      </c>
      <c r="Q279" s="200">
        <f t="shared" si="27"/>
        <v>297.52499999999998</v>
      </c>
      <c r="R279" s="127" t="s">
        <v>243</v>
      </c>
      <c r="S279" s="127" t="str">
        <f>""</f>
        <v/>
      </c>
      <c r="T279" s="127" t="s">
        <v>244</v>
      </c>
      <c r="U279" s="127" t="s">
        <v>245</v>
      </c>
      <c r="V279" s="127" t="s">
        <v>246</v>
      </c>
      <c r="W279" s="127" t="s">
        <v>247</v>
      </c>
      <c r="X279" s="127" t="s">
        <v>248</v>
      </c>
      <c r="Y279" s="127" t="s">
        <v>402</v>
      </c>
      <c r="Z279" s="127" t="s">
        <v>249</v>
      </c>
      <c r="AA279" s="127"/>
      <c r="AB279" s="127">
        <v>15</v>
      </c>
    </row>
    <row r="280" spans="1:28" ht="14.5" x14ac:dyDescent="0.35">
      <c r="A280" s="253" t="s">
        <v>634</v>
      </c>
      <c r="B280" s="208">
        <v>293.17500000000001</v>
      </c>
      <c r="C280" s="201">
        <v>0</v>
      </c>
      <c r="D280" s="207"/>
      <c r="E280" s="202">
        <v>0</v>
      </c>
      <c r="F280" s="202">
        <v>977.25</v>
      </c>
      <c r="G280" s="226">
        <f t="shared" si="23"/>
        <v>300</v>
      </c>
      <c r="H280" s="207">
        <v>0</v>
      </c>
      <c r="I280" s="207"/>
      <c r="J280" s="207"/>
      <c r="K280" s="207">
        <v>0</v>
      </c>
      <c r="L280" s="127">
        <v>8000</v>
      </c>
      <c r="M280" s="127">
        <v>15</v>
      </c>
      <c r="N280" s="200">
        <f t="shared" si="36"/>
        <v>73.293750000000003</v>
      </c>
      <c r="O280" s="200">
        <f t="shared" si="37"/>
        <v>146.58750000000001</v>
      </c>
      <c r="P280" s="200">
        <f t="shared" si="38"/>
        <v>219.88124999999999</v>
      </c>
      <c r="Q280" s="200">
        <f t="shared" si="27"/>
        <v>293.17500000000001</v>
      </c>
      <c r="R280" s="127" t="s">
        <v>243</v>
      </c>
      <c r="S280" s="127" t="str">
        <f>""</f>
        <v/>
      </c>
      <c r="T280" s="127" t="s">
        <v>244</v>
      </c>
      <c r="U280" s="127" t="s">
        <v>245</v>
      </c>
      <c r="V280" s="127" t="s">
        <v>246</v>
      </c>
      <c r="W280" s="127" t="s">
        <v>247</v>
      </c>
      <c r="X280" s="127" t="s">
        <v>248</v>
      </c>
      <c r="Y280" s="127" t="s">
        <v>402</v>
      </c>
      <c r="Z280" s="127" t="s">
        <v>249</v>
      </c>
      <c r="AA280" s="127"/>
      <c r="AB280" s="127">
        <v>15</v>
      </c>
    </row>
    <row r="281" spans="1:28" ht="14.5" x14ac:dyDescent="0.35">
      <c r="A281" s="253" t="s">
        <v>635</v>
      </c>
      <c r="B281" s="208">
        <v>291.73200000000003</v>
      </c>
      <c r="C281" s="201">
        <v>0</v>
      </c>
      <c r="D281" s="207"/>
      <c r="E281" s="202">
        <v>0</v>
      </c>
      <c r="F281" s="202">
        <v>972.44</v>
      </c>
      <c r="G281" s="226">
        <f t="shared" si="23"/>
        <v>300</v>
      </c>
      <c r="H281" s="207">
        <v>0</v>
      </c>
      <c r="I281" s="207"/>
      <c r="J281" s="207"/>
      <c r="K281" s="207">
        <v>0</v>
      </c>
      <c r="L281" s="127">
        <v>8000</v>
      </c>
      <c r="M281" s="127">
        <v>15</v>
      </c>
      <c r="N281" s="200">
        <f t="shared" si="36"/>
        <v>72.933000000000007</v>
      </c>
      <c r="O281" s="200">
        <f t="shared" si="37"/>
        <v>145.86600000000001</v>
      </c>
      <c r="P281" s="200">
        <f t="shared" si="38"/>
        <v>218.79900000000001</v>
      </c>
      <c r="Q281" s="200">
        <f t="shared" si="27"/>
        <v>291.73200000000003</v>
      </c>
      <c r="R281" s="127" t="s">
        <v>243</v>
      </c>
      <c r="S281" s="127" t="str">
        <f>""</f>
        <v/>
      </c>
      <c r="T281" s="127" t="s">
        <v>244</v>
      </c>
      <c r="U281" s="127" t="s">
        <v>245</v>
      </c>
      <c r="V281" s="127" t="s">
        <v>246</v>
      </c>
      <c r="W281" s="127" t="s">
        <v>247</v>
      </c>
      <c r="X281" s="127" t="s">
        <v>248</v>
      </c>
      <c r="Y281" s="127" t="s">
        <v>402</v>
      </c>
      <c r="Z281" s="127" t="s">
        <v>249</v>
      </c>
      <c r="AA281" s="127"/>
      <c r="AB281" s="127">
        <v>15</v>
      </c>
    </row>
    <row r="282" spans="1:28" ht="14.5" x14ac:dyDescent="0.35">
      <c r="A282" s="253" t="s">
        <v>682</v>
      </c>
      <c r="B282" s="208">
        <v>291.73200000000003</v>
      </c>
      <c r="C282" s="201">
        <v>0</v>
      </c>
      <c r="D282" s="207"/>
      <c r="E282" s="202">
        <v>0</v>
      </c>
      <c r="F282" s="202">
        <v>972.44</v>
      </c>
      <c r="G282" s="226">
        <f t="shared" si="23"/>
        <v>300</v>
      </c>
      <c r="H282" s="207">
        <v>0</v>
      </c>
      <c r="I282" s="207"/>
      <c r="J282" s="207"/>
      <c r="K282" s="207">
        <v>0</v>
      </c>
      <c r="L282" s="127">
        <v>8000</v>
      </c>
      <c r="M282" s="127">
        <v>15</v>
      </c>
      <c r="N282" s="200">
        <f t="shared" si="36"/>
        <v>72.933000000000007</v>
      </c>
      <c r="O282" s="200">
        <f t="shared" si="37"/>
        <v>145.86600000000001</v>
      </c>
      <c r="P282" s="200">
        <f t="shared" si="38"/>
        <v>218.79900000000001</v>
      </c>
      <c r="Q282" s="200">
        <f t="shared" si="27"/>
        <v>291.73200000000003</v>
      </c>
      <c r="R282" s="127" t="s">
        <v>243</v>
      </c>
      <c r="S282" s="127" t="str">
        <f>""</f>
        <v/>
      </c>
      <c r="T282" s="127" t="s">
        <v>244</v>
      </c>
      <c r="U282" s="127" t="s">
        <v>245</v>
      </c>
      <c r="V282" s="127" t="s">
        <v>246</v>
      </c>
      <c r="W282" s="127" t="s">
        <v>247</v>
      </c>
      <c r="X282" s="127" t="s">
        <v>248</v>
      </c>
      <c r="Y282" s="127" t="s">
        <v>402</v>
      </c>
      <c r="Z282" s="127" t="s">
        <v>249</v>
      </c>
      <c r="AA282" s="127"/>
      <c r="AB282" s="127">
        <v>15</v>
      </c>
    </row>
    <row r="283" spans="1:28" ht="15.5" x14ac:dyDescent="0.4">
      <c r="A283" s="127" t="s">
        <v>636</v>
      </c>
      <c r="B283" s="208">
        <v>227.84360000000001</v>
      </c>
      <c r="C283" s="201">
        <v>0</v>
      </c>
      <c r="D283" s="207"/>
      <c r="E283" s="202">
        <v>0</v>
      </c>
      <c r="F283" s="202">
        <v>825.2</v>
      </c>
      <c r="G283" s="226">
        <f t="shared" si="23"/>
        <v>276.10712554532233</v>
      </c>
      <c r="H283" s="207">
        <v>0</v>
      </c>
      <c r="I283" s="207"/>
      <c r="J283" s="207"/>
      <c r="K283" s="207">
        <v>0</v>
      </c>
      <c r="L283" s="127">
        <v>8000</v>
      </c>
      <c r="M283" s="127">
        <v>15</v>
      </c>
      <c r="N283" s="200">
        <f t="shared" si="36"/>
        <v>61.89</v>
      </c>
      <c r="O283" s="200">
        <f t="shared" si="37"/>
        <v>123.78</v>
      </c>
      <c r="P283" s="200">
        <f t="shared" si="38"/>
        <v>185.67</v>
      </c>
      <c r="Q283" s="200">
        <f t="shared" si="27"/>
        <v>227.84360000000001</v>
      </c>
      <c r="R283" s="127" t="s">
        <v>243</v>
      </c>
      <c r="S283" s="127" t="str">
        <f>""</f>
        <v/>
      </c>
      <c r="T283" s="127" t="s">
        <v>244</v>
      </c>
      <c r="U283" s="127" t="s">
        <v>245</v>
      </c>
      <c r="V283" s="127" t="s">
        <v>246</v>
      </c>
      <c r="W283" s="127" t="s">
        <v>247</v>
      </c>
      <c r="X283" s="127" t="s">
        <v>248</v>
      </c>
      <c r="Y283" s="127" t="s">
        <v>402</v>
      </c>
      <c r="Z283" s="127" t="s">
        <v>249</v>
      </c>
      <c r="AA283" s="127" t="str">
        <f>""</f>
        <v/>
      </c>
      <c r="AB283" s="127">
        <v>15</v>
      </c>
    </row>
    <row r="284" spans="1:28" ht="15.5" x14ac:dyDescent="0.4">
      <c r="A284" s="127" t="s">
        <v>637</v>
      </c>
      <c r="B284" s="208">
        <v>223.93049999999999</v>
      </c>
      <c r="C284" s="201">
        <v>0</v>
      </c>
      <c r="D284" s="207"/>
      <c r="E284" s="202">
        <v>0</v>
      </c>
      <c r="F284" s="202">
        <v>821.69</v>
      </c>
      <c r="G284" s="226">
        <f t="shared" si="23"/>
        <v>272.52430965449253</v>
      </c>
      <c r="H284" s="207">
        <v>0</v>
      </c>
      <c r="I284" s="207"/>
      <c r="J284" s="207"/>
      <c r="K284" s="207">
        <v>0</v>
      </c>
      <c r="L284" s="127">
        <v>8000</v>
      </c>
      <c r="M284" s="127">
        <v>15</v>
      </c>
      <c r="N284" s="200">
        <f t="shared" si="36"/>
        <v>61.626750000000008</v>
      </c>
      <c r="O284" s="200">
        <f t="shared" si="37"/>
        <v>123.25350000000002</v>
      </c>
      <c r="P284" s="200">
        <f t="shared" si="38"/>
        <v>184.88024999999999</v>
      </c>
      <c r="Q284" s="200">
        <f t="shared" si="27"/>
        <v>223.93049999999999</v>
      </c>
      <c r="R284" s="127" t="s">
        <v>243</v>
      </c>
      <c r="S284" s="127" t="str">
        <f>""</f>
        <v/>
      </c>
      <c r="T284" s="127" t="s">
        <v>244</v>
      </c>
      <c r="U284" s="127" t="s">
        <v>245</v>
      </c>
      <c r="V284" s="127" t="s">
        <v>246</v>
      </c>
      <c r="W284" s="127" t="s">
        <v>247</v>
      </c>
      <c r="X284" s="127" t="s">
        <v>248</v>
      </c>
      <c r="Y284" s="127" t="s">
        <v>402</v>
      </c>
      <c r="Z284" s="127" t="s">
        <v>249</v>
      </c>
      <c r="AA284" s="127" t="str">
        <f>""</f>
        <v/>
      </c>
      <c r="AB284" s="127">
        <v>15</v>
      </c>
    </row>
    <row r="285" spans="1:28" ht="14.5" x14ac:dyDescent="0.35">
      <c r="A285" s="127" t="s">
        <v>683</v>
      </c>
      <c r="B285" s="208">
        <v>246.50700000000003</v>
      </c>
      <c r="C285" s="201">
        <v>0</v>
      </c>
      <c r="D285" s="207"/>
      <c r="E285" s="202">
        <v>0</v>
      </c>
      <c r="F285" s="202">
        <v>821.69</v>
      </c>
      <c r="G285" s="226">
        <f t="shared" si="23"/>
        <v>300</v>
      </c>
      <c r="H285" s="207">
        <v>0</v>
      </c>
      <c r="I285" s="207"/>
      <c r="J285" s="207"/>
      <c r="K285" s="207">
        <v>0</v>
      </c>
      <c r="L285" s="127">
        <v>8000</v>
      </c>
      <c r="M285" s="127">
        <v>15</v>
      </c>
      <c r="N285" s="200">
        <f t="shared" si="36"/>
        <v>61.626750000000008</v>
      </c>
      <c r="O285" s="200">
        <f t="shared" si="37"/>
        <v>123.25350000000002</v>
      </c>
      <c r="P285" s="200">
        <f t="shared" si="38"/>
        <v>184.88024999999999</v>
      </c>
      <c r="Q285" s="200">
        <f t="shared" si="27"/>
        <v>246.50700000000003</v>
      </c>
      <c r="R285" s="127" t="s">
        <v>243</v>
      </c>
      <c r="S285" s="127" t="str">
        <f>""</f>
        <v/>
      </c>
      <c r="T285" s="127" t="s">
        <v>244</v>
      </c>
      <c r="U285" s="127" t="s">
        <v>245</v>
      </c>
      <c r="V285" s="127" t="s">
        <v>246</v>
      </c>
      <c r="W285" s="127" t="s">
        <v>247</v>
      </c>
      <c r="X285" s="127" t="s">
        <v>248</v>
      </c>
      <c r="Y285" s="127" t="s">
        <v>402</v>
      </c>
      <c r="Z285" s="127" t="s">
        <v>249</v>
      </c>
      <c r="AA285" s="127"/>
      <c r="AB285" s="127">
        <v>15</v>
      </c>
    </row>
    <row r="286" spans="1:28" ht="15.5" x14ac:dyDescent="0.4">
      <c r="A286" s="127" t="s">
        <v>640</v>
      </c>
      <c r="B286" s="208">
        <v>206.22239999999999</v>
      </c>
      <c r="C286" s="201">
        <v>0</v>
      </c>
      <c r="D286" s="207"/>
      <c r="E286" s="202">
        <v>0</v>
      </c>
      <c r="F286" s="202">
        <v>840.95</v>
      </c>
      <c r="G286" s="226">
        <f t="shared" si="23"/>
        <v>245.22551875854685</v>
      </c>
      <c r="H286" s="207">
        <v>0</v>
      </c>
      <c r="I286" s="207"/>
      <c r="J286" s="207"/>
      <c r="K286" s="207">
        <v>0</v>
      </c>
      <c r="L286" s="127">
        <v>8000</v>
      </c>
      <c r="M286" s="127">
        <v>15</v>
      </c>
      <c r="N286" s="200">
        <f t="shared" ref="N286:N310" si="40">MIN($B286,(75*$F286/1000)+$E286)</f>
        <v>63.071249999999999</v>
      </c>
      <c r="O286" s="200">
        <f t="shared" ref="O286:O310" si="41">MIN($B286,(150*$F286/1000)+$E286)</f>
        <v>126.1425</v>
      </c>
      <c r="P286" s="200">
        <f t="shared" ref="P286:P310" si="42">MIN($B286,(225*$F286/1000)+$E286)</f>
        <v>189.21375</v>
      </c>
      <c r="Q286" s="200">
        <f t="shared" si="27"/>
        <v>206.22239999999999</v>
      </c>
      <c r="R286" s="127" t="s">
        <v>243</v>
      </c>
      <c r="S286" s="127" t="str">
        <f>""</f>
        <v/>
      </c>
      <c r="T286" s="127" t="s">
        <v>244</v>
      </c>
      <c r="U286" s="127" t="s">
        <v>245</v>
      </c>
      <c r="V286" s="127" t="s">
        <v>246</v>
      </c>
      <c r="W286" s="127" t="s">
        <v>247</v>
      </c>
      <c r="X286" s="127" t="s">
        <v>248</v>
      </c>
      <c r="Y286" s="127" t="s">
        <v>402</v>
      </c>
      <c r="Z286" s="127" t="s">
        <v>249</v>
      </c>
      <c r="AA286" s="127" t="str">
        <f>""</f>
        <v/>
      </c>
      <c r="AB286" s="127">
        <v>15</v>
      </c>
    </row>
    <row r="287" spans="1:28" ht="15.5" x14ac:dyDescent="0.4">
      <c r="A287" s="127" t="s">
        <v>641</v>
      </c>
      <c r="B287" s="208">
        <v>197.517</v>
      </c>
      <c r="C287" s="201">
        <v>0</v>
      </c>
      <c r="D287" s="207"/>
      <c r="E287" s="202">
        <v>0</v>
      </c>
      <c r="F287" s="202">
        <v>837.44</v>
      </c>
      <c r="G287" s="226">
        <f t="shared" si="23"/>
        <v>235.85809132594574</v>
      </c>
      <c r="H287" s="207">
        <v>0</v>
      </c>
      <c r="I287" s="207"/>
      <c r="J287" s="207"/>
      <c r="K287" s="207">
        <v>0</v>
      </c>
      <c r="L287" s="127">
        <v>8000</v>
      </c>
      <c r="M287" s="127">
        <v>15</v>
      </c>
      <c r="N287" s="200">
        <f t="shared" si="40"/>
        <v>62.808000000000007</v>
      </c>
      <c r="O287" s="200">
        <f t="shared" si="41"/>
        <v>125.61600000000001</v>
      </c>
      <c r="P287" s="200">
        <f t="shared" si="42"/>
        <v>188.42400000000001</v>
      </c>
      <c r="Q287" s="200">
        <f t="shared" si="27"/>
        <v>197.517</v>
      </c>
      <c r="R287" s="127" t="s">
        <v>243</v>
      </c>
      <c r="S287" s="127" t="str">
        <f>""</f>
        <v/>
      </c>
      <c r="T287" s="127" t="s">
        <v>244</v>
      </c>
      <c r="U287" s="127" t="s">
        <v>245</v>
      </c>
      <c r="V287" s="127" t="s">
        <v>246</v>
      </c>
      <c r="W287" s="127" t="s">
        <v>247</v>
      </c>
      <c r="X287" s="127" t="s">
        <v>248</v>
      </c>
      <c r="Y287" s="127" t="s">
        <v>402</v>
      </c>
      <c r="Z287" s="127" t="s">
        <v>249</v>
      </c>
      <c r="AA287" s="127" t="str">
        <f>""</f>
        <v/>
      </c>
      <c r="AB287" s="127">
        <v>15</v>
      </c>
    </row>
    <row r="288" spans="1:28" ht="14.5" x14ac:dyDescent="0.35">
      <c r="A288" s="127" t="s">
        <v>684</v>
      </c>
      <c r="B288" s="208">
        <v>248.09010000000001</v>
      </c>
      <c r="C288" s="201">
        <v>0</v>
      </c>
      <c r="D288" s="207"/>
      <c r="E288" s="202">
        <v>0</v>
      </c>
      <c r="F288" s="202">
        <v>837.44</v>
      </c>
      <c r="G288" s="226">
        <f t="shared" si="23"/>
        <v>296.24820882690102</v>
      </c>
      <c r="H288" s="207">
        <v>0</v>
      </c>
      <c r="I288" s="207"/>
      <c r="J288" s="207"/>
      <c r="K288" s="207">
        <v>0</v>
      </c>
      <c r="L288" s="127">
        <v>8000</v>
      </c>
      <c r="M288" s="127">
        <v>15</v>
      </c>
      <c r="N288" s="200">
        <f t="shared" si="40"/>
        <v>62.808000000000007</v>
      </c>
      <c r="O288" s="200">
        <f t="shared" si="41"/>
        <v>125.61600000000001</v>
      </c>
      <c r="P288" s="200">
        <f t="shared" si="42"/>
        <v>188.42400000000001</v>
      </c>
      <c r="Q288" s="200">
        <f t="shared" si="27"/>
        <v>248.09010000000001</v>
      </c>
      <c r="R288" s="127" t="s">
        <v>243</v>
      </c>
      <c r="S288" s="127" t="str">
        <f>""</f>
        <v/>
      </c>
      <c r="T288" s="127" t="s">
        <v>244</v>
      </c>
      <c r="U288" s="127" t="s">
        <v>245</v>
      </c>
      <c r="V288" s="127" t="s">
        <v>246</v>
      </c>
      <c r="W288" s="127" t="s">
        <v>247</v>
      </c>
      <c r="X288" s="127" t="s">
        <v>248</v>
      </c>
      <c r="Y288" s="127" t="s">
        <v>402</v>
      </c>
      <c r="Z288" s="127" t="s">
        <v>249</v>
      </c>
      <c r="AA288" s="127"/>
      <c r="AB288" s="127">
        <v>15</v>
      </c>
    </row>
    <row r="289" spans="1:28" ht="14.5" x14ac:dyDescent="0.35">
      <c r="A289" s="127"/>
      <c r="B289" s="208"/>
      <c r="C289" s="201"/>
      <c r="D289" s="207"/>
      <c r="E289" s="202"/>
      <c r="F289" s="202"/>
      <c r="G289" s="226"/>
      <c r="H289" s="207"/>
      <c r="I289" s="207"/>
      <c r="J289" s="207"/>
      <c r="K289" s="207"/>
      <c r="L289" s="127"/>
      <c r="M289" s="127"/>
      <c r="N289" s="200"/>
      <c r="O289" s="200"/>
      <c r="P289" s="200"/>
      <c r="Q289" s="200"/>
      <c r="R289" s="127"/>
      <c r="S289" s="127"/>
      <c r="T289" s="127"/>
      <c r="U289" s="127"/>
      <c r="V289" s="127"/>
      <c r="W289" s="127"/>
      <c r="X289" s="127"/>
      <c r="Y289" s="127"/>
      <c r="Z289" s="127"/>
      <c r="AA289" s="127"/>
      <c r="AB289" s="127"/>
    </row>
    <row r="290" spans="1:28" ht="15" x14ac:dyDescent="0.35">
      <c r="A290" s="251" t="s">
        <v>484</v>
      </c>
      <c r="B290" s="208"/>
      <c r="C290" s="201"/>
      <c r="D290" s="207"/>
      <c r="E290" s="202"/>
      <c r="F290" s="202"/>
      <c r="G290" s="226"/>
      <c r="H290" s="207"/>
      <c r="I290" s="207"/>
      <c r="J290" s="207"/>
      <c r="K290" s="207"/>
      <c r="L290" s="127"/>
      <c r="M290" s="127"/>
      <c r="N290" s="200"/>
      <c r="O290" s="200"/>
      <c r="P290" s="200"/>
      <c r="Q290" s="200"/>
      <c r="R290" s="127"/>
      <c r="S290" s="127"/>
      <c r="T290" s="127"/>
      <c r="U290" s="127"/>
      <c r="V290" s="127"/>
      <c r="W290" s="127"/>
      <c r="X290" s="127"/>
      <c r="Y290" s="127"/>
      <c r="Z290" s="127"/>
      <c r="AA290" s="127"/>
      <c r="AB290" s="127"/>
    </row>
    <row r="291" spans="1:28" ht="15.5" x14ac:dyDescent="0.4">
      <c r="A291" s="127" t="s">
        <v>642</v>
      </c>
      <c r="B291" s="208">
        <v>83.469099999999997</v>
      </c>
      <c r="C291" s="201">
        <v>18.9849</v>
      </c>
      <c r="D291" s="207"/>
      <c r="E291" s="202">
        <v>79.298599999999993</v>
      </c>
      <c r="F291" s="202">
        <v>845.43499999999995</v>
      </c>
      <c r="G291" s="226">
        <f t="shared" si="23"/>
        <v>4.9329635039949897</v>
      </c>
      <c r="H291" s="207">
        <v>50.762300000000003</v>
      </c>
      <c r="I291" s="207"/>
      <c r="J291" s="207"/>
      <c r="K291" s="207">
        <v>0</v>
      </c>
      <c r="L291" s="127">
        <v>4000</v>
      </c>
      <c r="M291" s="127">
        <v>15</v>
      </c>
      <c r="N291" s="200">
        <f t="shared" si="40"/>
        <v>83.469099999999997</v>
      </c>
      <c r="O291" s="200">
        <f t="shared" si="41"/>
        <v>83.469099999999997</v>
      </c>
      <c r="P291" s="200">
        <f t="shared" si="42"/>
        <v>83.469099999999997</v>
      </c>
      <c r="Q291" s="200">
        <f t="shared" si="27"/>
        <v>83.469099999999997</v>
      </c>
      <c r="R291" s="127" t="s">
        <v>497</v>
      </c>
      <c r="S291" s="127" t="str">
        <f>""</f>
        <v/>
      </c>
      <c r="T291" s="127" t="s">
        <v>244</v>
      </c>
      <c r="U291" s="127" t="s">
        <v>245</v>
      </c>
      <c r="V291" s="127" t="s">
        <v>246</v>
      </c>
      <c r="W291" s="127" t="s">
        <v>496</v>
      </c>
      <c r="X291" s="127" t="s">
        <v>495</v>
      </c>
      <c r="Y291" s="127" t="s">
        <v>253</v>
      </c>
      <c r="Z291" s="127" t="s">
        <v>249</v>
      </c>
      <c r="AA291" s="127" t="str">
        <f>""</f>
        <v/>
      </c>
      <c r="AB291" s="127">
        <v>15</v>
      </c>
    </row>
    <row r="292" spans="1:28" ht="15.5" x14ac:dyDescent="0.4">
      <c r="A292" s="127" t="s">
        <v>643</v>
      </c>
      <c r="B292" s="208">
        <v>97.905900000000003</v>
      </c>
      <c r="C292" s="201">
        <v>18.9849</v>
      </c>
      <c r="D292" s="207"/>
      <c r="E292" s="202">
        <v>79.298599999999993</v>
      </c>
      <c r="F292" s="202">
        <v>845.43499999999995</v>
      </c>
      <c r="G292" s="226">
        <f t="shared" si="23"/>
        <v>22.009143222128266</v>
      </c>
      <c r="H292" s="207">
        <v>50.762300000000003</v>
      </c>
      <c r="I292" s="207"/>
      <c r="J292" s="207"/>
      <c r="K292" s="207">
        <v>0</v>
      </c>
      <c r="L292" s="127">
        <v>4000</v>
      </c>
      <c r="M292" s="127">
        <v>15</v>
      </c>
      <c r="N292" s="200">
        <f t="shared" si="40"/>
        <v>97.905900000000003</v>
      </c>
      <c r="O292" s="200">
        <f t="shared" si="41"/>
        <v>97.905900000000003</v>
      </c>
      <c r="P292" s="200">
        <f t="shared" si="42"/>
        <v>97.905900000000003</v>
      </c>
      <c r="Q292" s="200">
        <f t="shared" si="27"/>
        <v>97.905900000000003</v>
      </c>
      <c r="R292" s="127" t="s">
        <v>497</v>
      </c>
      <c r="S292" s="127" t="str">
        <f>""</f>
        <v/>
      </c>
      <c r="T292" s="127" t="s">
        <v>244</v>
      </c>
      <c r="U292" s="127" t="s">
        <v>245</v>
      </c>
      <c r="V292" s="127" t="s">
        <v>246</v>
      </c>
      <c r="W292" s="127" t="s">
        <v>496</v>
      </c>
      <c r="X292" s="127" t="s">
        <v>495</v>
      </c>
      <c r="Y292" s="127" t="s">
        <v>253</v>
      </c>
      <c r="Z292" s="127" t="s">
        <v>249</v>
      </c>
      <c r="AA292" s="127" t="str">
        <f>""</f>
        <v/>
      </c>
      <c r="AB292" s="127">
        <v>15</v>
      </c>
    </row>
    <row r="293" spans="1:28" ht="15.5" x14ac:dyDescent="0.4">
      <c r="A293" s="127" t="s">
        <v>646</v>
      </c>
      <c r="B293" s="208">
        <v>160.9674</v>
      </c>
      <c r="C293" s="201">
        <v>18.9849</v>
      </c>
      <c r="D293" s="207"/>
      <c r="E293" s="202">
        <v>79.298599999999993</v>
      </c>
      <c r="F293" s="202">
        <v>761.96</v>
      </c>
      <c r="G293" s="226">
        <f t="shared" si="23"/>
        <v>107.18252926662817</v>
      </c>
      <c r="H293" s="207">
        <v>50.762300000000003</v>
      </c>
      <c r="I293" s="207"/>
      <c r="J293" s="207"/>
      <c r="K293" s="207">
        <v>0</v>
      </c>
      <c r="L293" s="127">
        <v>4000</v>
      </c>
      <c r="M293" s="127">
        <v>15</v>
      </c>
      <c r="N293" s="200">
        <f t="shared" si="40"/>
        <v>136.44559999999998</v>
      </c>
      <c r="O293" s="200">
        <f t="shared" si="41"/>
        <v>160.9674</v>
      </c>
      <c r="P293" s="200">
        <f t="shared" si="42"/>
        <v>160.9674</v>
      </c>
      <c r="Q293" s="200">
        <f t="shared" si="27"/>
        <v>160.9674</v>
      </c>
      <c r="R293" s="127" t="s">
        <v>497</v>
      </c>
      <c r="S293" s="127" t="str">
        <f>""</f>
        <v/>
      </c>
      <c r="T293" s="127" t="s">
        <v>244</v>
      </c>
      <c r="U293" s="127" t="s">
        <v>245</v>
      </c>
      <c r="V293" s="127" t="s">
        <v>246</v>
      </c>
      <c r="W293" s="127" t="s">
        <v>496</v>
      </c>
      <c r="X293" s="127" t="s">
        <v>495</v>
      </c>
      <c r="Y293" s="127" t="s">
        <v>253</v>
      </c>
      <c r="Z293" s="127" t="s">
        <v>249</v>
      </c>
      <c r="AA293" s="127" t="str">
        <f>""</f>
        <v/>
      </c>
      <c r="AB293" s="127">
        <v>15</v>
      </c>
    </row>
    <row r="294" spans="1:28" ht="15.5" x14ac:dyDescent="0.4">
      <c r="A294" s="127" t="s">
        <v>647</v>
      </c>
      <c r="B294" s="208">
        <v>175.41540000000001</v>
      </c>
      <c r="C294" s="201">
        <v>18.9849</v>
      </c>
      <c r="D294" s="207"/>
      <c r="E294" s="202">
        <v>79.298599999999993</v>
      </c>
      <c r="F294" s="202">
        <v>761.96</v>
      </c>
      <c r="G294" s="226">
        <f t="shared" si="23"/>
        <v>126.14415454879523</v>
      </c>
      <c r="H294" s="207">
        <v>50.762300000000003</v>
      </c>
      <c r="I294" s="207"/>
      <c r="J294" s="207"/>
      <c r="K294" s="207">
        <v>0</v>
      </c>
      <c r="L294" s="127">
        <v>4000</v>
      </c>
      <c r="M294" s="127">
        <v>15</v>
      </c>
      <c r="N294" s="200">
        <f t="shared" si="40"/>
        <v>136.44559999999998</v>
      </c>
      <c r="O294" s="200">
        <f t="shared" si="41"/>
        <v>175.41540000000001</v>
      </c>
      <c r="P294" s="200">
        <f t="shared" si="42"/>
        <v>175.41540000000001</v>
      </c>
      <c r="Q294" s="200">
        <f t="shared" si="27"/>
        <v>175.41540000000001</v>
      </c>
      <c r="R294" s="127" t="s">
        <v>497</v>
      </c>
      <c r="S294" s="127" t="str">
        <f>""</f>
        <v/>
      </c>
      <c r="T294" s="127" t="s">
        <v>244</v>
      </c>
      <c r="U294" s="127" t="s">
        <v>245</v>
      </c>
      <c r="V294" s="127" t="s">
        <v>246</v>
      </c>
      <c r="W294" s="127" t="s">
        <v>496</v>
      </c>
      <c r="X294" s="127" t="s">
        <v>495</v>
      </c>
      <c r="Y294" s="127" t="s">
        <v>253</v>
      </c>
      <c r="Z294" s="127" t="s">
        <v>249</v>
      </c>
      <c r="AA294" s="127" t="str">
        <f>""</f>
        <v/>
      </c>
      <c r="AB294" s="127">
        <v>15</v>
      </c>
    </row>
    <row r="295" spans="1:28" ht="15.5" x14ac:dyDescent="0.4">
      <c r="A295" s="127" t="s">
        <v>649</v>
      </c>
      <c r="B295" s="208">
        <v>135.4273</v>
      </c>
      <c r="C295" s="201">
        <v>18.9849</v>
      </c>
      <c r="D295" s="207"/>
      <c r="E295" s="202">
        <v>79.298599999999993</v>
      </c>
      <c r="F295" s="202">
        <v>777.71</v>
      </c>
      <c r="G295" s="226">
        <f t="shared" si="23"/>
        <v>72.171760682002301</v>
      </c>
      <c r="H295" s="207">
        <v>50.762300000000003</v>
      </c>
      <c r="I295" s="207"/>
      <c r="J295" s="207"/>
      <c r="K295" s="207">
        <v>0</v>
      </c>
      <c r="L295" s="127">
        <v>4000</v>
      </c>
      <c r="M295" s="127">
        <v>15</v>
      </c>
      <c r="N295" s="200">
        <f t="shared" si="40"/>
        <v>135.4273</v>
      </c>
      <c r="O295" s="200">
        <f t="shared" si="41"/>
        <v>135.4273</v>
      </c>
      <c r="P295" s="200">
        <f t="shared" si="42"/>
        <v>135.4273</v>
      </c>
      <c r="Q295" s="200">
        <f t="shared" si="27"/>
        <v>135.4273</v>
      </c>
      <c r="R295" s="127" t="s">
        <v>497</v>
      </c>
      <c r="S295" s="127" t="str">
        <f>""</f>
        <v/>
      </c>
      <c r="T295" s="127" t="s">
        <v>244</v>
      </c>
      <c r="U295" s="127" t="s">
        <v>245</v>
      </c>
      <c r="V295" s="127" t="s">
        <v>246</v>
      </c>
      <c r="W295" s="127" t="s">
        <v>496</v>
      </c>
      <c r="X295" s="127" t="s">
        <v>495</v>
      </c>
      <c r="Y295" s="127" t="s">
        <v>253</v>
      </c>
      <c r="Z295" s="127" t="s">
        <v>249</v>
      </c>
      <c r="AA295" s="127" t="str">
        <f>""</f>
        <v/>
      </c>
      <c r="AB295" s="127">
        <v>15</v>
      </c>
    </row>
    <row r="296" spans="1:28" ht="15.5" x14ac:dyDescent="0.4">
      <c r="A296" s="127" t="s">
        <v>650</v>
      </c>
      <c r="B296" s="208">
        <v>149.86410000000001</v>
      </c>
      <c r="C296" s="201">
        <v>18.9849</v>
      </c>
      <c r="D296" s="207"/>
      <c r="E296" s="202">
        <v>79.298599999999993</v>
      </c>
      <c r="F296" s="202">
        <v>777.71</v>
      </c>
      <c r="G296" s="226">
        <f t="shared" si="23"/>
        <v>90.734978333826248</v>
      </c>
      <c r="H296" s="207">
        <v>50.762300000000003</v>
      </c>
      <c r="I296" s="207"/>
      <c r="J296" s="207"/>
      <c r="K296" s="207">
        <v>0</v>
      </c>
      <c r="L296" s="127">
        <v>4000</v>
      </c>
      <c r="M296" s="127">
        <v>15</v>
      </c>
      <c r="N296" s="200">
        <f t="shared" si="40"/>
        <v>137.62684999999999</v>
      </c>
      <c r="O296" s="200">
        <f t="shared" si="41"/>
        <v>149.86410000000001</v>
      </c>
      <c r="P296" s="200">
        <f t="shared" si="42"/>
        <v>149.86410000000001</v>
      </c>
      <c r="Q296" s="200">
        <f t="shared" si="27"/>
        <v>149.86410000000001</v>
      </c>
      <c r="R296" s="127" t="s">
        <v>497</v>
      </c>
      <c r="S296" s="127" t="str">
        <f>""</f>
        <v/>
      </c>
      <c r="T296" s="127" t="s">
        <v>244</v>
      </c>
      <c r="U296" s="127" t="s">
        <v>245</v>
      </c>
      <c r="V296" s="127" t="s">
        <v>246</v>
      </c>
      <c r="W296" s="127" t="s">
        <v>496</v>
      </c>
      <c r="X296" s="127" t="s">
        <v>495</v>
      </c>
      <c r="Y296" s="127" t="s">
        <v>253</v>
      </c>
      <c r="Z296" s="127" t="s">
        <v>249</v>
      </c>
      <c r="AA296" s="127" t="str">
        <f>""</f>
        <v/>
      </c>
      <c r="AB296" s="127">
        <v>15</v>
      </c>
    </row>
    <row r="297" spans="1:28" ht="15.5" x14ac:dyDescent="0.4">
      <c r="A297" s="127" t="s">
        <v>652</v>
      </c>
      <c r="B297" s="208">
        <v>177.2183</v>
      </c>
      <c r="C297" s="201">
        <v>18.9849</v>
      </c>
      <c r="D297" s="207"/>
      <c r="E297" s="202">
        <v>79.298599999999993</v>
      </c>
      <c r="F297" s="202">
        <v>879.3</v>
      </c>
      <c r="G297" s="226">
        <f t="shared" si="23"/>
        <v>111.36096895257593</v>
      </c>
      <c r="H297" s="207">
        <v>50.762300000000003</v>
      </c>
      <c r="I297" s="207"/>
      <c r="J297" s="207"/>
      <c r="K297" s="207">
        <v>0</v>
      </c>
      <c r="L297" s="127">
        <v>4000</v>
      </c>
      <c r="M297" s="127">
        <v>15</v>
      </c>
      <c r="N297" s="200">
        <f t="shared" si="40"/>
        <v>145.24610000000001</v>
      </c>
      <c r="O297" s="200">
        <f t="shared" si="41"/>
        <v>177.2183</v>
      </c>
      <c r="P297" s="200">
        <f t="shared" si="42"/>
        <v>177.2183</v>
      </c>
      <c r="Q297" s="200">
        <f t="shared" si="27"/>
        <v>177.2183</v>
      </c>
      <c r="R297" s="127" t="s">
        <v>497</v>
      </c>
      <c r="S297" s="127" t="str">
        <f>""</f>
        <v/>
      </c>
      <c r="T297" s="127" t="s">
        <v>244</v>
      </c>
      <c r="U297" s="127" t="s">
        <v>245</v>
      </c>
      <c r="V297" s="127" t="s">
        <v>246</v>
      </c>
      <c r="W297" s="127" t="s">
        <v>496</v>
      </c>
      <c r="X297" s="127" t="s">
        <v>495</v>
      </c>
      <c r="Y297" s="127" t="s">
        <v>253</v>
      </c>
      <c r="Z297" s="127" t="s">
        <v>249</v>
      </c>
      <c r="AA297" s="127" t="str">
        <f>""</f>
        <v/>
      </c>
      <c r="AB297" s="127">
        <v>15</v>
      </c>
    </row>
    <row r="298" spans="1:28" ht="15.5" x14ac:dyDescent="0.4">
      <c r="A298" s="127" t="s">
        <v>653</v>
      </c>
      <c r="B298" s="208">
        <v>191.6551</v>
      </c>
      <c r="C298" s="201">
        <v>18.9849</v>
      </c>
      <c r="D298" s="207"/>
      <c r="E298" s="202">
        <v>79.298599999999993</v>
      </c>
      <c r="F298" s="202">
        <v>879.3</v>
      </c>
      <c r="G298" s="226">
        <f t="shared" si="23"/>
        <v>127.77948368020019</v>
      </c>
      <c r="H298" s="207">
        <v>50.762300000000003</v>
      </c>
      <c r="I298" s="207"/>
      <c r="J298" s="207"/>
      <c r="K298" s="207">
        <v>0</v>
      </c>
      <c r="L298" s="127">
        <v>4000</v>
      </c>
      <c r="M298" s="127">
        <v>15</v>
      </c>
      <c r="N298" s="200">
        <f t="shared" si="40"/>
        <v>145.24610000000001</v>
      </c>
      <c r="O298" s="200">
        <f t="shared" si="41"/>
        <v>191.6551</v>
      </c>
      <c r="P298" s="200">
        <f t="shared" si="42"/>
        <v>191.6551</v>
      </c>
      <c r="Q298" s="200">
        <f t="shared" si="27"/>
        <v>191.6551</v>
      </c>
      <c r="R298" s="127" t="s">
        <v>497</v>
      </c>
      <c r="S298" s="127" t="str">
        <f>""</f>
        <v/>
      </c>
      <c r="T298" s="127" t="s">
        <v>244</v>
      </c>
      <c r="U298" s="127" t="s">
        <v>245</v>
      </c>
      <c r="V298" s="127" t="s">
        <v>246</v>
      </c>
      <c r="W298" s="127" t="s">
        <v>496</v>
      </c>
      <c r="X298" s="127" t="s">
        <v>495</v>
      </c>
      <c r="Y298" s="127" t="s">
        <v>253</v>
      </c>
      <c r="Z298" s="127" t="s">
        <v>249</v>
      </c>
      <c r="AA298" s="127" t="str">
        <f>""</f>
        <v/>
      </c>
      <c r="AB298" s="127">
        <v>15</v>
      </c>
    </row>
    <row r="299" spans="1:28" ht="14.5" x14ac:dyDescent="0.35">
      <c r="A299" s="127" t="s">
        <v>655</v>
      </c>
      <c r="B299" s="208">
        <v>125.10599999999999</v>
      </c>
      <c r="C299" s="201">
        <v>18.9849</v>
      </c>
      <c r="D299" s="207"/>
      <c r="E299" s="202">
        <v>79.298599999999993</v>
      </c>
      <c r="F299" s="202">
        <v>774.05</v>
      </c>
      <c r="G299" s="226">
        <f t="shared" si="23"/>
        <v>59.178864414443517</v>
      </c>
      <c r="H299" s="207">
        <v>50.762300000000003</v>
      </c>
      <c r="I299" s="207"/>
      <c r="J299" s="207"/>
      <c r="K299" s="207">
        <v>0</v>
      </c>
      <c r="L299" s="127">
        <v>4000</v>
      </c>
      <c r="M299" s="127">
        <v>15</v>
      </c>
      <c r="N299" s="200">
        <f t="shared" si="40"/>
        <v>125.10599999999999</v>
      </c>
      <c r="O299" s="200">
        <f t="shared" si="41"/>
        <v>125.10599999999999</v>
      </c>
      <c r="P299" s="200">
        <f t="shared" si="42"/>
        <v>125.10599999999999</v>
      </c>
      <c r="Q299" s="200">
        <f t="shared" si="27"/>
        <v>125.10599999999999</v>
      </c>
      <c r="R299" s="127" t="s">
        <v>497</v>
      </c>
      <c r="S299" s="127" t="str">
        <f>""</f>
        <v/>
      </c>
      <c r="T299" s="127" t="s">
        <v>244</v>
      </c>
      <c r="U299" s="127" t="s">
        <v>245</v>
      </c>
      <c r="V299" s="127" t="s">
        <v>246</v>
      </c>
      <c r="W299" s="127" t="s">
        <v>496</v>
      </c>
      <c r="X299" s="127" t="s">
        <v>495</v>
      </c>
      <c r="Y299" s="127" t="s">
        <v>253</v>
      </c>
      <c r="Z299" s="127" t="s">
        <v>249</v>
      </c>
      <c r="AA299" s="127" t="str">
        <f>""</f>
        <v/>
      </c>
      <c r="AB299" s="127">
        <v>15</v>
      </c>
    </row>
    <row r="300" spans="1:28" ht="14.5" x14ac:dyDescent="0.35">
      <c r="A300" s="127"/>
      <c r="B300" s="208"/>
      <c r="C300" s="201"/>
      <c r="D300" s="207"/>
      <c r="E300" s="202"/>
      <c r="F300" s="202"/>
      <c r="G300" s="226"/>
      <c r="H300" s="207"/>
      <c r="I300" s="207"/>
      <c r="J300" s="207"/>
      <c r="K300" s="207"/>
      <c r="L300" s="127"/>
      <c r="M300" s="127"/>
      <c r="N300" s="200"/>
      <c r="O300" s="200"/>
      <c r="P300" s="200"/>
      <c r="Q300" s="200"/>
      <c r="R300" s="127"/>
      <c r="S300" s="127"/>
      <c r="T300" s="127"/>
      <c r="U300" s="127"/>
      <c r="V300" s="127"/>
      <c r="W300" s="127"/>
      <c r="X300" s="127"/>
      <c r="Y300" s="127"/>
      <c r="Z300" s="127"/>
      <c r="AA300" s="127"/>
      <c r="AB300" s="127"/>
    </row>
    <row r="301" spans="1:28" ht="15" x14ac:dyDescent="0.35">
      <c r="A301" s="251" t="s">
        <v>485</v>
      </c>
      <c r="B301" s="208"/>
      <c r="C301" s="201"/>
      <c r="D301" s="207"/>
      <c r="E301" s="202"/>
      <c r="F301" s="202"/>
      <c r="G301" s="226"/>
      <c r="H301" s="207"/>
      <c r="I301" s="207"/>
      <c r="J301" s="207"/>
      <c r="K301" s="207"/>
      <c r="L301" s="127"/>
      <c r="M301" s="127"/>
      <c r="N301" s="200"/>
      <c r="O301" s="200"/>
      <c r="P301" s="200"/>
      <c r="Q301" s="200"/>
      <c r="R301" s="127"/>
      <c r="S301" s="127"/>
      <c r="T301" s="127"/>
      <c r="U301" s="127"/>
      <c r="V301" s="127"/>
      <c r="W301" s="127"/>
      <c r="X301" s="127"/>
      <c r="Y301" s="127"/>
      <c r="Z301" s="127"/>
      <c r="AA301" s="127"/>
      <c r="AB301" s="127"/>
    </row>
    <row r="302" spans="1:28" ht="15.5" x14ac:dyDescent="0.4">
      <c r="A302" s="127" t="s">
        <v>645</v>
      </c>
      <c r="B302" s="208">
        <v>124.5605</v>
      </c>
      <c r="C302" s="201">
        <v>18.9849</v>
      </c>
      <c r="D302" s="207"/>
      <c r="E302" s="202">
        <v>79.298599999999993</v>
      </c>
      <c r="F302" s="202">
        <v>831.52499999999998</v>
      </c>
      <c r="G302" s="226">
        <f t="shared" si="23"/>
        <v>54.432398304320387</v>
      </c>
      <c r="H302" s="207">
        <v>50.762300000000003</v>
      </c>
      <c r="I302" s="207"/>
      <c r="J302" s="207"/>
      <c r="K302" s="207">
        <v>0</v>
      </c>
      <c r="L302" s="127">
        <v>4000</v>
      </c>
      <c r="M302" s="127">
        <v>15</v>
      </c>
      <c r="N302" s="200">
        <f t="shared" si="40"/>
        <v>124.5605</v>
      </c>
      <c r="O302" s="200">
        <f t="shared" si="41"/>
        <v>124.5605</v>
      </c>
      <c r="P302" s="200">
        <f t="shared" si="42"/>
        <v>124.5605</v>
      </c>
      <c r="Q302" s="200">
        <f t="shared" si="27"/>
        <v>124.5605</v>
      </c>
      <c r="R302" s="127" t="s">
        <v>497</v>
      </c>
      <c r="S302" s="127" t="str">
        <f>""</f>
        <v/>
      </c>
      <c r="T302" s="127" t="s">
        <v>244</v>
      </c>
      <c r="U302" s="127" t="s">
        <v>245</v>
      </c>
      <c r="V302" s="127" t="s">
        <v>246</v>
      </c>
      <c r="W302" s="127" t="s">
        <v>496</v>
      </c>
      <c r="X302" s="127" t="s">
        <v>495</v>
      </c>
      <c r="Y302" s="127" t="s">
        <v>253</v>
      </c>
      <c r="Z302" s="127" t="s">
        <v>249</v>
      </c>
      <c r="AA302" s="127" t="str">
        <f>""</f>
        <v/>
      </c>
      <c r="AB302" s="127">
        <v>15</v>
      </c>
    </row>
    <row r="303" spans="1:28" ht="15.5" x14ac:dyDescent="0.4">
      <c r="A303" s="127" t="s">
        <v>644</v>
      </c>
      <c r="B303" s="208">
        <v>118.1829</v>
      </c>
      <c r="C303" s="201">
        <v>18.9849</v>
      </c>
      <c r="D303" s="207"/>
      <c r="E303" s="202">
        <v>79.298599999999993</v>
      </c>
      <c r="F303" s="202">
        <v>832.01499999999999</v>
      </c>
      <c r="G303" s="226">
        <f t="shared" si="23"/>
        <v>46.735094920163711</v>
      </c>
      <c r="H303" s="207">
        <v>50.762300000000003</v>
      </c>
      <c r="I303" s="207"/>
      <c r="J303" s="207"/>
      <c r="K303" s="207">
        <v>0</v>
      </c>
      <c r="L303" s="127">
        <v>4000</v>
      </c>
      <c r="M303" s="127">
        <v>15</v>
      </c>
      <c r="N303" s="200">
        <f t="shared" si="40"/>
        <v>118.1829</v>
      </c>
      <c r="O303" s="200">
        <f t="shared" si="41"/>
        <v>118.1829</v>
      </c>
      <c r="P303" s="200">
        <f t="shared" si="42"/>
        <v>118.1829</v>
      </c>
      <c r="Q303" s="200">
        <f t="shared" si="27"/>
        <v>118.1829</v>
      </c>
      <c r="R303" s="127" t="s">
        <v>497</v>
      </c>
      <c r="S303" s="127" t="str">
        <f>""</f>
        <v/>
      </c>
      <c r="T303" s="127" t="s">
        <v>244</v>
      </c>
      <c r="U303" s="127" t="s">
        <v>245</v>
      </c>
      <c r="V303" s="127" t="s">
        <v>246</v>
      </c>
      <c r="W303" s="127" t="s">
        <v>496</v>
      </c>
      <c r="X303" s="127" t="s">
        <v>495</v>
      </c>
      <c r="Y303" s="127" t="s">
        <v>253</v>
      </c>
      <c r="Z303" s="127" t="s">
        <v>249</v>
      </c>
      <c r="AA303" s="127" t="str">
        <f>""</f>
        <v/>
      </c>
      <c r="AB303" s="127">
        <v>15</v>
      </c>
    </row>
    <row r="304" spans="1:28" ht="15.5" x14ac:dyDescent="0.4">
      <c r="A304" s="127" t="s">
        <v>648</v>
      </c>
      <c r="B304" s="208">
        <v>222.8</v>
      </c>
      <c r="C304" s="201">
        <v>18.9849</v>
      </c>
      <c r="D304" s="207"/>
      <c r="E304" s="202">
        <v>79.298599999999993</v>
      </c>
      <c r="F304" s="202">
        <v>751.69</v>
      </c>
      <c r="G304" s="226">
        <f t="shared" si="23"/>
        <v>190.9050273383975</v>
      </c>
      <c r="H304" s="207">
        <v>50.762300000000003</v>
      </c>
      <c r="I304" s="207"/>
      <c r="J304" s="207"/>
      <c r="K304" s="207">
        <v>0</v>
      </c>
      <c r="L304" s="127">
        <v>4000</v>
      </c>
      <c r="M304" s="127">
        <v>15</v>
      </c>
      <c r="N304" s="200">
        <f t="shared" si="40"/>
        <v>135.67535000000001</v>
      </c>
      <c r="O304" s="200">
        <f t="shared" si="41"/>
        <v>192.0521</v>
      </c>
      <c r="P304" s="200">
        <f t="shared" si="42"/>
        <v>222.8</v>
      </c>
      <c r="Q304" s="200">
        <f t="shared" si="27"/>
        <v>222.8</v>
      </c>
      <c r="R304" s="127" t="s">
        <v>497</v>
      </c>
      <c r="S304" s="127" t="str">
        <f>""</f>
        <v/>
      </c>
      <c r="T304" s="127" t="s">
        <v>244</v>
      </c>
      <c r="U304" s="127" t="s">
        <v>245</v>
      </c>
      <c r="V304" s="127" t="s">
        <v>246</v>
      </c>
      <c r="W304" s="127" t="s">
        <v>496</v>
      </c>
      <c r="X304" s="127" t="s">
        <v>495</v>
      </c>
      <c r="Y304" s="127" t="s">
        <v>253</v>
      </c>
      <c r="Z304" s="127" t="s">
        <v>249</v>
      </c>
      <c r="AA304" s="127" t="str">
        <f>""</f>
        <v/>
      </c>
      <c r="AB304" s="127">
        <v>15</v>
      </c>
    </row>
    <row r="305" spans="1:28" ht="15.5" x14ac:dyDescent="0.4">
      <c r="A305" s="127" t="s">
        <v>651</v>
      </c>
      <c r="B305" s="208">
        <v>192.53370000000001</v>
      </c>
      <c r="C305" s="201">
        <v>18.9849</v>
      </c>
      <c r="D305" s="207"/>
      <c r="E305" s="202">
        <v>79.298599999999993</v>
      </c>
      <c r="F305" s="202">
        <v>767.44</v>
      </c>
      <c r="G305" s="226">
        <f t="shared" si="23"/>
        <v>147.54912436151361</v>
      </c>
      <c r="H305" s="207">
        <v>50.762300000000003</v>
      </c>
      <c r="I305" s="207"/>
      <c r="J305" s="207"/>
      <c r="K305" s="207">
        <v>0</v>
      </c>
      <c r="L305" s="127">
        <v>4000</v>
      </c>
      <c r="M305" s="127">
        <v>15</v>
      </c>
      <c r="N305" s="200">
        <f t="shared" si="40"/>
        <v>136.85660000000001</v>
      </c>
      <c r="O305" s="200">
        <f t="shared" si="41"/>
        <v>192.53370000000001</v>
      </c>
      <c r="P305" s="200">
        <f t="shared" si="42"/>
        <v>192.53370000000001</v>
      </c>
      <c r="Q305" s="200">
        <f t="shared" si="27"/>
        <v>192.53370000000001</v>
      </c>
      <c r="R305" s="127" t="s">
        <v>497</v>
      </c>
      <c r="S305" s="127" t="str">
        <f>""</f>
        <v/>
      </c>
      <c r="T305" s="127" t="s">
        <v>244</v>
      </c>
      <c r="U305" s="127" t="s">
        <v>245</v>
      </c>
      <c r="V305" s="127" t="s">
        <v>246</v>
      </c>
      <c r="W305" s="127" t="s">
        <v>496</v>
      </c>
      <c r="X305" s="127" t="s">
        <v>495</v>
      </c>
      <c r="Y305" s="127" t="s">
        <v>253</v>
      </c>
      <c r="Z305" s="127" t="s">
        <v>249</v>
      </c>
      <c r="AA305" s="127" t="str">
        <f>""</f>
        <v/>
      </c>
      <c r="AB305" s="127">
        <v>15</v>
      </c>
    </row>
    <row r="306" spans="1:28" ht="15.5" x14ac:dyDescent="0.4">
      <c r="A306" s="127" t="s">
        <v>654</v>
      </c>
      <c r="B306" s="208">
        <v>245.42840000000001</v>
      </c>
      <c r="C306" s="201">
        <v>18.9849</v>
      </c>
      <c r="D306" s="207"/>
      <c r="E306" s="202">
        <v>79.298599999999993</v>
      </c>
      <c r="F306" s="202">
        <v>671.14</v>
      </c>
      <c r="G306" s="226">
        <f t="shared" si="23"/>
        <v>247.533748547248</v>
      </c>
      <c r="H306" s="207">
        <v>50.762300000000003</v>
      </c>
      <c r="I306" s="207"/>
      <c r="J306" s="207"/>
      <c r="K306" s="207">
        <v>0</v>
      </c>
      <c r="L306" s="127">
        <v>4000</v>
      </c>
      <c r="M306" s="127">
        <v>15</v>
      </c>
      <c r="N306" s="200">
        <f t="shared" si="40"/>
        <v>129.63409999999999</v>
      </c>
      <c r="O306" s="200">
        <f t="shared" si="41"/>
        <v>179.96960000000001</v>
      </c>
      <c r="P306" s="200">
        <f t="shared" si="42"/>
        <v>230.30509999999998</v>
      </c>
      <c r="Q306" s="200">
        <f t="shared" si="27"/>
        <v>245.42840000000001</v>
      </c>
      <c r="R306" s="127" t="s">
        <v>497</v>
      </c>
      <c r="S306" s="127" t="str">
        <f>""</f>
        <v/>
      </c>
      <c r="T306" s="127" t="s">
        <v>244</v>
      </c>
      <c r="U306" s="127" t="s">
        <v>245</v>
      </c>
      <c r="V306" s="127" t="s">
        <v>246</v>
      </c>
      <c r="W306" s="127" t="s">
        <v>496</v>
      </c>
      <c r="X306" s="127" t="s">
        <v>495</v>
      </c>
      <c r="Y306" s="127" t="s">
        <v>253</v>
      </c>
      <c r="Z306" s="127" t="s">
        <v>249</v>
      </c>
      <c r="AA306" s="127" t="str">
        <f>""</f>
        <v/>
      </c>
      <c r="AB306" s="127">
        <v>15</v>
      </c>
    </row>
    <row r="307" spans="1:28" ht="14.5" x14ac:dyDescent="0.35">
      <c r="A307" s="127" t="s">
        <v>656</v>
      </c>
      <c r="B307" s="208">
        <v>167.6986</v>
      </c>
      <c r="C307" s="201">
        <v>18.9849</v>
      </c>
      <c r="D307" s="207"/>
      <c r="E307" s="202">
        <v>79.298599999999993</v>
      </c>
      <c r="F307" s="202">
        <v>753.9</v>
      </c>
      <c r="G307" s="226">
        <f t="shared" si="23"/>
        <v>117.25693062740417</v>
      </c>
      <c r="H307" s="207">
        <v>50.762300000000003</v>
      </c>
      <c r="I307" s="207"/>
      <c r="J307" s="207"/>
      <c r="K307" s="207">
        <v>0</v>
      </c>
      <c r="L307" s="127">
        <v>4000</v>
      </c>
      <c r="M307" s="127">
        <v>15</v>
      </c>
      <c r="N307" s="200">
        <f t="shared" si="40"/>
        <v>135.84109999999998</v>
      </c>
      <c r="O307" s="200">
        <f t="shared" si="41"/>
        <v>167.6986</v>
      </c>
      <c r="P307" s="200">
        <f t="shared" si="42"/>
        <v>167.6986</v>
      </c>
      <c r="Q307" s="200">
        <f t="shared" si="27"/>
        <v>167.6986</v>
      </c>
      <c r="R307" s="127" t="s">
        <v>497</v>
      </c>
      <c r="S307" s="127" t="str">
        <f>""</f>
        <v/>
      </c>
      <c r="T307" s="127" t="s">
        <v>244</v>
      </c>
      <c r="U307" s="127" t="s">
        <v>245</v>
      </c>
      <c r="V307" s="127" t="s">
        <v>246</v>
      </c>
      <c r="W307" s="127" t="s">
        <v>496</v>
      </c>
      <c r="X307" s="127" t="s">
        <v>495</v>
      </c>
      <c r="Y307" s="127" t="s">
        <v>253</v>
      </c>
      <c r="Z307" s="127" t="s">
        <v>249</v>
      </c>
      <c r="AA307" s="127" t="str">
        <f>""</f>
        <v/>
      </c>
      <c r="AB307" s="127">
        <v>15</v>
      </c>
    </row>
    <row r="308" spans="1:28" ht="14.5" x14ac:dyDescent="0.35">
      <c r="A308" s="127"/>
      <c r="B308" s="208"/>
      <c r="C308" s="201"/>
      <c r="D308" s="207"/>
      <c r="E308" s="202"/>
      <c r="F308" s="202"/>
      <c r="G308" s="226"/>
      <c r="H308" s="207"/>
      <c r="I308" s="207"/>
      <c r="J308" s="207"/>
      <c r="K308" s="207"/>
      <c r="L308" s="127"/>
      <c r="M308" s="127"/>
      <c r="N308" s="200"/>
      <c r="O308" s="200"/>
      <c r="P308" s="200"/>
      <c r="Q308" s="200"/>
      <c r="R308" s="127"/>
      <c r="S308" s="127"/>
      <c r="T308" s="127"/>
      <c r="U308" s="127"/>
      <c r="V308" s="127"/>
      <c r="W308" s="127"/>
      <c r="X308" s="127"/>
      <c r="Y308" s="127"/>
      <c r="Z308" s="127"/>
      <c r="AA308" s="127"/>
      <c r="AB308" s="127"/>
    </row>
    <row r="309" spans="1:28" ht="15" x14ac:dyDescent="0.35">
      <c r="A309" s="251" t="s">
        <v>486</v>
      </c>
      <c r="B309" s="208"/>
      <c r="C309" s="201"/>
      <c r="D309" s="207"/>
      <c r="E309" s="202"/>
      <c r="F309" s="202"/>
      <c r="G309" s="226"/>
      <c r="H309" s="207"/>
      <c r="I309" s="207"/>
      <c r="J309" s="207"/>
      <c r="K309" s="207"/>
      <c r="L309" s="127"/>
      <c r="M309" s="127"/>
      <c r="N309" s="200"/>
      <c r="O309" s="200"/>
      <c r="P309" s="200"/>
      <c r="Q309" s="200"/>
      <c r="R309" s="127"/>
      <c r="S309" s="127"/>
      <c r="T309" s="127"/>
      <c r="U309" s="127"/>
      <c r="V309" s="127"/>
      <c r="W309" s="127"/>
      <c r="X309" s="127"/>
      <c r="Y309" s="127"/>
      <c r="Z309" s="127"/>
      <c r="AA309" s="127"/>
      <c r="AB309" s="127"/>
    </row>
    <row r="310" spans="1:28" ht="15.5" x14ac:dyDescent="0.4">
      <c r="A310" s="127" t="s">
        <v>657</v>
      </c>
      <c r="B310" s="208">
        <v>307.59860000000003</v>
      </c>
      <c r="C310" s="201">
        <v>18.9849</v>
      </c>
      <c r="D310" s="207"/>
      <c r="E310" s="202">
        <v>79.298599999999993</v>
      </c>
      <c r="F310" s="202">
        <v>761</v>
      </c>
      <c r="G310" s="226">
        <f t="shared" si="23"/>
        <v>300.00000000000006</v>
      </c>
      <c r="H310" s="207">
        <v>50.762300000000003</v>
      </c>
      <c r="I310" s="207"/>
      <c r="J310" s="207"/>
      <c r="K310" s="207">
        <v>0</v>
      </c>
      <c r="L310" s="127">
        <v>4000</v>
      </c>
      <c r="M310" s="127">
        <v>15</v>
      </c>
      <c r="N310" s="200">
        <f t="shared" si="40"/>
        <v>136.37360000000001</v>
      </c>
      <c r="O310" s="200">
        <f t="shared" si="41"/>
        <v>193.4486</v>
      </c>
      <c r="P310" s="200">
        <f t="shared" si="42"/>
        <v>250.52359999999999</v>
      </c>
      <c r="Q310" s="200">
        <f t="shared" si="27"/>
        <v>307.59860000000003</v>
      </c>
      <c r="R310" s="127" t="s">
        <v>497</v>
      </c>
      <c r="S310" s="127" t="str">
        <f>""</f>
        <v/>
      </c>
      <c r="T310" s="127" t="s">
        <v>244</v>
      </c>
      <c r="U310" s="127" t="s">
        <v>245</v>
      </c>
      <c r="V310" s="127" t="s">
        <v>246</v>
      </c>
      <c r="W310" s="127" t="s">
        <v>496</v>
      </c>
      <c r="X310" s="127" t="s">
        <v>495</v>
      </c>
      <c r="Y310" s="127" t="s">
        <v>253</v>
      </c>
      <c r="Z310" s="127" t="s">
        <v>249</v>
      </c>
      <c r="AA310" s="127" t="str">
        <f>""</f>
        <v/>
      </c>
      <c r="AB310" s="127">
        <v>15</v>
      </c>
    </row>
    <row r="311" spans="1:28" ht="14.5" x14ac:dyDescent="0.35">
      <c r="A311" s="127"/>
      <c r="B311" s="208"/>
      <c r="C311" s="201"/>
      <c r="D311" s="207"/>
      <c r="E311" s="202"/>
      <c r="F311" s="202"/>
      <c r="G311" s="226"/>
      <c r="H311" s="207"/>
      <c r="I311" s="207"/>
      <c r="J311" s="207"/>
      <c r="K311" s="207"/>
      <c r="L311" s="127"/>
      <c r="M311" s="127"/>
      <c r="N311" s="200"/>
      <c r="O311" s="200"/>
      <c r="P311" s="200"/>
      <c r="Q311" s="200"/>
      <c r="R311" s="127"/>
      <c r="S311" s="127"/>
      <c r="T311" s="127"/>
      <c r="U311" s="127"/>
      <c r="V311" s="127"/>
      <c r="W311" s="127"/>
      <c r="X311" s="127"/>
      <c r="Y311" s="127"/>
      <c r="Z311" s="127"/>
      <c r="AA311" s="127"/>
      <c r="AB311" s="127"/>
    </row>
    <row r="312" spans="1:28" ht="14.5" x14ac:dyDescent="0.35">
      <c r="A312" s="203" t="s">
        <v>153</v>
      </c>
      <c r="B312" s="207"/>
      <c r="C312" s="202"/>
      <c r="D312" s="207"/>
      <c r="E312" s="202"/>
      <c r="F312" s="202"/>
      <c r="G312" s="226"/>
      <c r="H312" s="207"/>
      <c r="I312" s="207"/>
      <c r="J312" s="207"/>
      <c r="K312" s="207"/>
      <c r="L312" s="127"/>
      <c r="M312" s="127"/>
      <c r="N312" s="200"/>
      <c r="O312" s="200"/>
      <c r="P312" s="200"/>
      <c r="Q312" s="200"/>
      <c r="R312" s="127"/>
      <c r="S312" s="127"/>
      <c r="T312" s="127"/>
      <c r="U312" s="127"/>
      <c r="V312" s="127"/>
      <c r="W312" s="127"/>
      <c r="X312" s="127"/>
      <c r="Y312" s="127"/>
      <c r="Z312" s="127"/>
      <c r="AA312" s="127"/>
      <c r="AB312" s="127"/>
    </row>
    <row r="313" spans="1:28" ht="14.5" x14ac:dyDescent="0.35">
      <c r="A313" s="127" t="s">
        <v>254</v>
      </c>
      <c r="B313" s="207">
        <v>6.0900000000000003E-2</v>
      </c>
      <c r="C313" s="202">
        <v>1.3100000000000001E-2</v>
      </c>
      <c r="D313" s="207"/>
      <c r="E313" s="202">
        <v>5.04E-2</v>
      </c>
      <c r="F313" s="202">
        <v>0.18790000000000001</v>
      </c>
      <c r="G313" s="226">
        <f t="shared" ref="G313:G349" si="43">(B313-E313)*1000/F313</f>
        <v>55.880787653006927</v>
      </c>
      <c r="H313" s="207">
        <v>2.7300000000000001E-2</v>
      </c>
      <c r="I313" s="207" t="str">
        <f>""</f>
        <v/>
      </c>
      <c r="J313" s="207"/>
      <c r="K313" s="207">
        <v>1.55E-2</v>
      </c>
      <c r="L313" s="127">
        <v>8000</v>
      </c>
      <c r="M313" s="127">
        <v>12</v>
      </c>
      <c r="N313" s="200">
        <f>MIN($B313,(75*$F313/1000)+$E313)</f>
        <v>6.0900000000000003E-2</v>
      </c>
      <c r="O313" s="200">
        <f>MIN($B313,(150*$F313/1000)+$E313)</f>
        <v>6.0900000000000003E-2</v>
      </c>
      <c r="P313" s="200">
        <f>MIN($B313,(225*$F313/1000)+$E313)</f>
        <v>6.0900000000000003E-2</v>
      </c>
      <c r="Q313" s="200">
        <f t="shared" ref="Q313:Q332" si="44">MIN($B313,(300*$F313/1000)+$E313)</f>
        <v>6.0900000000000003E-2</v>
      </c>
      <c r="R313" s="127" t="s">
        <v>176</v>
      </c>
      <c r="S313" s="127" t="str">
        <f>""</f>
        <v/>
      </c>
      <c r="T313" s="127" t="s">
        <v>177</v>
      </c>
      <c r="U313" s="127" t="s">
        <v>178</v>
      </c>
      <c r="V313" s="127" t="s">
        <v>179</v>
      </c>
      <c r="W313" s="127" t="s">
        <v>255</v>
      </c>
      <c r="X313" s="127" t="s">
        <v>187</v>
      </c>
      <c r="Y313" s="127" t="s">
        <v>523</v>
      </c>
      <c r="Z313" s="127" t="s">
        <v>183</v>
      </c>
      <c r="AA313" s="127" t="s">
        <v>256</v>
      </c>
      <c r="AB313" s="127">
        <v>12</v>
      </c>
    </row>
    <row r="314" spans="1:28" ht="14.5" x14ac:dyDescent="0.35">
      <c r="A314" s="127" t="s">
        <v>472</v>
      </c>
      <c r="B314" s="207">
        <v>8.3000000000000004E-2</v>
      </c>
      <c r="C314" s="202">
        <v>1.3100000000000001E-2</v>
      </c>
      <c r="D314" s="207"/>
      <c r="E314" s="202">
        <v>5.04E-2</v>
      </c>
      <c r="F314" s="202">
        <v>0.18790000000000001</v>
      </c>
      <c r="G314" s="226">
        <f t="shared" si="43"/>
        <v>173.49654071314529</v>
      </c>
      <c r="H314" s="207">
        <v>2.7300000000000001E-2</v>
      </c>
      <c r="I314" s="207"/>
      <c r="J314" s="207"/>
      <c r="K314" s="207">
        <v>1.55E-2</v>
      </c>
      <c r="L314" s="127">
        <v>5000</v>
      </c>
      <c r="M314" s="127">
        <v>12</v>
      </c>
      <c r="N314" s="200">
        <f>MIN($B314,(75*$F314/1000)+$E314)</f>
        <v>6.4492500000000008E-2</v>
      </c>
      <c r="O314" s="200">
        <f>MIN($B314,(150*$F314/1000)+$E314)</f>
        <v>7.8585000000000002E-2</v>
      </c>
      <c r="P314" s="200">
        <f>MIN($B314,(225*$F314/1000)+$E314)</f>
        <v>8.3000000000000004E-2</v>
      </c>
      <c r="Q314" s="200">
        <f t="shared" si="44"/>
        <v>8.3000000000000004E-2</v>
      </c>
      <c r="R314" s="127" t="s">
        <v>176</v>
      </c>
      <c r="S314" s="127" t="str">
        <f>""</f>
        <v/>
      </c>
      <c r="T314" s="127" t="s">
        <v>177</v>
      </c>
      <c r="U314" s="127" t="s">
        <v>178</v>
      </c>
      <c r="V314" s="127" t="s">
        <v>179</v>
      </c>
      <c r="W314" s="127" t="s">
        <v>255</v>
      </c>
      <c r="X314" s="127" t="s">
        <v>187</v>
      </c>
      <c r="Y314" s="127" t="s">
        <v>523</v>
      </c>
      <c r="Z314" s="127" t="s">
        <v>183</v>
      </c>
      <c r="AA314" s="127" t="s">
        <v>256</v>
      </c>
      <c r="AB314" s="127">
        <v>12</v>
      </c>
    </row>
    <row r="315" spans="1:28" ht="14.5" x14ac:dyDescent="0.35">
      <c r="A315" s="127" t="s">
        <v>257</v>
      </c>
      <c r="B315" s="207">
        <v>0.12230000000000001</v>
      </c>
      <c r="C315" s="202">
        <v>1.3100000000000001E-2</v>
      </c>
      <c r="D315" s="207"/>
      <c r="E315" s="202">
        <v>5.04E-2</v>
      </c>
      <c r="F315" s="202">
        <v>0.18790000000000001</v>
      </c>
      <c r="G315" s="226">
        <f t="shared" si="43"/>
        <v>382.65034592868545</v>
      </c>
      <c r="H315" s="207">
        <v>2.7300000000000001E-2</v>
      </c>
      <c r="I315" s="207" t="str">
        <f>""</f>
        <v/>
      </c>
      <c r="J315" s="207"/>
      <c r="K315" s="207">
        <v>1.55E-2</v>
      </c>
      <c r="L315" s="127">
        <v>3000</v>
      </c>
      <c r="M315" s="127">
        <v>12</v>
      </c>
      <c r="N315" s="200">
        <f t="shared" ref="N315:N322" si="45">MIN($B315,(75*$F315/1000)+$E315)</f>
        <v>6.4492500000000008E-2</v>
      </c>
      <c r="O315" s="200">
        <f t="shared" ref="O315:O322" si="46">MIN($B315,(150*$F315/1000)+$E315)</f>
        <v>7.8585000000000002E-2</v>
      </c>
      <c r="P315" s="200">
        <f t="shared" ref="P315:P322" si="47">MIN($B315,(225*$F315/1000)+$E315)</f>
        <v>9.2677499999999996E-2</v>
      </c>
      <c r="Q315" s="200">
        <f t="shared" si="44"/>
        <v>0.10677</v>
      </c>
      <c r="R315" s="127" t="s">
        <v>176</v>
      </c>
      <c r="S315" s="127" t="str">
        <f>""</f>
        <v/>
      </c>
      <c r="T315" s="127" t="s">
        <v>177</v>
      </c>
      <c r="U315" s="127" t="s">
        <v>178</v>
      </c>
      <c r="V315" s="127" t="s">
        <v>179</v>
      </c>
      <c r="W315" s="127" t="s">
        <v>255</v>
      </c>
      <c r="X315" s="127" t="s">
        <v>187</v>
      </c>
      <c r="Y315" s="127" t="s">
        <v>523</v>
      </c>
      <c r="Z315" s="127" t="s">
        <v>183</v>
      </c>
      <c r="AA315" s="127" t="s">
        <v>256</v>
      </c>
      <c r="AB315" s="127">
        <v>12</v>
      </c>
    </row>
    <row r="316" spans="1:28" ht="14.5" x14ac:dyDescent="0.35">
      <c r="A316" s="127" t="s">
        <v>567</v>
      </c>
      <c r="B316" s="207">
        <v>5.1299999999999998E-2</v>
      </c>
      <c r="C316" s="202">
        <v>1.3100000000000001E-2</v>
      </c>
      <c r="D316" s="207"/>
      <c r="E316" s="202">
        <v>5.04E-2</v>
      </c>
      <c r="F316" s="202">
        <v>0.19900000000000001</v>
      </c>
      <c r="G316" s="226">
        <f t="shared" si="43"/>
        <v>4.522613065326623</v>
      </c>
      <c r="H316" s="207">
        <v>2.7300000000000001E-2</v>
      </c>
      <c r="I316" s="207" t="str">
        <f>""</f>
        <v/>
      </c>
      <c r="J316" s="207"/>
      <c r="K316" s="207">
        <v>1.55E-2</v>
      </c>
      <c r="L316" s="127">
        <v>8000</v>
      </c>
      <c r="M316" s="127">
        <v>12</v>
      </c>
      <c r="N316" s="200">
        <f t="shared" si="45"/>
        <v>5.1299999999999998E-2</v>
      </c>
      <c r="O316" s="200">
        <f t="shared" si="46"/>
        <v>5.1299999999999998E-2</v>
      </c>
      <c r="P316" s="200">
        <f t="shared" si="47"/>
        <v>5.1299999999999998E-2</v>
      </c>
      <c r="Q316" s="200">
        <f t="shared" si="44"/>
        <v>5.1299999999999998E-2</v>
      </c>
      <c r="R316" s="127" t="s">
        <v>176</v>
      </c>
      <c r="S316" s="127" t="str">
        <f>""</f>
        <v/>
      </c>
      <c r="T316" s="127" t="s">
        <v>177</v>
      </c>
      <c r="U316" s="127" t="s">
        <v>178</v>
      </c>
      <c r="V316" s="127" t="s">
        <v>179</v>
      </c>
      <c r="W316" s="127" t="s">
        <v>572</v>
      </c>
      <c r="X316" s="127" t="s">
        <v>187</v>
      </c>
      <c r="Y316" s="127" t="s">
        <v>523</v>
      </c>
      <c r="Z316" s="127" t="s">
        <v>183</v>
      </c>
      <c r="AA316" s="127" t="s">
        <v>256</v>
      </c>
      <c r="AB316" s="127">
        <v>12</v>
      </c>
    </row>
    <row r="317" spans="1:28" ht="14.5" x14ac:dyDescent="0.35">
      <c r="A317" s="127" t="s">
        <v>568</v>
      </c>
      <c r="B317" s="207">
        <v>7.2099999999999997E-2</v>
      </c>
      <c r="C317" s="202">
        <v>1.3100000000000001E-2</v>
      </c>
      <c r="D317" s="207"/>
      <c r="E317" s="202">
        <v>5.04E-2</v>
      </c>
      <c r="F317" s="202">
        <v>0.19900000000000001</v>
      </c>
      <c r="G317" s="226">
        <f t="shared" si="43"/>
        <v>109.04522613065323</v>
      </c>
      <c r="H317" s="207">
        <v>2.7300000000000001E-2</v>
      </c>
      <c r="I317" s="207"/>
      <c r="J317" s="207"/>
      <c r="K317" s="207">
        <v>1.55E-2</v>
      </c>
      <c r="L317" s="127">
        <v>5000</v>
      </c>
      <c r="M317" s="127">
        <v>12</v>
      </c>
      <c r="N317" s="200">
        <f t="shared" si="45"/>
        <v>6.5324999999999994E-2</v>
      </c>
      <c r="O317" s="200">
        <f t="shared" si="46"/>
        <v>7.2099999999999997E-2</v>
      </c>
      <c r="P317" s="200">
        <f t="shared" si="47"/>
        <v>7.2099999999999997E-2</v>
      </c>
      <c r="Q317" s="200">
        <f t="shared" si="44"/>
        <v>7.2099999999999997E-2</v>
      </c>
      <c r="R317" s="127" t="s">
        <v>176</v>
      </c>
      <c r="S317" s="127" t="str">
        <f>""</f>
        <v/>
      </c>
      <c r="T317" s="127" t="s">
        <v>177</v>
      </c>
      <c r="U317" s="127" t="s">
        <v>178</v>
      </c>
      <c r="V317" s="127" t="s">
        <v>179</v>
      </c>
      <c r="W317" s="127" t="s">
        <v>572</v>
      </c>
      <c r="X317" s="127" t="s">
        <v>187</v>
      </c>
      <c r="Y317" s="127" t="s">
        <v>523</v>
      </c>
      <c r="Z317" s="127" t="s">
        <v>183</v>
      </c>
      <c r="AA317" s="127" t="s">
        <v>256</v>
      </c>
      <c r="AB317" s="127">
        <v>12</v>
      </c>
    </row>
    <row r="318" spans="1:28" ht="14.5" x14ac:dyDescent="0.35">
      <c r="A318" s="127" t="s">
        <v>569</v>
      </c>
      <c r="B318" s="207">
        <v>0.1089</v>
      </c>
      <c r="C318" s="202">
        <v>1.3100000000000001E-2</v>
      </c>
      <c r="D318" s="207"/>
      <c r="E318" s="202">
        <v>5.04E-2</v>
      </c>
      <c r="F318" s="202">
        <v>0.19900000000000001</v>
      </c>
      <c r="G318" s="226">
        <f t="shared" si="43"/>
        <v>293.96984924623115</v>
      </c>
      <c r="H318" s="207">
        <v>2.7300000000000001E-2</v>
      </c>
      <c r="I318" s="207" t="str">
        <f>""</f>
        <v/>
      </c>
      <c r="J318" s="207"/>
      <c r="K318" s="207">
        <v>1.55E-2</v>
      </c>
      <c r="L318" s="127">
        <v>3000</v>
      </c>
      <c r="M318" s="127">
        <v>12</v>
      </c>
      <c r="N318" s="200">
        <f t="shared" si="45"/>
        <v>6.5324999999999994E-2</v>
      </c>
      <c r="O318" s="200">
        <f t="shared" si="46"/>
        <v>8.0250000000000002E-2</v>
      </c>
      <c r="P318" s="200">
        <f t="shared" si="47"/>
        <v>9.517500000000001E-2</v>
      </c>
      <c r="Q318" s="200">
        <f t="shared" si="44"/>
        <v>0.1089</v>
      </c>
      <c r="R318" s="127" t="s">
        <v>176</v>
      </c>
      <c r="S318" s="127" t="str">
        <f>""</f>
        <v/>
      </c>
      <c r="T318" s="127" t="s">
        <v>177</v>
      </c>
      <c r="U318" s="127" t="s">
        <v>178</v>
      </c>
      <c r="V318" s="127" t="s">
        <v>179</v>
      </c>
      <c r="W318" s="127" t="s">
        <v>572</v>
      </c>
      <c r="X318" s="127" t="s">
        <v>187</v>
      </c>
      <c r="Y318" s="127" t="s">
        <v>523</v>
      </c>
      <c r="Z318" s="127" t="s">
        <v>183</v>
      </c>
      <c r="AA318" s="127" t="s">
        <v>256</v>
      </c>
      <c r="AB318" s="127">
        <v>12</v>
      </c>
    </row>
    <row r="319" spans="1:28" ht="14.5" x14ac:dyDescent="0.35">
      <c r="A319" s="127" t="s">
        <v>564</v>
      </c>
      <c r="B319" s="207">
        <v>6.7199999999999996E-2</v>
      </c>
      <c r="C319" s="202">
        <v>1.3100000000000001E-2</v>
      </c>
      <c r="D319" s="207"/>
      <c r="E319" s="202">
        <v>5.04E-2</v>
      </c>
      <c r="F319" s="202">
        <v>0.18790000000000001</v>
      </c>
      <c r="G319" s="226">
        <f t="shared" si="43"/>
        <v>89.409260244811051</v>
      </c>
      <c r="H319" s="207">
        <v>2.7300000000000001E-2</v>
      </c>
      <c r="I319" s="207"/>
      <c r="J319" s="207"/>
      <c r="K319" s="207">
        <v>1.55E-2</v>
      </c>
      <c r="L319" s="127">
        <v>8000</v>
      </c>
      <c r="M319" s="127">
        <v>12</v>
      </c>
      <c r="N319" s="200">
        <f>MIN($B319,(75*$F319/1000)+$E319)</f>
        <v>6.4492500000000008E-2</v>
      </c>
      <c r="O319" s="200">
        <f>MIN($B319,(150*$F319/1000)+$E319)</f>
        <v>6.7199999999999996E-2</v>
      </c>
      <c r="P319" s="200">
        <f>MIN($B319,(225*$F319/1000)+$E319)</f>
        <v>6.7199999999999996E-2</v>
      </c>
      <c r="Q319" s="200">
        <f>MIN($B319,(300*$F319/1000)+$E319)</f>
        <v>6.7199999999999996E-2</v>
      </c>
      <c r="R319" s="127" t="s">
        <v>176</v>
      </c>
      <c r="S319" s="127" t="str">
        <f>""</f>
        <v/>
      </c>
      <c r="T319" s="127" t="s">
        <v>177</v>
      </c>
      <c r="U319" s="127" t="s">
        <v>178</v>
      </c>
      <c r="V319" s="127" t="s">
        <v>179</v>
      </c>
      <c r="W319" s="127" t="s">
        <v>574</v>
      </c>
      <c r="X319" s="127" t="s">
        <v>187</v>
      </c>
      <c r="Y319" s="127" t="s">
        <v>523</v>
      </c>
      <c r="Z319" s="127" t="s">
        <v>183</v>
      </c>
      <c r="AA319" s="127" t="s">
        <v>256</v>
      </c>
      <c r="AB319" s="127">
        <v>12</v>
      </c>
    </row>
    <row r="320" spans="1:28" ht="14.5" x14ac:dyDescent="0.35">
      <c r="A320" s="127" t="s">
        <v>565</v>
      </c>
      <c r="B320" s="207">
        <v>9.3100000000000002E-2</v>
      </c>
      <c r="C320" s="202">
        <v>1.3100000000000001E-2</v>
      </c>
      <c r="D320" s="207"/>
      <c r="E320" s="202">
        <v>5.04E-2</v>
      </c>
      <c r="F320" s="202">
        <v>0.18790000000000001</v>
      </c>
      <c r="G320" s="226">
        <f t="shared" si="43"/>
        <v>227.24853645556146</v>
      </c>
      <c r="H320" s="207">
        <v>2.7300000000000001E-2</v>
      </c>
      <c r="I320" s="207"/>
      <c r="J320" s="207"/>
      <c r="K320" s="207">
        <v>1.55E-2</v>
      </c>
      <c r="L320" s="127">
        <v>5000</v>
      </c>
      <c r="M320" s="127">
        <v>12</v>
      </c>
      <c r="N320" s="200">
        <f>MIN($B320,(75*$F320/1000)+$E320)</f>
        <v>6.4492500000000008E-2</v>
      </c>
      <c r="O320" s="200">
        <f>MIN($B320,(150*$F320/1000)+$E320)</f>
        <v>7.8585000000000002E-2</v>
      </c>
      <c r="P320" s="200">
        <f>MIN($B320,(225*$F320/1000)+$E320)</f>
        <v>9.2677499999999996E-2</v>
      </c>
      <c r="Q320" s="200">
        <f>MIN($B320,(300*$F320/1000)+$E320)</f>
        <v>9.3100000000000002E-2</v>
      </c>
      <c r="R320" s="127" t="s">
        <v>176</v>
      </c>
      <c r="S320" s="127" t="str">
        <f>""</f>
        <v/>
      </c>
      <c r="T320" s="127" t="s">
        <v>177</v>
      </c>
      <c r="U320" s="127" t="s">
        <v>178</v>
      </c>
      <c r="V320" s="127" t="s">
        <v>179</v>
      </c>
      <c r="W320" s="127" t="s">
        <v>574</v>
      </c>
      <c r="X320" s="127" t="s">
        <v>187</v>
      </c>
      <c r="Y320" s="127" t="s">
        <v>523</v>
      </c>
      <c r="Z320" s="127" t="s">
        <v>183</v>
      </c>
      <c r="AA320" s="127" t="s">
        <v>256</v>
      </c>
      <c r="AB320" s="127">
        <v>12</v>
      </c>
    </row>
    <row r="321" spans="1:28" ht="14.5" x14ac:dyDescent="0.35">
      <c r="A321" s="127" t="s">
        <v>566</v>
      </c>
      <c r="B321" s="207">
        <v>0.12556</v>
      </c>
      <c r="C321" s="202">
        <v>1.3100000000000001E-2</v>
      </c>
      <c r="D321" s="207"/>
      <c r="E321" s="202">
        <v>5.04E-2</v>
      </c>
      <c r="F321" s="202">
        <v>0.18790000000000001</v>
      </c>
      <c r="G321" s="226">
        <f t="shared" si="43"/>
        <v>400.00000000000006</v>
      </c>
      <c r="H321" s="207">
        <v>2.7300000000000001E-2</v>
      </c>
      <c r="I321" s="207"/>
      <c r="J321" s="207"/>
      <c r="K321" s="207">
        <v>1.55E-2</v>
      </c>
      <c r="L321" s="127">
        <v>3000</v>
      </c>
      <c r="M321" s="127">
        <v>12</v>
      </c>
      <c r="N321" s="200">
        <f t="shared" si="45"/>
        <v>6.4492500000000008E-2</v>
      </c>
      <c r="O321" s="200">
        <f t="shared" si="46"/>
        <v>7.8585000000000002E-2</v>
      </c>
      <c r="P321" s="200">
        <f t="shared" si="47"/>
        <v>9.2677499999999996E-2</v>
      </c>
      <c r="Q321" s="200">
        <f t="shared" si="44"/>
        <v>0.10677</v>
      </c>
      <c r="R321" s="127" t="s">
        <v>176</v>
      </c>
      <c r="S321" s="127" t="str">
        <f>""</f>
        <v/>
      </c>
      <c r="T321" s="127" t="s">
        <v>177</v>
      </c>
      <c r="U321" s="127" t="s">
        <v>178</v>
      </c>
      <c r="V321" s="127" t="s">
        <v>179</v>
      </c>
      <c r="W321" s="127" t="s">
        <v>574</v>
      </c>
      <c r="X321" s="127" t="s">
        <v>187</v>
      </c>
      <c r="Y321" s="127" t="s">
        <v>523</v>
      </c>
      <c r="Z321" s="127" t="s">
        <v>183</v>
      </c>
      <c r="AA321" s="127" t="s">
        <v>256</v>
      </c>
      <c r="AB321" s="127">
        <v>12</v>
      </c>
    </row>
    <row r="322" spans="1:28" ht="14.5" x14ac:dyDescent="0.35">
      <c r="A322" s="127" t="s">
        <v>570</v>
      </c>
      <c r="B322" s="207">
        <v>9.3399999999999997E-2</v>
      </c>
      <c r="C322" s="202">
        <v>1.3100000000000001E-2</v>
      </c>
      <c r="D322" s="207"/>
      <c r="E322" s="202">
        <v>5.04E-2</v>
      </c>
      <c r="F322" s="202">
        <v>0.17299999999999999</v>
      </c>
      <c r="G322" s="226">
        <f t="shared" ref="G322" si="48">(B322-E322)*1000/F322</f>
        <v>248.5549132947977</v>
      </c>
      <c r="H322" s="207">
        <v>2.7300000000000001E-2</v>
      </c>
      <c r="I322" s="207"/>
      <c r="J322" s="207"/>
      <c r="K322" s="207">
        <v>1.55E-2</v>
      </c>
      <c r="L322" s="127">
        <v>8000</v>
      </c>
      <c r="M322" s="127">
        <v>12</v>
      </c>
      <c r="N322" s="200">
        <f t="shared" si="45"/>
        <v>6.3375000000000001E-2</v>
      </c>
      <c r="O322" s="200">
        <f t="shared" si="46"/>
        <v>7.6350000000000001E-2</v>
      </c>
      <c r="P322" s="200">
        <f t="shared" si="47"/>
        <v>8.9324999999999988E-2</v>
      </c>
      <c r="Q322" s="200">
        <f t="shared" si="44"/>
        <v>9.3399999999999997E-2</v>
      </c>
      <c r="R322" s="127" t="s">
        <v>176</v>
      </c>
      <c r="S322" s="127" t="str">
        <f>""</f>
        <v/>
      </c>
      <c r="T322" s="127" t="s">
        <v>177</v>
      </c>
      <c r="U322" s="127" t="s">
        <v>178</v>
      </c>
      <c r="V322" s="127" t="s">
        <v>179</v>
      </c>
      <c r="W322" s="127" t="s">
        <v>573</v>
      </c>
      <c r="X322" s="127" t="s">
        <v>187</v>
      </c>
      <c r="Y322" s="127" t="s">
        <v>523</v>
      </c>
      <c r="Z322" s="127" t="s">
        <v>183</v>
      </c>
      <c r="AA322" s="127" t="s">
        <v>256</v>
      </c>
      <c r="AB322" s="127">
        <v>12</v>
      </c>
    </row>
    <row r="323" spans="1:28" ht="14.5" x14ac:dyDescent="0.35">
      <c r="A323" s="127"/>
      <c r="B323" s="207"/>
      <c r="C323" s="202"/>
      <c r="D323" s="207"/>
      <c r="E323" s="202"/>
      <c r="F323" s="202"/>
      <c r="G323" s="226"/>
      <c r="H323" s="207"/>
      <c r="I323" s="207"/>
      <c r="J323" s="207"/>
      <c r="K323" s="207"/>
      <c r="L323" s="127"/>
      <c r="M323" s="127"/>
      <c r="N323" s="200"/>
      <c r="O323" s="200"/>
      <c r="P323" s="200"/>
      <c r="Q323" s="200"/>
      <c r="R323" s="127"/>
      <c r="S323" s="127"/>
      <c r="T323" s="127"/>
      <c r="U323" s="127"/>
      <c r="V323" s="127"/>
      <c r="W323" s="127"/>
      <c r="X323" s="127"/>
      <c r="Y323" s="127"/>
      <c r="Z323" s="127"/>
      <c r="AA323" s="127"/>
      <c r="AB323" s="127"/>
    </row>
    <row r="324" spans="1:28" ht="14.5" x14ac:dyDescent="0.35">
      <c r="A324" s="203" t="s">
        <v>154</v>
      </c>
      <c r="B324" s="207"/>
      <c r="C324" s="202"/>
      <c r="D324" s="207"/>
      <c r="E324" s="202"/>
      <c r="F324" s="202"/>
      <c r="G324" s="226"/>
      <c r="H324" s="207"/>
      <c r="I324" s="207"/>
      <c r="J324" s="207"/>
      <c r="K324" s="207"/>
      <c r="L324" s="127"/>
      <c r="M324" s="127"/>
      <c r="N324" s="200"/>
      <c r="O324" s="200"/>
      <c r="P324" s="200"/>
      <c r="Q324" s="200"/>
      <c r="R324" s="127"/>
      <c r="S324" s="127"/>
      <c r="T324" s="127"/>
      <c r="U324" s="127"/>
      <c r="V324" s="127"/>
      <c r="W324" s="127"/>
      <c r="X324" s="127"/>
      <c r="Y324" s="127"/>
      <c r="Z324" s="127"/>
      <c r="AA324" s="127"/>
      <c r="AB324" s="127"/>
    </row>
    <row r="325" spans="1:28" ht="14.5" x14ac:dyDescent="0.35">
      <c r="A325" s="127" t="s">
        <v>563</v>
      </c>
      <c r="B325" s="207">
        <v>1.3599999999999999E-2</v>
      </c>
      <c r="C325" s="202">
        <v>1.3100000000000001E-2</v>
      </c>
      <c r="D325" s="207"/>
      <c r="E325" s="202">
        <v>2.8799999999999999E-2</v>
      </c>
      <c r="F325" s="202">
        <v>0.22500000000000001</v>
      </c>
      <c r="G325" s="226">
        <f t="shared" ref="G325" si="49">(B325-E325)*1000/F325</f>
        <v>-67.555555555555557</v>
      </c>
      <c r="H325" s="207">
        <v>2.7300000000000001E-2</v>
      </c>
      <c r="I325" s="207"/>
      <c r="J325" s="207"/>
      <c r="K325" s="207">
        <v>4.7000000000000002E-3</v>
      </c>
      <c r="L325" s="127">
        <v>5500</v>
      </c>
      <c r="M325" s="127">
        <v>15</v>
      </c>
      <c r="N325" s="200">
        <f>MIN($B325,(75*$F325/1000)+$E325)</f>
        <v>1.3599999999999999E-2</v>
      </c>
      <c r="O325" s="200">
        <f>MIN($B325,(150*$F325/1000)+$E325)</f>
        <v>1.3599999999999999E-2</v>
      </c>
      <c r="P325" s="200">
        <f>MIN($B325,(225*$F325/1000)+$E325)</f>
        <v>1.3599999999999999E-2</v>
      </c>
      <c r="Q325" s="200">
        <f t="shared" si="44"/>
        <v>1.3599999999999999E-2</v>
      </c>
      <c r="R325" s="127" t="s">
        <v>176</v>
      </c>
      <c r="S325" s="127" t="str">
        <f>""</f>
        <v/>
      </c>
      <c r="T325" s="127" t="s">
        <v>177</v>
      </c>
      <c r="U325" s="127" t="s">
        <v>178</v>
      </c>
      <c r="V325" s="127" t="s">
        <v>179</v>
      </c>
      <c r="W325" s="127" t="s">
        <v>258</v>
      </c>
      <c r="X325" s="127" t="s">
        <v>187</v>
      </c>
      <c r="Y325" s="127" t="s">
        <v>259</v>
      </c>
      <c r="Z325" s="127" t="s">
        <v>183</v>
      </c>
      <c r="AA325" s="127"/>
      <c r="AB325" s="127">
        <v>15</v>
      </c>
    </row>
    <row r="326" spans="1:28" ht="14.5" x14ac:dyDescent="0.35">
      <c r="A326" s="127" t="s">
        <v>470</v>
      </c>
      <c r="B326" s="207">
        <v>2.2599999999999999E-2</v>
      </c>
      <c r="C326" s="202">
        <v>1.3100000000000001E-2</v>
      </c>
      <c r="D326" s="207"/>
      <c r="E326" s="202">
        <v>2.8799999999999999E-2</v>
      </c>
      <c r="F326" s="202">
        <v>0.2248</v>
      </c>
      <c r="G326" s="226">
        <f t="shared" si="43"/>
        <v>-27.580071174377228</v>
      </c>
      <c r="H326" s="207">
        <v>2.7300000000000001E-2</v>
      </c>
      <c r="I326" s="207"/>
      <c r="J326" s="207"/>
      <c r="K326" s="207">
        <v>4.7000000000000002E-3</v>
      </c>
      <c r="L326" s="127">
        <v>5500</v>
      </c>
      <c r="M326" s="127">
        <v>15</v>
      </c>
      <c r="N326" s="200">
        <f>MIN($B326,(75*$F326/1000)+$E326)</f>
        <v>2.2599999999999999E-2</v>
      </c>
      <c r="O326" s="200">
        <f>MIN($B326,(150*$F326/1000)+$E326)</f>
        <v>2.2599999999999999E-2</v>
      </c>
      <c r="P326" s="200">
        <f>MIN($B326,(225*$F326/1000)+$E326)</f>
        <v>2.2599999999999999E-2</v>
      </c>
      <c r="Q326" s="200">
        <f t="shared" si="44"/>
        <v>2.2599999999999999E-2</v>
      </c>
      <c r="R326" s="127" t="s">
        <v>176</v>
      </c>
      <c r="S326" s="127" t="str">
        <f>""</f>
        <v/>
      </c>
      <c r="T326" s="127" t="s">
        <v>177</v>
      </c>
      <c r="U326" s="127" t="s">
        <v>178</v>
      </c>
      <c r="V326" s="127" t="s">
        <v>179</v>
      </c>
      <c r="W326" s="127" t="s">
        <v>258</v>
      </c>
      <c r="X326" s="127" t="s">
        <v>187</v>
      </c>
      <c r="Y326" s="127" t="s">
        <v>259</v>
      </c>
      <c r="Z326" s="127" t="s">
        <v>183</v>
      </c>
      <c r="AA326" s="127"/>
      <c r="AB326" s="127">
        <v>15</v>
      </c>
    </row>
    <row r="327" spans="1:28" ht="14.5" x14ac:dyDescent="0.35">
      <c r="A327" s="127" t="s">
        <v>260</v>
      </c>
      <c r="B327" s="207">
        <v>3.1800000000000002E-2</v>
      </c>
      <c r="C327" s="202">
        <v>1.3100000000000001E-2</v>
      </c>
      <c r="D327" s="207"/>
      <c r="E327" s="202">
        <v>2.8799999999999999E-2</v>
      </c>
      <c r="F327" s="202">
        <v>0.22470000000000001</v>
      </c>
      <c r="G327" s="226">
        <f t="shared" si="43"/>
        <v>13.35113484646196</v>
      </c>
      <c r="H327" s="207">
        <v>2.7300000000000001E-2</v>
      </c>
      <c r="I327" s="207" t="str">
        <f>""</f>
        <v/>
      </c>
      <c r="J327" s="207"/>
      <c r="K327" s="207">
        <v>4.7000000000000002E-3</v>
      </c>
      <c r="L327" s="127">
        <v>5500</v>
      </c>
      <c r="M327" s="127">
        <v>15</v>
      </c>
      <c r="N327" s="200">
        <f>MIN($B327,(75*$F327/1000)+$E327)</f>
        <v>3.1800000000000002E-2</v>
      </c>
      <c r="O327" s="200">
        <f>MIN($B327,(150*$F327/1000)+$E327)</f>
        <v>3.1800000000000002E-2</v>
      </c>
      <c r="P327" s="200">
        <f>MIN($B327,(225*$F327/1000)+$E327)</f>
        <v>3.1800000000000002E-2</v>
      </c>
      <c r="Q327" s="200">
        <f t="shared" si="44"/>
        <v>3.1800000000000002E-2</v>
      </c>
      <c r="R327" s="127" t="s">
        <v>176</v>
      </c>
      <c r="S327" s="127" t="str">
        <f>""</f>
        <v/>
      </c>
      <c r="T327" s="127" t="s">
        <v>177</v>
      </c>
      <c r="U327" s="127" t="s">
        <v>178</v>
      </c>
      <c r="V327" s="127" t="s">
        <v>179</v>
      </c>
      <c r="W327" s="127" t="s">
        <v>258</v>
      </c>
      <c r="X327" s="127" t="s">
        <v>187</v>
      </c>
      <c r="Y327" s="127" t="s">
        <v>259</v>
      </c>
      <c r="Z327" s="127" t="s">
        <v>183</v>
      </c>
      <c r="AA327" s="127" t="str">
        <f>""</f>
        <v/>
      </c>
      <c r="AB327" s="127">
        <v>15</v>
      </c>
    </row>
    <row r="328" spans="1:28" ht="14.5" x14ac:dyDescent="0.35">
      <c r="A328" s="127" t="s">
        <v>261</v>
      </c>
      <c r="B328" s="207">
        <v>4.1099999999999998E-2</v>
      </c>
      <c r="C328" s="202">
        <v>1.3100000000000001E-2</v>
      </c>
      <c r="D328" s="207"/>
      <c r="E328" s="202">
        <v>2.8799999999999999E-2</v>
      </c>
      <c r="F328" s="202">
        <v>0.22450000000000001</v>
      </c>
      <c r="G328" s="226">
        <f t="shared" si="43"/>
        <v>54.788418708240528</v>
      </c>
      <c r="H328" s="207">
        <v>2.7300000000000001E-2</v>
      </c>
      <c r="I328" s="207" t="str">
        <f>""</f>
        <v/>
      </c>
      <c r="J328" s="207"/>
      <c r="K328" s="207">
        <v>4.7000000000000002E-3</v>
      </c>
      <c r="L328" s="127">
        <v>5500</v>
      </c>
      <c r="M328" s="127">
        <v>15</v>
      </c>
      <c r="N328" s="200">
        <f t="shared" ref="N328:N335" si="50">MIN($B328,(75*$F328/1000)+$E328)</f>
        <v>4.1099999999999998E-2</v>
      </c>
      <c r="O328" s="200">
        <f t="shared" ref="O328:O335" si="51">MIN($B328,(150*$F328/1000)+$E328)</f>
        <v>4.1099999999999998E-2</v>
      </c>
      <c r="P328" s="200">
        <f t="shared" ref="P328:P335" si="52">MIN($B328,(225*$F328/1000)+$E328)</f>
        <v>4.1099999999999998E-2</v>
      </c>
      <c r="Q328" s="200">
        <f t="shared" si="44"/>
        <v>4.1099999999999998E-2</v>
      </c>
      <c r="R328" s="127" t="s">
        <v>176</v>
      </c>
      <c r="S328" s="127" t="str">
        <f>""</f>
        <v/>
      </c>
      <c r="T328" s="127" t="s">
        <v>177</v>
      </c>
      <c r="U328" s="127" t="s">
        <v>178</v>
      </c>
      <c r="V328" s="127" t="s">
        <v>179</v>
      </c>
      <c r="W328" s="127" t="s">
        <v>258</v>
      </c>
      <c r="X328" s="127" t="s">
        <v>187</v>
      </c>
      <c r="Y328" s="127" t="s">
        <v>259</v>
      </c>
      <c r="Z328" s="127" t="s">
        <v>183</v>
      </c>
      <c r="AA328" s="127" t="str">
        <f>""</f>
        <v/>
      </c>
      <c r="AB328" s="127">
        <v>15</v>
      </c>
    </row>
    <row r="329" spans="1:28" ht="14.5" x14ac:dyDescent="0.35">
      <c r="A329" s="127" t="s">
        <v>469</v>
      </c>
      <c r="B329" s="207">
        <v>5.0200000000000002E-2</v>
      </c>
      <c r="C329" s="202">
        <v>1.3100000000000001E-2</v>
      </c>
      <c r="D329" s="207"/>
      <c r="E329" s="202">
        <v>2.8799999999999999E-2</v>
      </c>
      <c r="F329" s="202">
        <v>0.22439999999999999</v>
      </c>
      <c r="G329" s="226">
        <f t="shared" si="43"/>
        <v>95.365418894830668</v>
      </c>
      <c r="H329" s="207">
        <v>2.7300000000000001E-2</v>
      </c>
      <c r="I329" s="207" t="str">
        <f>""</f>
        <v/>
      </c>
      <c r="J329" s="207"/>
      <c r="K329" s="207">
        <v>4.7000000000000002E-3</v>
      </c>
      <c r="L329" s="127">
        <v>5500</v>
      </c>
      <c r="M329" s="127">
        <v>15</v>
      </c>
      <c r="N329" s="200">
        <f t="shared" si="50"/>
        <v>4.5629999999999997E-2</v>
      </c>
      <c r="O329" s="200">
        <f t="shared" si="51"/>
        <v>5.0200000000000002E-2</v>
      </c>
      <c r="P329" s="200">
        <f t="shared" si="52"/>
        <v>5.0200000000000002E-2</v>
      </c>
      <c r="Q329" s="200">
        <f t="shared" si="44"/>
        <v>5.0200000000000002E-2</v>
      </c>
      <c r="R329" s="127" t="s">
        <v>176</v>
      </c>
      <c r="S329" s="127" t="str">
        <f>""</f>
        <v/>
      </c>
      <c r="T329" s="127" t="s">
        <v>177</v>
      </c>
      <c r="U329" s="127" t="s">
        <v>178</v>
      </c>
      <c r="V329" s="127" t="s">
        <v>179</v>
      </c>
      <c r="W329" s="127" t="s">
        <v>258</v>
      </c>
      <c r="X329" s="127" t="s">
        <v>187</v>
      </c>
      <c r="Y329" s="127" t="s">
        <v>259</v>
      </c>
      <c r="Z329" s="127" t="s">
        <v>183</v>
      </c>
      <c r="AA329" s="127" t="str">
        <f>""</f>
        <v/>
      </c>
      <c r="AB329" s="127">
        <v>15</v>
      </c>
    </row>
    <row r="330" spans="1:28" ht="14.5" x14ac:dyDescent="0.35">
      <c r="A330" s="127" t="s">
        <v>408</v>
      </c>
      <c r="B330" s="207">
        <v>7.3800000000000004E-2</v>
      </c>
      <c r="C330" s="202">
        <v>1.3100000000000001E-2</v>
      </c>
      <c r="D330" s="207"/>
      <c r="E330" s="202">
        <v>2.8799999999999999E-2</v>
      </c>
      <c r="F330" s="202">
        <v>0.18779999999999999</v>
      </c>
      <c r="G330" s="226">
        <f t="shared" si="43"/>
        <v>239.61661341853039</v>
      </c>
      <c r="H330" s="207">
        <v>2.7300000000000001E-2</v>
      </c>
      <c r="I330" s="207"/>
      <c r="J330" s="207"/>
      <c r="K330" s="207">
        <v>4.7000000000000002E-3</v>
      </c>
      <c r="L330" s="127">
        <v>5500</v>
      </c>
      <c r="M330" s="127">
        <v>15</v>
      </c>
      <c r="N330" s="200">
        <f t="shared" si="50"/>
        <v>4.2885E-2</v>
      </c>
      <c r="O330" s="200">
        <f t="shared" si="51"/>
        <v>5.6969999999999993E-2</v>
      </c>
      <c r="P330" s="200">
        <f t="shared" si="52"/>
        <v>7.1054999999999993E-2</v>
      </c>
      <c r="Q330" s="200">
        <f t="shared" si="44"/>
        <v>7.3800000000000004E-2</v>
      </c>
      <c r="R330" s="127" t="s">
        <v>176</v>
      </c>
      <c r="S330" s="127" t="str">
        <f>""</f>
        <v/>
      </c>
      <c r="T330" s="127" t="s">
        <v>177</v>
      </c>
      <c r="U330" s="127" t="s">
        <v>178</v>
      </c>
      <c r="V330" s="127" t="s">
        <v>179</v>
      </c>
      <c r="W330" s="127" t="s">
        <v>263</v>
      </c>
      <c r="X330" s="127" t="s">
        <v>187</v>
      </c>
      <c r="Y330" s="127" t="s">
        <v>525</v>
      </c>
      <c r="Z330" s="127" t="s">
        <v>183</v>
      </c>
      <c r="AA330" s="127" t="s">
        <v>256</v>
      </c>
      <c r="AB330" s="127">
        <v>15</v>
      </c>
    </row>
    <row r="331" spans="1:28" ht="14.5" x14ac:dyDescent="0.35">
      <c r="A331" s="127" t="s">
        <v>262</v>
      </c>
      <c r="B331" s="207">
        <v>8.2600000000000007E-2</v>
      </c>
      <c r="C331" s="202">
        <v>1.3100000000000001E-2</v>
      </c>
      <c r="D331" s="207"/>
      <c r="E331" s="202">
        <v>2.8799999999999999E-2</v>
      </c>
      <c r="F331" s="202">
        <v>0.18770000000000001</v>
      </c>
      <c r="G331" s="226">
        <f t="shared" si="43"/>
        <v>286.62759722962176</v>
      </c>
      <c r="H331" s="207">
        <v>2.7300000000000001E-2</v>
      </c>
      <c r="I331" s="207" t="str">
        <f>""</f>
        <v/>
      </c>
      <c r="J331" s="207"/>
      <c r="K331" s="207">
        <v>4.7000000000000002E-3</v>
      </c>
      <c r="L331" s="127">
        <v>5500</v>
      </c>
      <c r="M331" s="127">
        <v>15</v>
      </c>
      <c r="N331" s="200">
        <f t="shared" si="50"/>
        <v>4.2877499999999999E-2</v>
      </c>
      <c r="O331" s="200">
        <f t="shared" si="51"/>
        <v>5.6954999999999999E-2</v>
      </c>
      <c r="P331" s="200">
        <f t="shared" si="52"/>
        <v>7.1032499999999998E-2</v>
      </c>
      <c r="Q331" s="200">
        <f t="shared" si="44"/>
        <v>8.2600000000000007E-2</v>
      </c>
      <c r="R331" s="127" t="s">
        <v>176</v>
      </c>
      <c r="S331" s="127" t="str">
        <f>""</f>
        <v/>
      </c>
      <c r="T331" s="127" t="s">
        <v>177</v>
      </c>
      <c r="U331" s="127" t="s">
        <v>178</v>
      </c>
      <c r="V331" s="127" t="s">
        <v>179</v>
      </c>
      <c r="W331" s="127" t="s">
        <v>263</v>
      </c>
      <c r="X331" s="127" t="s">
        <v>187</v>
      </c>
      <c r="Y331" s="127" t="s">
        <v>525</v>
      </c>
      <c r="Z331" s="127" t="s">
        <v>183</v>
      </c>
      <c r="AA331" s="127" t="s">
        <v>256</v>
      </c>
      <c r="AB331" s="127">
        <v>15</v>
      </c>
    </row>
    <row r="332" spans="1:28" ht="14.5" x14ac:dyDescent="0.35">
      <c r="A332" s="127" t="s">
        <v>264</v>
      </c>
      <c r="B332" s="207">
        <v>9.1800000000000007E-2</v>
      </c>
      <c r="C332" s="202">
        <v>1.3100000000000001E-2</v>
      </c>
      <c r="D332" s="207"/>
      <c r="E332" s="202">
        <v>2.8799999999999999E-2</v>
      </c>
      <c r="F332" s="202">
        <v>0.1875</v>
      </c>
      <c r="G332" s="226">
        <f t="shared" si="43"/>
        <v>336</v>
      </c>
      <c r="H332" s="207">
        <v>2.7300000000000001E-2</v>
      </c>
      <c r="I332" s="207" t="str">
        <f>""</f>
        <v/>
      </c>
      <c r="J332" s="207"/>
      <c r="K332" s="207">
        <v>4.7000000000000002E-3</v>
      </c>
      <c r="L332" s="127">
        <v>5500</v>
      </c>
      <c r="M332" s="127">
        <v>15</v>
      </c>
      <c r="N332" s="200">
        <f t="shared" si="50"/>
        <v>4.2862499999999998E-2</v>
      </c>
      <c r="O332" s="200">
        <f t="shared" si="51"/>
        <v>5.6925000000000003E-2</v>
      </c>
      <c r="P332" s="200">
        <f t="shared" si="52"/>
        <v>7.0987500000000009E-2</v>
      </c>
      <c r="Q332" s="200">
        <f t="shared" si="44"/>
        <v>8.5050000000000001E-2</v>
      </c>
      <c r="R332" s="127" t="s">
        <v>176</v>
      </c>
      <c r="S332" s="127" t="str">
        <f>""</f>
        <v/>
      </c>
      <c r="T332" s="127" t="s">
        <v>177</v>
      </c>
      <c r="U332" s="127" t="s">
        <v>178</v>
      </c>
      <c r="V332" s="127" t="s">
        <v>179</v>
      </c>
      <c r="W332" s="127" t="s">
        <v>263</v>
      </c>
      <c r="X332" s="127" t="s">
        <v>187</v>
      </c>
      <c r="Y332" s="127" t="s">
        <v>525</v>
      </c>
      <c r="Z332" s="127" t="s">
        <v>183</v>
      </c>
      <c r="AA332" s="127" t="s">
        <v>256</v>
      </c>
      <c r="AB332" s="127">
        <v>15</v>
      </c>
    </row>
    <row r="333" spans="1:28" ht="14.5" x14ac:dyDescent="0.35">
      <c r="A333" s="127" t="s">
        <v>265</v>
      </c>
      <c r="B333" s="207">
        <v>0.1008</v>
      </c>
      <c r="C333" s="202">
        <v>1.3100000000000001E-2</v>
      </c>
      <c r="D333" s="207"/>
      <c r="E333" s="202">
        <v>2.8799999999999999E-2</v>
      </c>
      <c r="F333" s="202">
        <v>0.18740000000000001</v>
      </c>
      <c r="G333" s="226">
        <f t="shared" si="43"/>
        <v>384.20490928495201</v>
      </c>
      <c r="H333" s="207">
        <v>2.7300000000000001E-2</v>
      </c>
      <c r="I333" s="207" t="str">
        <f>""</f>
        <v/>
      </c>
      <c r="J333" s="207"/>
      <c r="K333" s="207">
        <v>4.7000000000000002E-3</v>
      </c>
      <c r="L333" s="127">
        <v>5500</v>
      </c>
      <c r="M333" s="127">
        <v>15</v>
      </c>
      <c r="N333" s="200">
        <f t="shared" si="50"/>
        <v>4.2855000000000004E-2</v>
      </c>
      <c r="O333" s="200">
        <f t="shared" si="51"/>
        <v>5.6910000000000002E-2</v>
      </c>
      <c r="P333" s="200">
        <f t="shared" si="52"/>
        <v>7.0965E-2</v>
      </c>
      <c r="Q333" s="200">
        <f t="shared" ref="Q333:Q335" si="53">MIN($B333,(300*$F333/1000)+$E333)</f>
        <v>8.5020000000000012E-2</v>
      </c>
      <c r="R333" s="127" t="s">
        <v>176</v>
      </c>
      <c r="S333" s="127" t="str">
        <f>""</f>
        <v/>
      </c>
      <c r="T333" s="127" t="s">
        <v>177</v>
      </c>
      <c r="U333" s="127" t="s">
        <v>178</v>
      </c>
      <c r="V333" s="127" t="s">
        <v>179</v>
      </c>
      <c r="W333" s="127" t="s">
        <v>263</v>
      </c>
      <c r="X333" s="127" t="s">
        <v>187</v>
      </c>
      <c r="Y333" s="127" t="s">
        <v>525</v>
      </c>
      <c r="Z333" s="127" t="s">
        <v>183</v>
      </c>
      <c r="AA333" s="127" t="s">
        <v>256</v>
      </c>
      <c r="AB333" s="127">
        <v>15</v>
      </c>
    </row>
    <row r="334" spans="1:28" ht="14.5" x14ac:dyDescent="0.35">
      <c r="A334" s="127" t="s">
        <v>266</v>
      </c>
      <c r="B334" s="207">
        <v>0.1037</v>
      </c>
      <c r="C334" s="202">
        <v>1.3100000000000001E-2</v>
      </c>
      <c r="D334" s="207"/>
      <c r="E334" s="202">
        <v>2.8799999999999999E-2</v>
      </c>
      <c r="F334" s="202">
        <v>0.18720000000000001</v>
      </c>
      <c r="G334" s="226">
        <f t="shared" si="43"/>
        <v>400.10683760683753</v>
      </c>
      <c r="H334" s="207">
        <v>2.7300000000000001E-2</v>
      </c>
      <c r="I334" s="207" t="str">
        <f>""</f>
        <v/>
      </c>
      <c r="J334" s="207"/>
      <c r="K334" s="207">
        <v>4.7000000000000002E-3</v>
      </c>
      <c r="L334" s="127">
        <v>5500</v>
      </c>
      <c r="M334" s="127">
        <v>15</v>
      </c>
      <c r="N334" s="200">
        <f t="shared" si="50"/>
        <v>4.2840000000000003E-2</v>
      </c>
      <c r="O334" s="200">
        <f t="shared" si="51"/>
        <v>5.688E-2</v>
      </c>
      <c r="P334" s="200">
        <f t="shared" si="52"/>
        <v>7.0920000000000011E-2</v>
      </c>
      <c r="Q334" s="200">
        <f t="shared" si="53"/>
        <v>8.4960000000000008E-2</v>
      </c>
      <c r="R334" s="127" t="s">
        <v>176</v>
      </c>
      <c r="S334" s="127" t="str">
        <f>""</f>
        <v/>
      </c>
      <c r="T334" s="127" t="s">
        <v>177</v>
      </c>
      <c r="U334" s="127" t="s">
        <v>178</v>
      </c>
      <c r="V334" s="127" t="s">
        <v>179</v>
      </c>
      <c r="W334" s="127" t="s">
        <v>263</v>
      </c>
      <c r="X334" s="127" t="s">
        <v>187</v>
      </c>
      <c r="Y334" s="127" t="s">
        <v>525</v>
      </c>
      <c r="Z334" s="127" t="s">
        <v>183</v>
      </c>
      <c r="AA334" s="127" t="s">
        <v>256</v>
      </c>
      <c r="AB334" s="127">
        <v>15</v>
      </c>
    </row>
    <row r="335" spans="1:28" ht="14.5" x14ac:dyDescent="0.35">
      <c r="A335" s="127" t="s">
        <v>686</v>
      </c>
      <c r="B335" s="207">
        <v>9.9199999999999997E-2</v>
      </c>
      <c r="C335" s="202">
        <v>1.3100000000000001E-2</v>
      </c>
      <c r="D335" s="207"/>
      <c r="E335" s="202">
        <v>2.8799999999999999E-2</v>
      </c>
      <c r="F335" s="202">
        <v>0.1777</v>
      </c>
      <c r="G335" s="226">
        <f t="shared" si="43"/>
        <v>396.1733258300506</v>
      </c>
      <c r="H335" s="207">
        <v>2.7300000000000001E-2</v>
      </c>
      <c r="I335" s="207" t="str">
        <f>""</f>
        <v/>
      </c>
      <c r="J335" s="207"/>
      <c r="K335" s="207">
        <v>4.7000000000000002E-3</v>
      </c>
      <c r="L335" s="127">
        <v>5500</v>
      </c>
      <c r="M335" s="127">
        <v>15</v>
      </c>
      <c r="N335" s="200">
        <f t="shared" si="50"/>
        <v>4.2127499999999998E-2</v>
      </c>
      <c r="O335" s="200">
        <f t="shared" si="51"/>
        <v>5.5455000000000004E-2</v>
      </c>
      <c r="P335" s="200">
        <f t="shared" si="52"/>
        <v>6.8782499999999996E-2</v>
      </c>
      <c r="Q335" s="200">
        <f t="shared" si="53"/>
        <v>8.2110000000000002E-2</v>
      </c>
      <c r="R335" s="127" t="s">
        <v>176</v>
      </c>
      <c r="S335" s="127" t="str">
        <f>""</f>
        <v/>
      </c>
      <c r="T335" s="127" t="s">
        <v>177</v>
      </c>
      <c r="U335" s="127" t="s">
        <v>178</v>
      </c>
      <c r="V335" s="127" t="s">
        <v>179</v>
      </c>
      <c r="W335" s="127" t="s">
        <v>687</v>
      </c>
      <c r="X335" s="127" t="s">
        <v>187</v>
      </c>
      <c r="Y335" s="127" t="s">
        <v>525</v>
      </c>
      <c r="Z335" s="127" t="s">
        <v>183</v>
      </c>
      <c r="AA335" s="127" t="s">
        <v>256</v>
      </c>
      <c r="AB335" s="127">
        <v>15</v>
      </c>
    </row>
    <row r="336" spans="1:28" ht="14.5" x14ac:dyDescent="0.35">
      <c r="A336" s="127"/>
      <c r="B336" s="207"/>
      <c r="C336" s="202"/>
      <c r="D336" s="207"/>
      <c r="E336" s="202"/>
      <c r="F336" s="202"/>
      <c r="G336" s="226"/>
      <c r="H336" s="207"/>
      <c r="I336" s="207"/>
      <c r="J336" s="207"/>
      <c r="K336" s="207"/>
      <c r="L336" s="127"/>
      <c r="M336" s="127"/>
      <c r="N336" s="200"/>
      <c r="O336" s="200"/>
      <c r="P336" s="200"/>
      <c r="Q336" s="200"/>
      <c r="R336" s="127"/>
      <c r="S336" s="127"/>
      <c r="T336" s="127"/>
      <c r="U336" s="127"/>
      <c r="V336" s="127"/>
      <c r="W336" s="127"/>
      <c r="X336" s="127"/>
      <c r="Y336" s="127"/>
      <c r="Z336" s="127"/>
      <c r="AA336" s="127"/>
      <c r="AB336" s="127"/>
    </row>
    <row r="337" spans="1:28" ht="14.5" x14ac:dyDescent="0.35">
      <c r="A337" s="203" t="s">
        <v>267</v>
      </c>
      <c r="B337" s="207"/>
      <c r="C337" s="202"/>
      <c r="D337" s="207"/>
      <c r="E337" s="202"/>
      <c r="F337" s="202"/>
      <c r="G337" s="226"/>
      <c r="H337" s="207"/>
      <c r="I337" s="207"/>
      <c r="J337" s="207"/>
      <c r="K337" s="207"/>
      <c r="L337" s="127"/>
      <c r="M337" s="127"/>
      <c r="N337" s="200"/>
      <c r="O337" s="200"/>
      <c r="P337" s="200"/>
      <c r="Q337" s="200"/>
      <c r="R337" s="127"/>
      <c r="S337" s="127"/>
      <c r="T337" s="127"/>
      <c r="U337" s="127"/>
      <c r="V337" s="127"/>
      <c r="W337" s="127"/>
      <c r="X337" s="127"/>
      <c r="Y337" s="127"/>
      <c r="Z337" s="127"/>
      <c r="AA337" s="127"/>
      <c r="AB337" s="127"/>
    </row>
    <row r="338" spans="1:28" ht="14.5" x14ac:dyDescent="0.35">
      <c r="A338" s="127" t="s">
        <v>473</v>
      </c>
      <c r="B338" s="207">
        <v>6.9900000000000004E-2</v>
      </c>
      <c r="C338" s="202">
        <v>1.6799999999999999E-2</v>
      </c>
      <c r="D338" s="207"/>
      <c r="E338" s="202">
        <v>4.0599999999999997E-2</v>
      </c>
      <c r="F338" s="202">
        <v>0.22500000000000001</v>
      </c>
      <c r="G338" s="226">
        <f t="shared" si="43"/>
        <v>130.22222222222226</v>
      </c>
      <c r="H338" s="207">
        <v>3.5099999999999999E-2</v>
      </c>
      <c r="I338" s="207" t="str">
        <f>""</f>
        <v/>
      </c>
      <c r="J338" s="207"/>
      <c r="K338" s="207">
        <v>7.7999999999999996E-3</v>
      </c>
      <c r="L338" s="127">
        <v>3300</v>
      </c>
      <c r="M338" s="127">
        <v>15</v>
      </c>
      <c r="N338" s="200">
        <f>MIN($B338,(75*$F338/1000)+$E338)</f>
        <v>5.7474999999999998E-2</v>
      </c>
      <c r="O338" s="200">
        <f>MIN($B338,(150*$F338/1000)+$E338)</f>
        <v>6.9900000000000004E-2</v>
      </c>
      <c r="P338" s="200">
        <f>MIN($B338,(225*$F338/1000)+$E338)</f>
        <v>6.9900000000000004E-2</v>
      </c>
      <c r="Q338" s="200">
        <f t="shared" ref="Q338:Q349" si="54">MIN($B338,(300*$F338/1000)+$E338)</f>
        <v>6.9900000000000004E-2</v>
      </c>
      <c r="R338" s="127" t="s">
        <v>176</v>
      </c>
      <c r="S338" s="127" t="str">
        <f>""</f>
        <v/>
      </c>
      <c r="T338" s="127" t="s">
        <v>177</v>
      </c>
      <c r="U338" s="127" t="s">
        <v>178</v>
      </c>
      <c r="V338" s="127" t="s">
        <v>179</v>
      </c>
      <c r="W338" s="127" t="s">
        <v>268</v>
      </c>
      <c r="X338" s="127" t="s">
        <v>187</v>
      </c>
      <c r="Y338" s="127" t="s">
        <v>216</v>
      </c>
      <c r="Z338" s="127" t="s">
        <v>183</v>
      </c>
      <c r="AA338" s="127" t="str">
        <f>"Voor deze categorie geldt naast een maximum aantal van  "&amp;L338&amp;" subsidiabele vollasturen per jaar een beperking van 4.800 toegestane vollast-uren per jaar"</f>
        <v>Voor deze categorie geldt naast een maximum aantal van  3300 subsidiabele vollasturen per jaar een beperking van 4.800 toegestane vollast-uren per jaar</v>
      </c>
      <c r="AB338" s="127">
        <v>15</v>
      </c>
    </row>
    <row r="339" spans="1:28" ht="14.5" x14ac:dyDescent="0.35">
      <c r="A339" s="127" t="s">
        <v>475</v>
      </c>
      <c r="B339" s="207">
        <v>6.9900000000000004E-2</v>
      </c>
      <c r="C339" s="202">
        <v>1.6799999999999999E-2</v>
      </c>
      <c r="D339" s="207"/>
      <c r="E339" s="202">
        <v>5.6000000000000001E-2</v>
      </c>
      <c r="F339" s="202">
        <v>0.22500000000000001</v>
      </c>
      <c r="G339" s="226">
        <f t="shared" si="43"/>
        <v>61.777777777777786</v>
      </c>
      <c r="H339" s="207">
        <v>3.5099999999999999E-2</v>
      </c>
      <c r="I339" s="207"/>
      <c r="J339" s="207"/>
      <c r="K339" s="207">
        <v>1.55E-2</v>
      </c>
      <c r="L339" s="127">
        <v>3300</v>
      </c>
      <c r="M339" s="127">
        <v>15</v>
      </c>
      <c r="N339" s="200">
        <f t="shared" ref="N339:N345" si="55">MIN($B339,(75*$F339/1000)+$E339)</f>
        <v>6.9900000000000004E-2</v>
      </c>
      <c r="O339" s="200">
        <f t="shared" ref="O339:O345" si="56">MIN($B339,(150*$F339/1000)+$E339)</f>
        <v>6.9900000000000004E-2</v>
      </c>
      <c r="P339" s="200">
        <f t="shared" ref="P339:P345" si="57">MIN($B339,(225*$F339/1000)+$E339)</f>
        <v>6.9900000000000004E-2</v>
      </c>
      <c r="Q339" s="200">
        <f t="shared" si="54"/>
        <v>6.9900000000000004E-2</v>
      </c>
      <c r="R339" s="127" t="s">
        <v>176</v>
      </c>
      <c r="S339" s="127" t="str">
        <f>""</f>
        <v/>
      </c>
      <c r="T339" s="127" t="s">
        <v>177</v>
      </c>
      <c r="U339" s="127" t="s">
        <v>178</v>
      </c>
      <c r="V339" s="127" t="s">
        <v>179</v>
      </c>
      <c r="W339" s="127" t="s">
        <v>268</v>
      </c>
      <c r="X339" s="127" t="s">
        <v>187</v>
      </c>
      <c r="Y339" s="127" t="s">
        <v>216</v>
      </c>
      <c r="Z339" s="127" t="s">
        <v>183</v>
      </c>
      <c r="AA339" s="127" t="str">
        <f t="shared" ref="AA339:AA342" si="58">"Voor deze categorie geldt naast een maximum aantal van  "&amp;L339&amp;" subsidiabele vollasturen per jaar een beperking van 4.800 toegestane vollast-uren per jaar"</f>
        <v>Voor deze categorie geldt naast een maximum aantal van  3300 subsidiabele vollasturen per jaar een beperking van 4.800 toegestane vollast-uren per jaar</v>
      </c>
      <c r="AB339" s="127">
        <v>15</v>
      </c>
    </row>
    <row r="340" spans="1:28" ht="14.5" x14ac:dyDescent="0.35">
      <c r="A340" s="127" t="s">
        <v>476</v>
      </c>
      <c r="B340" s="207">
        <v>6.6100000000000006E-2</v>
      </c>
      <c r="C340" s="202">
        <v>1.6799999999999999E-2</v>
      </c>
      <c r="D340" s="207"/>
      <c r="E340" s="202">
        <v>5.6000000000000001E-2</v>
      </c>
      <c r="F340" s="202">
        <v>0.22500000000000001</v>
      </c>
      <c r="G340" s="226">
        <f t="shared" si="43"/>
        <v>44.888888888888907</v>
      </c>
      <c r="H340" s="207">
        <v>3.5099999999999999E-2</v>
      </c>
      <c r="I340" s="207"/>
      <c r="J340" s="207"/>
      <c r="K340" s="207">
        <v>1.55E-2</v>
      </c>
      <c r="L340" s="127">
        <v>4800</v>
      </c>
      <c r="M340" s="127">
        <v>15</v>
      </c>
      <c r="N340" s="200">
        <f t="shared" si="55"/>
        <v>6.6100000000000006E-2</v>
      </c>
      <c r="O340" s="200">
        <f t="shared" si="56"/>
        <v>6.6100000000000006E-2</v>
      </c>
      <c r="P340" s="200">
        <f t="shared" si="57"/>
        <v>6.6100000000000006E-2</v>
      </c>
      <c r="Q340" s="200">
        <f t="shared" si="54"/>
        <v>6.6100000000000006E-2</v>
      </c>
      <c r="R340" s="127" t="s">
        <v>176</v>
      </c>
      <c r="S340" s="127" t="str">
        <f>""</f>
        <v/>
      </c>
      <c r="T340" s="127" t="s">
        <v>177</v>
      </c>
      <c r="U340" s="127" t="s">
        <v>178</v>
      </c>
      <c r="V340" s="127" t="s">
        <v>179</v>
      </c>
      <c r="W340" s="127" t="s">
        <v>430</v>
      </c>
      <c r="X340" s="127" t="s">
        <v>187</v>
      </c>
      <c r="Y340" s="127" t="s">
        <v>216</v>
      </c>
      <c r="Z340" s="127" t="s">
        <v>183</v>
      </c>
      <c r="AA340" s="127" t="str">
        <f t="shared" si="58"/>
        <v>Voor deze categorie geldt naast een maximum aantal van  4800 subsidiabele vollasturen per jaar een beperking van 4.800 toegestane vollast-uren per jaar</v>
      </c>
      <c r="AB340" s="127">
        <v>15</v>
      </c>
    </row>
    <row r="341" spans="1:28" ht="14.5" x14ac:dyDescent="0.35">
      <c r="A341" s="127" t="s">
        <v>474</v>
      </c>
      <c r="B341" s="207">
        <v>6.6100000000000006E-2</v>
      </c>
      <c r="C341" s="202">
        <v>1.6799999999999999E-2</v>
      </c>
      <c r="D341" s="207"/>
      <c r="E341" s="202">
        <v>4.0599999999999997E-2</v>
      </c>
      <c r="F341" s="202">
        <v>0.22500000000000001</v>
      </c>
      <c r="G341" s="226">
        <f t="shared" si="43"/>
        <v>113.33333333333336</v>
      </c>
      <c r="H341" s="207">
        <v>3.5099999999999999E-2</v>
      </c>
      <c r="I341" s="207"/>
      <c r="J341" s="207"/>
      <c r="K341" s="207">
        <v>7.7999999999999996E-3</v>
      </c>
      <c r="L341" s="127">
        <v>2900</v>
      </c>
      <c r="M341" s="127">
        <v>5</v>
      </c>
      <c r="N341" s="200">
        <f t="shared" si="55"/>
        <v>5.7474999999999998E-2</v>
      </c>
      <c r="O341" s="200">
        <f t="shared" si="56"/>
        <v>6.6100000000000006E-2</v>
      </c>
      <c r="P341" s="200">
        <f t="shared" si="57"/>
        <v>6.6100000000000006E-2</v>
      </c>
      <c r="Q341" s="200">
        <f t="shared" si="54"/>
        <v>6.6100000000000006E-2</v>
      </c>
      <c r="R341" s="127" t="s">
        <v>176</v>
      </c>
      <c r="S341" s="127" t="str">
        <f>""</f>
        <v/>
      </c>
      <c r="T341" s="127" t="s">
        <v>177</v>
      </c>
      <c r="U341" s="127" t="s">
        <v>178</v>
      </c>
      <c r="V341" s="127" t="s">
        <v>179</v>
      </c>
      <c r="W341" s="127" t="s">
        <v>518</v>
      </c>
      <c r="X341" s="127" t="s">
        <v>187</v>
      </c>
      <c r="Y341" s="127" t="s">
        <v>216</v>
      </c>
      <c r="Z341" s="127" t="s">
        <v>183</v>
      </c>
      <c r="AA341" s="127" t="str">
        <f t="shared" si="58"/>
        <v>Voor deze categorie geldt naast een maximum aantal van  2900 subsidiabele vollasturen per jaar een beperking van 4.800 toegestane vollast-uren per jaar</v>
      </c>
      <c r="AB341" s="127">
        <v>5</v>
      </c>
    </row>
    <row r="342" spans="1:28" ht="14.5" x14ac:dyDescent="0.35">
      <c r="A342" s="127" t="s">
        <v>477</v>
      </c>
      <c r="B342" s="207">
        <v>0.1086</v>
      </c>
      <c r="C342" s="202">
        <v>1.6799999999999999E-2</v>
      </c>
      <c r="D342" s="207"/>
      <c r="E342" s="202">
        <v>5.6000000000000001E-2</v>
      </c>
      <c r="F342" s="202">
        <v>0.22500000000000001</v>
      </c>
      <c r="G342" s="226">
        <f t="shared" si="43"/>
        <v>233.77777777777777</v>
      </c>
      <c r="H342" s="207">
        <v>3.5099999999999999E-2</v>
      </c>
      <c r="I342" s="207"/>
      <c r="J342" s="207"/>
      <c r="K342" s="207">
        <v>1.55E-2</v>
      </c>
      <c r="L342" s="127">
        <v>2900</v>
      </c>
      <c r="M342" s="127">
        <v>5</v>
      </c>
      <c r="N342" s="200">
        <f t="shared" si="55"/>
        <v>7.2874999999999995E-2</v>
      </c>
      <c r="O342" s="200">
        <f t="shared" si="56"/>
        <v>8.9749999999999996E-2</v>
      </c>
      <c r="P342" s="200">
        <f t="shared" si="57"/>
        <v>0.106625</v>
      </c>
      <c r="Q342" s="200">
        <f t="shared" si="54"/>
        <v>0.1086</v>
      </c>
      <c r="R342" s="127" t="s">
        <v>176</v>
      </c>
      <c r="S342" s="127" t="str">
        <f>""</f>
        <v/>
      </c>
      <c r="T342" s="127" t="s">
        <v>177</v>
      </c>
      <c r="U342" s="127" t="s">
        <v>178</v>
      </c>
      <c r="V342" s="127" t="s">
        <v>179</v>
      </c>
      <c r="W342" s="127" t="s">
        <v>518</v>
      </c>
      <c r="X342" s="127" t="s">
        <v>187</v>
      </c>
      <c r="Y342" s="127" t="s">
        <v>216</v>
      </c>
      <c r="Z342" s="127" t="s">
        <v>183</v>
      </c>
      <c r="AA342" s="127" t="str">
        <f t="shared" si="58"/>
        <v>Voor deze categorie geldt naast een maximum aantal van  2900 subsidiabele vollasturen per jaar een beperking van 4.800 toegestane vollast-uren per jaar</v>
      </c>
      <c r="AB342" s="127">
        <v>5</v>
      </c>
    </row>
    <row r="343" spans="1:28" ht="14.5" x14ac:dyDescent="0.35">
      <c r="A343" s="127" t="s">
        <v>409</v>
      </c>
      <c r="B343" s="207">
        <v>0.16139999999999999</v>
      </c>
      <c r="C343" s="202">
        <v>2.8299999999999999E-2</v>
      </c>
      <c r="D343" s="207"/>
      <c r="E343" s="202">
        <v>7.0199999999999999E-2</v>
      </c>
      <c r="F343" s="202">
        <v>0.22800000000000001</v>
      </c>
      <c r="G343" s="226">
        <f t="shared" si="43"/>
        <v>399.99999999999994</v>
      </c>
      <c r="H343" s="207">
        <v>5.11E-2</v>
      </c>
      <c r="I343" s="207" t="str">
        <f>""</f>
        <v/>
      </c>
      <c r="J343" s="207"/>
      <c r="K343" s="207">
        <v>1.5800000000000002E-2</v>
      </c>
      <c r="L343" s="127">
        <v>5097</v>
      </c>
      <c r="M343" s="127">
        <v>15</v>
      </c>
      <c r="N343" s="200">
        <f t="shared" si="55"/>
        <v>8.7300000000000003E-2</v>
      </c>
      <c r="O343" s="200">
        <f t="shared" si="56"/>
        <v>0.10439999999999999</v>
      </c>
      <c r="P343" s="200">
        <f t="shared" si="57"/>
        <v>0.1215</v>
      </c>
      <c r="Q343" s="200">
        <f t="shared" si="54"/>
        <v>0.1386</v>
      </c>
      <c r="R343" s="127" t="s">
        <v>269</v>
      </c>
      <c r="S343" s="127" t="str">
        <f>""</f>
        <v/>
      </c>
      <c r="T343" s="127" t="s">
        <v>177</v>
      </c>
      <c r="U343" s="127" t="s">
        <v>178</v>
      </c>
      <c r="V343" s="127" t="s">
        <v>179</v>
      </c>
      <c r="W343" s="127" t="s">
        <v>270</v>
      </c>
      <c r="X343" s="127" t="s">
        <v>271</v>
      </c>
      <c r="Y343" s="127" t="s">
        <v>455</v>
      </c>
      <c r="Z343" s="127" t="s">
        <v>183</v>
      </c>
      <c r="AA343" s="127" t="str">
        <f>"Voor deze categorie geldt dat alleen subsidie wordt verstrekt voor productie van volledig hernieuwbare waterstof en dat ingeval ook niet volledig hernieuwbare waterstof wordt geproduceerd de totale broeikasgasemissiereductie tenminste 70% bedraagt!"</f>
        <v>Voor deze categorie geldt dat alleen subsidie wordt verstrekt voor productie van volledig hernieuwbare waterstof en dat ingeval ook niet volledig hernieuwbare waterstof wordt geproduceerd de totale broeikasgasemissiereductie tenminste 70% bedraagt!</v>
      </c>
      <c r="AB343" s="127">
        <v>15</v>
      </c>
    </row>
    <row r="344" spans="1:28" ht="14.5" x14ac:dyDescent="0.35">
      <c r="A344" s="127" t="s">
        <v>410</v>
      </c>
      <c r="B344" s="207">
        <v>0.16139999999999999</v>
      </c>
      <c r="C344" s="202">
        <v>2.8299999999999999E-2</v>
      </c>
      <c r="D344" s="207"/>
      <c r="E344" s="202">
        <v>7.0199999999999999E-2</v>
      </c>
      <c r="F344" s="202">
        <v>0.22800000000000001</v>
      </c>
      <c r="G344" s="226">
        <f t="shared" si="43"/>
        <v>399.99999999999994</v>
      </c>
      <c r="H344" s="207">
        <v>5.11E-2</v>
      </c>
      <c r="I344" s="207" t="str">
        <f>""</f>
        <v/>
      </c>
      <c r="J344" s="207"/>
      <c r="K344" s="207">
        <v>1.5800000000000002E-2</v>
      </c>
      <c r="L344" s="127">
        <v>5872</v>
      </c>
      <c r="M344" s="127">
        <v>15</v>
      </c>
      <c r="N344" s="200">
        <f t="shared" si="55"/>
        <v>8.7300000000000003E-2</v>
      </c>
      <c r="O344" s="200">
        <f t="shared" si="56"/>
        <v>0.10439999999999999</v>
      </c>
      <c r="P344" s="200">
        <f t="shared" si="57"/>
        <v>0.1215</v>
      </c>
      <c r="Q344" s="200">
        <f t="shared" si="54"/>
        <v>0.1386</v>
      </c>
      <c r="R344" s="127" t="s">
        <v>269</v>
      </c>
      <c r="S344" s="127" t="str">
        <f>""</f>
        <v/>
      </c>
      <c r="T344" s="127" t="s">
        <v>177</v>
      </c>
      <c r="U344" s="127" t="s">
        <v>178</v>
      </c>
      <c r="V344" s="127" t="s">
        <v>179</v>
      </c>
      <c r="W344" s="127" t="s">
        <v>272</v>
      </c>
      <c r="X344" s="127" t="s">
        <v>271</v>
      </c>
      <c r="Y344" s="127" t="s">
        <v>455</v>
      </c>
      <c r="Z344" s="127" t="s">
        <v>183</v>
      </c>
      <c r="AA344" s="127"/>
      <c r="AB344" s="127">
        <v>15</v>
      </c>
    </row>
    <row r="345" spans="1:28" ht="14.5" x14ac:dyDescent="0.35">
      <c r="A345" s="127" t="s">
        <v>479</v>
      </c>
      <c r="B345" s="207">
        <v>7.1900000000000006E-2</v>
      </c>
      <c r="C345" s="202">
        <v>2.8299999999999999E-2</v>
      </c>
      <c r="D345" s="207"/>
      <c r="E345" s="202">
        <v>5.8900000000000001E-2</v>
      </c>
      <c r="F345" s="202">
        <v>0.12770000000000001</v>
      </c>
      <c r="G345" s="226">
        <f t="shared" si="43"/>
        <v>101.80109631949887</v>
      </c>
      <c r="H345" s="207">
        <v>5.11E-2</v>
      </c>
      <c r="I345" s="207"/>
      <c r="J345" s="207"/>
      <c r="K345" s="207">
        <v>1.01E-2</v>
      </c>
      <c r="L345" s="127">
        <v>7500</v>
      </c>
      <c r="M345" s="127">
        <v>15</v>
      </c>
      <c r="N345" s="200">
        <f t="shared" si="55"/>
        <v>6.8477499999999997E-2</v>
      </c>
      <c r="O345" s="200">
        <f t="shared" si="56"/>
        <v>7.1900000000000006E-2</v>
      </c>
      <c r="P345" s="200">
        <f t="shared" si="57"/>
        <v>7.1900000000000006E-2</v>
      </c>
      <c r="Q345" s="200">
        <f t="shared" si="54"/>
        <v>7.1900000000000006E-2</v>
      </c>
      <c r="R345" s="127" t="s">
        <v>269</v>
      </c>
      <c r="S345" s="127" t="str">
        <f>""</f>
        <v/>
      </c>
      <c r="T345" s="127" t="s">
        <v>177</v>
      </c>
      <c r="U345" s="127" t="s">
        <v>178</v>
      </c>
      <c r="V345" s="127" t="s">
        <v>179</v>
      </c>
      <c r="W345" s="127" t="s">
        <v>479</v>
      </c>
      <c r="X345" s="127" t="s">
        <v>271</v>
      </c>
      <c r="Y345" s="127" t="s">
        <v>455</v>
      </c>
      <c r="Z345" s="127" t="s">
        <v>183</v>
      </c>
      <c r="AA345" s="127"/>
      <c r="AB345" s="127">
        <v>15</v>
      </c>
    </row>
    <row r="346" spans="1:28" ht="14.5" x14ac:dyDescent="0.35">
      <c r="A346" s="127"/>
      <c r="B346" s="207"/>
      <c r="C346" s="202"/>
      <c r="D346" s="207"/>
      <c r="E346" s="202"/>
      <c r="F346" s="202"/>
      <c r="G346" s="226"/>
      <c r="H346" s="207"/>
      <c r="I346" s="207"/>
      <c r="J346" s="207"/>
      <c r="K346" s="207"/>
      <c r="L346" s="127"/>
      <c r="M346" s="127"/>
      <c r="N346" s="200"/>
      <c r="O346" s="200"/>
      <c r="P346" s="200"/>
      <c r="Q346" s="200"/>
      <c r="R346" s="127"/>
      <c r="S346" s="127"/>
      <c r="T346" s="127"/>
      <c r="U346" s="127"/>
      <c r="V346" s="127"/>
      <c r="W346" s="127"/>
      <c r="X346" s="127"/>
      <c r="Y346" s="127"/>
      <c r="Z346" s="127"/>
      <c r="AA346" s="127"/>
      <c r="AB346" s="127"/>
    </row>
    <row r="347" spans="1:28" ht="14.5" x14ac:dyDescent="0.35">
      <c r="A347" s="203" t="s">
        <v>273</v>
      </c>
      <c r="B347" s="127"/>
      <c r="C347" s="202"/>
      <c r="D347" s="127"/>
      <c r="E347" s="202"/>
      <c r="F347" s="202"/>
      <c r="G347" s="226"/>
      <c r="H347" s="207"/>
      <c r="I347" s="207"/>
      <c r="J347" s="207"/>
      <c r="K347" s="207"/>
      <c r="L347" s="127"/>
      <c r="M347" s="127"/>
      <c r="N347" s="200"/>
      <c r="O347" s="200"/>
      <c r="P347" s="200"/>
      <c r="Q347" s="200"/>
      <c r="R347" s="127"/>
      <c r="S347" s="127"/>
      <c r="T347" s="127"/>
      <c r="U347" s="127"/>
      <c r="V347" s="127"/>
      <c r="W347" s="127"/>
      <c r="X347" s="127"/>
      <c r="Y347" s="127"/>
      <c r="Z347" s="127"/>
      <c r="AA347" s="127"/>
      <c r="AB347" s="127"/>
    </row>
    <row r="348" spans="1:28" ht="14.5" x14ac:dyDescent="0.35">
      <c r="A348" s="127" t="s">
        <v>275</v>
      </c>
      <c r="B348" s="207">
        <v>0.18609999999999999</v>
      </c>
      <c r="C348" s="202">
        <v>6.1400000000000003E-2</v>
      </c>
      <c r="D348" s="207"/>
      <c r="E348" s="202">
        <v>0.1754</v>
      </c>
      <c r="F348" s="202">
        <v>0.247</v>
      </c>
      <c r="G348" s="226">
        <f t="shared" si="43"/>
        <v>43.319838056680112</v>
      </c>
      <c r="H348" s="200">
        <f>0.0877+J348</f>
        <v>0.17099999999999999</v>
      </c>
      <c r="I348" s="207" t="str">
        <f>""</f>
        <v/>
      </c>
      <c r="J348" s="200">
        <v>8.3299999999999999E-2</v>
      </c>
      <c r="K348" s="200">
        <v>0</v>
      </c>
      <c r="L348" s="127">
        <v>8000</v>
      </c>
      <c r="M348" s="127">
        <v>15</v>
      </c>
      <c r="N348" s="200">
        <f t="shared" ref="N348:N349" si="59">MIN($B348,(75*$F348/1000)+$E348)</f>
        <v>0.18609999999999999</v>
      </c>
      <c r="O348" s="200">
        <f t="shared" ref="O348:O349" si="60">MIN($B348,(150*$F348/1000)+$E348)</f>
        <v>0.18609999999999999</v>
      </c>
      <c r="P348" s="200">
        <f t="shared" ref="P348:P349" si="61">MIN($B348,(225*$F348/1000)+$E348)</f>
        <v>0.18609999999999999</v>
      </c>
      <c r="Q348" s="200">
        <f t="shared" si="54"/>
        <v>0.18609999999999999</v>
      </c>
      <c r="R348" s="127" t="s">
        <v>276</v>
      </c>
      <c r="S348" s="127" t="str">
        <f>""</f>
        <v/>
      </c>
      <c r="T348" s="127" t="s">
        <v>177</v>
      </c>
      <c r="U348" s="127" t="s">
        <v>178</v>
      </c>
      <c r="V348" s="127" t="s">
        <v>179</v>
      </c>
      <c r="W348" s="127" t="s">
        <v>180</v>
      </c>
      <c r="X348" s="127" t="s">
        <v>277</v>
      </c>
      <c r="Y348" s="127" t="s">
        <v>182</v>
      </c>
      <c r="Z348" s="127" t="s">
        <v>183</v>
      </c>
      <c r="AA348" s="127" t="str">
        <f>""</f>
        <v/>
      </c>
      <c r="AB348" s="127">
        <v>15</v>
      </c>
    </row>
    <row r="349" spans="1:28" ht="15" customHeight="1" x14ac:dyDescent="0.35">
      <c r="A349" s="127" t="s">
        <v>280</v>
      </c>
      <c r="B349" s="207">
        <v>0.14080000000000001</v>
      </c>
      <c r="C349" s="202">
        <v>2.1899999999999999E-2</v>
      </c>
      <c r="D349" s="207"/>
      <c r="E349" s="202">
        <v>0.11449999999999999</v>
      </c>
      <c r="F349" s="202">
        <v>0.23830000000000001</v>
      </c>
      <c r="G349" s="226">
        <f t="shared" si="43"/>
        <v>110.36508602601769</v>
      </c>
      <c r="H349" s="200">
        <f>0.0422+J349</f>
        <v>0.1255</v>
      </c>
      <c r="I349" s="207" t="str">
        <f>""</f>
        <v/>
      </c>
      <c r="J349" s="200">
        <v>8.3299999999999999E-2</v>
      </c>
      <c r="K349" s="200">
        <v>0</v>
      </c>
      <c r="L349" s="127">
        <v>8000</v>
      </c>
      <c r="M349" s="127">
        <v>12</v>
      </c>
      <c r="N349" s="200">
        <f t="shared" si="59"/>
        <v>0.1323725</v>
      </c>
      <c r="O349" s="200">
        <f t="shared" si="60"/>
        <v>0.14080000000000001</v>
      </c>
      <c r="P349" s="200">
        <f t="shared" si="61"/>
        <v>0.14080000000000001</v>
      </c>
      <c r="Q349" s="200">
        <f t="shared" si="54"/>
        <v>0.14080000000000001</v>
      </c>
      <c r="R349" s="127" t="s">
        <v>278</v>
      </c>
      <c r="S349" s="127" t="str">
        <f>""</f>
        <v/>
      </c>
      <c r="T349" s="127" t="s">
        <v>177</v>
      </c>
      <c r="U349" s="127" t="s">
        <v>178</v>
      </c>
      <c r="V349" s="127" t="s">
        <v>179</v>
      </c>
      <c r="W349" s="127" t="s">
        <v>180</v>
      </c>
      <c r="X349" s="127" t="s">
        <v>279</v>
      </c>
      <c r="Y349" s="127" t="s">
        <v>182</v>
      </c>
      <c r="Z349" s="127" t="s">
        <v>183</v>
      </c>
      <c r="AA349" s="127" t="str">
        <f>""</f>
        <v/>
      </c>
      <c r="AB349" s="127">
        <v>12</v>
      </c>
    </row>
    <row r="350" spans="1:28" x14ac:dyDescent="0.25">
      <c r="A350" s="127"/>
      <c r="B350" s="127"/>
      <c r="C350" s="127"/>
      <c r="D350" s="127"/>
      <c r="E350" s="127"/>
      <c r="F350" s="127"/>
      <c r="G350" s="127"/>
      <c r="H350" s="127"/>
      <c r="I350" s="127"/>
      <c r="J350" s="127"/>
      <c r="K350" s="127"/>
      <c r="L350" s="127"/>
      <c r="M350" s="127"/>
      <c r="N350" s="127"/>
      <c r="O350" s="127"/>
      <c r="P350" s="127"/>
      <c r="Q350" s="127"/>
      <c r="R350" s="127"/>
      <c r="S350" s="127"/>
      <c r="T350" s="127"/>
      <c r="U350" s="127"/>
      <c r="V350" s="127"/>
      <c r="W350" s="127"/>
      <c r="X350" s="127"/>
      <c r="Y350" s="127"/>
      <c r="Z350" s="127"/>
      <c r="AA350" s="127"/>
      <c r="AB350" s="127"/>
    </row>
  </sheetData>
  <mergeCells count="8">
    <mergeCell ref="Y85:Y86"/>
    <mergeCell ref="Z85:Z86"/>
    <mergeCell ref="X85:X86"/>
    <mergeCell ref="C85:D85"/>
    <mergeCell ref="H85:K85"/>
    <mergeCell ref="N85:Q85"/>
    <mergeCell ref="R85:V85"/>
    <mergeCell ref="W85:W86"/>
  </mergeCells>
  <phoneticPr fontId="42" type="noConversion"/>
  <pageMargins left="0.7" right="0.7" top="0.75" bottom="0.75" header="0.3" footer="0.3"/>
  <pageSetup paperSize="9" orientation="portrait" r:id="rId1"/>
  <ignoredErrors>
    <ignoredError sqref="AA90 AA109"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D6676-7CE1-4AF5-844E-5BEDCEC4CDB7}">
  <dimension ref="A1:R244"/>
  <sheetViews>
    <sheetView topLeftCell="A138" zoomScale="90" zoomScaleNormal="90" workbookViewId="0">
      <selection activeCell="A148" sqref="A148:D148"/>
    </sheetView>
  </sheetViews>
  <sheetFormatPr defaultRowHeight="14.5" x14ac:dyDescent="0.35"/>
  <cols>
    <col min="1" max="1" width="79" customWidth="1"/>
    <col min="2" max="2" width="42.54296875" customWidth="1"/>
    <col min="3" max="3" width="57.1796875" customWidth="1"/>
    <col min="4" max="4" width="54.81640625" customWidth="1"/>
    <col min="5" max="5" width="22.453125" customWidth="1"/>
    <col min="6" max="6" width="70.81640625" customWidth="1"/>
    <col min="7" max="7" width="20.54296875" customWidth="1"/>
    <col min="8" max="8" width="71.453125" customWidth="1"/>
    <col min="9" max="9" width="55.81640625" customWidth="1"/>
    <col min="10" max="10" width="50" customWidth="1"/>
    <col min="11" max="11" width="40.453125" customWidth="1"/>
    <col min="257" max="257" width="79" customWidth="1"/>
    <col min="258" max="258" width="42.54296875" customWidth="1"/>
    <col min="259" max="259" width="57.1796875" customWidth="1"/>
    <col min="260" max="260" width="54.81640625" customWidth="1"/>
    <col min="261" max="261" width="22.453125" customWidth="1"/>
    <col min="262" max="262" width="70.81640625" customWidth="1"/>
    <col min="263" max="263" width="20.54296875" customWidth="1"/>
    <col min="264" max="264" width="71.453125" customWidth="1"/>
    <col min="265" max="265" width="55.81640625" customWidth="1"/>
    <col min="266" max="266" width="50" customWidth="1"/>
    <col min="267" max="267" width="40.453125" customWidth="1"/>
    <col min="513" max="513" width="79" customWidth="1"/>
    <col min="514" max="514" width="42.54296875" customWidth="1"/>
    <col min="515" max="515" width="57.1796875" customWidth="1"/>
    <col min="516" max="516" width="54.81640625" customWidth="1"/>
    <col min="517" max="517" width="22.453125" customWidth="1"/>
    <col min="518" max="518" width="70.81640625" customWidth="1"/>
    <col min="519" max="519" width="20.54296875" customWidth="1"/>
    <col min="520" max="520" width="71.453125" customWidth="1"/>
    <col min="521" max="521" width="55.81640625" customWidth="1"/>
    <col min="522" max="522" width="50" customWidth="1"/>
    <col min="523" max="523" width="40.453125" customWidth="1"/>
    <col min="769" max="769" width="79" customWidth="1"/>
    <col min="770" max="770" width="42.54296875" customWidth="1"/>
    <col min="771" max="771" width="57.1796875" customWidth="1"/>
    <col min="772" max="772" width="54.81640625" customWidth="1"/>
    <col min="773" max="773" width="22.453125" customWidth="1"/>
    <col min="774" max="774" width="70.81640625" customWidth="1"/>
    <col min="775" max="775" width="20.54296875" customWidth="1"/>
    <col min="776" max="776" width="71.453125" customWidth="1"/>
    <col min="777" max="777" width="55.81640625" customWidth="1"/>
    <col min="778" max="778" width="50" customWidth="1"/>
    <col min="779" max="779" width="40.453125" customWidth="1"/>
    <col min="1025" max="1025" width="79" customWidth="1"/>
    <col min="1026" max="1026" width="42.54296875" customWidth="1"/>
    <col min="1027" max="1027" width="57.1796875" customWidth="1"/>
    <col min="1028" max="1028" width="54.81640625" customWidth="1"/>
    <col min="1029" max="1029" width="22.453125" customWidth="1"/>
    <col min="1030" max="1030" width="70.81640625" customWidth="1"/>
    <col min="1031" max="1031" width="20.54296875" customWidth="1"/>
    <col min="1032" max="1032" width="71.453125" customWidth="1"/>
    <col min="1033" max="1033" width="55.81640625" customWidth="1"/>
    <col min="1034" max="1034" width="50" customWidth="1"/>
    <col min="1035" max="1035" width="40.453125" customWidth="1"/>
    <col min="1281" max="1281" width="79" customWidth="1"/>
    <col min="1282" max="1282" width="42.54296875" customWidth="1"/>
    <col min="1283" max="1283" width="57.1796875" customWidth="1"/>
    <col min="1284" max="1284" width="54.81640625" customWidth="1"/>
    <col min="1285" max="1285" width="22.453125" customWidth="1"/>
    <col min="1286" max="1286" width="70.81640625" customWidth="1"/>
    <col min="1287" max="1287" width="20.54296875" customWidth="1"/>
    <col min="1288" max="1288" width="71.453125" customWidth="1"/>
    <col min="1289" max="1289" width="55.81640625" customWidth="1"/>
    <col min="1290" max="1290" width="50" customWidth="1"/>
    <col min="1291" max="1291" width="40.453125" customWidth="1"/>
    <col min="1537" max="1537" width="79" customWidth="1"/>
    <col min="1538" max="1538" width="42.54296875" customWidth="1"/>
    <col min="1539" max="1539" width="57.1796875" customWidth="1"/>
    <col min="1540" max="1540" width="54.81640625" customWidth="1"/>
    <col min="1541" max="1541" width="22.453125" customWidth="1"/>
    <col min="1542" max="1542" width="70.81640625" customWidth="1"/>
    <col min="1543" max="1543" width="20.54296875" customWidth="1"/>
    <col min="1544" max="1544" width="71.453125" customWidth="1"/>
    <col min="1545" max="1545" width="55.81640625" customWidth="1"/>
    <col min="1546" max="1546" width="50" customWidth="1"/>
    <col min="1547" max="1547" width="40.453125" customWidth="1"/>
    <col min="1793" max="1793" width="79" customWidth="1"/>
    <col min="1794" max="1794" width="42.54296875" customWidth="1"/>
    <col min="1795" max="1795" width="57.1796875" customWidth="1"/>
    <col min="1796" max="1796" width="54.81640625" customWidth="1"/>
    <col min="1797" max="1797" width="22.453125" customWidth="1"/>
    <col min="1798" max="1798" width="70.81640625" customWidth="1"/>
    <col min="1799" max="1799" width="20.54296875" customWidth="1"/>
    <col min="1800" max="1800" width="71.453125" customWidth="1"/>
    <col min="1801" max="1801" width="55.81640625" customWidth="1"/>
    <col min="1802" max="1802" width="50" customWidth="1"/>
    <col min="1803" max="1803" width="40.453125" customWidth="1"/>
    <col min="2049" max="2049" width="79" customWidth="1"/>
    <col min="2050" max="2050" width="42.54296875" customWidth="1"/>
    <col min="2051" max="2051" width="57.1796875" customWidth="1"/>
    <col min="2052" max="2052" width="54.81640625" customWidth="1"/>
    <col min="2053" max="2053" width="22.453125" customWidth="1"/>
    <col min="2054" max="2054" width="70.81640625" customWidth="1"/>
    <col min="2055" max="2055" width="20.54296875" customWidth="1"/>
    <col min="2056" max="2056" width="71.453125" customWidth="1"/>
    <col min="2057" max="2057" width="55.81640625" customWidth="1"/>
    <col min="2058" max="2058" width="50" customWidth="1"/>
    <col min="2059" max="2059" width="40.453125" customWidth="1"/>
    <col min="2305" max="2305" width="79" customWidth="1"/>
    <col min="2306" max="2306" width="42.54296875" customWidth="1"/>
    <col min="2307" max="2307" width="57.1796875" customWidth="1"/>
    <col min="2308" max="2308" width="54.81640625" customWidth="1"/>
    <col min="2309" max="2309" width="22.453125" customWidth="1"/>
    <col min="2310" max="2310" width="70.81640625" customWidth="1"/>
    <col min="2311" max="2311" width="20.54296875" customWidth="1"/>
    <col min="2312" max="2312" width="71.453125" customWidth="1"/>
    <col min="2313" max="2313" width="55.81640625" customWidth="1"/>
    <col min="2314" max="2314" width="50" customWidth="1"/>
    <col min="2315" max="2315" width="40.453125" customWidth="1"/>
    <col min="2561" max="2561" width="79" customWidth="1"/>
    <col min="2562" max="2562" width="42.54296875" customWidth="1"/>
    <col min="2563" max="2563" width="57.1796875" customWidth="1"/>
    <col min="2564" max="2564" width="54.81640625" customWidth="1"/>
    <col min="2565" max="2565" width="22.453125" customWidth="1"/>
    <col min="2566" max="2566" width="70.81640625" customWidth="1"/>
    <col min="2567" max="2567" width="20.54296875" customWidth="1"/>
    <col min="2568" max="2568" width="71.453125" customWidth="1"/>
    <col min="2569" max="2569" width="55.81640625" customWidth="1"/>
    <col min="2570" max="2570" width="50" customWidth="1"/>
    <col min="2571" max="2571" width="40.453125" customWidth="1"/>
    <col min="2817" max="2817" width="79" customWidth="1"/>
    <col min="2818" max="2818" width="42.54296875" customWidth="1"/>
    <col min="2819" max="2819" width="57.1796875" customWidth="1"/>
    <col min="2820" max="2820" width="54.81640625" customWidth="1"/>
    <col min="2821" max="2821" width="22.453125" customWidth="1"/>
    <col min="2822" max="2822" width="70.81640625" customWidth="1"/>
    <col min="2823" max="2823" width="20.54296875" customWidth="1"/>
    <col min="2824" max="2824" width="71.453125" customWidth="1"/>
    <col min="2825" max="2825" width="55.81640625" customWidth="1"/>
    <col min="2826" max="2826" width="50" customWidth="1"/>
    <col min="2827" max="2827" width="40.453125" customWidth="1"/>
    <col min="3073" max="3073" width="79" customWidth="1"/>
    <col min="3074" max="3074" width="42.54296875" customWidth="1"/>
    <col min="3075" max="3075" width="57.1796875" customWidth="1"/>
    <col min="3076" max="3076" width="54.81640625" customWidth="1"/>
    <col min="3077" max="3077" width="22.453125" customWidth="1"/>
    <col min="3078" max="3078" width="70.81640625" customWidth="1"/>
    <col min="3079" max="3079" width="20.54296875" customWidth="1"/>
    <col min="3080" max="3080" width="71.453125" customWidth="1"/>
    <col min="3081" max="3081" width="55.81640625" customWidth="1"/>
    <col min="3082" max="3082" width="50" customWidth="1"/>
    <col min="3083" max="3083" width="40.453125" customWidth="1"/>
    <col min="3329" max="3329" width="79" customWidth="1"/>
    <col min="3330" max="3330" width="42.54296875" customWidth="1"/>
    <col min="3331" max="3331" width="57.1796875" customWidth="1"/>
    <col min="3332" max="3332" width="54.81640625" customWidth="1"/>
    <col min="3333" max="3333" width="22.453125" customWidth="1"/>
    <col min="3334" max="3334" width="70.81640625" customWidth="1"/>
    <col min="3335" max="3335" width="20.54296875" customWidth="1"/>
    <col min="3336" max="3336" width="71.453125" customWidth="1"/>
    <col min="3337" max="3337" width="55.81640625" customWidth="1"/>
    <col min="3338" max="3338" width="50" customWidth="1"/>
    <col min="3339" max="3339" width="40.453125" customWidth="1"/>
    <col min="3585" max="3585" width="79" customWidth="1"/>
    <col min="3586" max="3586" width="42.54296875" customWidth="1"/>
    <col min="3587" max="3587" width="57.1796875" customWidth="1"/>
    <col min="3588" max="3588" width="54.81640625" customWidth="1"/>
    <col min="3589" max="3589" width="22.453125" customWidth="1"/>
    <col min="3590" max="3590" width="70.81640625" customWidth="1"/>
    <col min="3591" max="3591" width="20.54296875" customWidth="1"/>
    <col min="3592" max="3592" width="71.453125" customWidth="1"/>
    <col min="3593" max="3593" width="55.81640625" customWidth="1"/>
    <col min="3594" max="3594" width="50" customWidth="1"/>
    <col min="3595" max="3595" width="40.453125" customWidth="1"/>
    <col min="3841" max="3841" width="79" customWidth="1"/>
    <col min="3842" max="3842" width="42.54296875" customWidth="1"/>
    <col min="3843" max="3843" width="57.1796875" customWidth="1"/>
    <col min="3844" max="3844" width="54.81640625" customWidth="1"/>
    <col min="3845" max="3845" width="22.453125" customWidth="1"/>
    <col min="3846" max="3846" width="70.81640625" customWidth="1"/>
    <col min="3847" max="3847" width="20.54296875" customWidth="1"/>
    <col min="3848" max="3848" width="71.453125" customWidth="1"/>
    <col min="3849" max="3849" width="55.81640625" customWidth="1"/>
    <col min="3850" max="3850" width="50" customWidth="1"/>
    <col min="3851" max="3851" width="40.453125" customWidth="1"/>
    <col min="4097" max="4097" width="79" customWidth="1"/>
    <col min="4098" max="4098" width="42.54296875" customWidth="1"/>
    <col min="4099" max="4099" width="57.1796875" customWidth="1"/>
    <col min="4100" max="4100" width="54.81640625" customWidth="1"/>
    <col min="4101" max="4101" width="22.453125" customWidth="1"/>
    <col min="4102" max="4102" width="70.81640625" customWidth="1"/>
    <col min="4103" max="4103" width="20.54296875" customWidth="1"/>
    <col min="4104" max="4104" width="71.453125" customWidth="1"/>
    <col min="4105" max="4105" width="55.81640625" customWidth="1"/>
    <col min="4106" max="4106" width="50" customWidth="1"/>
    <col min="4107" max="4107" width="40.453125" customWidth="1"/>
    <col min="4353" max="4353" width="79" customWidth="1"/>
    <col min="4354" max="4354" width="42.54296875" customWidth="1"/>
    <col min="4355" max="4355" width="57.1796875" customWidth="1"/>
    <col min="4356" max="4356" width="54.81640625" customWidth="1"/>
    <col min="4357" max="4357" width="22.453125" customWidth="1"/>
    <col min="4358" max="4358" width="70.81640625" customWidth="1"/>
    <col min="4359" max="4359" width="20.54296875" customWidth="1"/>
    <col min="4360" max="4360" width="71.453125" customWidth="1"/>
    <col min="4361" max="4361" width="55.81640625" customWidth="1"/>
    <col min="4362" max="4362" width="50" customWidth="1"/>
    <col min="4363" max="4363" width="40.453125" customWidth="1"/>
    <col min="4609" max="4609" width="79" customWidth="1"/>
    <col min="4610" max="4610" width="42.54296875" customWidth="1"/>
    <col min="4611" max="4611" width="57.1796875" customWidth="1"/>
    <col min="4612" max="4612" width="54.81640625" customWidth="1"/>
    <col min="4613" max="4613" width="22.453125" customWidth="1"/>
    <col min="4614" max="4614" width="70.81640625" customWidth="1"/>
    <col min="4615" max="4615" width="20.54296875" customWidth="1"/>
    <col min="4616" max="4616" width="71.453125" customWidth="1"/>
    <col min="4617" max="4617" width="55.81640625" customWidth="1"/>
    <col min="4618" max="4618" width="50" customWidth="1"/>
    <col min="4619" max="4619" width="40.453125" customWidth="1"/>
    <col min="4865" max="4865" width="79" customWidth="1"/>
    <col min="4866" max="4866" width="42.54296875" customWidth="1"/>
    <col min="4867" max="4867" width="57.1796875" customWidth="1"/>
    <col min="4868" max="4868" width="54.81640625" customWidth="1"/>
    <col min="4869" max="4869" width="22.453125" customWidth="1"/>
    <col min="4870" max="4870" width="70.81640625" customWidth="1"/>
    <col min="4871" max="4871" width="20.54296875" customWidth="1"/>
    <col min="4872" max="4872" width="71.453125" customWidth="1"/>
    <col min="4873" max="4873" width="55.81640625" customWidth="1"/>
    <col min="4874" max="4874" width="50" customWidth="1"/>
    <col min="4875" max="4875" width="40.453125" customWidth="1"/>
    <col min="5121" max="5121" width="79" customWidth="1"/>
    <col min="5122" max="5122" width="42.54296875" customWidth="1"/>
    <col min="5123" max="5123" width="57.1796875" customWidth="1"/>
    <col min="5124" max="5124" width="54.81640625" customWidth="1"/>
    <col min="5125" max="5125" width="22.453125" customWidth="1"/>
    <col min="5126" max="5126" width="70.81640625" customWidth="1"/>
    <col min="5127" max="5127" width="20.54296875" customWidth="1"/>
    <col min="5128" max="5128" width="71.453125" customWidth="1"/>
    <col min="5129" max="5129" width="55.81640625" customWidth="1"/>
    <col min="5130" max="5130" width="50" customWidth="1"/>
    <col min="5131" max="5131" width="40.453125" customWidth="1"/>
    <col min="5377" max="5377" width="79" customWidth="1"/>
    <col min="5378" max="5378" width="42.54296875" customWidth="1"/>
    <col min="5379" max="5379" width="57.1796875" customWidth="1"/>
    <col min="5380" max="5380" width="54.81640625" customWidth="1"/>
    <col min="5381" max="5381" width="22.453125" customWidth="1"/>
    <col min="5382" max="5382" width="70.81640625" customWidth="1"/>
    <col min="5383" max="5383" width="20.54296875" customWidth="1"/>
    <col min="5384" max="5384" width="71.453125" customWidth="1"/>
    <col min="5385" max="5385" width="55.81640625" customWidth="1"/>
    <col min="5386" max="5386" width="50" customWidth="1"/>
    <col min="5387" max="5387" width="40.453125" customWidth="1"/>
    <col min="5633" max="5633" width="79" customWidth="1"/>
    <col min="5634" max="5634" width="42.54296875" customWidth="1"/>
    <col min="5635" max="5635" width="57.1796875" customWidth="1"/>
    <col min="5636" max="5636" width="54.81640625" customWidth="1"/>
    <col min="5637" max="5637" width="22.453125" customWidth="1"/>
    <col min="5638" max="5638" width="70.81640625" customWidth="1"/>
    <col min="5639" max="5639" width="20.54296875" customWidth="1"/>
    <col min="5640" max="5640" width="71.453125" customWidth="1"/>
    <col min="5641" max="5641" width="55.81640625" customWidth="1"/>
    <col min="5642" max="5642" width="50" customWidth="1"/>
    <col min="5643" max="5643" width="40.453125" customWidth="1"/>
    <col min="5889" max="5889" width="79" customWidth="1"/>
    <col min="5890" max="5890" width="42.54296875" customWidth="1"/>
    <col min="5891" max="5891" width="57.1796875" customWidth="1"/>
    <col min="5892" max="5892" width="54.81640625" customWidth="1"/>
    <col min="5893" max="5893" width="22.453125" customWidth="1"/>
    <col min="5894" max="5894" width="70.81640625" customWidth="1"/>
    <col min="5895" max="5895" width="20.54296875" customWidth="1"/>
    <col min="5896" max="5896" width="71.453125" customWidth="1"/>
    <col min="5897" max="5897" width="55.81640625" customWidth="1"/>
    <col min="5898" max="5898" width="50" customWidth="1"/>
    <col min="5899" max="5899" width="40.453125" customWidth="1"/>
    <col min="6145" max="6145" width="79" customWidth="1"/>
    <col min="6146" max="6146" width="42.54296875" customWidth="1"/>
    <col min="6147" max="6147" width="57.1796875" customWidth="1"/>
    <col min="6148" max="6148" width="54.81640625" customWidth="1"/>
    <col min="6149" max="6149" width="22.453125" customWidth="1"/>
    <col min="6150" max="6150" width="70.81640625" customWidth="1"/>
    <col min="6151" max="6151" width="20.54296875" customWidth="1"/>
    <col min="6152" max="6152" width="71.453125" customWidth="1"/>
    <col min="6153" max="6153" width="55.81640625" customWidth="1"/>
    <col min="6154" max="6154" width="50" customWidth="1"/>
    <col min="6155" max="6155" width="40.453125" customWidth="1"/>
    <col min="6401" max="6401" width="79" customWidth="1"/>
    <col min="6402" max="6402" width="42.54296875" customWidth="1"/>
    <col min="6403" max="6403" width="57.1796875" customWidth="1"/>
    <col min="6404" max="6404" width="54.81640625" customWidth="1"/>
    <col min="6405" max="6405" width="22.453125" customWidth="1"/>
    <col min="6406" max="6406" width="70.81640625" customWidth="1"/>
    <col min="6407" max="6407" width="20.54296875" customWidth="1"/>
    <col min="6408" max="6408" width="71.453125" customWidth="1"/>
    <col min="6409" max="6409" width="55.81640625" customWidth="1"/>
    <col min="6410" max="6410" width="50" customWidth="1"/>
    <col min="6411" max="6411" width="40.453125" customWidth="1"/>
    <col min="6657" max="6657" width="79" customWidth="1"/>
    <col min="6658" max="6658" width="42.54296875" customWidth="1"/>
    <col min="6659" max="6659" width="57.1796875" customWidth="1"/>
    <col min="6660" max="6660" width="54.81640625" customWidth="1"/>
    <col min="6661" max="6661" width="22.453125" customWidth="1"/>
    <col min="6662" max="6662" width="70.81640625" customWidth="1"/>
    <col min="6663" max="6663" width="20.54296875" customWidth="1"/>
    <col min="6664" max="6664" width="71.453125" customWidth="1"/>
    <col min="6665" max="6665" width="55.81640625" customWidth="1"/>
    <col min="6666" max="6666" width="50" customWidth="1"/>
    <col min="6667" max="6667" width="40.453125" customWidth="1"/>
    <col min="6913" max="6913" width="79" customWidth="1"/>
    <col min="6914" max="6914" width="42.54296875" customWidth="1"/>
    <col min="6915" max="6915" width="57.1796875" customWidth="1"/>
    <col min="6916" max="6916" width="54.81640625" customWidth="1"/>
    <col min="6917" max="6917" width="22.453125" customWidth="1"/>
    <col min="6918" max="6918" width="70.81640625" customWidth="1"/>
    <col min="6919" max="6919" width="20.54296875" customWidth="1"/>
    <col min="6920" max="6920" width="71.453125" customWidth="1"/>
    <col min="6921" max="6921" width="55.81640625" customWidth="1"/>
    <col min="6922" max="6922" width="50" customWidth="1"/>
    <col min="6923" max="6923" width="40.453125" customWidth="1"/>
    <col min="7169" max="7169" width="79" customWidth="1"/>
    <col min="7170" max="7170" width="42.54296875" customWidth="1"/>
    <col min="7171" max="7171" width="57.1796875" customWidth="1"/>
    <col min="7172" max="7172" width="54.81640625" customWidth="1"/>
    <col min="7173" max="7173" width="22.453125" customWidth="1"/>
    <col min="7174" max="7174" width="70.81640625" customWidth="1"/>
    <col min="7175" max="7175" width="20.54296875" customWidth="1"/>
    <col min="7176" max="7176" width="71.453125" customWidth="1"/>
    <col min="7177" max="7177" width="55.81640625" customWidth="1"/>
    <col min="7178" max="7178" width="50" customWidth="1"/>
    <col min="7179" max="7179" width="40.453125" customWidth="1"/>
    <col min="7425" max="7425" width="79" customWidth="1"/>
    <col min="7426" max="7426" width="42.54296875" customWidth="1"/>
    <col min="7427" max="7427" width="57.1796875" customWidth="1"/>
    <col min="7428" max="7428" width="54.81640625" customWidth="1"/>
    <col min="7429" max="7429" width="22.453125" customWidth="1"/>
    <col min="7430" max="7430" width="70.81640625" customWidth="1"/>
    <col min="7431" max="7431" width="20.54296875" customWidth="1"/>
    <col min="7432" max="7432" width="71.453125" customWidth="1"/>
    <col min="7433" max="7433" width="55.81640625" customWidth="1"/>
    <col min="7434" max="7434" width="50" customWidth="1"/>
    <col min="7435" max="7435" width="40.453125" customWidth="1"/>
    <col min="7681" max="7681" width="79" customWidth="1"/>
    <col min="7682" max="7682" width="42.54296875" customWidth="1"/>
    <col min="7683" max="7683" width="57.1796875" customWidth="1"/>
    <col min="7684" max="7684" width="54.81640625" customWidth="1"/>
    <col min="7685" max="7685" width="22.453125" customWidth="1"/>
    <col min="7686" max="7686" width="70.81640625" customWidth="1"/>
    <col min="7687" max="7687" width="20.54296875" customWidth="1"/>
    <col min="7688" max="7688" width="71.453125" customWidth="1"/>
    <col min="7689" max="7689" width="55.81640625" customWidth="1"/>
    <col min="7690" max="7690" width="50" customWidth="1"/>
    <col min="7691" max="7691" width="40.453125" customWidth="1"/>
    <col min="7937" max="7937" width="79" customWidth="1"/>
    <col min="7938" max="7938" width="42.54296875" customWidth="1"/>
    <col min="7939" max="7939" width="57.1796875" customWidth="1"/>
    <col min="7940" max="7940" width="54.81640625" customWidth="1"/>
    <col min="7941" max="7941" width="22.453125" customWidth="1"/>
    <col min="7942" max="7942" width="70.81640625" customWidth="1"/>
    <col min="7943" max="7943" width="20.54296875" customWidth="1"/>
    <col min="7944" max="7944" width="71.453125" customWidth="1"/>
    <col min="7945" max="7945" width="55.81640625" customWidth="1"/>
    <col min="7946" max="7946" width="50" customWidth="1"/>
    <col min="7947" max="7947" width="40.453125" customWidth="1"/>
    <col min="8193" max="8193" width="79" customWidth="1"/>
    <col min="8194" max="8194" width="42.54296875" customWidth="1"/>
    <col min="8195" max="8195" width="57.1796875" customWidth="1"/>
    <col min="8196" max="8196" width="54.81640625" customWidth="1"/>
    <col min="8197" max="8197" width="22.453125" customWidth="1"/>
    <col min="8198" max="8198" width="70.81640625" customWidth="1"/>
    <col min="8199" max="8199" width="20.54296875" customWidth="1"/>
    <col min="8200" max="8200" width="71.453125" customWidth="1"/>
    <col min="8201" max="8201" width="55.81640625" customWidth="1"/>
    <col min="8202" max="8202" width="50" customWidth="1"/>
    <col min="8203" max="8203" width="40.453125" customWidth="1"/>
    <col min="8449" max="8449" width="79" customWidth="1"/>
    <col min="8450" max="8450" width="42.54296875" customWidth="1"/>
    <col min="8451" max="8451" width="57.1796875" customWidth="1"/>
    <col min="8452" max="8452" width="54.81640625" customWidth="1"/>
    <col min="8453" max="8453" width="22.453125" customWidth="1"/>
    <col min="8454" max="8454" width="70.81640625" customWidth="1"/>
    <col min="8455" max="8455" width="20.54296875" customWidth="1"/>
    <col min="8456" max="8456" width="71.453125" customWidth="1"/>
    <col min="8457" max="8457" width="55.81640625" customWidth="1"/>
    <col min="8458" max="8458" width="50" customWidth="1"/>
    <col min="8459" max="8459" width="40.453125" customWidth="1"/>
    <col min="8705" max="8705" width="79" customWidth="1"/>
    <col min="8706" max="8706" width="42.54296875" customWidth="1"/>
    <col min="8707" max="8707" width="57.1796875" customWidth="1"/>
    <col min="8708" max="8708" width="54.81640625" customWidth="1"/>
    <col min="8709" max="8709" width="22.453125" customWidth="1"/>
    <col min="8710" max="8710" width="70.81640625" customWidth="1"/>
    <col min="8711" max="8711" width="20.54296875" customWidth="1"/>
    <col min="8712" max="8712" width="71.453125" customWidth="1"/>
    <col min="8713" max="8713" width="55.81640625" customWidth="1"/>
    <col min="8714" max="8714" width="50" customWidth="1"/>
    <col min="8715" max="8715" width="40.453125" customWidth="1"/>
    <col min="8961" max="8961" width="79" customWidth="1"/>
    <col min="8962" max="8962" width="42.54296875" customWidth="1"/>
    <col min="8963" max="8963" width="57.1796875" customWidth="1"/>
    <col min="8964" max="8964" width="54.81640625" customWidth="1"/>
    <col min="8965" max="8965" width="22.453125" customWidth="1"/>
    <col min="8966" max="8966" width="70.81640625" customWidth="1"/>
    <col min="8967" max="8967" width="20.54296875" customWidth="1"/>
    <col min="8968" max="8968" width="71.453125" customWidth="1"/>
    <col min="8969" max="8969" width="55.81640625" customWidth="1"/>
    <col min="8970" max="8970" width="50" customWidth="1"/>
    <col min="8971" max="8971" width="40.453125" customWidth="1"/>
    <col min="9217" max="9217" width="79" customWidth="1"/>
    <col min="9218" max="9218" width="42.54296875" customWidth="1"/>
    <col min="9219" max="9219" width="57.1796875" customWidth="1"/>
    <col min="9220" max="9220" width="54.81640625" customWidth="1"/>
    <col min="9221" max="9221" width="22.453125" customWidth="1"/>
    <col min="9222" max="9222" width="70.81640625" customWidth="1"/>
    <col min="9223" max="9223" width="20.54296875" customWidth="1"/>
    <col min="9224" max="9224" width="71.453125" customWidth="1"/>
    <col min="9225" max="9225" width="55.81640625" customWidth="1"/>
    <col min="9226" max="9226" width="50" customWidth="1"/>
    <col min="9227" max="9227" width="40.453125" customWidth="1"/>
    <col min="9473" max="9473" width="79" customWidth="1"/>
    <col min="9474" max="9474" width="42.54296875" customWidth="1"/>
    <col min="9475" max="9475" width="57.1796875" customWidth="1"/>
    <col min="9476" max="9476" width="54.81640625" customWidth="1"/>
    <col min="9477" max="9477" width="22.453125" customWidth="1"/>
    <col min="9478" max="9478" width="70.81640625" customWidth="1"/>
    <col min="9479" max="9479" width="20.54296875" customWidth="1"/>
    <col min="9480" max="9480" width="71.453125" customWidth="1"/>
    <col min="9481" max="9481" width="55.81640625" customWidth="1"/>
    <col min="9482" max="9482" width="50" customWidth="1"/>
    <col min="9483" max="9483" width="40.453125" customWidth="1"/>
    <col min="9729" max="9729" width="79" customWidth="1"/>
    <col min="9730" max="9730" width="42.54296875" customWidth="1"/>
    <col min="9731" max="9731" width="57.1796875" customWidth="1"/>
    <col min="9732" max="9732" width="54.81640625" customWidth="1"/>
    <col min="9733" max="9733" width="22.453125" customWidth="1"/>
    <col min="9734" max="9734" width="70.81640625" customWidth="1"/>
    <col min="9735" max="9735" width="20.54296875" customWidth="1"/>
    <col min="9736" max="9736" width="71.453125" customWidth="1"/>
    <col min="9737" max="9737" width="55.81640625" customWidth="1"/>
    <col min="9738" max="9738" width="50" customWidth="1"/>
    <col min="9739" max="9739" width="40.453125" customWidth="1"/>
    <col min="9985" max="9985" width="79" customWidth="1"/>
    <col min="9986" max="9986" width="42.54296875" customWidth="1"/>
    <col min="9987" max="9987" width="57.1796875" customWidth="1"/>
    <col min="9988" max="9988" width="54.81640625" customWidth="1"/>
    <col min="9989" max="9989" width="22.453125" customWidth="1"/>
    <col min="9990" max="9990" width="70.81640625" customWidth="1"/>
    <col min="9991" max="9991" width="20.54296875" customWidth="1"/>
    <col min="9992" max="9992" width="71.453125" customWidth="1"/>
    <col min="9993" max="9993" width="55.81640625" customWidth="1"/>
    <col min="9994" max="9994" width="50" customWidth="1"/>
    <col min="9995" max="9995" width="40.453125" customWidth="1"/>
    <col min="10241" max="10241" width="79" customWidth="1"/>
    <col min="10242" max="10242" width="42.54296875" customWidth="1"/>
    <col min="10243" max="10243" width="57.1796875" customWidth="1"/>
    <col min="10244" max="10244" width="54.81640625" customWidth="1"/>
    <col min="10245" max="10245" width="22.453125" customWidth="1"/>
    <col min="10246" max="10246" width="70.81640625" customWidth="1"/>
    <col min="10247" max="10247" width="20.54296875" customWidth="1"/>
    <col min="10248" max="10248" width="71.453125" customWidth="1"/>
    <col min="10249" max="10249" width="55.81640625" customWidth="1"/>
    <col min="10250" max="10250" width="50" customWidth="1"/>
    <col min="10251" max="10251" width="40.453125" customWidth="1"/>
    <col min="10497" max="10497" width="79" customWidth="1"/>
    <col min="10498" max="10498" width="42.54296875" customWidth="1"/>
    <col min="10499" max="10499" width="57.1796875" customWidth="1"/>
    <col min="10500" max="10500" width="54.81640625" customWidth="1"/>
    <col min="10501" max="10501" width="22.453125" customWidth="1"/>
    <col min="10502" max="10502" width="70.81640625" customWidth="1"/>
    <col min="10503" max="10503" width="20.54296875" customWidth="1"/>
    <col min="10504" max="10504" width="71.453125" customWidth="1"/>
    <col min="10505" max="10505" width="55.81640625" customWidth="1"/>
    <col min="10506" max="10506" width="50" customWidth="1"/>
    <col min="10507" max="10507" width="40.453125" customWidth="1"/>
    <col min="10753" max="10753" width="79" customWidth="1"/>
    <col min="10754" max="10754" width="42.54296875" customWidth="1"/>
    <col min="10755" max="10755" width="57.1796875" customWidth="1"/>
    <col min="10756" max="10756" width="54.81640625" customWidth="1"/>
    <col min="10757" max="10757" width="22.453125" customWidth="1"/>
    <col min="10758" max="10758" width="70.81640625" customWidth="1"/>
    <col min="10759" max="10759" width="20.54296875" customWidth="1"/>
    <col min="10760" max="10760" width="71.453125" customWidth="1"/>
    <col min="10761" max="10761" width="55.81640625" customWidth="1"/>
    <col min="10762" max="10762" width="50" customWidth="1"/>
    <col min="10763" max="10763" width="40.453125" customWidth="1"/>
    <col min="11009" max="11009" width="79" customWidth="1"/>
    <col min="11010" max="11010" width="42.54296875" customWidth="1"/>
    <col min="11011" max="11011" width="57.1796875" customWidth="1"/>
    <col min="11012" max="11012" width="54.81640625" customWidth="1"/>
    <col min="11013" max="11013" width="22.453125" customWidth="1"/>
    <col min="11014" max="11014" width="70.81640625" customWidth="1"/>
    <col min="11015" max="11015" width="20.54296875" customWidth="1"/>
    <col min="11016" max="11016" width="71.453125" customWidth="1"/>
    <col min="11017" max="11017" width="55.81640625" customWidth="1"/>
    <col min="11018" max="11018" width="50" customWidth="1"/>
    <col min="11019" max="11019" width="40.453125" customWidth="1"/>
    <col min="11265" max="11265" width="79" customWidth="1"/>
    <col min="11266" max="11266" width="42.54296875" customWidth="1"/>
    <col min="11267" max="11267" width="57.1796875" customWidth="1"/>
    <col min="11268" max="11268" width="54.81640625" customWidth="1"/>
    <col min="11269" max="11269" width="22.453125" customWidth="1"/>
    <col min="11270" max="11270" width="70.81640625" customWidth="1"/>
    <col min="11271" max="11271" width="20.54296875" customWidth="1"/>
    <col min="11272" max="11272" width="71.453125" customWidth="1"/>
    <col min="11273" max="11273" width="55.81640625" customWidth="1"/>
    <col min="11274" max="11274" width="50" customWidth="1"/>
    <col min="11275" max="11275" width="40.453125" customWidth="1"/>
    <col min="11521" max="11521" width="79" customWidth="1"/>
    <col min="11522" max="11522" width="42.54296875" customWidth="1"/>
    <col min="11523" max="11523" width="57.1796875" customWidth="1"/>
    <col min="11524" max="11524" width="54.81640625" customWidth="1"/>
    <col min="11525" max="11525" width="22.453125" customWidth="1"/>
    <col min="11526" max="11526" width="70.81640625" customWidth="1"/>
    <col min="11527" max="11527" width="20.54296875" customWidth="1"/>
    <col min="11528" max="11528" width="71.453125" customWidth="1"/>
    <col min="11529" max="11529" width="55.81640625" customWidth="1"/>
    <col min="11530" max="11530" width="50" customWidth="1"/>
    <col min="11531" max="11531" width="40.453125" customWidth="1"/>
    <col min="11777" max="11777" width="79" customWidth="1"/>
    <col min="11778" max="11778" width="42.54296875" customWidth="1"/>
    <col min="11779" max="11779" width="57.1796875" customWidth="1"/>
    <col min="11780" max="11780" width="54.81640625" customWidth="1"/>
    <col min="11781" max="11781" width="22.453125" customWidth="1"/>
    <col min="11782" max="11782" width="70.81640625" customWidth="1"/>
    <col min="11783" max="11783" width="20.54296875" customWidth="1"/>
    <col min="11784" max="11784" width="71.453125" customWidth="1"/>
    <col min="11785" max="11785" width="55.81640625" customWidth="1"/>
    <col min="11786" max="11786" width="50" customWidth="1"/>
    <col min="11787" max="11787" width="40.453125" customWidth="1"/>
    <col min="12033" max="12033" width="79" customWidth="1"/>
    <col min="12034" max="12034" width="42.54296875" customWidth="1"/>
    <col min="12035" max="12035" width="57.1796875" customWidth="1"/>
    <col min="12036" max="12036" width="54.81640625" customWidth="1"/>
    <col min="12037" max="12037" width="22.453125" customWidth="1"/>
    <col min="12038" max="12038" width="70.81640625" customWidth="1"/>
    <col min="12039" max="12039" width="20.54296875" customWidth="1"/>
    <col min="12040" max="12040" width="71.453125" customWidth="1"/>
    <col min="12041" max="12041" width="55.81640625" customWidth="1"/>
    <col min="12042" max="12042" width="50" customWidth="1"/>
    <col min="12043" max="12043" width="40.453125" customWidth="1"/>
    <col min="12289" max="12289" width="79" customWidth="1"/>
    <col min="12290" max="12290" width="42.54296875" customWidth="1"/>
    <col min="12291" max="12291" width="57.1796875" customWidth="1"/>
    <col min="12292" max="12292" width="54.81640625" customWidth="1"/>
    <col min="12293" max="12293" width="22.453125" customWidth="1"/>
    <col min="12294" max="12294" width="70.81640625" customWidth="1"/>
    <col min="12295" max="12295" width="20.54296875" customWidth="1"/>
    <col min="12296" max="12296" width="71.453125" customWidth="1"/>
    <col min="12297" max="12297" width="55.81640625" customWidth="1"/>
    <col min="12298" max="12298" width="50" customWidth="1"/>
    <col min="12299" max="12299" width="40.453125" customWidth="1"/>
    <col min="12545" max="12545" width="79" customWidth="1"/>
    <col min="12546" max="12546" width="42.54296875" customWidth="1"/>
    <col min="12547" max="12547" width="57.1796875" customWidth="1"/>
    <col min="12548" max="12548" width="54.81640625" customWidth="1"/>
    <col min="12549" max="12549" width="22.453125" customWidth="1"/>
    <col min="12550" max="12550" width="70.81640625" customWidth="1"/>
    <col min="12551" max="12551" width="20.54296875" customWidth="1"/>
    <col min="12552" max="12552" width="71.453125" customWidth="1"/>
    <col min="12553" max="12553" width="55.81640625" customWidth="1"/>
    <col min="12554" max="12554" width="50" customWidth="1"/>
    <col min="12555" max="12555" width="40.453125" customWidth="1"/>
    <col min="12801" max="12801" width="79" customWidth="1"/>
    <col min="12802" max="12802" width="42.54296875" customWidth="1"/>
    <col min="12803" max="12803" width="57.1796875" customWidth="1"/>
    <col min="12804" max="12804" width="54.81640625" customWidth="1"/>
    <col min="12805" max="12805" width="22.453125" customWidth="1"/>
    <col min="12806" max="12806" width="70.81640625" customWidth="1"/>
    <col min="12807" max="12807" width="20.54296875" customWidth="1"/>
    <col min="12808" max="12808" width="71.453125" customWidth="1"/>
    <col min="12809" max="12809" width="55.81640625" customWidth="1"/>
    <col min="12810" max="12810" width="50" customWidth="1"/>
    <col min="12811" max="12811" width="40.453125" customWidth="1"/>
    <col min="13057" max="13057" width="79" customWidth="1"/>
    <col min="13058" max="13058" width="42.54296875" customWidth="1"/>
    <col min="13059" max="13059" width="57.1796875" customWidth="1"/>
    <col min="13060" max="13060" width="54.81640625" customWidth="1"/>
    <col min="13061" max="13061" width="22.453125" customWidth="1"/>
    <col min="13062" max="13062" width="70.81640625" customWidth="1"/>
    <col min="13063" max="13063" width="20.54296875" customWidth="1"/>
    <col min="13064" max="13064" width="71.453125" customWidth="1"/>
    <col min="13065" max="13065" width="55.81640625" customWidth="1"/>
    <col min="13066" max="13066" width="50" customWidth="1"/>
    <col min="13067" max="13067" width="40.453125" customWidth="1"/>
    <col min="13313" max="13313" width="79" customWidth="1"/>
    <col min="13314" max="13314" width="42.54296875" customWidth="1"/>
    <col min="13315" max="13315" width="57.1796875" customWidth="1"/>
    <col min="13316" max="13316" width="54.81640625" customWidth="1"/>
    <col min="13317" max="13317" width="22.453125" customWidth="1"/>
    <col min="13318" max="13318" width="70.81640625" customWidth="1"/>
    <col min="13319" max="13319" width="20.54296875" customWidth="1"/>
    <col min="13320" max="13320" width="71.453125" customWidth="1"/>
    <col min="13321" max="13321" width="55.81640625" customWidth="1"/>
    <col min="13322" max="13322" width="50" customWidth="1"/>
    <col min="13323" max="13323" width="40.453125" customWidth="1"/>
    <col min="13569" max="13569" width="79" customWidth="1"/>
    <col min="13570" max="13570" width="42.54296875" customWidth="1"/>
    <col min="13571" max="13571" width="57.1796875" customWidth="1"/>
    <col min="13572" max="13572" width="54.81640625" customWidth="1"/>
    <col min="13573" max="13573" width="22.453125" customWidth="1"/>
    <col min="13574" max="13574" width="70.81640625" customWidth="1"/>
    <col min="13575" max="13575" width="20.54296875" customWidth="1"/>
    <col min="13576" max="13576" width="71.453125" customWidth="1"/>
    <col min="13577" max="13577" width="55.81640625" customWidth="1"/>
    <col min="13578" max="13578" width="50" customWidth="1"/>
    <col min="13579" max="13579" width="40.453125" customWidth="1"/>
    <col min="13825" max="13825" width="79" customWidth="1"/>
    <col min="13826" max="13826" width="42.54296875" customWidth="1"/>
    <col min="13827" max="13827" width="57.1796875" customWidth="1"/>
    <col min="13828" max="13828" width="54.81640625" customWidth="1"/>
    <col min="13829" max="13829" width="22.453125" customWidth="1"/>
    <col min="13830" max="13830" width="70.81640625" customWidth="1"/>
    <col min="13831" max="13831" width="20.54296875" customWidth="1"/>
    <col min="13832" max="13832" width="71.453125" customWidth="1"/>
    <col min="13833" max="13833" width="55.81640625" customWidth="1"/>
    <col min="13834" max="13834" width="50" customWidth="1"/>
    <col min="13835" max="13835" width="40.453125" customWidth="1"/>
    <col min="14081" max="14081" width="79" customWidth="1"/>
    <col min="14082" max="14082" width="42.54296875" customWidth="1"/>
    <col min="14083" max="14083" width="57.1796875" customWidth="1"/>
    <col min="14084" max="14084" width="54.81640625" customWidth="1"/>
    <col min="14085" max="14085" width="22.453125" customWidth="1"/>
    <col min="14086" max="14086" width="70.81640625" customWidth="1"/>
    <col min="14087" max="14087" width="20.54296875" customWidth="1"/>
    <col min="14088" max="14088" width="71.453125" customWidth="1"/>
    <col min="14089" max="14089" width="55.81640625" customWidth="1"/>
    <col min="14090" max="14090" width="50" customWidth="1"/>
    <col min="14091" max="14091" width="40.453125" customWidth="1"/>
    <col min="14337" max="14337" width="79" customWidth="1"/>
    <col min="14338" max="14338" width="42.54296875" customWidth="1"/>
    <col min="14339" max="14339" width="57.1796875" customWidth="1"/>
    <col min="14340" max="14340" width="54.81640625" customWidth="1"/>
    <col min="14341" max="14341" width="22.453125" customWidth="1"/>
    <col min="14342" max="14342" width="70.81640625" customWidth="1"/>
    <col min="14343" max="14343" width="20.54296875" customWidth="1"/>
    <col min="14344" max="14344" width="71.453125" customWidth="1"/>
    <col min="14345" max="14345" width="55.81640625" customWidth="1"/>
    <col min="14346" max="14346" width="50" customWidth="1"/>
    <col min="14347" max="14347" width="40.453125" customWidth="1"/>
    <col min="14593" max="14593" width="79" customWidth="1"/>
    <col min="14594" max="14594" width="42.54296875" customWidth="1"/>
    <col min="14595" max="14595" width="57.1796875" customWidth="1"/>
    <col min="14596" max="14596" width="54.81640625" customWidth="1"/>
    <col min="14597" max="14597" width="22.453125" customWidth="1"/>
    <col min="14598" max="14598" width="70.81640625" customWidth="1"/>
    <col min="14599" max="14599" width="20.54296875" customWidth="1"/>
    <col min="14600" max="14600" width="71.453125" customWidth="1"/>
    <col min="14601" max="14601" width="55.81640625" customWidth="1"/>
    <col min="14602" max="14602" width="50" customWidth="1"/>
    <col min="14603" max="14603" width="40.453125" customWidth="1"/>
    <col min="14849" max="14849" width="79" customWidth="1"/>
    <col min="14850" max="14850" width="42.54296875" customWidth="1"/>
    <col min="14851" max="14851" width="57.1796875" customWidth="1"/>
    <col min="14852" max="14852" width="54.81640625" customWidth="1"/>
    <col min="14853" max="14853" width="22.453125" customWidth="1"/>
    <col min="14854" max="14854" width="70.81640625" customWidth="1"/>
    <col min="14855" max="14855" width="20.54296875" customWidth="1"/>
    <col min="14856" max="14856" width="71.453125" customWidth="1"/>
    <col min="14857" max="14857" width="55.81640625" customWidth="1"/>
    <col min="14858" max="14858" width="50" customWidth="1"/>
    <col min="14859" max="14859" width="40.453125" customWidth="1"/>
    <col min="15105" max="15105" width="79" customWidth="1"/>
    <col min="15106" max="15106" width="42.54296875" customWidth="1"/>
    <col min="15107" max="15107" width="57.1796875" customWidth="1"/>
    <col min="15108" max="15108" width="54.81640625" customWidth="1"/>
    <col min="15109" max="15109" width="22.453125" customWidth="1"/>
    <col min="15110" max="15110" width="70.81640625" customWidth="1"/>
    <col min="15111" max="15111" width="20.54296875" customWidth="1"/>
    <col min="15112" max="15112" width="71.453125" customWidth="1"/>
    <col min="15113" max="15113" width="55.81640625" customWidth="1"/>
    <col min="15114" max="15114" width="50" customWidth="1"/>
    <col min="15115" max="15115" width="40.453125" customWidth="1"/>
    <col min="15361" max="15361" width="79" customWidth="1"/>
    <col min="15362" max="15362" width="42.54296875" customWidth="1"/>
    <col min="15363" max="15363" width="57.1796875" customWidth="1"/>
    <col min="15364" max="15364" width="54.81640625" customWidth="1"/>
    <col min="15365" max="15365" width="22.453125" customWidth="1"/>
    <col min="15366" max="15366" width="70.81640625" customWidth="1"/>
    <col min="15367" max="15367" width="20.54296875" customWidth="1"/>
    <col min="15368" max="15368" width="71.453125" customWidth="1"/>
    <col min="15369" max="15369" width="55.81640625" customWidth="1"/>
    <col min="15370" max="15370" width="50" customWidth="1"/>
    <col min="15371" max="15371" width="40.453125" customWidth="1"/>
    <col min="15617" max="15617" width="79" customWidth="1"/>
    <col min="15618" max="15618" width="42.54296875" customWidth="1"/>
    <col min="15619" max="15619" width="57.1796875" customWidth="1"/>
    <col min="15620" max="15620" width="54.81640625" customWidth="1"/>
    <col min="15621" max="15621" width="22.453125" customWidth="1"/>
    <col min="15622" max="15622" width="70.81640625" customWidth="1"/>
    <col min="15623" max="15623" width="20.54296875" customWidth="1"/>
    <col min="15624" max="15624" width="71.453125" customWidth="1"/>
    <col min="15625" max="15625" width="55.81640625" customWidth="1"/>
    <col min="15626" max="15626" width="50" customWidth="1"/>
    <col min="15627" max="15627" width="40.453125" customWidth="1"/>
    <col min="15873" max="15873" width="79" customWidth="1"/>
    <col min="15874" max="15874" width="42.54296875" customWidth="1"/>
    <col min="15875" max="15875" width="57.1796875" customWidth="1"/>
    <col min="15876" max="15876" width="54.81640625" customWidth="1"/>
    <col min="15877" max="15877" width="22.453125" customWidth="1"/>
    <col min="15878" max="15878" width="70.81640625" customWidth="1"/>
    <col min="15879" max="15879" width="20.54296875" customWidth="1"/>
    <col min="15880" max="15880" width="71.453125" customWidth="1"/>
    <col min="15881" max="15881" width="55.81640625" customWidth="1"/>
    <col min="15882" max="15882" width="50" customWidth="1"/>
    <col min="15883" max="15883" width="40.453125" customWidth="1"/>
    <col min="16129" max="16129" width="79" customWidth="1"/>
    <col min="16130" max="16130" width="42.54296875" customWidth="1"/>
    <col min="16131" max="16131" width="57.1796875" customWidth="1"/>
    <col min="16132" max="16132" width="54.81640625" customWidth="1"/>
    <col min="16133" max="16133" width="22.453125" customWidth="1"/>
    <col min="16134" max="16134" width="70.81640625" customWidth="1"/>
    <col min="16135" max="16135" width="20.54296875" customWidth="1"/>
    <col min="16136" max="16136" width="71.453125" customWidth="1"/>
    <col min="16137" max="16137" width="55.81640625" customWidth="1"/>
    <col min="16138" max="16138" width="50" customWidth="1"/>
    <col min="16139" max="16139" width="40.453125" customWidth="1"/>
  </cols>
  <sheetData>
    <row r="1" spans="1:3" ht="20" x14ac:dyDescent="0.4">
      <c r="A1" s="125" t="s">
        <v>281</v>
      </c>
    </row>
    <row r="3" spans="1:3" x14ac:dyDescent="0.35">
      <c r="A3" s="129" t="s">
        <v>282</v>
      </c>
      <c r="B3" s="123"/>
      <c r="C3" s="130"/>
    </row>
    <row r="4" spans="1:3" x14ac:dyDescent="0.35">
      <c r="A4" s="123" t="s">
        <v>283</v>
      </c>
      <c r="B4" s="123">
        <v>1</v>
      </c>
      <c r="C4" s="130"/>
    </row>
    <row r="5" spans="1:3" x14ac:dyDescent="0.35">
      <c r="A5" s="123"/>
      <c r="B5" s="123"/>
      <c r="C5" s="130"/>
    </row>
    <row r="6" spans="1:3" x14ac:dyDescent="0.35">
      <c r="A6" s="129" t="s">
        <v>284</v>
      </c>
      <c r="B6" s="123"/>
      <c r="C6" s="130"/>
    </row>
    <row r="7" spans="1:3" x14ac:dyDescent="0.35">
      <c r="A7" s="123" t="s">
        <v>285</v>
      </c>
      <c r="B7" s="123"/>
      <c r="C7" s="130"/>
    </row>
    <row r="8" spans="1:3" x14ac:dyDescent="0.35">
      <c r="A8" s="123" t="s">
        <v>286</v>
      </c>
      <c r="B8" s="123">
        <v>1</v>
      </c>
      <c r="C8" s="130"/>
    </row>
    <row r="9" spans="1:3" x14ac:dyDescent="0.35">
      <c r="A9" s="123"/>
      <c r="B9" s="123"/>
      <c r="C9" s="130"/>
    </row>
    <row r="10" spans="1:3" x14ac:dyDescent="0.35">
      <c r="A10" s="129" t="s">
        <v>287</v>
      </c>
      <c r="B10" s="123"/>
      <c r="C10" s="130"/>
    </row>
    <row r="11" spans="1:3" x14ac:dyDescent="0.35">
      <c r="A11" s="123" t="s">
        <v>288</v>
      </c>
      <c r="B11" s="123">
        <v>1</v>
      </c>
      <c r="C11" s="130"/>
    </row>
    <row r="12" spans="1:3" x14ac:dyDescent="0.35">
      <c r="A12" s="123"/>
      <c r="B12" s="123"/>
      <c r="C12" s="130"/>
    </row>
    <row r="13" spans="1:3" x14ac:dyDescent="0.35">
      <c r="A13" s="129" t="s">
        <v>289</v>
      </c>
      <c r="B13" s="123"/>
      <c r="C13" s="130"/>
    </row>
    <row r="14" spans="1:3" x14ac:dyDescent="0.35">
      <c r="A14" s="123" t="s">
        <v>290</v>
      </c>
      <c r="B14" s="123"/>
      <c r="C14" s="130"/>
    </row>
    <row r="15" spans="1:3" x14ac:dyDescent="0.35">
      <c r="A15" s="123" t="s">
        <v>291</v>
      </c>
      <c r="B15" s="123"/>
      <c r="C15" s="130"/>
    </row>
    <row r="16" spans="1:3" x14ac:dyDescent="0.35">
      <c r="A16" s="123" t="s">
        <v>292</v>
      </c>
      <c r="B16" s="123"/>
      <c r="C16" s="130"/>
    </row>
    <row r="17" spans="1:8" x14ac:dyDescent="0.35">
      <c r="A17" s="123"/>
      <c r="B17" s="123">
        <v>1</v>
      </c>
      <c r="C17" s="130"/>
    </row>
    <row r="18" spans="1:8" x14ac:dyDescent="0.35">
      <c r="A18" s="114" t="s">
        <v>293</v>
      </c>
      <c r="C18" s="130"/>
    </row>
    <row r="19" spans="1:8" x14ac:dyDescent="0.35">
      <c r="A19" s="115" t="s">
        <v>290</v>
      </c>
      <c r="B19" t="str">
        <f>IF(B8=1,"Ja","N.v.t.")</f>
        <v>Ja</v>
      </c>
      <c r="C19" s="130"/>
    </row>
    <row r="20" spans="1:8" x14ac:dyDescent="0.35">
      <c r="A20" s="115" t="s">
        <v>294</v>
      </c>
      <c r="B20" t="str">
        <f>IF(B8=1,"Nee","")</f>
        <v>Nee</v>
      </c>
      <c r="C20" s="130"/>
    </row>
    <row r="21" spans="1:8" x14ac:dyDescent="0.35">
      <c r="A21" s="115" t="s">
        <v>295</v>
      </c>
      <c r="C21" s="130"/>
    </row>
    <row r="22" spans="1:8" x14ac:dyDescent="0.35">
      <c r="A22" s="115" t="s">
        <v>296</v>
      </c>
      <c r="B22">
        <v>2</v>
      </c>
      <c r="C22" s="130"/>
    </row>
    <row r="23" spans="1:8" x14ac:dyDescent="0.35">
      <c r="A23" s="115"/>
      <c r="C23" s="130"/>
    </row>
    <row r="24" spans="1:8" x14ac:dyDescent="0.35">
      <c r="A24" s="114" t="s">
        <v>297</v>
      </c>
      <c r="C24" s="130"/>
    </row>
    <row r="25" spans="1:8" x14ac:dyDescent="0.35">
      <c r="A25" s="115" t="s">
        <v>298</v>
      </c>
      <c r="B25">
        <v>1</v>
      </c>
      <c r="C25" s="130"/>
    </row>
    <row r="26" spans="1:8" x14ac:dyDescent="0.35">
      <c r="A26" s="123"/>
      <c r="B26" s="123"/>
      <c r="C26" s="130"/>
    </row>
    <row r="27" spans="1:8" ht="18" x14ac:dyDescent="0.35">
      <c r="A27" s="126" t="s">
        <v>299</v>
      </c>
      <c r="B27" s="123"/>
      <c r="C27" s="130"/>
    </row>
    <row r="28" spans="1:8" x14ac:dyDescent="0.35">
      <c r="A28" s="123"/>
      <c r="B28" s="123"/>
      <c r="C28" s="130"/>
    </row>
    <row r="29" spans="1:8" x14ac:dyDescent="0.35">
      <c r="A29" s="114" t="s">
        <v>300</v>
      </c>
    </row>
    <row r="30" spans="1:8" x14ac:dyDescent="0.35">
      <c r="A30" s="115" t="s">
        <v>301</v>
      </c>
      <c r="F30" s="114"/>
      <c r="H30" s="114"/>
    </row>
    <row r="31" spans="1:8" x14ac:dyDescent="0.35">
      <c r="A31" s="115" t="s">
        <v>302</v>
      </c>
      <c r="F31" s="114"/>
      <c r="H31" s="114"/>
    </row>
    <row r="32" spans="1:8" x14ac:dyDescent="0.35">
      <c r="A32">
        <v>1</v>
      </c>
      <c r="F32" s="114"/>
      <c r="H32" s="114"/>
    </row>
    <row r="33" spans="1:11" x14ac:dyDescent="0.35">
      <c r="A33" s="114" t="s">
        <v>303</v>
      </c>
      <c r="B33" s="114" t="s">
        <v>304</v>
      </c>
      <c r="C33" s="114" t="s">
        <v>305</v>
      </c>
      <c r="D33" s="114" t="s">
        <v>306</v>
      </c>
      <c r="E33" s="131"/>
      <c r="G33" s="131"/>
    </row>
    <row r="34" spans="1:11" x14ac:dyDescent="0.35">
      <c r="A34" s="115" t="s">
        <v>290</v>
      </c>
      <c r="B34" s="115" t="str">
        <f>IF(AND(A231="Hernieuwbaar gas",Productie_en_afzet!B17&lt;390),"Ja",IF(AND(A231="Hernieuwbaar gas",Productie_en_afzet!B17&gt;=390),"","Niet van toepassing"))</f>
        <v>Niet van toepassing</v>
      </c>
      <c r="C34" s="115" t="str">
        <f>IF(A231="CO₂-opslag","Ja","Niet van toepassing")</f>
        <v>Niet van toepassing</v>
      </c>
      <c r="D34" t="str">
        <f>IF(OR(
AND(Productie_en_afzet!A14="",Productie_en_afzet!A13="Gaat de SDE++-productie-installatie deel uitmaken van een ETS-1 installatie?","ETS-1 correctie"),
AND(Productie_en_afzet!A14="",Productie_en_afzet!A13="Gaat de SDE++-productie-installatie deel uitmaken van een ETS-1 installatie, of wordt de warmte geleverd aan een ETS-1 installatie?","ETS-1 correctie")),"Ja","")</f>
        <v/>
      </c>
      <c r="E34" s="131"/>
      <c r="F34" s="115"/>
      <c r="G34" s="131"/>
    </row>
    <row r="35" spans="1:11" x14ac:dyDescent="0.35">
      <c r="A35" s="115" t="s">
        <v>294</v>
      </c>
      <c r="B35" s="115" t="str">
        <f>IF(AND(A231="Hernieuwbaar gas",Productie_en_afzet!B17&lt;390),"Nee","")</f>
        <v/>
      </c>
      <c r="C35" s="115" t="str">
        <f>IF(A231="CO₂-opslag","Nee","")</f>
        <v/>
      </c>
      <c r="D35" t="str">
        <f>IF(OR(
AND(Productie_en_afzet!A14="",Productie_en_afzet!A13="Gaat de SDE++-productie-installatie deel uitmaken van een ETS-1 installatie?","ETS-1 correctie"),
AND(Productie_en_afzet!A14="",Productie_en_afzet!A13="Gaat de SDE++-productie-installatie deel uitmaken van een ETS-1 installatie, of wordt de warmte geleverd aan een ETS-1 installatie?","ETS-1 correctie")),"Nee","")</f>
        <v/>
      </c>
      <c r="E35" s="131"/>
      <c r="G35" s="131"/>
      <c r="H35" s="115"/>
      <c r="I35" s="114"/>
      <c r="J35" s="114"/>
      <c r="K35" s="114"/>
    </row>
    <row r="36" spans="1:11" x14ac:dyDescent="0.35">
      <c r="A36" s="115" t="s">
        <v>295</v>
      </c>
      <c r="B36" s="115"/>
      <c r="C36" s="115"/>
      <c r="E36" s="131"/>
      <c r="F36" s="115"/>
      <c r="H36" s="115"/>
      <c r="I36" s="115"/>
      <c r="J36" s="115"/>
    </row>
    <row r="37" spans="1:11" x14ac:dyDescent="0.35">
      <c r="A37" s="115"/>
      <c r="B37" s="115"/>
      <c r="E37" s="131"/>
      <c r="F37" s="115"/>
      <c r="H37" s="115"/>
      <c r="I37" s="115"/>
      <c r="J37" s="115"/>
    </row>
    <row r="38" spans="1:11" x14ac:dyDescent="0.35">
      <c r="A38" s="114" t="s">
        <v>307</v>
      </c>
      <c r="E38" s="131"/>
      <c r="F38" s="115"/>
      <c r="H38" s="115"/>
      <c r="I38" s="115"/>
      <c r="J38" s="115"/>
    </row>
    <row r="39" spans="1:11" x14ac:dyDescent="0.35">
      <c r="A39" s="115" t="s">
        <v>308</v>
      </c>
      <c r="B39">
        <v>1</v>
      </c>
      <c r="C39" s="115">
        <v>1</v>
      </c>
      <c r="E39" s="131"/>
      <c r="H39" s="115"/>
      <c r="I39" s="115"/>
      <c r="J39" s="115"/>
    </row>
    <row r="40" spans="1:11" x14ac:dyDescent="0.35">
      <c r="E40" s="131"/>
      <c r="F40" s="115"/>
      <c r="H40" s="115"/>
      <c r="I40" s="115"/>
      <c r="J40" s="115"/>
      <c r="K40" s="115"/>
    </row>
    <row r="41" spans="1:11" x14ac:dyDescent="0.35">
      <c r="A41" s="114" t="s">
        <v>309</v>
      </c>
      <c r="E41" s="131"/>
      <c r="F41" s="115"/>
      <c r="H41" s="115"/>
      <c r="I41" s="115"/>
      <c r="J41" s="115"/>
      <c r="K41" s="115"/>
    </row>
    <row r="42" spans="1:11" x14ac:dyDescent="0.35">
      <c r="A42" s="115" t="s">
        <v>310</v>
      </c>
      <c r="B42" s="115">
        <f>IF(VLOOKUP(Hulpblad_categorieën_parameters!D82,Hulpblad_categorieën_parameters!A88:Y349,23,FALSE)="Biomassa",0,
IF(VLOOKUP(Hulpblad_categorieën_parameters!D82,Hulpblad_categorieën_parameters!A88:Y349,23,FALSE)="Biomassa voortzetting (renovatie)",0,
IF(VLOOKUP(Hulpblad_categorieën_parameters!D82,Hulpblad_categorieën_parameters!A88:Y349,23,FALSE)="Biomassa, extra eisen",0,
IF(VLOOKUP(Hulpblad_categorieën_parameters!D82,Hulpblad_categorieën_parameters!A88:Y349,23,FALSE)="Biomassa voortzetting (renovatie), extra eisen",0,
IF(VLOOKUP(Hulpblad_categorieën_parameters!D82,Hulpblad_categorieën_parameters!A88:Y349,23,FALSE)="Biomassa extra faciliteit (ombouw)",0,
IF(VLOOKUP(Hulpblad_categorieën_parameters!D82,Hulpblad_categorieën_parameters!A88:Y349,23,FALSE)="RWZI, verbeterde slibgisting",0,1))))))</f>
        <v>1</v>
      </c>
      <c r="E42" s="131"/>
      <c r="F42" s="115"/>
      <c r="H42" s="115"/>
      <c r="I42" s="115"/>
      <c r="J42" s="115"/>
      <c r="K42" s="115"/>
    </row>
    <row r="43" spans="1:11" x14ac:dyDescent="0.35">
      <c r="A43" s="115"/>
      <c r="B43" s="115"/>
      <c r="E43" s="131"/>
      <c r="F43" s="115"/>
      <c r="H43" s="115"/>
      <c r="I43" s="115"/>
      <c r="J43" s="115"/>
      <c r="K43" s="115"/>
    </row>
    <row r="44" spans="1:11" x14ac:dyDescent="0.35">
      <c r="A44" s="114" t="s">
        <v>311</v>
      </c>
      <c r="B44" s="115"/>
      <c r="E44" s="131"/>
      <c r="F44" s="116"/>
      <c r="H44" s="115"/>
      <c r="I44" s="115"/>
      <c r="J44" s="115"/>
      <c r="K44" s="115"/>
    </row>
    <row r="45" spans="1:11" ht="12" customHeight="1" x14ac:dyDescent="0.35">
      <c r="A45" s="115" t="s">
        <v>310</v>
      </c>
      <c r="B45" s="115">
        <f>IF(VLOOKUP(Hulpblad_categorieën_parameters!D82,Hulpblad_categorieën_parameters!A88:Y349,24,FALSE)="CO₂-opslag",0,1)</f>
        <v>1</v>
      </c>
      <c r="F45" s="115"/>
      <c r="H45" s="115"/>
      <c r="I45" s="115"/>
    </row>
    <row r="46" spans="1:11" ht="12" customHeight="1" x14ac:dyDescent="0.35">
      <c r="A46" s="115"/>
      <c r="B46" s="115"/>
      <c r="F46" s="115"/>
      <c r="H46" s="115"/>
      <c r="I46" s="115"/>
    </row>
    <row r="47" spans="1:11" ht="12" customHeight="1" x14ac:dyDescent="0.35">
      <c r="A47" s="115"/>
      <c r="B47" s="115"/>
      <c r="F47" s="115"/>
      <c r="H47" s="115"/>
      <c r="I47" s="115"/>
    </row>
    <row r="48" spans="1:11" ht="12" customHeight="1" x14ac:dyDescent="0.35">
      <c r="A48" s="114" t="s">
        <v>398</v>
      </c>
      <c r="B48" s="115"/>
      <c r="F48" s="115"/>
      <c r="H48" s="115"/>
      <c r="I48" s="115"/>
    </row>
    <row r="49" spans="1:9" ht="12" customHeight="1" x14ac:dyDescent="0.35">
      <c r="A49" s="121" t="s">
        <v>399</v>
      </c>
      <c r="B49" s="121" t="s">
        <v>400</v>
      </c>
      <c r="F49" s="115"/>
      <c r="H49" s="115"/>
      <c r="I49" s="115"/>
    </row>
    <row r="50" spans="1:9" ht="12" customHeight="1" x14ac:dyDescent="0.35">
      <c r="A50" s="121">
        <v>0</v>
      </c>
      <c r="B50" s="121" t="s">
        <v>533</v>
      </c>
      <c r="F50" s="115"/>
      <c r="H50" s="115"/>
      <c r="I50" s="115"/>
    </row>
    <row r="51" spans="1:9" ht="12" customHeight="1" x14ac:dyDescent="0.35">
      <c r="A51" s="115">
        <v>1</v>
      </c>
      <c r="B51" s="222" t="e">
        <f>IF(Exploitatieberekening!$B$31&lt;100%,SUM(Exploitatieberekening!$O$145:'Exploitatieberekening'!$O$145)/(SUM(Exploitatieberekening!$O$126:'Exploitatieberekening'!$O$126)+SUM(Exploitatieberekening!$O$127:'Exploitatieberekening'!$O$127)),"n.v.t., geen vreemd vermogen")</f>
        <v>#DIV/0!</v>
      </c>
      <c r="F51" s="115"/>
      <c r="H51" s="115"/>
      <c r="I51" s="115"/>
    </row>
    <row r="52" spans="1:9" ht="12" customHeight="1" x14ac:dyDescent="0.35">
      <c r="A52" s="115">
        <v>2</v>
      </c>
      <c r="B52" s="222" t="e">
        <f>IF(Exploitatieberekening!$B$31&lt;100%,SUM(Exploitatieberekening!$O$145:'Exploitatieberekening'!$P$145)/(SUM(Exploitatieberekening!$O$126:'Exploitatieberekening'!$P$126)+SUM(Exploitatieberekening!$O$127:'Exploitatieberekening'!$P$127)),"n.v.t., geen vreemd vermogen")</f>
        <v>#DIV/0!</v>
      </c>
      <c r="F52" s="115"/>
      <c r="H52" s="115"/>
      <c r="I52" s="115"/>
    </row>
    <row r="53" spans="1:9" ht="12" customHeight="1" x14ac:dyDescent="0.35">
      <c r="A53" s="115">
        <v>3</v>
      </c>
      <c r="B53" s="222" t="e">
        <f>IF(Exploitatieberekening!$B$31&lt;100%,SUM(Exploitatieberekening!$O$145:'Exploitatieberekening'!$Q$145)/(SUM(Exploitatieberekening!$O$126:'Exploitatieberekening'!$Q$126)+SUM(Exploitatieberekening!$O$127:'Exploitatieberekening'!$Q$127)),"n.v.t., geen vreemd vermogen")</f>
        <v>#DIV/0!</v>
      </c>
      <c r="F53" s="115"/>
      <c r="H53" s="115"/>
      <c r="I53" s="115"/>
    </row>
    <row r="54" spans="1:9" ht="12" customHeight="1" x14ac:dyDescent="0.35">
      <c r="A54" s="115">
        <v>4</v>
      </c>
      <c r="B54" s="222" t="e">
        <f>IF(Exploitatieberekening!$B$31&lt;100%,SUM(Exploitatieberekening!$O$145:'Exploitatieberekening'!$R$145)/(SUM(Exploitatieberekening!$O$126:'Exploitatieberekening'!$R$126)+SUM(Exploitatieberekening!$O$127:'Exploitatieberekening'!$R$127)),"n.v.t., geen vreemd vermogen")</f>
        <v>#DIV/0!</v>
      </c>
      <c r="F54" s="115"/>
      <c r="H54" s="115"/>
      <c r="I54" s="115"/>
    </row>
    <row r="55" spans="1:9" ht="12" customHeight="1" x14ac:dyDescent="0.35">
      <c r="A55" s="115">
        <v>5</v>
      </c>
      <c r="B55" s="222" t="e">
        <f>IF(Exploitatieberekening!$B$31&lt;100%,SUM(Exploitatieberekening!$O$145:'Exploitatieberekening'!$S$145)/(SUM(Exploitatieberekening!$O$126:'Exploitatieberekening'!$S$126)+SUM(Exploitatieberekening!$O$127:'Exploitatieberekening'!$S$127)),"n.v.t., geen vreemd vermogen")</f>
        <v>#DIV/0!</v>
      </c>
      <c r="F55" s="115"/>
      <c r="H55" s="115"/>
      <c r="I55" s="115"/>
    </row>
    <row r="56" spans="1:9" ht="12" customHeight="1" x14ac:dyDescent="0.35">
      <c r="A56" s="115">
        <v>6</v>
      </c>
      <c r="B56" s="222" t="e">
        <f>IF(Exploitatieberekening!$B$31&lt;100%,SUM(Exploitatieberekening!$O$145:'Exploitatieberekening'!$T$145)/(SUM(Exploitatieberekening!$O$126:'Exploitatieberekening'!$T$126)+SUM(Exploitatieberekening!$O$127:'Exploitatieberekening'!$T$127)),"n.v.t., geen vreemd vermogen")</f>
        <v>#DIV/0!</v>
      </c>
      <c r="F56" s="115"/>
      <c r="H56" s="115"/>
      <c r="I56" s="115"/>
    </row>
    <row r="57" spans="1:9" ht="12" customHeight="1" x14ac:dyDescent="0.35">
      <c r="A57" s="115">
        <v>7</v>
      </c>
      <c r="B57" s="222" t="e">
        <f>IF(Exploitatieberekening!$B$31&lt;100%,SUM(Exploitatieberekening!$O$145:'Exploitatieberekening'!$U$145)/(SUM(Exploitatieberekening!$O$126:'Exploitatieberekening'!$U$126)+SUM(Exploitatieberekening!$O$127:'Exploitatieberekening'!$U$127)),"n.v.t., geen vreemd vermogen")</f>
        <v>#DIV/0!</v>
      </c>
      <c r="F57" s="115"/>
      <c r="H57" s="115"/>
      <c r="I57" s="115"/>
    </row>
    <row r="58" spans="1:9" ht="12" customHeight="1" x14ac:dyDescent="0.35">
      <c r="A58" s="115">
        <v>8</v>
      </c>
      <c r="B58" s="222" t="e">
        <f>IF(Exploitatieberekening!$B$31&lt;100%,SUM(Exploitatieberekening!$O$145:'Exploitatieberekening'!$V$145)/(SUM(Exploitatieberekening!$O$126:'Exploitatieberekening'!$V$126)+SUM(Exploitatieberekening!$O$127:'Exploitatieberekening'!$V$127)),"n.v.t., geen vreemd vermogen")</f>
        <v>#DIV/0!</v>
      </c>
      <c r="F58" s="115"/>
      <c r="H58" s="115"/>
      <c r="I58" s="115"/>
    </row>
    <row r="59" spans="1:9" ht="12" customHeight="1" x14ac:dyDescent="0.35">
      <c r="A59" s="115">
        <v>9</v>
      </c>
      <c r="B59" s="222" t="e">
        <f>IF(Exploitatieberekening!$B$31&lt;100%,SUM(Exploitatieberekening!$O$145:'Exploitatieberekening'!$W$145)/(SUM(Exploitatieberekening!$O$126:'Exploitatieberekening'!$W$126)+SUM(Exploitatieberekening!$O$127:'Exploitatieberekening'!$W$127)),"n.v.t., geen vreemd vermogen")</f>
        <v>#DIV/0!</v>
      </c>
      <c r="F59" s="115"/>
      <c r="H59" s="115"/>
      <c r="I59" s="115"/>
    </row>
    <row r="60" spans="1:9" ht="12" customHeight="1" x14ac:dyDescent="0.35">
      <c r="A60" s="115">
        <v>10</v>
      </c>
      <c r="B60" s="222" t="e">
        <f>IF(Exploitatieberekening!$B$31&lt;100%,SUM(Exploitatieberekening!$O$145:'Exploitatieberekening'!$X$145)/(SUM(Exploitatieberekening!$O$126:'Exploitatieberekening'!$X$126)+SUM(Exploitatieberekening!$O$127:'Exploitatieberekening'!$X$127)),"n.v.t., geen vreemd vermogen")</f>
        <v>#DIV/0!</v>
      </c>
      <c r="F60" s="115"/>
      <c r="H60" s="115"/>
      <c r="I60" s="115"/>
    </row>
    <row r="61" spans="1:9" ht="12" customHeight="1" x14ac:dyDescent="0.35">
      <c r="A61" s="115">
        <v>11</v>
      </c>
      <c r="B61" s="222" t="e">
        <f>IF(Exploitatieberekening!$B$31&lt;100%,SUM(Exploitatieberekening!$O$145:'Exploitatieberekening'!$Y$145)/(SUM(Exploitatieberekening!$O$126:'Exploitatieberekening'!$Y$126)+SUM(Exploitatieberekening!$O$127:'Exploitatieberekening'!$Y$127)),"n.v.t., geen vreemd vermogen")</f>
        <v>#DIV/0!</v>
      </c>
      <c r="F61" s="115"/>
      <c r="H61" s="115"/>
      <c r="I61" s="115"/>
    </row>
    <row r="62" spans="1:9" ht="12" customHeight="1" x14ac:dyDescent="0.35">
      <c r="A62" s="115">
        <v>12</v>
      </c>
      <c r="B62" s="222" t="e">
        <f>IF(Exploitatieberekening!$B$31&lt;100%,SUM(Exploitatieberekening!$O$145:'Exploitatieberekening'!$Z$145)/(SUM(Exploitatieberekening!$O$126:'Exploitatieberekening'!$Z$126)+SUM(Exploitatieberekening!$O$127:'Exploitatieberekening'!$Z$127)),"n.v.t., geen vreemd vermogen")</f>
        <v>#DIV/0!</v>
      </c>
      <c r="F62" s="115"/>
      <c r="H62" s="115"/>
      <c r="I62" s="115"/>
    </row>
    <row r="63" spans="1:9" ht="12" customHeight="1" x14ac:dyDescent="0.35">
      <c r="A63" s="115">
        <v>13</v>
      </c>
      <c r="B63" s="222" t="e">
        <f>IF(Exploitatieberekening!$B$31&lt;100%,SUM(Exploitatieberekening!$O$145:'Exploitatieberekening'!$AA$145)/(SUM(Exploitatieberekening!$O$126:'Exploitatieberekening'!$AA$126)+SUM(Exploitatieberekening!$O$127:'Exploitatieberekening'!$AA$127)),"n.v.t., geen vreemd vermogen")</f>
        <v>#DIV/0!</v>
      </c>
      <c r="F63" s="115"/>
      <c r="H63" s="115"/>
      <c r="I63" s="115"/>
    </row>
    <row r="64" spans="1:9" ht="12" customHeight="1" x14ac:dyDescent="0.35">
      <c r="A64" s="115">
        <v>14</v>
      </c>
      <c r="B64" s="222" t="e">
        <f>IF(Exploitatieberekening!$B$31&lt;100%,SUM(Exploitatieberekening!$O$145:'Exploitatieberekening'!$AB$145)/(SUM(Exploitatieberekening!$O$126:'Exploitatieberekening'!$AB$126)+SUM(Exploitatieberekening!$O$127:'Exploitatieberekening'!$AB$127)),"n.v.t., geen vreemd vermogen")</f>
        <v>#DIV/0!</v>
      </c>
      <c r="F64" s="115"/>
      <c r="H64" s="115"/>
      <c r="I64" s="115"/>
    </row>
    <row r="65" spans="1:18" ht="12" customHeight="1" x14ac:dyDescent="0.35">
      <c r="A65" s="115">
        <v>15</v>
      </c>
      <c r="B65" s="222" t="e">
        <f>IF(Exploitatieberekening!$B$31&lt;100%,SUM(Exploitatieberekening!$O$145:'Exploitatieberekening'!$AC$145)/(SUM(Exploitatieberekening!$O$126:'Exploitatieberekening'!$AC$126)+SUM(Exploitatieberekening!$O$127:'Exploitatieberekening'!$AC$127)),"n.v.t., geen vreemd vermogen")</f>
        <v>#DIV/0!</v>
      </c>
      <c r="F65" s="115"/>
      <c r="H65" s="115"/>
      <c r="I65" s="115"/>
    </row>
    <row r="66" spans="1:18" ht="12" customHeight="1" x14ac:dyDescent="0.35">
      <c r="A66" s="115">
        <v>16</v>
      </c>
      <c r="B66" s="222" t="e">
        <f>IF(Exploitatieberekening!$B$31&lt;100%,SUM(Exploitatieberekening!$O$145:'Exploitatieberekening'!$AD$145)/(SUM(Exploitatieberekening!$O$126:'Exploitatieberekening'!$AD$126)+SUM(Exploitatieberekening!$O$127:'Exploitatieberekening'!$AD$127)),"n.v.t., geen vreemd vermogen")</f>
        <v>#DIV/0!</v>
      </c>
      <c r="F66" s="115"/>
      <c r="H66" s="115"/>
      <c r="I66" s="115"/>
    </row>
    <row r="67" spans="1:18" ht="12" customHeight="1" x14ac:dyDescent="0.35">
      <c r="A67" s="115">
        <v>17</v>
      </c>
      <c r="B67" s="222" t="e">
        <f>IF(Exploitatieberekening!$B$31&lt;100%,SUM(Exploitatieberekening!$O$145:'Exploitatieberekening'!$AE$145)/(SUM(Exploitatieberekening!$O$126:'Exploitatieberekening'!$AE$126)+SUM(Exploitatieberekening!$O$127:'Exploitatieberekening'!$AE$127)),"n.v.t., geen vreemd vermogen")</f>
        <v>#DIV/0!</v>
      </c>
      <c r="F67" s="115"/>
      <c r="H67" s="115"/>
      <c r="I67" s="115"/>
    </row>
    <row r="68" spans="1:18" ht="12" customHeight="1" x14ac:dyDescent="0.35">
      <c r="A68" s="115">
        <v>18</v>
      </c>
      <c r="B68" s="222" t="e">
        <f>IF(Exploitatieberekening!$B$31&lt;100%,SUM(Exploitatieberekening!$O$145:'Exploitatieberekening'!$AF$145)/(SUM(Exploitatieberekening!$O$126:'Exploitatieberekening'!$AF$126)+SUM(Exploitatieberekening!$O$127:'Exploitatieberekening'!$AF$127)),"n.v.t., geen vreemd vermogen")</f>
        <v>#DIV/0!</v>
      </c>
      <c r="F68" s="115"/>
      <c r="H68" s="115"/>
      <c r="I68" s="115"/>
    </row>
    <row r="69" spans="1:18" ht="12" customHeight="1" x14ac:dyDescent="0.35">
      <c r="A69" s="115">
        <v>19</v>
      </c>
      <c r="B69" s="222" t="e">
        <f>IF(Exploitatieberekening!$B$31&lt;100%,SUM(Exploitatieberekening!$O$145:'Exploitatieberekening'!$AG$145)/(SUM(Exploitatieberekening!$O$126:'Exploitatieberekening'!$AG$126)+SUM(Exploitatieberekening!$O$127:'Exploitatieberekening'!$AG$127)),"n.v.t., geen vreemd vermogen")</f>
        <v>#DIV/0!</v>
      </c>
      <c r="F69" s="115"/>
      <c r="H69" s="115"/>
      <c r="I69" s="115"/>
    </row>
    <row r="70" spans="1:18" ht="12" customHeight="1" x14ac:dyDescent="0.35">
      <c r="A70" s="115">
        <v>20</v>
      </c>
      <c r="B70" s="222" t="e">
        <f>IF(Exploitatieberekening!$B$31&lt;100%,SUM(Exploitatieberekening!$O$145:'Exploitatieberekening'!$AH$145)/(SUM(Exploitatieberekening!$O$126:'Exploitatieberekening'!$AH$126)+SUM(Exploitatieberekening!$O$127:'Exploitatieberekening'!$AH$127)),"n.v.t., geen vreemd vermogen")</f>
        <v>#DIV/0!</v>
      </c>
      <c r="F70" s="115"/>
      <c r="H70" s="115"/>
      <c r="I70" s="115"/>
    </row>
    <row r="71" spans="1:18" ht="12" customHeight="1" x14ac:dyDescent="0.35">
      <c r="A71" s="115"/>
      <c r="B71" s="115"/>
      <c r="F71" s="115"/>
      <c r="H71" s="115"/>
      <c r="I71" s="115"/>
    </row>
    <row r="72" spans="1:18" ht="12" customHeight="1" x14ac:dyDescent="0.35">
      <c r="A72" s="115"/>
      <c r="B72" s="115"/>
      <c r="F72" s="115"/>
      <c r="H72" s="115"/>
      <c r="I72" s="115"/>
    </row>
    <row r="73" spans="1:18" ht="21.75" customHeight="1" x14ac:dyDescent="0.4">
      <c r="A73" s="132" t="s">
        <v>312</v>
      </c>
      <c r="B73" s="119"/>
      <c r="C73" s="131"/>
      <c r="D73" s="131"/>
      <c r="E73" s="131"/>
      <c r="F73" s="131"/>
      <c r="G73" s="131"/>
      <c r="H73" s="131"/>
      <c r="I73" s="131"/>
      <c r="J73" s="131"/>
      <c r="K73" s="131"/>
      <c r="L73" s="131"/>
      <c r="M73" s="131"/>
      <c r="N73" s="131"/>
      <c r="O73" s="131"/>
      <c r="P73" s="131"/>
      <c r="Q73" s="131"/>
      <c r="R73" s="131"/>
    </row>
    <row r="74" spans="1:18" ht="21.75" customHeight="1" x14ac:dyDescent="0.35">
      <c r="A74" s="114" t="s">
        <v>383</v>
      </c>
      <c r="B74" s="119"/>
      <c r="C74" s="131"/>
      <c r="D74" s="131"/>
      <c r="E74" s="131"/>
      <c r="F74" s="131"/>
      <c r="G74" s="131"/>
      <c r="H74" s="131"/>
      <c r="I74" s="131"/>
      <c r="J74" s="131"/>
      <c r="K74" s="131"/>
      <c r="L74" s="131"/>
      <c r="M74" s="131"/>
      <c r="N74" s="131"/>
      <c r="O74" s="131"/>
      <c r="P74" s="131"/>
      <c r="Q74" s="131"/>
      <c r="R74" s="131"/>
    </row>
    <row r="75" spans="1:18" ht="43.5" customHeight="1" x14ac:dyDescent="0.35">
      <c r="A75" s="442" t="s">
        <v>528</v>
      </c>
      <c r="B75" s="448"/>
      <c r="C75" s="448"/>
      <c r="D75" s="448"/>
      <c r="E75" s="131"/>
      <c r="F75" s="131"/>
      <c r="G75" s="131"/>
      <c r="H75" s="131"/>
      <c r="I75" s="131"/>
      <c r="J75" s="131"/>
      <c r="K75" s="131"/>
      <c r="L75" s="131"/>
      <c r="M75" s="131"/>
      <c r="N75" s="131"/>
      <c r="O75" s="131"/>
      <c r="P75" s="131"/>
      <c r="Q75" s="131"/>
      <c r="R75" s="131"/>
    </row>
    <row r="76" spans="1:18" ht="12.75" customHeight="1" x14ac:dyDescent="0.35">
      <c r="B76" s="114"/>
      <c r="F76" s="115"/>
      <c r="H76" s="115"/>
      <c r="I76" s="115"/>
    </row>
    <row r="77" spans="1:18" ht="15" customHeight="1" x14ac:dyDescent="0.35">
      <c r="A77" s="114" t="s">
        <v>313</v>
      </c>
      <c r="B77" s="114"/>
      <c r="F77" s="114"/>
      <c r="H77" s="115"/>
      <c r="I77" s="115"/>
    </row>
    <row r="78" spans="1:18" ht="101.25" customHeight="1" x14ac:dyDescent="0.35">
      <c r="A78" s="442" t="s">
        <v>385</v>
      </c>
      <c r="B78" s="442"/>
      <c r="C78" s="444"/>
      <c r="D78" s="444"/>
      <c r="E78" s="133"/>
      <c r="F78" s="442"/>
      <c r="G78" s="336"/>
      <c r="H78" s="336"/>
    </row>
    <row r="79" spans="1:18" ht="15" customHeight="1" x14ac:dyDescent="0.35">
      <c r="A79" s="114" t="s">
        <v>314</v>
      </c>
      <c r="B79" s="123"/>
      <c r="C79" s="130"/>
      <c r="D79" s="130"/>
      <c r="E79" s="133"/>
      <c r="F79" s="442"/>
      <c r="G79" s="336"/>
      <c r="H79" s="336"/>
    </row>
    <row r="80" spans="1:18" ht="75" customHeight="1" x14ac:dyDescent="0.35">
      <c r="A80" s="445" t="s">
        <v>509</v>
      </c>
      <c r="B80" s="444"/>
      <c r="C80" s="444"/>
      <c r="D80" s="444"/>
      <c r="F80" s="442"/>
      <c r="G80" s="336"/>
      <c r="H80" s="336"/>
    </row>
    <row r="81" spans="1:8" ht="15" customHeight="1" x14ac:dyDescent="0.35">
      <c r="A81" s="134" t="s">
        <v>446</v>
      </c>
      <c r="B81" s="130"/>
      <c r="C81" s="130"/>
      <c r="D81" s="130"/>
      <c r="F81" s="123"/>
      <c r="G81" s="135"/>
      <c r="H81" s="135"/>
    </row>
    <row r="82" spans="1:8" ht="75" customHeight="1" x14ac:dyDescent="0.35">
      <c r="A82" s="445" t="s">
        <v>315</v>
      </c>
      <c r="B82" s="444"/>
      <c r="C82" s="444"/>
      <c r="D82" s="444"/>
      <c r="F82" s="123"/>
      <c r="G82" s="135"/>
      <c r="H82" s="135"/>
    </row>
    <row r="83" spans="1:8" ht="15" customHeight="1" x14ac:dyDescent="0.35">
      <c r="A83" s="134" t="s">
        <v>447</v>
      </c>
      <c r="B83" s="130"/>
      <c r="C83" s="130"/>
      <c r="D83" s="130"/>
      <c r="F83" s="123"/>
      <c r="G83" s="135"/>
      <c r="H83" s="135"/>
    </row>
    <row r="84" spans="1:8" ht="75" customHeight="1" x14ac:dyDescent="0.35">
      <c r="A84" s="445" t="s">
        <v>450</v>
      </c>
      <c r="B84" s="444"/>
      <c r="C84" s="444"/>
      <c r="D84" s="444"/>
      <c r="F84" s="123"/>
      <c r="G84" s="135"/>
      <c r="H84" s="135"/>
    </row>
    <row r="85" spans="1:8" ht="15" customHeight="1" x14ac:dyDescent="0.35">
      <c r="A85" s="134" t="s">
        <v>451</v>
      </c>
      <c r="B85" s="130"/>
      <c r="C85" s="130"/>
      <c r="D85" s="130"/>
      <c r="F85" s="123"/>
      <c r="G85" s="135"/>
      <c r="H85" s="135"/>
    </row>
    <row r="86" spans="1:8" ht="117" customHeight="1" x14ac:dyDescent="0.35">
      <c r="A86" s="445" t="s">
        <v>452</v>
      </c>
      <c r="B86" s="444"/>
      <c r="C86" s="444"/>
      <c r="D86" s="444"/>
      <c r="F86" s="123"/>
      <c r="G86" s="135"/>
      <c r="H86" s="135"/>
    </row>
    <row r="87" spans="1:8" ht="15" customHeight="1" x14ac:dyDescent="0.35">
      <c r="A87" s="134" t="s">
        <v>316</v>
      </c>
      <c r="B87" s="130"/>
      <c r="C87" s="130"/>
      <c r="D87" s="130"/>
      <c r="F87" s="123"/>
      <c r="G87" s="135"/>
      <c r="H87" s="135"/>
    </row>
    <row r="88" spans="1:8" ht="75" customHeight="1" x14ac:dyDescent="0.35">
      <c r="A88" s="445" t="s">
        <v>317</v>
      </c>
      <c r="B88" s="444"/>
      <c r="C88" s="444"/>
      <c r="D88" s="444"/>
      <c r="F88" s="123"/>
      <c r="G88" s="135"/>
      <c r="H88" s="135"/>
    </row>
    <row r="89" spans="1:8" ht="15" customHeight="1" x14ac:dyDescent="0.35">
      <c r="A89" s="114" t="s">
        <v>318</v>
      </c>
      <c r="B89" s="114"/>
      <c r="E89" s="135"/>
      <c r="F89" s="135"/>
    </row>
    <row r="90" spans="1:8" ht="60.75" customHeight="1" x14ac:dyDescent="0.35">
      <c r="A90" s="442" t="s">
        <v>319</v>
      </c>
      <c r="B90" s="442"/>
      <c r="C90" s="444"/>
      <c r="D90" s="444"/>
      <c r="E90" s="135"/>
      <c r="F90" s="135"/>
    </row>
    <row r="91" spans="1:8" ht="15" customHeight="1" x14ac:dyDescent="0.35">
      <c r="A91" s="114" t="s">
        <v>320</v>
      </c>
      <c r="B91" s="123"/>
      <c r="C91" s="130"/>
      <c r="D91" s="130"/>
      <c r="E91" s="135"/>
      <c r="F91" s="135"/>
    </row>
    <row r="92" spans="1:8" ht="117.65" customHeight="1" x14ac:dyDescent="0.35">
      <c r="A92" s="446" t="s">
        <v>696</v>
      </c>
      <c r="B92" s="446"/>
      <c r="C92" s="446"/>
      <c r="D92" s="446"/>
      <c r="E92" s="135"/>
      <c r="F92" s="136" t="s">
        <v>321</v>
      </c>
    </row>
    <row r="95" spans="1:8" ht="15" customHeight="1" x14ac:dyDescent="0.35">
      <c r="A95" s="114" t="s">
        <v>322</v>
      </c>
      <c r="B95" s="114"/>
      <c r="C95" s="130"/>
      <c r="D95" s="130"/>
      <c r="E95" s="135"/>
      <c r="F95" s="135"/>
    </row>
    <row r="96" spans="1:8" ht="40" customHeight="1" x14ac:dyDescent="0.35">
      <c r="A96" s="442" t="s">
        <v>510</v>
      </c>
      <c r="B96" s="442"/>
      <c r="C96" s="442"/>
      <c r="D96" s="442"/>
      <c r="E96" s="135"/>
      <c r="F96" s="135"/>
    </row>
    <row r="97" spans="1:6" ht="15" customHeight="1" x14ac:dyDescent="0.35">
      <c r="A97" s="114" t="s">
        <v>323</v>
      </c>
      <c r="B97" s="114"/>
      <c r="C97" s="130"/>
      <c r="D97" s="130"/>
      <c r="E97" s="135"/>
      <c r="F97" s="135"/>
    </row>
    <row r="98" spans="1:6" ht="127.5" customHeight="1" x14ac:dyDescent="0.35">
      <c r="A98" s="442" t="s">
        <v>441</v>
      </c>
      <c r="B98" s="442"/>
      <c r="C98" s="444"/>
      <c r="D98" s="444"/>
      <c r="E98" s="135"/>
      <c r="F98" s="135"/>
    </row>
    <row r="99" spans="1:6" ht="15" customHeight="1" x14ac:dyDescent="0.35">
      <c r="A99" s="129" t="s">
        <v>324</v>
      </c>
      <c r="B99" s="123"/>
      <c r="C99" s="130"/>
      <c r="D99" s="130"/>
      <c r="E99" s="135"/>
      <c r="F99" s="135"/>
    </row>
    <row r="100" spans="1:6" ht="45" customHeight="1" x14ac:dyDescent="0.35">
      <c r="A100" s="442" t="s">
        <v>325</v>
      </c>
      <c r="B100" s="442"/>
      <c r="C100" s="444"/>
      <c r="D100" s="444"/>
      <c r="E100" s="135"/>
      <c r="F100" s="135"/>
    </row>
    <row r="101" spans="1:6" ht="15" customHeight="1" x14ac:dyDescent="0.35">
      <c r="A101" s="114" t="s">
        <v>326</v>
      </c>
      <c r="B101" s="114"/>
      <c r="C101" s="130"/>
      <c r="D101" s="130"/>
      <c r="E101" s="135"/>
      <c r="F101" s="135"/>
    </row>
    <row r="102" spans="1:6" ht="153.75" customHeight="1" x14ac:dyDescent="0.35">
      <c r="A102" s="442" t="s">
        <v>581</v>
      </c>
      <c r="B102" s="442"/>
      <c r="C102" s="443"/>
      <c r="D102" s="443"/>
      <c r="E102" s="135"/>
      <c r="F102" s="135"/>
    </row>
    <row r="103" spans="1:6" ht="15" customHeight="1" x14ac:dyDescent="0.35">
      <c r="A103" s="114" t="s">
        <v>423</v>
      </c>
      <c r="B103" s="123"/>
      <c r="C103" s="256"/>
      <c r="D103" s="256"/>
      <c r="E103" s="135"/>
      <c r="F103" s="135"/>
    </row>
    <row r="104" spans="1:6" ht="172.5" customHeight="1" x14ac:dyDescent="0.35">
      <c r="A104" s="442" t="s">
        <v>582</v>
      </c>
      <c r="B104" s="444"/>
      <c r="C104" s="444"/>
      <c r="D104" s="444"/>
      <c r="E104" s="135"/>
      <c r="F104" s="135"/>
    </row>
    <row r="105" spans="1:6" ht="15" customHeight="1" x14ac:dyDescent="0.35">
      <c r="A105" s="114" t="s">
        <v>502</v>
      </c>
      <c r="B105" s="130"/>
      <c r="C105" s="130"/>
      <c r="D105" s="130"/>
      <c r="E105" s="135"/>
      <c r="F105" s="135"/>
    </row>
    <row r="106" spans="1:6" ht="153.75" customHeight="1" x14ac:dyDescent="0.35">
      <c r="A106" s="442" t="s">
        <v>583</v>
      </c>
      <c r="B106" s="442"/>
      <c r="C106" s="443"/>
      <c r="D106" s="443"/>
      <c r="E106" s="135"/>
      <c r="F106" s="135"/>
    </row>
    <row r="107" spans="1:6" ht="15" customHeight="1" x14ac:dyDescent="0.35">
      <c r="A107" s="114" t="s">
        <v>503</v>
      </c>
      <c r="B107" s="130"/>
      <c r="C107" s="130"/>
      <c r="D107" s="130"/>
      <c r="E107" s="135"/>
      <c r="F107" s="135"/>
    </row>
    <row r="108" spans="1:6" ht="261.75" customHeight="1" x14ac:dyDescent="0.35">
      <c r="A108" s="442" t="s">
        <v>580</v>
      </c>
      <c r="B108" s="444"/>
      <c r="C108" s="444"/>
      <c r="D108" s="444"/>
      <c r="E108" s="135"/>
      <c r="F108" s="135"/>
    </row>
    <row r="109" spans="1:6" ht="15" customHeight="1" x14ac:dyDescent="0.35">
      <c r="A109" s="114" t="s">
        <v>327</v>
      </c>
      <c r="B109" s="123"/>
      <c r="C109" s="130"/>
      <c r="D109" s="130"/>
      <c r="E109" s="135"/>
      <c r="F109" s="135"/>
    </row>
    <row r="110" spans="1:6" ht="54.75" customHeight="1" x14ac:dyDescent="0.35">
      <c r="A110" s="442" t="s">
        <v>560</v>
      </c>
      <c r="B110" s="442"/>
      <c r="C110" s="443"/>
      <c r="D110" s="443"/>
      <c r="E110" s="135"/>
      <c r="F110" s="135"/>
    </row>
    <row r="111" spans="1:6" ht="15" customHeight="1" x14ac:dyDescent="0.35">
      <c r="A111" s="114" t="s">
        <v>425</v>
      </c>
      <c r="B111" s="123"/>
      <c r="C111" s="256"/>
      <c r="D111" s="256"/>
      <c r="E111" s="135"/>
      <c r="F111" s="135"/>
    </row>
    <row r="112" spans="1:6" ht="258" customHeight="1" x14ac:dyDescent="0.35">
      <c r="A112" s="442" t="s">
        <v>579</v>
      </c>
      <c r="B112" s="444"/>
      <c r="C112" s="444"/>
      <c r="D112" s="444"/>
      <c r="E112" s="135"/>
      <c r="F112" s="135"/>
    </row>
    <row r="113" spans="1:6" ht="15" customHeight="1" x14ac:dyDescent="0.35">
      <c r="A113" s="114" t="s">
        <v>424</v>
      </c>
      <c r="B113" s="123"/>
      <c r="C113" s="123"/>
      <c r="D113" s="123"/>
      <c r="E113" s="135"/>
      <c r="F113" s="135"/>
    </row>
    <row r="114" spans="1:6" ht="261.64999999999998" customHeight="1" x14ac:dyDescent="0.35">
      <c r="A114" s="442" t="s">
        <v>584</v>
      </c>
      <c r="B114" s="442"/>
      <c r="C114" s="442"/>
      <c r="D114" s="442"/>
      <c r="E114" s="135"/>
      <c r="F114" s="135"/>
    </row>
    <row r="115" spans="1:6" ht="15" customHeight="1" x14ac:dyDescent="0.35">
      <c r="A115" s="447" t="s">
        <v>578</v>
      </c>
      <c r="B115" s="449"/>
      <c r="C115" s="449"/>
      <c r="D115" s="449"/>
      <c r="E115" s="135"/>
      <c r="F115" s="135"/>
    </row>
    <row r="116" spans="1:6" ht="256.5" customHeight="1" x14ac:dyDescent="0.35">
      <c r="A116" s="442" t="s">
        <v>585</v>
      </c>
      <c r="B116" s="444"/>
      <c r="C116" s="444"/>
      <c r="D116" s="444"/>
      <c r="E116" s="135"/>
      <c r="F116" s="135"/>
    </row>
    <row r="117" spans="1:6" ht="15" customHeight="1" x14ac:dyDescent="0.35">
      <c r="A117" s="114" t="s">
        <v>328</v>
      </c>
      <c r="B117" s="114"/>
      <c r="C117" s="130"/>
      <c r="D117" s="130"/>
      <c r="E117" s="135"/>
      <c r="F117" s="135"/>
    </row>
    <row r="118" spans="1:6" ht="65.25" customHeight="1" x14ac:dyDescent="0.35">
      <c r="A118" s="442" t="s">
        <v>384</v>
      </c>
      <c r="B118" s="442"/>
      <c r="C118" s="443"/>
      <c r="D118" s="443"/>
      <c r="E118" s="135"/>
      <c r="F118" s="135"/>
    </row>
    <row r="119" spans="1:6" ht="15" customHeight="1" x14ac:dyDescent="0.35">
      <c r="A119" s="129" t="s">
        <v>526</v>
      </c>
      <c r="B119" s="123"/>
      <c r="C119" s="123"/>
      <c r="D119" s="123"/>
      <c r="E119" s="135"/>
      <c r="F119" s="135"/>
    </row>
    <row r="120" spans="1:6" ht="126.65" customHeight="1" x14ac:dyDescent="0.35">
      <c r="A120" s="442" t="s">
        <v>697</v>
      </c>
      <c r="B120" s="444"/>
      <c r="C120" s="444"/>
      <c r="D120" s="444"/>
      <c r="E120" s="135"/>
      <c r="F120" s="135"/>
    </row>
    <row r="121" spans="1:6" ht="15" customHeight="1" x14ac:dyDescent="0.35">
      <c r="A121" s="129" t="s">
        <v>426</v>
      </c>
      <c r="B121" s="130"/>
      <c r="C121" s="130"/>
      <c r="D121" s="130"/>
      <c r="E121" s="135"/>
      <c r="F121" s="135"/>
    </row>
    <row r="122" spans="1:6" ht="126.65" customHeight="1" x14ac:dyDescent="0.35">
      <c r="A122" s="442" t="s">
        <v>698</v>
      </c>
      <c r="B122" s="444"/>
      <c r="C122" s="444"/>
      <c r="D122" s="444"/>
      <c r="E122" s="135"/>
      <c r="F122" s="135"/>
    </row>
    <row r="123" spans="1:6" ht="15" customHeight="1" x14ac:dyDescent="0.35">
      <c r="A123" s="129" t="s">
        <v>427</v>
      </c>
      <c r="B123" s="130"/>
      <c r="C123" s="130"/>
      <c r="D123" s="130"/>
      <c r="E123" s="135"/>
      <c r="F123" s="135"/>
    </row>
    <row r="124" spans="1:6" ht="123.65" customHeight="1" x14ac:dyDescent="0.35">
      <c r="A124" s="442" t="s">
        <v>699</v>
      </c>
      <c r="B124" s="444"/>
      <c r="C124" s="444"/>
      <c r="D124" s="444"/>
      <c r="E124" s="135"/>
      <c r="F124" s="135"/>
    </row>
    <row r="125" spans="1:6" ht="15" customHeight="1" x14ac:dyDescent="0.35">
      <c r="A125" s="114" t="s">
        <v>437</v>
      </c>
      <c r="B125" s="123"/>
      <c r="C125" s="123"/>
      <c r="D125" s="123"/>
      <c r="E125" s="135"/>
      <c r="F125" s="135"/>
    </row>
    <row r="126" spans="1:6" ht="90.75" customHeight="1" x14ac:dyDescent="0.35">
      <c r="A126" s="446" t="s">
        <v>700</v>
      </c>
      <c r="B126" s="446"/>
      <c r="C126" s="446"/>
      <c r="D126" s="446"/>
      <c r="E126" s="135"/>
      <c r="F126" s="135"/>
    </row>
    <row r="127" spans="1:6" ht="15" customHeight="1" x14ac:dyDescent="0.35">
      <c r="A127" s="240" t="s">
        <v>438</v>
      </c>
      <c r="B127" s="238"/>
      <c r="C127" s="238"/>
      <c r="D127" s="238"/>
      <c r="E127" s="135"/>
      <c r="F127" s="135"/>
    </row>
    <row r="128" spans="1:6" ht="96" customHeight="1" x14ac:dyDescent="0.35">
      <c r="A128" s="446" t="s">
        <v>701</v>
      </c>
      <c r="B128" s="446"/>
      <c r="C128" s="446"/>
      <c r="D128" s="446"/>
      <c r="E128" s="135"/>
      <c r="F128" s="135"/>
    </row>
    <row r="129" spans="1:6" ht="15" customHeight="1" x14ac:dyDescent="0.35">
      <c r="A129" s="114" t="s">
        <v>329</v>
      </c>
      <c r="B129" s="123"/>
      <c r="C129" s="123"/>
      <c r="D129" s="123"/>
      <c r="E129" s="135"/>
      <c r="F129" s="135"/>
    </row>
    <row r="130" spans="1:6" ht="101.25" customHeight="1" x14ac:dyDescent="0.35">
      <c r="A130" s="442" t="s">
        <v>330</v>
      </c>
      <c r="B130" s="442"/>
      <c r="C130" s="442"/>
      <c r="D130" s="442"/>
      <c r="E130" s="135"/>
      <c r="F130" s="135"/>
    </row>
    <row r="131" spans="1:6" ht="15" customHeight="1" x14ac:dyDescent="0.35">
      <c r="A131" s="114" t="s">
        <v>331</v>
      </c>
      <c r="B131" s="123"/>
      <c r="C131" s="123"/>
      <c r="D131" s="123"/>
      <c r="E131" s="135"/>
      <c r="F131" s="135"/>
    </row>
    <row r="132" spans="1:6" ht="72.650000000000006" customHeight="1" x14ac:dyDescent="0.35">
      <c r="A132" s="442" t="s">
        <v>695</v>
      </c>
      <c r="B132" s="442"/>
      <c r="C132" s="442"/>
      <c r="D132" s="442"/>
      <c r="E132" s="135"/>
      <c r="F132" s="135"/>
    </row>
    <row r="133" spans="1:6" ht="15" customHeight="1" x14ac:dyDescent="0.35">
      <c r="A133" s="114" t="s">
        <v>332</v>
      </c>
      <c r="B133" s="123"/>
      <c r="C133" s="123"/>
      <c r="D133" s="123"/>
      <c r="E133" s="135"/>
      <c r="F133" s="135"/>
    </row>
    <row r="134" spans="1:6" ht="63" customHeight="1" x14ac:dyDescent="0.35">
      <c r="A134" s="442" t="s">
        <v>333</v>
      </c>
      <c r="B134" s="442"/>
      <c r="C134" s="442"/>
      <c r="D134" s="442"/>
      <c r="E134" s="135"/>
      <c r="F134" s="135"/>
    </row>
    <row r="135" spans="1:6" ht="15" customHeight="1" x14ac:dyDescent="0.35">
      <c r="A135" s="114" t="s">
        <v>334</v>
      </c>
      <c r="B135" s="130"/>
      <c r="C135" s="130"/>
      <c r="D135" s="130"/>
      <c r="E135" s="135"/>
      <c r="F135" s="135"/>
    </row>
    <row r="136" spans="1:6" ht="70.5" customHeight="1" x14ac:dyDescent="0.35">
      <c r="A136" s="446" t="s">
        <v>702</v>
      </c>
      <c r="B136" s="446"/>
      <c r="C136" s="446"/>
      <c r="D136" s="446"/>
      <c r="E136" s="135"/>
      <c r="F136" s="135"/>
    </row>
    <row r="137" spans="1:6" ht="15" customHeight="1" x14ac:dyDescent="0.35">
      <c r="A137" s="240" t="s">
        <v>575</v>
      </c>
      <c r="B137" s="239"/>
      <c r="C137" s="239"/>
      <c r="D137" s="239"/>
      <c r="E137" s="135"/>
      <c r="F137" s="135"/>
    </row>
    <row r="138" spans="1:6" ht="121.5" customHeight="1" x14ac:dyDescent="0.35">
      <c r="A138" s="442" t="s">
        <v>703</v>
      </c>
      <c r="B138" s="442"/>
      <c r="C138" s="442"/>
      <c r="D138" s="442"/>
      <c r="E138" s="135"/>
      <c r="F138" s="135"/>
    </row>
    <row r="139" spans="1:6" ht="15" customHeight="1" x14ac:dyDescent="0.35">
      <c r="A139" s="447" t="s">
        <v>571</v>
      </c>
      <c r="B139" s="444"/>
      <c r="C139" s="444"/>
      <c r="D139" s="444"/>
      <c r="E139" s="135"/>
      <c r="F139" s="135"/>
    </row>
    <row r="140" spans="1:6" ht="219" customHeight="1" x14ac:dyDescent="0.35">
      <c r="A140" s="442" t="s">
        <v>704</v>
      </c>
      <c r="B140" s="444"/>
      <c r="C140" s="444"/>
      <c r="D140" s="444"/>
      <c r="E140" s="135"/>
      <c r="F140" s="135"/>
    </row>
    <row r="141" spans="1:6" ht="15" customHeight="1" x14ac:dyDescent="0.35">
      <c r="A141" s="447" t="s">
        <v>576</v>
      </c>
      <c r="B141" s="444"/>
      <c r="C141" s="444"/>
      <c r="D141" s="444"/>
      <c r="E141" s="135"/>
      <c r="F141" s="135"/>
    </row>
    <row r="142" spans="1:6" ht="138" customHeight="1" x14ac:dyDescent="0.35">
      <c r="A142" s="442" t="s">
        <v>705</v>
      </c>
      <c r="B142" s="444"/>
      <c r="C142" s="444"/>
      <c r="D142" s="444"/>
      <c r="E142" s="135"/>
      <c r="F142" s="135"/>
    </row>
    <row r="143" spans="1:6" ht="15" customHeight="1" x14ac:dyDescent="0.35">
      <c r="A143" s="241" t="s">
        <v>335</v>
      </c>
      <c r="B143" s="239"/>
      <c r="C143" s="239"/>
      <c r="D143" s="239"/>
      <c r="E143" s="135"/>
      <c r="F143" s="135"/>
    </row>
    <row r="144" spans="1:6" ht="56.25" customHeight="1" x14ac:dyDescent="0.35">
      <c r="A144" s="446" t="s">
        <v>336</v>
      </c>
      <c r="B144" s="446"/>
      <c r="C144" s="446"/>
      <c r="D144" s="446"/>
      <c r="E144" s="135"/>
      <c r="F144" s="135"/>
    </row>
    <row r="145" spans="1:6" ht="24.75" customHeight="1" x14ac:dyDescent="0.35">
      <c r="A145" s="241" t="s">
        <v>337</v>
      </c>
      <c r="B145" s="239"/>
      <c r="C145" s="239"/>
      <c r="D145" s="239"/>
      <c r="E145" s="135"/>
      <c r="F145" s="135"/>
    </row>
    <row r="146" spans="1:6" ht="105.65" customHeight="1" x14ac:dyDescent="0.35">
      <c r="A146" s="446" t="s">
        <v>706</v>
      </c>
      <c r="B146" s="446"/>
      <c r="C146" s="446"/>
      <c r="D146" s="446"/>
      <c r="E146" s="135"/>
      <c r="F146" s="135"/>
    </row>
    <row r="147" spans="1:6" ht="15" customHeight="1" x14ac:dyDescent="0.35">
      <c r="A147" s="114" t="s">
        <v>694</v>
      </c>
      <c r="B147" s="238"/>
      <c r="C147" s="238"/>
      <c r="D147" s="238"/>
      <c r="E147" s="135"/>
      <c r="F147" s="136"/>
    </row>
    <row r="148" spans="1:6" ht="132" customHeight="1" x14ac:dyDescent="0.35">
      <c r="A148" s="442" t="s">
        <v>707</v>
      </c>
      <c r="B148" s="444"/>
      <c r="C148" s="444"/>
      <c r="D148" s="444"/>
      <c r="E148" s="135"/>
      <c r="F148" s="136"/>
    </row>
    <row r="149" spans="1:6" ht="15" customHeight="1" x14ac:dyDescent="0.35">
      <c r="A149" s="114" t="s">
        <v>338</v>
      </c>
      <c r="B149" s="123"/>
      <c r="C149" s="123"/>
      <c r="D149" s="123"/>
      <c r="E149" s="135"/>
      <c r="F149" s="135"/>
    </row>
    <row r="150" spans="1:6" ht="73.5" customHeight="1" x14ac:dyDescent="0.35">
      <c r="A150" s="442" t="s">
        <v>401</v>
      </c>
      <c r="B150" s="442"/>
      <c r="C150" s="442"/>
      <c r="D150" s="442"/>
      <c r="E150" s="135"/>
      <c r="F150" s="135"/>
    </row>
    <row r="151" spans="1:6" ht="15" customHeight="1" x14ac:dyDescent="0.35">
      <c r="A151" s="114" t="s">
        <v>431</v>
      </c>
      <c r="B151" s="123"/>
      <c r="C151" s="123"/>
      <c r="D151" s="123"/>
      <c r="E151" s="135"/>
      <c r="F151" s="135"/>
    </row>
    <row r="152" spans="1:6" ht="124.5" customHeight="1" x14ac:dyDescent="0.35">
      <c r="A152" s="442" t="s">
        <v>511</v>
      </c>
      <c r="B152" s="444"/>
      <c r="C152" s="444"/>
      <c r="D152" s="444"/>
      <c r="E152" s="135"/>
      <c r="F152" s="135"/>
    </row>
    <row r="153" spans="1:6" ht="15" customHeight="1" x14ac:dyDescent="0.35">
      <c r="A153" s="114" t="s">
        <v>519</v>
      </c>
      <c r="B153" s="123"/>
      <c r="C153" s="123"/>
      <c r="D153" s="123"/>
      <c r="E153" s="135"/>
      <c r="F153" s="135"/>
    </row>
    <row r="154" spans="1:6" ht="101.25" customHeight="1" x14ac:dyDescent="0.35">
      <c r="A154" s="446" t="s">
        <v>531</v>
      </c>
      <c r="B154" s="446"/>
      <c r="C154" s="446"/>
      <c r="D154" s="446"/>
      <c r="E154" s="135"/>
      <c r="F154" s="135"/>
    </row>
    <row r="155" spans="1:6" ht="15" customHeight="1" x14ac:dyDescent="0.35">
      <c r="A155" s="114" t="s">
        <v>339</v>
      </c>
      <c r="B155" s="123"/>
      <c r="C155" s="123"/>
      <c r="D155" s="123"/>
      <c r="E155" s="135"/>
      <c r="F155" s="135"/>
    </row>
    <row r="156" spans="1:6" ht="89.25" customHeight="1" x14ac:dyDescent="0.35">
      <c r="A156" s="442" t="s">
        <v>454</v>
      </c>
      <c r="B156" s="442"/>
      <c r="C156" s="442"/>
      <c r="D156" s="442"/>
      <c r="E156" s="135"/>
      <c r="F156" s="135"/>
    </row>
    <row r="157" spans="1:6" ht="15" customHeight="1" x14ac:dyDescent="0.35">
      <c r="A157" s="114" t="s">
        <v>340</v>
      </c>
      <c r="B157" s="123"/>
      <c r="C157" s="123"/>
      <c r="D157" s="123"/>
      <c r="E157" s="135"/>
      <c r="F157" s="135"/>
    </row>
    <row r="158" spans="1:6" ht="83.25" customHeight="1" x14ac:dyDescent="0.35">
      <c r="A158" s="442" t="s">
        <v>508</v>
      </c>
      <c r="B158" s="442"/>
      <c r="C158" s="442"/>
      <c r="D158" s="442"/>
      <c r="E158" s="135"/>
      <c r="F158" s="135"/>
    </row>
    <row r="159" spans="1:6" ht="15" customHeight="1" x14ac:dyDescent="0.35">
      <c r="A159" s="129" t="s">
        <v>520</v>
      </c>
      <c r="B159" s="123"/>
      <c r="C159" s="123"/>
      <c r="D159" s="123"/>
      <c r="E159" s="135"/>
      <c r="F159" s="135"/>
    </row>
    <row r="160" spans="1:6" ht="83.25" customHeight="1" x14ac:dyDescent="0.35">
      <c r="A160" s="442" t="s">
        <v>521</v>
      </c>
      <c r="B160" s="444"/>
      <c r="C160" s="444"/>
      <c r="D160" s="444"/>
      <c r="E160" s="135"/>
      <c r="F160" s="135"/>
    </row>
    <row r="161" spans="1:4" ht="15" customHeight="1" x14ac:dyDescent="0.35">
      <c r="A161" s="114" t="s">
        <v>341</v>
      </c>
      <c r="B161" s="114"/>
    </row>
    <row r="162" spans="1:4" ht="39.75" customHeight="1" x14ac:dyDescent="0.35">
      <c r="A162" s="442" t="s">
        <v>512</v>
      </c>
      <c r="B162" s="442"/>
      <c r="C162" s="444"/>
      <c r="D162" s="444"/>
    </row>
    <row r="163" spans="1:4" ht="15" customHeight="1" x14ac:dyDescent="0.35">
      <c r="A163" s="114" t="s">
        <v>342</v>
      </c>
      <c r="B163" s="114"/>
    </row>
    <row r="164" spans="1:4" s="135" customFormat="1" ht="39" customHeight="1" x14ac:dyDescent="0.35">
      <c r="A164" s="442" t="s">
        <v>343</v>
      </c>
      <c r="B164" s="442"/>
      <c r="C164" s="444"/>
      <c r="D164" s="444"/>
    </row>
    <row r="165" spans="1:4" s="135" customFormat="1" ht="15" customHeight="1" x14ac:dyDescent="0.35">
      <c r="A165" s="114" t="s">
        <v>344</v>
      </c>
      <c r="B165" s="123"/>
      <c r="C165" s="130"/>
      <c r="D165" s="130"/>
    </row>
    <row r="166" spans="1:4" s="135" customFormat="1" ht="39.75" customHeight="1" x14ac:dyDescent="0.35">
      <c r="A166" s="442" t="s">
        <v>345</v>
      </c>
      <c r="B166" s="442"/>
      <c r="C166" s="444"/>
      <c r="D166" s="444"/>
    </row>
    <row r="167" spans="1:4" s="135" customFormat="1" ht="15" customHeight="1" x14ac:dyDescent="0.35">
      <c r="A167" s="114" t="s">
        <v>346</v>
      </c>
      <c r="B167" s="123"/>
      <c r="C167" s="130"/>
      <c r="D167" s="130"/>
    </row>
    <row r="168" spans="1:4" s="135" customFormat="1" ht="39.75" customHeight="1" x14ac:dyDescent="0.35">
      <c r="A168" s="442" t="s">
        <v>347</v>
      </c>
      <c r="B168" s="444"/>
      <c r="C168" s="444"/>
      <c r="D168" s="444"/>
    </row>
    <row r="169" spans="1:4" s="135" customFormat="1" ht="12.75" customHeight="1" x14ac:dyDescent="0.35"/>
    <row r="170" spans="1:4" s="135" customFormat="1" ht="16.5" customHeight="1" x14ac:dyDescent="0.35">
      <c r="A170" s="137" t="s">
        <v>348</v>
      </c>
    </row>
    <row r="171" spans="1:4" s="135" customFormat="1" ht="15" customHeight="1" x14ac:dyDescent="0.35">
      <c r="A171" s="115" t="s">
        <v>194</v>
      </c>
      <c r="B171" s="123" t="str">
        <f>A78</f>
        <v xml:space="preserve">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Bij complexere installaties stuurt u een processchema van de installatie mee. 
Indien u gebruik maakt van houtige biomassa gelden minimum temperatuureisen voor toepassing van de warmte. Geeft u in dat geval een onderbouwing dat de geproduceerde warmte wordt toegepast in een verwarmingssysteem met een aanvoertemperatuur aan de gebruikerszijde van ten minste 100 °C in het stookseizoen of in een stoomsysteem (met gebruikerszijde wordt de eerste gebruiker van de warmte bedoeld).
</v>
      </c>
    </row>
    <row r="172" spans="1:4" s="135" customFormat="1" ht="15" customHeight="1" x14ac:dyDescent="0.35">
      <c r="A172" s="115" t="s">
        <v>185</v>
      </c>
      <c r="B172" s="123" t="str">
        <f>A80</f>
        <v>U onderbouwt de aangevraagde energieproductie uit de verbeterde slibgisting bij RWZI's. Bij de aanvraag maakt u aannemelijk dat de bestaande biogasproductie per ton slib met minimaal 25% kan worden verhoogd ten opzichte van voor de verbetering. De verbetering betreft 25% ten opzichte van de gemiddelde productie van het jaar voorafgaande aan de aanvraag, of, wanneer de producent minder dan een jaar produceert, ten opzichte van de totale gemiddelde productie tot het moment van de aanvraag. U geeft in een projectbeschrijving aan wat er verandert ten opzichte van de bestaande situatie en voegt hierbij een massa-energiebalans en een processchema toe van de bestaande en de nieuwe situatie. De installatiedelen die verantwoordelijk zijn voor de meerproductie van biogas moeten nieuw zijn. Geef in uw projectbeschrijving aan welke dit zijn.</v>
      </c>
    </row>
    <row r="173" spans="1:4" s="135" customFormat="1" ht="15" customHeight="1" x14ac:dyDescent="0.35">
      <c r="A173" s="115" t="s">
        <v>449</v>
      </c>
      <c r="B173" s="123" t="str">
        <f>A82</f>
        <v>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Daarnaast stelt u een renovatieplan op waaruit blijkt dat de productie-installatie geschikt wordt gemaakt om 12 jaar door te kunnen produceren.</v>
      </c>
    </row>
    <row r="174" spans="1:4" s="135" customFormat="1" ht="15" customHeight="1" x14ac:dyDescent="0.35">
      <c r="A174" s="115" t="s">
        <v>448</v>
      </c>
      <c r="B174" s="123" t="str">
        <f>A84</f>
        <v>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Daarnaast geeft u aan in welke extra faciliteit (ombouw) u gaat investeren.</v>
      </c>
    </row>
    <row r="175" spans="1:4" s="135" customFormat="1" ht="15" customHeight="1" x14ac:dyDescent="0.35">
      <c r="A175" s="115" t="s">
        <v>453</v>
      </c>
      <c r="B175" s="123" t="str">
        <f>A86</f>
        <v xml:space="preserve">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Bij complexere installaties stuurt u een processchema van de installatie mee. 
Indien u gebruik maakt van houtige biomassa gelden minimum temperatuureisen voor toepassing van de warmte. Geeft u in dat geval een onderbouwing dat de geproduceerde warmte wordt toegepast in een verwarmingssysteem met een aanvoertemperatuur aan de gebruikerszijde van ten minste 100 °C in het stookseizoen of in een stoomsysteem (met gebruikerszijde wordt de eerste gebruiker van de warmte bedoeld).
Daarnaast stelt u een renovatieplan op waaruit blijkt dat de productie-installatie geschikt wordt gemaakt om 12 jaar door te kunnen produceren.
</v>
      </c>
    </row>
    <row r="176" spans="1:4" s="135" customFormat="1" ht="15" customHeight="1" x14ac:dyDescent="0.35">
      <c r="A176" s="115" t="s">
        <v>180</v>
      </c>
      <c r="B176" s="123" t="str">
        <f>A88</f>
        <v xml:space="preserve">U onderbouwt de aangevraagde energieproductie uit biomassa. Dit doet u onder andere door het opstellen van een massa-energiebalans. Deze bevat de hoeveelheden van de beoogde soorten biomassa en de calorische waarden hiervan. Ook geeft u een specificatie van het energetisch rendement van de productie-installatie. Dit kunt u doen door bijvoorbeeld de specificatie-sheets van de installatie mee te sturen.
Bij complexere installaties stuurt u een processchema van de installatie mee. </v>
      </c>
    </row>
    <row r="177" spans="1:2" s="135" customFormat="1" ht="15" customHeight="1" x14ac:dyDescent="0.35">
      <c r="A177" s="115" t="s">
        <v>198</v>
      </c>
      <c r="B177" s="123" t="str">
        <f>A92</f>
        <v>Als u subsidie aanvraagt in de categorie geothermie moet u ter onderbouwing van de energieopbrengst een geologisch onderzoek overleggen: 
- Aan dit geologisch onderzoek worden nadere eisen gesteld: Het geologisch rapport dient te voldoen aan de eisen van het ‘Model Geologisch Onderzoek SDE+’, het ‘Model Geologisch Onderzoek van de Subsidieregeling Energie en Innovatie Risico’s dekken voor aardwarmte (SEI)’, of het ‘Model Geologisch Onderzoek van de Regeling nationale EZ-subsidies Risico’s dekken voor Aardwarmte (RNES)’. 
- Daarnaast stuurt u een processchema van de gehele productie-installatie mee, met daarin aangegeven de geothermische bron, de warmtepomp en temperaturen en debieten.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Verder voegt u het technische specificatieblad toe van het merk en type van de warmtepomp die u gaat gebruiken.
- Tenslotte geldt dat het warmtevermogen van de warmtepomp tenminste 20% bedraagt van het warmtevermogen van de geothermische bron.</v>
      </c>
    </row>
    <row r="179" spans="1:2" s="135" customFormat="1" ht="15" customHeight="1" x14ac:dyDescent="0.35">
      <c r="A179" s="115" t="s">
        <v>203</v>
      </c>
      <c r="B179" s="123" t="str">
        <f>A90</f>
        <v>Als u subsidie aanvraagt in de categorie geothermie moet u ter onderbouwing van de energieopbrengst een geologisch onderzoek overleggen. Aan dit onderzoek worden nadere eisen gesteld. Het geologisch rapport dient te voldoen aan de eisen van het ‘Model Geologisch Onderzoek SDE+’, het ‘Model Geologisch Onderzoek van de Subsidieregeling Energie en Innovatie Risico’s dekken voor aardwarmte (SEI)’, of het ‘Model Geologisch Onderzoek van de Regeling nationale EZ-subsidies Risico’s dekken voor Aardwarmte (RNES)’.</v>
      </c>
    </row>
    <row r="180" spans="1:2" s="135" customFormat="1" ht="15" customHeight="1" x14ac:dyDescent="0.35">
      <c r="A180" s="115" t="s">
        <v>213</v>
      </c>
      <c r="B180" s="123" t="str">
        <f>A96</f>
        <v>Als u subsidie aanvraagt in de categorie waterkracht moet u ter onderbouwing van de jaarlijks te verwachten energieproductie een waterenergie-opbrengstberekening meesturen.</v>
      </c>
    </row>
    <row r="181" spans="1:2" ht="15" customHeight="1" x14ac:dyDescent="0.35">
      <c r="A181" s="115" t="s">
        <v>439</v>
      </c>
      <c r="B181" s="123" t="str">
        <f>A126</f>
        <v xml:space="preserve">U onderbouwt de aangevraagde energieproductie uit warmteontrekking aan drinkwater, afvalwater, zeewater of oppervlaktewater:
- Dit doet u onder andere door het opstellen van een massa-energiebalans. Deze bevat temperaturen en debieten. Dit kunt u doen door bijvoorbeeld de specificatie-sheets van de installatie mee te sturen. Bij complexere installaties stuurt u een processchema van de installatie mee.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Verder voegt u het technische specificatieblad toe van het merk en type van de warmtepomp die u gaat gebruiken.
- Tevens toont u aan dat er sprake is van een nieuw warmteoverdrachtsstation. </v>
      </c>
    </row>
    <row r="182" spans="1:2" ht="15" customHeight="1" x14ac:dyDescent="0.35">
      <c r="A182" s="115" t="s">
        <v>440</v>
      </c>
      <c r="B182" s="123" t="str">
        <f>A128</f>
        <v xml:space="preserve">U onderbouwt de aangevraagde energieproductie uit warmteontrekking aan drinkwater, afvalwater, zeewater of oppervlaktewater:
- Dit doet u onder andere door het opstellen van een massa-energiebalans. Deze bevat temperaturen en debieten. Dit kunt u doen door bijvoorbeeld de specificatie-sheets van de installatie mee te sturen. Bij complexere installaties stuurt u een processchema van de installatie mee.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Tenslotte voegt u het technische specificatieblad toe van het merk en type van de warmtepomp die u gaat gebruiken.
</v>
      </c>
    </row>
    <row r="183" spans="1:2" ht="15" customHeight="1" x14ac:dyDescent="0.35">
      <c r="A183" s="115" t="s">
        <v>224</v>
      </c>
      <c r="B183" s="123" t="str">
        <f>A98</f>
        <v xml:space="preserve">U vraagt subsidie aan in de categorie wind op land, hoogtebeperkt. Ter onderbouwing van de jaarlijks te verwachten energieproductie (netto P50-waarde) moet u een windenergie-opbrengstberekening meesturen. Aan dit onderzoek worden nadere eisen gesteld. Meer informatie vindt u in de 'Handleiding haalbaarheidstudie SDE++’.
Daarnaast geeft u een onderbouwing dat er op de locatie van de productie-installatie sprake is van een hoogterestrictie bij of krachtens landelijke wet- en regelgeving in verband met de aanwezigheid van een luchthaven in de omgeving waardoor de tiphoogte van de windturbine beperkt is tot 150 meter of lager. Vanaf 2024 komen ook projecten voor deze categorie in aanmerking als zij hogere turbines niet kunnen realiseren in verband met mogelijke verstoring van het militair radarbeeld. Het gaat hierbij om productie-installaties die worden gerealiseerd in een plaatselijk luchtverkeersleidingsgebied rond de luchthavens Schiphol, De Kooy, Deelen, Eindhoven, Gilze-Rijen, Leeuwarden, De Peel, Volkel, Woensdreacht of het boven Nederlands grondgebied gelegen deel van de Kleine-Brogel. Deze gebieden zijn vastgesteld door de Minister van Infrastructuur en Waterstaat en zijn  opgenomen in hoofdstuk ENR 6 van de luchtvaartgids (als bedoeld in artikel 605, onderdeel a, onder 1.vijfde lid van de Regeling luchtverkeersdienstverlening van het Luchtvaartreglement, hoofdstuk ENR 6). 
</v>
      </c>
    </row>
    <row r="184" spans="1:2" ht="15" customHeight="1" x14ac:dyDescent="0.35">
      <c r="A184" s="115" t="s">
        <v>218</v>
      </c>
      <c r="B184" s="123" t="str">
        <f>A100</f>
        <v xml:space="preserve">U vraagt subsidie aan in een categorie windenergie. Ter onderbouwing van de jaarlijks te verwachten energieproductie (netto P50-waarde) moet u een windenergie-opbrengstberekening meesturen. Aan dit onderzoek worden nadere eisen gesteld. Meer informatie vindt u in de 'Handleiding haalbaarheidstudie SDE++’.
</v>
      </c>
    </row>
    <row r="185" spans="1:2" ht="15" customHeight="1" x14ac:dyDescent="0.35">
      <c r="A185" s="115" t="s">
        <v>235</v>
      </c>
      <c r="B185" s="123" t="str">
        <f>A102</f>
        <v>U vraagt subsidie aan voor een gebouwgebonden zon-PV-installatie. U hoeft geen energie-opbrengstberekening toe te voegen. Bij een gebouwgebonden zon-PV-installatie wordt de energieopbrengst (kWh/jaar) berekend door het piekvermogen van de installatie (in kWp) te vermenigvuldigen met 840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Bereken het beschikbare dakoppervlak en houd rekening met lichtstraten en klimaatinstallaties die op het dak staan. 
Verder bent u verplicht om het ‘Verklaring van een constructeur’ bij uw aanvraag te voegen (het model vindt u op de website van RVO). Hierin moet een constructeur een verklaring geven over de belastbaarheid van het dak of de gevel volgens het Besluit bouwwerken leefomgeving. Het onderzoek laat u uitvoeren en ondertekenen door een constructeur.  Reden voor het invoeren van deze eis is dat de realisatie van gebouw gebonden projecten achterblijft op de verwachting. Eén van de meest aangegeven redenen hiervoor is dat na het ontvangen van een beschikking het dak alsnog niet geschikt blijkt en de kosten om het dak geschikt te maken te hoog zijn. 
Tenslotte geldt dat voor de fotovoltaïsche zonnepanelen de CO2-voetafdruk tijdens de productiefase A1 tot en met A3 zoals bedoeld in EN 15804:2012+A2:2019 blijkens een milieuproductverklaring ten hoogste 550 kg per kWp bedraagt.</v>
      </c>
    </row>
    <row r="186" spans="1:2" ht="15" customHeight="1" x14ac:dyDescent="0.35">
      <c r="A186" s="115" t="s">
        <v>421</v>
      </c>
      <c r="B186" s="123" t="str">
        <f>A104</f>
        <v xml:space="preserve">U hoeft geen energie-opbrengstberekening toe te voegen. Bij een gebouwgebonden zon-PV-installatie wordt de energieopbrengst (kWh/jaar) berekend door het piekvermogen van de installatie (in kWp) te vermenigvuldigen met 840 vollasturen/jaar. 
Omdat u subsidie aanvraagt voor een categorie gebouwgebonden zon-PV-installatie waarbij het dak van een bestaand gebouw constructief moet worden aangepast of een draagconstructie moet worden toegepast die het dak ontlast en waarbij deze constructieve dakaanpassing of draagconstructie noodzakelijk is voor de realisatie van de productie-installatie, danwel bij het gebruik van het dak van een bestaand gebouw gebruik zal worden gemaakt van een productie-installatie met een maximaal gewicht van 10 kilogram per vierkante meter met zonnepanelen bedekt dakoppervlak wordt u  gevraagd toe te lichten welke aanpassing u gaat doen aan het dak om de plaatsing van de zon-PV-installatie mogelijk te maken tegen welke kosten. Of als u lichtgewicht zonnepanelen gaat plaatsen een onderbouwing van de kosten van de lichtgewichtpanelen. Het is belangrijk dat u aannemelijk maakt dat ook bij deze extra investeringskosten het project economisch haalbaar is. 
Daarbij bent u verplicht een 'Verklaring van een constructeur' bij uw aanvraag te voegen (het model vindt u op de website van RVO). In de verklaring vult de constructeur in wat er aan de constructie moet worden aangepast om deze geschikt te maken. 
Verder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Bereken het beschikbare dakoppervlak en houd rekening met lichtstraten en klimaatinstallaties die op het dak staan. 
Tenslotte geldt dat voor de fotovoltaïsche zonnepanelen de CO2-voetafdruk tijdens de productiefase A1 tot en met A3 zoals bedoeld in EN 15804:2012+A2:2019 blijkens een milieuproductverklaring ten hoogste 550 kg per kWp bedraagt.
</v>
      </c>
    </row>
    <row r="187" spans="1:2" ht="15" customHeight="1" x14ac:dyDescent="0.35">
      <c r="A187" s="115" t="s">
        <v>504</v>
      </c>
      <c r="B187" s="123" t="str">
        <f>A106</f>
        <v>U vraagt subsidie aan voor een zon-PV-installatie op oost-westgevels. U hoeft geen energie-opbrengstberekening toe te voegen. Bij zon-PV-installatie op oost-westgevels wordt de energieopbrengst (kWh/jaar) berekend door het piekvermogen van de installatie (in kWp) te vermenigvuldigen met 600 vollasturen/jaar. 
Wel wordt u gevraagd om een gedetailleerde tekening op schaal waarop de aangevraagde zon-PV-installatie nauwkeurig op de beoogde locatie is ingetekend, toe te voegen. Op deze tekening moet tevens de oriëntatie Oost – West van de zonnepanelen zijn aangegeven met de eventuele afwijking in aantal graden op het Oosten of het Westen. De afwijking van de zonnepaneeloriëntatie op het Oosten of het Westen mag niet meer dan 30 graden bedragen. Zijn of komen er op de beoogde locatie meer installaties, dan geeft u dit duidelijk aan. Uit de intekening moet naast het beschikbare geveloppervlak ook de oriëntatie van de installatie blijken. Alleen elektriciteit opgewekt door zonnepanelen met een oriëntatie op het oosten of het westen met een afwijking van ten hoogste dertig graden op die oriëntatie komt in aanmerking voor subsidie.
Verder bent u verplicht om de ‘Verklaring van een constructeur’ bij uw aanvraag te voegen (het model vindt u op de website van RVO). Hierin moet een constructeur een verklaring geven over de belastbaarheid van de gevel volgens het Besluit bouwwerken leefomgeving. Het onderzoek laat u uitvoeren en ondertekenen door een constructeur. 
Tenslotte geldt dat voor de fotovoltaïsche zonnepanelen de CO2-voetafdruk tijdens de productiefase A1 tot en met A3 zoals bedoeld in EN 15804:2012+A2:2019 blijkens een milieuproductverklaring ten hoogste 550 kg per kWp bedraagt.</v>
      </c>
    </row>
    <row r="188" spans="1:2" ht="15" customHeight="1" x14ac:dyDescent="0.35">
      <c r="A188" s="115" t="s">
        <v>507</v>
      </c>
      <c r="B188" s="123" t="str">
        <f>A110</f>
        <v xml:space="preserve">U vraagt subsidie aan voor een drijvende zon-PV-installatie zonder zonvolgsysteem. U hoeft geen energie-opbrengstberekening toe te voegen. Bij een drijvende zon-PV-installatie wordt de energieopbrengst (kWh/jaar) berekend door het piekvermogen van de installatie (in kWp) te vermenigvuldigen met 855 vollasturen/jaar. Wel wordt u gevraagd om een gedetailleerde tekening op schaal met oriëntatie (richting noorden) waarop de aangevraagde zon-PV-installatie nauwkeurig op de beoogde locatie is ingetekend, toe te voegen. Zijn of komen er op de beoogde locatie meer installaties, dan geeft u dit duidelijk aan. Uit de intekening moet ook de oriëntatie van de installatie blijken. </v>
      </c>
    </row>
    <row r="189" spans="1:2" ht="15" customHeight="1" x14ac:dyDescent="0.35">
      <c r="A189" s="115" t="s">
        <v>505</v>
      </c>
      <c r="B189" s="123" t="str">
        <f>A112</f>
        <v xml:space="preserve">U vraagt subsidie aan voor een natuurinclusief grondgebonden zon-PV-installatie zonder zonvolgsysteem. U hoeft geen energie-opbrengstberekening toe te voegen. Bij een grondgebonden zon-PV-installatie zonder zonvolgsysteem wordt de energieopbrengst (kWh/jaar) berekend door het piekvermogen van de installatie (in kWp) te vermenigvuldigen met 855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U kunt u voor de categorie natuurinclusief aanvragen als de vergunning die op grond van de Omgevingswet noodzakelijk is voor de realisatie van de productie-installatie de volgende voorwaarde bevat dat:
a.	er van bovenaf gezien minimaal 25% open ruimte tussen de tafels met zonnepanelen aanwezig is;
b.	er een inrichtingsplan en beheerplan is dat ten doel heeft om verslechtering van de bodemkwaliteit, waterkwaliteit en ecologische kwaliteit gedurende de subsidieperiode te voorkomen; 
c.	de subsidie-ontvanger de effecten van de productie-installatie op de bodemkwaliteit, waterkwaliteit en biodiversiteit monitort en, indien nodig, aanvullende maatregelen neemt om verslechtering van de bodemkwaliteit, waterkwaliteit en ecologische kwaliteit gedurende de subsidieperiode te voorkomen; en 
d.	de subsidie-ontvanger een nulmeting uitvoert om de huidige waarde van de bodemkwaliteit, de waterkwaliteit en de ecologische kwaliteit vast te stellen.
Vanaf de SDE++ 2026 wordt naast bepaalde voorwaarden in de vergunning een alternatieve mogelijkheid voor het aantonen van natuurinclusiviteit aangeboden. Het gaat hierbij om een wetenschappelijk onderbouwd en breed door de sector gedragen keurmerk (zoals EcoCertified) waaruit blijkt dat:
a.	de productie-installatie is ontworpen met als doel nadelige effecten op flora, fauna en biodiversiteit te voorkomen;
b.	er minimale eisen worden gesteld aan lichtinval tussen de fotovoltaïsche zonnepanelen om negatieve effecten voor bodem- en waterkwaliteit zoveel mogelijk te voorkomen; en
c.	er natuurlijke elementen worden geïntegreerd en landschappelijk worden ingepast. 
Tenslotte geldt dat voor de fotovoltaïsche zonnepanelen de CO2-voetafdruk tijdens de productiefase A1 tot en met A3 zoals bedoeld in EN 15804:2012+A2:2019 blijkens een milieuproductverklaring ten hoogste 550 kg per kWp bedraagt.
 </v>
      </c>
    </row>
    <row r="190" spans="1:2" ht="15" customHeight="1" x14ac:dyDescent="0.35">
      <c r="A190" s="115" t="s">
        <v>506</v>
      </c>
      <c r="B190" s="123" t="str">
        <f>A108</f>
        <v xml:space="preserve">U vraagt subsidie aan voor een natuurinclusief grondgebonden vertikaal zon-PV-installatie zonder zonvolgsysteem. U hoeft geen energie-opbrengstberekening toe te voegen. Bij een grondgebonden zon-PV-installatie zonder zonvolgsysteem wordt de energieopbrengst (kWh/jaar) berekend door het piekvermogen van de installatie (in kWp) te vermenigvuldigen met 825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U kunt voor de categorie natuurinclusief aanvragen als de vergunning die op grond van de Omgevingswet noodzakelijk is voor de realisatie van de productie-installatie de volgende voorwaarde bevat dat:
a.	er van bovenaf gezien minimaal 25% open ruimte tussen de tafels met zonnepanelen aanwezig is;
b.	er een inrichtingsplan en beheerplan is dat ten doel heeft om verslechtering van de bodemkwaliteit, waterkwaliteit en ecologische kwaliteit gedurende de subsidieperiode te voorkomen; 
c.	de subsidie-ontvanger de effecten van de productie-installatie op de bodemkwaliteit, waterkwaliteit en biodiversiteit monitort en, indien nodig, aanvullende maatregelen neemt om verslechtering van de bodemkwaliteit, waterkwaliteit en ecologische kwaliteit gedurende de subsidieperiode te voorkomen; en 
d.	de subsidie-ontvanger een nulmeting uitvoert om de huidige waarde van de bodemkwaliteit, de waterkwaliteit en de ecologische kwaliteit vast te stellen.
Vanaf de SDE++ 2026 wordt naast bepaalde voorwaarden in de vergunning een alternatieve mogelijkheid voor het aantonen van natuurinclusiviteit aangeboden. Het gaat hierbij om een wetenschappelijk onderbouwd en breed door de sector gedragen keurmerk (zoals EcoCertified) waaruit blijkt dat:
a.	de productie-installatie is ontworpen met als doel nadelige effecten op flora, fauna en biodiversiteit te voorkomen;
b.	er minimale eisen worden gesteld aan lichtinval tussen de fotovoltaïsche zonnepanelen om negatieve effecten voor bodem- en waterkwaliteit zoveel mogelijk te voorkomen; en
c.	er natuurlijke elementen worden geïntegreerd en landschappelijk worden ingepast. 
Tenslotte geldt dat voor de fotovoltaïsche zonnepanelen de CO2-voetafdruk tijdens de productiefase A1 tot en met A3 zoals bedoeld in EN 15804:2012+A2:2019 blijkens een milieuproductverklaring ten hoogste 550 kg per kWp bedraagt.
 </v>
      </c>
    </row>
    <row r="191" spans="1:2" ht="15" customHeight="1" x14ac:dyDescent="0.35">
      <c r="A191" s="115" t="s">
        <v>422</v>
      </c>
      <c r="B191" s="123" t="str">
        <f>A114</f>
        <v xml:space="preserve">U vraagt subsidie aan in een categorie natuurinclusief grondgebonden zon-PV met een zonvolgend systeem. Ter onderbouwing van de jaarlijks te verwachten netto elektriciteitsproductie moet u een zonne-energie-opbrengstberekening meesturen. Aan dit onderzoek worden nadere eisen gesteld. Meer informatie vindt u in de 'Handleiding haalbaarheidstudie SDE++'. Daarnaast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U kunt u voor de categorie natuurinclusief aanvragen als de vergunning die op grond van de Omgevingswet noodzakelijk is voor de realisatie van de productie-installatie de volgende voorwaarde bevat dat:
a.	er van bovenaf gezien minimaal 25% open ruimte tussen de tafels met zonnepanelen aanwezig is;
b.	er een inrichtingsplan en beheerplan is dat ten doel heeft om verslechtering van de bodemkwaliteit, waterkwaliteit en ecologische kwaliteit gedurende de subsidieperiode te voorkomen; 
c.	de subsidie-ontvanger de effecten van de productie-installatie op de bodemkwaliteit, waterkwaliteit en biodiversiteit monitort en, indien nodig, aanvullende maatregelen neemt om verslechtering van de bodemkwaliteit, waterkwaliteit en ecologische kwaliteit gedurende de subsidieperiode te voorkomen; en 
d.	de subsidie-ontvanger een nulmeting uitvoert om de huidige waarde van de bodemkwaliteit, de waterkwaliteit en de ecologische kwaliteit vast te stellen.
Vanaf de SDE++ 2026 wordt naast bepaalde voorwaarden in de vergunning een alternatieve mogelijkheid voor het aantonen van natuurinclusiviteit aangeboden. Het gaat hierbij om een wetenschappelijk onderbouwd en breed door de sector gedragen keurmerk (zoals EcoCertified) waaruit blijkt dat:
a.	de productie-installatie is ontworpen met als doel nadelige effecten op flora, fauna en biodiversiteit te voorkomen;
b.	er minimale eisen worden gesteld aan lichtinval tussen de fotovoltaïsche zonnepanelen om negatieve effecten voor bodem- en waterkwaliteit zoveel mogelijk te voorkomen; en
c.	er natuurlijke elementen worden geïntegreerd en landschappelijk worden ingepast. 
Tenslotte geldt dat voor de fotovoltaïsche zonnepanelen de CO2-voetafdruk tijdens de productiefase A1 tot en met A3 zoals bedoeld in EN 15804:2012+A2:2019 blijkens een milieuproductverklaring ten hoogste 550 kg per kWp bedraagt.
 </v>
      </c>
    </row>
    <row r="192" spans="1:2" ht="15" customHeight="1" x14ac:dyDescent="0.35">
      <c r="A192" s="197" t="s">
        <v>577</v>
      </c>
      <c r="B192" s="250" t="str">
        <f>A116</f>
        <v xml:space="preserve">U vraagt subsidie aan voor een zon-PV-installatie op een locatie met bestemming verkeer langs wegen en spoor. Dat de zonnepanelen op een locatie met bestemming verkeer langs wegen of spoor worden gerealiseerd moet blijken uit het omgevingsplan, als bedoeld in artikel 2.4. van de Omgevingswet. Daarnaast geldt dat de productie-installatie, voor zover de zonnepanelen op land staan, natuurinclusief wordt gerealiseerd 
U hoeft geen energie-opbrengstberekening toe te voegen. De energieopbrengst (kWh/jaar) wordt berekend door het piekvermogen van de installatie (in kWp) te vermenigvuldigen met 855 vollasturen/jaar. Wel wordt u gevraagd om een gedetailleerde tekening op schaal waarop de aangevraagde zon-PV-installatie nauwkeurig op de beoogde locatie is ingetekend, toe te voegen. Zijn of komen er op de beoogde locatie meer installaties, dan geeft u dit duidelijk aan. Uit de intekening moet ook de oriëntatie van de installatie blijken. 
U kunt u voor de categorie natuurinclusief aanvragen als de vergunning die op grond van de Omgevingswet noodzakelijk is voor de realisatie van de productie-installatie de volgende voorwaarde bevat dat:
a.	er van bovenaf gezien minimaal 25% open ruimte tussen de tafels met zonnepanelen aanwezig is;
b.	er een inrichtingsplan en beheerplan is dat ten doel heeft om verslechtering van de bodemkwaliteit, waterkwaliteit en ecologische kwaliteit gedurende de subsidieperiode te voorkomen; 
c.	de subsidie-ontvanger de effecten van de productie-installatie op de bodemkwaliteit, waterkwaliteit en biodiversiteit monitort en, indien nodig, aanvullende maatregelen neemt om verslechtering van de bodemkwaliteit, waterkwaliteit en ecologische kwaliteit gedurende de subsidieperiode te voorkomen; en 
d.	de subsidie-ontvanger een nulmeting uitvoert om de huidige waarde van de bodemkwaliteit, de waterkwaliteit en de ecologische kwaliteit vast te stellen.
Vanaf de SDE++ 2026 wordt naast bepaalde voorwaarden in de vergunning een alternatieve mogelijkheid voor het aantonen van natuurinclusiviteit aangeboden. Het gaat hierbij om een wetenschappelijk onderbouwd en breed door de sector gedragen keurmerk (zoals EcoCertified) waaruit blijkt dat:
a.	de productie-installatie is ontworpen met als doel nadelige effecten op flora, fauna en biodiversiteit te voorkomen;
b.	er minimale eisen worden gesteld aan lichtinval tussen de fotovoltaïsche zonnepanelen om negatieve effecten voor bodem- en waterkwaliteit zoveel mogelijk te voorkomen; en
c.	er natuurlijke elementen worden geïntegreerd en landschappelijk worden ingepast. 
Tenslotte geldt dat voor de fotovoltaïsche zonnepanelen de CO2-voetafdruk tijdens de productiefase A1 tot en met A3 zoals bedoeld in EN 15804:2012+A2:2019 blijkens een milieuproductverklaring ten hoogste 550 kg per kWp bedraagt.
 </v>
      </c>
    </row>
    <row r="193" spans="1:2" ht="15" customHeight="1" x14ac:dyDescent="0.35">
      <c r="A193" s="115" t="s">
        <v>241</v>
      </c>
      <c r="B193" s="123" t="str">
        <f>A118</f>
        <v xml:space="preserve">Voor de categorie zonthermie hoeft u geen energie-opbrengstberekening toe te voegen. Bij een zonthermiesysteem met afgedekte collectoren bedraagt het vermogen van een zonthermie installatie 0,7 kWth/m2 apertuuroppervlakte. Bij zonnecollectorsystemen met zonvolgende concentrerende collectoren  bedraagt het vermogen van een zonthermie installatie 0,7 kWth/m2 aangestraald oppervlak van de spiegels of lenzen voor het concentreren van zonlicht. De energieopbrengst (kWh/jaar) wordt berekend door het totaal thermisch vermogen van de installatie (in kW) te vermenigvuldigen met 600 vollasturen/jaar. Wel wordt u gevraagd om een gedetailleerde tekening op schaal waarop de aangevraagde zonthermie-installatie nauwkeurig op de beoogde locatie is ingetekend, toe te voegen. Zijn of komen er op de beoogde locatie meer installaties, dan geeft u dit duidelijk aan. Uit de intekening moet ook de oriëntatie van de installatie blijken. Bereken ingeval van een dakgebonden systeem het beschikbare dakoppervlak en houd rekening met lichtstraten en klimaatinstallaties die op het dak staan.
</v>
      </c>
    </row>
    <row r="194" spans="1:2" ht="15" customHeight="1" x14ac:dyDescent="0.35">
      <c r="A194" s="115" t="s">
        <v>527</v>
      </c>
      <c r="B194" s="123" t="str">
        <f>A120</f>
        <v xml:space="preserve">U onderbouwt de aangevraagde energieproductie uit het zon-PVT met warmtepompsysteem: 
- Dit doet u onder andere door het opstellen van een massa-energiebalans over het jaar: Deze bevat temperaturen en debieten. Dit kunt u doen door bijvoorbeeld de specificatie-sheets van de installatie mee te sturen. Daarnaast stuurt u een processchema van de gehele productie-installatie mee, met daarin aangegeven het zonthermische systeem, de eventuele seizoensopslag voor warmte, de warmtepomp en temperaturen en debieten.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Daarnaast voegt u het technische specificatieblad toe van het merk en type van de warmtepomp die u gaat gebruiken.
- Verder onderbouwt u dat de oppervlakte aan fotovoltaïsch-thermische panelen minimaal 3,0 m² per kWth aan vermogen van de warmtepomp bedraagt en voegt u een gedetailleerde tekening op schaal toe waarop de zonnepanelen nauwkeurig op de beoogde locatie zijn ingetekend. Zijn of komen er op de beoogde locatie meer installaties, dan geeft u dit duidelijk aan. Uit de intekening moet ook de oriëntatie van de installatie blijken. 
- Tenslotte voegt u, in geval de installatie op een gebouw wordt geplaatst, een "Draagkracht dakconstructieberekening" bij de haalbaarheidsstudie.
</v>
      </c>
    </row>
    <row r="195" spans="1:2" ht="15" customHeight="1" x14ac:dyDescent="0.35">
      <c r="A195" s="115" t="s">
        <v>428</v>
      </c>
      <c r="B195" s="123" t="str">
        <f>A122</f>
        <v xml:space="preserve">U onderbouwt de aangevraagde energieproductie uit de lucht-water warmtepomp. Dit doet u onder andere door het opstellen van een energiebalans over het jaar. Deze bevat temperaturen en debieten. Dit kunt u doen door bijvoorbeeld de specificatie-sheets van de installatie mee te sturen. Daarnaast stuurt u een processchema van de gehele productie-installatie mee, met daarin aangegeven de lucht-water warmtepomp.  
Aan de lucht-water warmtepomp worden temperatuur- en rendementseisen gesteld:
- De leveringstemperatuur van de warmtepomp bedraagt tenminste 70 ⁰C in het stookseizoen bij -10⁰ C buitentemperatuur of lager. Bij hogere buitentemperaturen mag de warmtepomp ook op een lagere aanvoertemperatuur leveren.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Verder voegt u het technische specificatieblad toe van het merk en type van de warmtepomp die u gaat gebruiken.
- De geproduceerde warmte mag enkel worden gebruikt voor de verwarming van bestaande gebouwen in de gebouwde omgeving. </v>
      </c>
    </row>
    <row r="196" spans="1:2" ht="15" customHeight="1" x14ac:dyDescent="0.35">
      <c r="A196" s="115" t="s">
        <v>429</v>
      </c>
      <c r="B196" s="123" t="str">
        <f>A124</f>
        <v xml:space="preserve">U onderbouwt de aangevraagde energieproductie uit de lucht-water warmtepomp. Dit doet u onder andere door het opstellen van een energiebalans over het jaar. Deze bevat temperaturen en debieten. Dit kunt u doen door bijvoorbeeld de specificatie-sheets van de installatie mee te sturen. Daarnaast stuurt u een processchema van de gehele productie-installatie mee, met daarin aangegeven de lucht-water warmtepomp.  
Aan de lucht-water warmtepomp worden temperatuur- en rendementseisen gesteld:
- De leveringstemperatuur van de warmtepomp bedraagt tenminste 40 ⁰C in het stookseizoen bij -10⁰ C buitentemperatuur of lager. Bij hogere buitentemperaturen mag de warmtepomp ook op een lagere aanvoertemperatuur leveren. 
- Ook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Verder voegt u het technische specificatieblad toe van het merk en type van de warmtepomp die u gaat gebruiken.
- De geproduceerde warmte mag enkel worden gebruikt voor de verwarming van bestaande gebouwen en tuinbouwkassen. </v>
      </c>
    </row>
    <row r="197" spans="1:2" ht="15" customHeight="1" x14ac:dyDescent="0.35">
      <c r="A197" s="115" t="s">
        <v>250</v>
      </c>
      <c r="B197" s="123" t="str">
        <f>A130</f>
        <v>U onderbouwt de aangevraagde hoeveelheid CO₂ die u gaat afvangen en opslaan. Dit kunt u doen door bijvoorbeeld de specificatie-sheets van de CO₂ -afvanginstallatie en een beschrijving van het proces waarbij uit restgassen waterstof wordt geproduceert en CO₂ vrijkomt en afgevangen wordt toe te voegen. Daarnaast geeft u aan voor welk proces de geproduceerde waterstof voor ondervuring wordt ingezet. Tevens geeft u aan of uw project een bestaande of nieuwe afvanginstallatie betreft bij een bestaand of nieuw proces en vermeldt u of er gebruik wordt gemaakt van een nieuwe compressor of vervloeiingsinstallatie. 
Verder voegt u de capaciteitsverklaring(en) van de transport-en opslagpartijen toe waarmee u aantoont dat de afgevangen hoeveelheid CO₂ kan worden getransporteerd en opgeslagen. Ten slotte voegt u rapport(en) toe over de infrastructuur voor transport en de opslag die zijn opgesteld door de transport-en opslagpartijen, die voldoen aan het model 'Vereiste informatie transport- en opslagverklaring’, gepubliceerd op de website van de Rijksdienst voor Ondernemend Nederland.</v>
      </c>
    </row>
    <row r="198" spans="1:2" ht="15" customHeight="1" x14ac:dyDescent="0.35">
      <c r="A198" s="115" t="s">
        <v>247</v>
      </c>
      <c r="B198" s="120" t="str">
        <f>A132</f>
        <v xml:space="preserve">U onderbouwt de aangevraagde hoeveelheid CO₂ die u gaat afvangen en opslaan. Dit kunt u doen door bijvoorbeeld de specificatie-sheets van de CO₂ -afvanginstallatie en een beschrijving van het proces waarbij de CO₂ vrijkomt en afgevangen wordt toe te voegen. Daarbij geeft u tevens aan of uw project een bestaande of nieuwe afvanginstallatie betreft bij een bestaand of nieuw proces. Daarnaast vermeldt u of er gebruik wordt gemaakt van een nieuwe compressor of vervloeiingsinstallatie. 
Verder voegt u de capaciteitsverklaring(en) van de transport-en opslagpartijen toe waarmee u aantoont dat de afgevangen hoeveelheid CO₂ kan worden getransporteerd en opgeslagen, hiervoor is een model beschikbaar op de website van Rijksdienst voor Ondernemend Nederland. </v>
      </c>
    </row>
    <row r="199" spans="1:2" ht="15" customHeight="1" x14ac:dyDescent="0.35">
      <c r="A199" s="115" t="s">
        <v>251</v>
      </c>
      <c r="B199" s="120" t="str">
        <f>A134</f>
        <v>U onderbouwt de aangevraagde hoeveelheid CO₂ die u gaat afvangen en leveren aan de glastuinbouw. Dit kunt u doen door bijvoorbeeld de specificatie-sheets van de CO₂-afvanginstallatie en een beschrijving van het proces waarbij de CO₂ vrijkomt en afgevangen wordt toe te voegen. Daarbij geeft u tevens aan of het een bestaande of nieuwe afvanginstallatie en of het een bestaand of nieuw proces betreft. Daarnaast voegt u een plattegrond met het beoogde leidingtracé van CO₂ -afvang tot CO₂-levering toe. Ook geeft u aan of u als aanvrager zelf de CO₂ gaat transporteren of laat transporteren door een derde. Indien u gebruik maakt van vloeibaar transport per schip of vrachtwagen geeft u dat ook aan en beschrijft u over welk traject dat gaat plaatsvinden. Ook geeft u een onderbouwing van de CO₂-afzet in de glastuinbouw, bijvoorbeeld aan de hand van een intentieverklaring van afnemers.</v>
      </c>
    </row>
    <row r="200" spans="1:2" ht="15" customHeight="1" x14ac:dyDescent="0.35">
      <c r="A200" s="115" t="s">
        <v>255</v>
      </c>
      <c r="B200" s="120" t="str">
        <f>A136</f>
        <v xml:space="preserve">U onderbouwt de hoeveelheid warmte die het elektrisch aangedreven gesloten warmtepompsysteem op jaarbasis gaat leveren:
- U voegt een processchema toe met debieten en temperaturen waaruit blijkt uit welke warmtebron of warmtestroom de warmtepomp de warmte onttrekt, welke warmstroom door de warmtepomp wordt opgewaardeerd en voor welk proces deze warmte benut wordt. 
- Ook geeft u een berekening van de jaargemiddelde COP-waarde van de warmtepomp voor de gebruiksomstandigheden binnen het productieproces waarbij de warmtepomp wordt toegepast, met onderbouwing van de gemiddelde brontemperatuur, gemiddelde bronretour en de gemiddelde aanvoer en retourtemperatuur van het warmtenet/afnemer bij gebruikersomstandigheden. Deze jaargemiddelde COP-waarde van de warmtepomp dient ten minste 2,3 te bedragen.  
- Verder voegt u het technische specificatieblad toe van het merk en type van de warmtepomp die u gaat gebruiken.
- Tenslotte geldt dat de productie-installatie warmte produceert die op dezelfde locatie wordt gebruikt voor een industriële toepassing, niet zijnde tuinbouw, en dat er geen koude wordt geleverd. </v>
      </c>
    </row>
    <row r="201" spans="1:2" ht="15" customHeight="1" x14ac:dyDescent="0.35">
      <c r="A201" s="115" t="s">
        <v>572</v>
      </c>
      <c r="B201" s="120" t="str">
        <f>A138</f>
        <v xml:space="preserve">U vraagt aan in de categorie procesgeïntegreerde warmtepomp waarbij warmte wordt hergebruikt in een op het moment van de aanvraag bestaand verdampingsproces door middel van een of meerdere elektrisch aangedreven warmtepompen met een totaal thermisch vermogen van minimaal 500 kWth waarbij de hoeveelheid bespaarde ingaande warmte per hoeveelheid extra opgenomen elektriciteit bij vollast bedrijf bedraagt ten minste 4,5 bedraagt, bepaald op een fictieve gesloten omhulling waarbinnen zich de warmtepomp of warmtepompen en de tot de productie-installatie behorende procesaanpassingen bevinden. De hoeveelheid subsidiabele warmte is voor deze categorie vastgesteld op een factor 5 keer de hoeveelheid extra opgenomen elektriciteit van de warmtepomp.
U onderbouwt welke procesaanpassingen u gaat doen. Daarnaast onderbouwt u de hoeveelheid warmte die het elektrisch aangedreven procesgeintegreerde warmtepompsysteem op jaarbasis gaat leveren:
- U geeft daarbij aan voor welk industrieel proces het warmtepompsysteem wordt toegepast en voegt een processchema toe met temperaturen en debieten. Ook geeft u een berekening van de uitgespaarde hoeveelheid warmte en het extra opgenomen elektrische energie van het warmtepompsysteem. 
- U toont aan dat het geïntegreerde warmtepompsysteem kan voldoen aan de COP-eis van 4,5 (COP = reductie warmtevraag gedeeld door de extra opgenomen elektrische energie) binnen het bestaande verdampingsproces waarbij de warmtepomp wordt toegepast.  
- Verder voegt u het technische specificatieblad toe van het merk en type van de warmtepomp die u gaat gebruiken.
- Tenslotte geldt dat de productie-installatie warmte produceert die op dezelfde locatie wordt gebruikt voor een industriële toepassing, niet zijnde tuinbouw, en dat er geen koude wordt geleverd. </v>
      </c>
    </row>
    <row r="202" spans="1:2" ht="15" customHeight="1" x14ac:dyDescent="0.35">
      <c r="A202" s="115" t="s">
        <v>574</v>
      </c>
      <c r="B202" s="120" t="str">
        <f>A140</f>
        <v xml:space="preserve">U vraagt aan in de categorie procesgeïntegreerde warmtepomp waarbij warmte wordt hergebruikt in een op het moment van de aanvraag bestaand verdampingsproces door middel van een of meerdere elektrisch aangedreven warmtepompen met een totaal thermisch vermogen van minimaal 500 kWth waarbij de hoeveelheid bespaarde ingaande warmte per hoeveelheid extra opgenomen elektriciteit bij vollast bedrijf bedraagt ten minste 3,0 bedraagt, bepaald op een fictieve gesloten omhulling waarbinnen zich de warmtepomp of warmtepompen en de tot de productie-installatie behorende procesaanpassingen bevinden. De hoeveelheid subsidiabele warmte is voor deze categorie vastgesteld op een factor 3,5 keer de hoeveelheid extra opgenomen elektriciteit van de warmtepomp. Het bestaande verdampingsproces wordt ten minste aangepast door: 
a) over te stappen van een bedrijfsvoering waarbij de reactor telkens een bepaalde hoeveelheid product verwerkt, waarbij de reactor helemaal geleegd moet worden alvorens te worden gevuld, naar een bedrijfsvoering waarbij voortdurend product wordt toegevoegd en verwijderd, waarbij het verdampingsproces behoudens uitval of pauzes in stationaire toestand plaatsvindt; of 
b) het plaatsen van een nieuw verdampingsvat of een nieuwe verdampingsreactor om de warmtepomp te kunnen integreren; of 
c) het installeren van een nieuwe verdampingskap of een nieuwe warmtewisselaar ten behoeve van het terugwinnen van latente warmte uit de verdampingsinstallatie. 
U onderbouwt welke van de hierboven genoemde procesaanpassingen u gaat doen. Daarnaast onderbouwt u de hoeveelheid warmte die het elektrisch aangedreven procesgeintegreerde warmtepompsysteem op jaarbasis gaat leveren:
- U geeft daarbij aan voor welk industrieel proces het warmtepompsysteem wordt toegepast en voegt een processchema toe met temperaturen en debieten. Ook geeft u een berekening van de uitgespaarde hoeveelheid warmte en het extra opgenomen elektrische energie van het warmtepompsysteem. 
- U toont aan dat het geïntegreerde warmtepompsysteem kan voldoen aan de COP-eis van 3,0 (COP = reductie warmtevraag gedeeld door de extra opgenomen elektrische energie) binnen het bestaande verdampingsproces waarbij de warmtepomp wordt toegepast.  
- Verder voegt u het technische specificatieblad toe van het merk en type van de warmtepomp die u gaat gebruiken.
- Tenslotte geldt dat de productie-installatie warmte produceert die op dezelfde locatie wordt gebruikt voor een industriële toepassing, niet zijnde tuinbouw, en dat er geen koude wordt geleverd. </v>
      </c>
    </row>
    <row r="203" spans="1:2" ht="15" customHeight="1" x14ac:dyDescent="0.35">
      <c r="A203" s="115" t="s">
        <v>573</v>
      </c>
      <c r="B203" s="120" t="str">
        <f>A142</f>
        <v xml:space="preserve">U vraagt aan in de categorie procesgeïntegreerde warmtepomp waarbij warmte wordt hergebruikt in een op het moment van de aanvraag bestaand verdampingsproces door middel van een of meerdere elektrisch aangedreven warmtepompen met een totaal thermisch vermogen van minimaal 500 kWth waarbij de hoeveelheid bespaarde ingaande warmte per hoeveelheid extra opgenomen elektriciteit bij vollast bedrijf bedraagt ten minste 2,5 bedraagt, bepaald op een fictieve gesloten omhulling waarbinnen zich de warmtepomp of warmtepompen en de tot de productie-installatie behorende procesaanpassingen bevinden. De hoeveelheid subsidiabele warmte is voor deze categorie vastgesteld op een factor 2,5 keer de hoeveelheid extra opgenomen elektriciteit van de warmtepomp.
U onderbouwt welke procesaanpassingen u gaat doen. Daarnaast onderbouwt u de hoeveelheid warmte die het elektrisch aangedreven procesgeintegreerde warmtepompsysteem op jaarbasis gaat leveren:
- U geeft daarbij aan voor welk industrieel proces het warmtepompsysteem wordt toegepast en voegt een processchema toe met temperaturen en debieten. Ook geeft u een berekening van de uitgespaarde hoeveelheid warmte en het extra opgenomen elektrische energie van het warmtepompsysteem. 
- U toont aan dat het geïntegreerde warmtepompsysteem kan voldoen aan de COP-eis van 2,5 (COP = reductie warmtevraag gedeeld door de extra opgenomen elektrische energie) binnen het bestaande verdampingsproces waarbij de warmtepomp wordt toegepast. 
- Verder voegt u het technische specificatieblad toe van het merk en type van de warmtepomp die u gaat gebruiken.
- Tenslotte geldt dat de productie-installatie warmte produceert die op dezelfde locatie wordt gebruikt voor een industriële toepassing, niet zijnde tuinbouw, en dat er geen koude wordt geleverd. </v>
      </c>
    </row>
    <row r="204" spans="1:2" ht="15" customHeight="1" x14ac:dyDescent="0.35">
      <c r="A204" s="115" t="s">
        <v>258</v>
      </c>
      <c r="B204" s="120" t="str">
        <f>A144</f>
        <v>U onderbouwt de hoeveelheid restwarmte die op jaarbasis wordt uitgekoppeld. U geeft daarbij aan uit welk productieproces de restwarmte afkomstig is, wat het temperatuurniveau is en wat er in de bestaande situatie met de restwarmte werd gedaan. Daarnaast geeft u aan wat het vermogen is van de restwarmtestroom en voor welke nuttige aanwending de restwarmte in de nieuwe situatie krijgt. Ook voegt u een plattegrond toe van het beoogde leidingtracé met leidingdiameters en leidinglengte van uitkoppeling tot aan de afnemer van de restwarmte. Ten slotte geeft u voor uw project een onderbouwing dat uw project voldoet aan de gestelde rato voor vermogen en leidinglengte van de categorie waarvoor u subsidie aanvraagt (deze rato is de som van nieuw aan te leggen warmtetransportleidingen en het vermogen van de restwarmtestroom, uitgedrukt in km/MWth).</v>
      </c>
    </row>
    <row r="205" spans="1:2" ht="15" customHeight="1" x14ac:dyDescent="0.35">
      <c r="A205" s="115" t="s">
        <v>263</v>
      </c>
      <c r="B205" s="120" t="str">
        <f>A146</f>
        <v>U onderbouwt de hoeveelheid restwarmte die op jaarbasis wordt uitgekoppeld:
- U geeft daarbij aan uit welk productieproces de restwarmte afkomstig is, wat het temperatuurniveau is en wat er in de bestaande situatie met de restwarmte werd gedaan. Daarnaast geeft u aan wat het vermogen is van de restwarmtestroom en voor welke nuttige aanwending en op welk temperatuurniveau de restwarmte die opgewaardeerd wordt met een warmtepomp in de nieuwe situatie krijgt. 
- Ook voegt u een plattegrond toe van het beoogde leidingtracé met warmtepomp van uitkoppeling tot aan de afnemer van de restwarmte. 
- Verder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Tenslotte voegt u het technische specificatieblad toe van het merk en type van de warmtepomp die u gaat gebruiken.</v>
      </c>
    </row>
    <row r="206" spans="1:2" s="135" customFormat="1" ht="15" customHeight="1" x14ac:dyDescent="0.35">
      <c r="A206" s="115" t="s">
        <v>687</v>
      </c>
      <c r="B206" s="123" t="str">
        <f>A148</f>
        <v xml:space="preserve">U onderbouwt de hoeveelheid restwarmte die op jaarbasis wordt uitgekoppeld:
- U geeft daarbij aan uit welk productieproces de restwarmte afkomstig is, wat het temperatuurniveau is en wat er in de bestaande situatie met de restwarmte werd gedaan. Daarnaast geeft u aan wat het vermogen is van de restwarmtestroom en voor welke nuttige aanwending en op welk temperatuurniveau de restwarmte die opgewaardeerd wordt met een warmtepomp in de nieuwe situatie krijgt. 
- Ook voegt u een plattegrond toe van het beoogde leidingtracé met warmtepomp van uitkoppeling tot aan de afnemer van de restwarmte. 
- Verder geeft u een berekening van de jaargemiddelde COP-waarde van de warmtepomp voor de gebruiksomstandigheden waarvoor deze wordt toegepast, met onderbouwing van de gemiddelde brontemperatuur, gemiddelde bronretour en de gemiddelde aanvoer en retourtemperatuur van het warmtenet/afnemer bij gebruikersomstandigheden. Deze jaargemiddelde COP-waarde van de warmtepomp dient ten minste 2,5 te bedragen. 
- Tenslotte voegt u het technische specificatieblad toe van het merk en type van de warmtepomp die u gaat gebruiken.
De warmte wordt opgewaardeerd met een nieuwe warmtepomp op basis van een halogeenvrij koudemiddel, de warmtepomp een nominaal thermisch vermogen van ten minste 500 kWth en een COP-waarde van ten minste 2,5 heeft, transport plaatsvindt met behulp van een transportleiding en waarbij de warmtepomp geschikt is om warmte op een aanvoertemperatuur in het stookseizoen van ten minste 100°C te produceren en waarbij de warmte wordt aangewend voor toepassing in stadsverwarming, waarbij het warmtenet op het moment van de aanvraag een aanvoertemperatuur in het stookseizoen van ten minste 90°C heeft. </v>
      </c>
    </row>
    <row r="207" spans="1:2" ht="15" customHeight="1" x14ac:dyDescent="0.35">
      <c r="A207" s="115" t="s">
        <v>268</v>
      </c>
      <c r="B207" s="120" t="str">
        <f>A150</f>
        <v xml:space="preserve">U onderbouwt de aangevraagde warmteproductie uit elektriciteit. U stuurt een processchema van de installatie mee waarmee u inzichtelijk maakt hoe groot de totale warmtevraag is van de warmteafnemers en op welk temperatuurniveau. Daarbij toont u aan dat de warmte van de elektroboiler wordt toegepast in een verwarmingssysteem met een aanvoertemperatuur aan de gebruikerszijde van ten minste 100 ⁰C in het stookseizoen of in een stoomsysteem (met gebruikerszijde wordt de eerste gebruiker van de warmte bedoeld). Eventueel vermeldt u, indien er ook andere warmteopwekkers met de elektroboiler warmtezijdig zijn verbonden, welke dat zijn en wat het vermogen daarvan is. Voor de elektrische aansluiting van de elektroboiler geldt dat deze minimaal het nominale vermogen van de elektrische boiler bedraagt. </v>
      </c>
    </row>
    <row r="208" spans="1:2" ht="15" customHeight="1" x14ac:dyDescent="0.35">
      <c r="A208" s="115" t="s">
        <v>430</v>
      </c>
      <c r="B208" s="120" t="str">
        <f>A152</f>
        <v xml:space="preserve">U vraagt aan voor de categorie elektroboiler met thermische opslag met een vermogen van minimaal 2 MWth voor gebruik op locatie voor een industriële toepassing, niet zijnde tuinbouw, waarbij sprake is van de uitgestelde levering van warmte door de toepassing van thermische opslag. 
U onderbouwt de aangevraagde warmteproductie uit elektriciteit. U stuurt een processchema van de installatie mee waarmee u inzichtelijk maakt hoe groot de totale warmtevraag is van de warmteafnemers en op welk temperatuurniveau. Daarbij toont u aan dat de warmte van de elektroboiler wordt toegepast in een verwarmingssysteem met een aanvoertemperatuur aan de gebruikerszijde van ten minste 100 ⁰C of in een stoomsysteem. Eventueel vermeldt u, indien er ook andere warmteopwekkers met de elektroboiler warmtezijdig zijn verbonden, welke dat zijn en wat het vermogen daarvan is. Voor de elektrische aansluiting van de elektroboiler geldt dat deze minimaal het nominale vermogen van de elektrische boiler bedraagt. 
Het nominaal elektrisch vermogen van de productie-installatie bedraagt minstens anderhalf keer het nominaal thermisch vermogen van de productie-installatie, waarbij de opslagcapaciteit ten minste 4 MWh per MW thermisch vermogen van de productie-installatie moet bedragen. Het nominaal thermisch vermogen van de productie-installatie bedraagt ten hoogste 50 MWth. </v>
      </c>
    </row>
    <row r="209" spans="1:6" ht="15" customHeight="1" x14ac:dyDescent="0.35">
      <c r="A209" s="115" t="s">
        <v>518</v>
      </c>
      <c r="B209" s="120" t="str">
        <f>A154</f>
        <v xml:space="preserve">Indien u aanvraagt in de categorie elektroboiler voortzetting, moet u aantonen dat de exploitatiekosten van de productie-installatie ertoe leiden dat die voortzetting onrendabel is. Indien u reeds eerder een SDE++ subsidieverlening hebt ontvangen dan dient u een verzoek tot intrekking in te dienen voor deze subsidieverlening.
U onderbouwt de aangevraagde warmteproductie uit elektriciteit. U stuurt een processchema van de installatie mee waarmee u inzichtelijk maakt hoe groot de totale warmtevraag is van de warmteafnemers en op welk temperatuurniveau. Daarbij toont u aan dat de warmte van de elektroboiler wordt toegepast in een verwarmingssysteem met een aanvoertemperatuur aan de gebruikerszijde van ten minste 100 ⁰C in het stookseizoen of in een stoomsysteem (met gebruikerszijde wordt de eerste gebruiker van de warmte bedoeld). Eventueel vermeldt u, indien er ook andere warmteopwekkers met de elektroboiler warmtezijdig zijn verbonden, welke dat zijn en wat het vermogen daarvan is. Voor de elektrische aansluiting van de elektroboiler geldt dat deze minimaal het nominale vermogen van de elektrische boiler bedraagt. </v>
      </c>
    </row>
    <row r="210" spans="1:6" ht="15" customHeight="1" x14ac:dyDescent="0.35">
      <c r="A210" s="115" t="s">
        <v>270</v>
      </c>
      <c r="B210" s="120" t="str">
        <f>A156</f>
        <v>Als u subsidie aanvraagt in de categorie waterstof uit elektrolyse netgekoppeld, moet u ter onderbouwing een beschrijving van uw productie-installatie meesturen en een onderbouwing van de jaarlijkse hoeveelheid waterstofproductie. 
Verder geldt dat uitsluitend subsidie wordt verstrekt voor de waterstof die volledig hernieuwbaar is en voldoet aan de gedelegeerde verordening (er moeten hernieuwbare stroomovereenkomsten worden afgesloten die betrekking hebben op de levering van hernieuwbare elektriciteit uit wind- of zonne-energie). Tijdens de exploitatie dient u dan te beschikken over het bewijs van afboeking van garanties van oorsprong (GvO) voor hernieuwbare elektriciteit, die zijn uitgegeven voor productie-installaties voor de productie van hernieuwbare elektriciteit uit wind- of zonne-energie waarvoor de hernieuwbare stroomafnameovereenkomsten zijn aangegaan.</v>
      </c>
    </row>
    <row r="211" spans="1:6" ht="15" customHeight="1" x14ac:dyDescent="0.35">
      <c r="A211" s="115" t="s">
        <v>272</v>
      </c>
      <c r="B211" s="120" t="str">
        <f>A158</f>
        <v xml:space="preserve">Als u subsidie aanvraagt in de categorie waterstof uit elektrolyse met directe lijn met een wind- of zonnepark, moet u ter onderbouwing een beschrijving van uw productie-installatie voor waterstof en een beschrijving van het wind-of zonnepark waaraan de waterstofproductie-installatie is gekoppeld meesturen. Daarnaast moet u een onderbouwing geven van de jaarlijkse hoeveelheid waterstofproductie. 
</v>
      </c>
    </row>
    <row r="212" spans="1:6" ht="15" customHeight="1" x14ac:dyDescent="0.35">
      <c r="A212" s="115" t="s">
        <v>479</v>
      </c>
      <c r="B212" s="120" t="str">
        <f>A160</f>
        <v xml:space="preserve">Om voor deze categorie te mogen indienen moet de producent die met een productie-installatie waterstof produceert uit afvalstoffen houder zijn van een vergunning voor het exploiteren van een afvalverwerkingsinstallatie, waarin, ingevolge die vergunning, uitsluitend afvalstoffen of voorbewerkte afvalstoffen mogen worden ingezet die op basis van de minimumstandaarden in het afvalbeheerplan, bedoeld in artikel 10.3 van de Wet milieubeheer, mogen worden verbrand of mogen worden gestort of die zijn geproduceerd uit dergelijke afvalstoffen. U wordt gevraagd een processchema mee te sturen met een massa-energiebalans voor de productie van waterstof door middel van vergassing van afval. </v>
      </c>
    </row>
    <row r="214" spans="1:6" x14ac:dyDescent="0.35">
      <c r="A214" s="114" t="s">
        <v>349</v>
      </c>
    </row>
    <row r="215" spans="1:6" x14ac:dyDescent="0.35">
      <c r="A215" s="119" t="str">
        <f>VLOOKUP(Hulpblad_categorieën_parameters!D82,Hulpblad_categorieën_parameters!A88:AB349,23,FALSE)</f>
        <v xml:space="preserve">Gebouwgebonden Zon-PV </v>
      </c>
      <c r="B215" s="138"/>
      <c r="C215" s="138"/>
      <c r="D215" s="138"/>
    </row>
    <row r="216" spans="1:6" x14ac:dyDescent="0.35">
      <c r="B216" s="138"/>
      <c r="C216" s="138"/>
      <c r="D216" s="138"/>
    </row>
    <row r="217" spans="1:6" x14ac:dyDescent="0.35">
      <c r="B217" s="138"/>
      <c r="C217" s="138"/>
      <c r="D217" s="138"/>
    </row>
    <row r="218" spans="1:6" ht="18" customHeight="1" x14ac:dyDescent="0.35">
      <c r="A218" s="139" t="s">
        <v>350</v>
      </c>
      <c r="B218" s="140" t="s">
        <v>187</v>
      </c>
      <c r="C218" s="140" t="s">
        <v>351</v>
      </c>
      <c r="D218" s="140" t="s">
        <v>352</v>
      </c>
      <c r="E218" s="140" t="s">
        <v>353</v>
      </c>
      <c r="F218" s="140" t="s">
        <v>354</v>
      </c>
    </row>
    <row r="219" spans="1:6" x14ac:dyDescent="0.35">
      <c r="A219" s="115" t="s">
        <v>181</v>
      </c>
      <c r="B219" s="141" t="s">
        <v>355</v>
      </c>
      <c r="C219" s="115" t="s">
        <v>295</v>
      </c>
      <c r="D219" s="115"/>
      <c r="E219" s="115" t="s">
        <v>295</v>
      </c>
    </row>
    <row r="220" spans="1:6" x14ac:dyDescent="0.35">
      <c r="A220" s="115" t="s">
        <v>187</v>
      </c>
      <c r="B220" s="141" t="s">
        <v>355</v>
      </c>
      <c r="C220" s="115" t="s">
        <v>295</v>
      </c>
      <c r="D220" s="115" t="s">
        <v>295</v>
      </c>
      <c r="E220" s="115" t="s">
        <v>295</v>
      </c>
    </row>
    <row r="221" spans="1:6" ht="25.5" customHeight="1" x14ac:dyDescent="0.35">
      <c r="A221" s="115" t="s">
        <v>139</v>
      </c>
      <c r="B221" s="115" t="s">
        <v>295</v>
      </c>
      <c r="C221" s="120" t="s">
        <v>356</v>
      </c>
      <c r="D221" s="115"/>
      <c r="E221" s="115" t="s">
        <v>295</v>
      </c>
    </row>
    <row r="222" spans="1:6" x14ac:dyDescent="0.35">
      <c r="A222" s="115" t="s">
        <v>214</v>
      </c>
      <c r="B222" s="115" t="s">
        <v>295</v>
      </c>
      <c r="C222" s="115" t="s">
        <v>295</v>
      </c>
      <c r="D222" s="115" t="s">
        <v>295</v>
      </c>
      <c r="E222" s="115" t="s">
        <v>295</v>
      </c>
    </row>
    <row r="223" spans="1:6" x14ac:dyDescent="0.35">
      <c r="A223" s="115" t="s">
        <v>248</v>
      </c>
      <c r="B223" s="115" t="s">
        <v>295</v>
      </c>
      <c r="C223" s="115" t="s">
        <v>295</v>
      </c>
      <c r="D223" s="115" t="s">
        <v>295</v>
      </c>
      <c r="E223" s="115"/>
    </row>
    <row r="224" spans="1:6" x14ac:dyDescent="0.35">
      <c r="A224" s="115" t="s">
        <v>252</v>
      </c>
      <c r="B224" s="115" t="s">
        <v>295</v>
      </c>
      <c r="C224" s="115" t="s">
        <v>295</v>
      </c>
      <c r="D224" s="115" t="s">
        <v>295</v>
      </c>
      <c r="E224" s="115"/>
    </row>
    <row r="225" spans="1:5" x14ac:dyDescent="0.35">
      <c r="A225" s="115" t="s">
        <v>271</v>
      </c>
      <c r="B225" s="115" t="s">
        <v>295</v>
      </c>
      <c r="C225" s="115" t="s">
        <v>295</v>
      </c>
      <c r="D225" s="115" t="s">
        <v>295</v>
      </c>
      <c r="E225" s="115" t="s">
        <v>295</v>
      </c>
    </row>
    <row r="226" spans="1:5" x14ac:dyDescent="0.35">
      <c r="A226" s="115" t="s">
        <v>274</v>
      </c>
      <c r="B226" s="115" t="s">
        <v>295</v>
      </c>
      <c r="C226" s="115" t="s">
        <v>295</v>
      </c>
      <c r="D226" s="115" t="s">
        <v>295</v>
      </c>
      <c r="E226" s="115" t="s">
        <v>295</v>
      </c>
    </row>
    <row r="227" spans="1:5" x14ac:dyDescent="0.35">
      <c r="A227" s="115" t="s">
        <v>279</v>
      </c>
      <c r="B227" s="115" t="s">
        <v>295</v>
      </c>
      <c r="C227" s="115" t="s">
        <v>295</v>
      </c>
      <c r="D227" s="115" t="s">
        <v>295</v>
      </c>
      <c r="E227" s="115" t="s">
        <v>295</v>
      </c>
    </row>
    <row r="228" spans="1:5" x14ac:dyDescent="0.35">
      <c r="A228" s="115" t="s">
        <v>357</v>
      </c>
      <c r="B228" s="115" t="s">
        <v>295</v>
      </c>
      <c r="C228" s="115" t="s">
        <v>295</v>
      </c>
      <c r="D228" s="115" t="s">
        <v>295</v>
      </c>
      <c r="E228" s="115" t="s">
        <v>295</v>
      </c>
    </row>
    <row r="229" spans="1:5" x14ac:dyDescent="0.35">
      <c r="B229" s="115"/>
    </row>
    <row r="230" spans="1:5" x14ac:dyDescent="0.35">
      <c r="A230" s="114" t="s">
        <v>358</v>
      </c>
    </row>
    <row r="231" spans="1:5" x14ac:dyDescent="0.35">
      <c r="A231" s="119" t="str">
        <f>VLOOKUP(Hulpblad_categorieën_parameters!D82,Hulpblad_categorieën_parameters!A88:AB349,24,FALSE)</f>
        <v>Elektriciteit</v>
      </c>
    </row>
    <row r="233" spans="1:5" x14ac:dyDescent="0.35">
      <c r="A233" s="114" t="s">
        <v>359</v>
      </c>
    </row>
    <row r="234" spans="1:5" x14ac:dyDescent="0.35">
      <c r="A234">
        <v>1</v>
      </c>
      <c r="B234" s="119" t="str">
        <f>IF(A231="Gecombineerde opwekking","Warmtegebruik binnen eigen bedrijf",IF(AND(A231="Warmte",Hulpblad_categorieën_parameters!D29="Restwarmtebenutting"),"Warmtegebruik binnen eigen bedrijf op een andere locatie",IF(A231="Warmte","Warmtegebruik binnen eigen bedrijf","Niet van toepassing")))</f>
        <v>Niet van toepassing</v>
      </c>
    </row>
    <row r="235" spans="1:5" x14ac:dyDescent="0.35">
      <c r="A235">
        <v>2</v>
      </c>
      <c r="B235" s="131" t="str">
        <f>IF(A231="Gecombineerde opwekking","warmtegebruik binnen eigen bedrijf én warmtelevering aan derden",IF(AND(A231="Warmte",Hulpblad_categorieën_parameters!D29="Restwarmtebenutting"),"Warmtelevering aan derden",IF(A231="Warmte","Warmtegebruik binnen eigen bedrijf én warmtelevering aan derden","")))</f>
        <v/>
      </c>
    </row>
    <row r="236" spans="1:5" x14ac:dyDescent="0.35">
      <c r="A236">
        <v>3</v>
      </c>
      <c r="B236" s="131" t="str">
        <f>IF(A231="Gecombineerde opwekking","Warmtelevering aan derden",IF(AND(A231="Warmte",Hulpblad_categorieën_parameters!D29="Restwarmtebenutting"),"",IF(A231="Warmte","Warmtelevering aan derden","")))</f>
        <v/>
      </c>
    </row>
    <row r="237" spans="1:5" x14ac:dyDescent="0.35">
      <c r="B237" s="119">
        <v>1</v>
      </c>
      <c r="C237" s="119" t="str">
        <f>VLOOKUP(B237,A234:B236,2,FALSE)</f>
        <v>Niet van toepassing</v>
      </c>
    </row>
    <row r="238" spans="1:5" x14ac:dyDescent="0.35">
      <c r="A238" s="115"/>
    </row>
    <row r="239" spans="1:5" x14ac:dyDescent="0.35">
      <c r="A239" s="114"/>
    </row>
    <row r="240" spans="1:5" x14ac:dyDescent="0.35">
      <c r="A240" s="184" t="s">
        <v>360</v>
      </c>
      <c r="B240" s="184" t="s">
        <v>361</v>
      </c>
    </row>
    <row r="241" spans="1:2" x14ac:dyDescent="0.35">
      <c r="A241" s="115" t="s">
        <v>362</v>
      </c>
      <c r="B241" s="184" t="s">
        <v>363</v>
      </c>
    </row>
    <row r="242" spans="1:2" x14ac:dyDescent="0.35">
      <c r="A242" s="115" t="s">
        <v>364</v>
      </c>
      <c r="B242" s="184" t="s">
        <v>365</v>
      </c>
    </row>
    <row r="243" spans="1:2" x14ac:dyDescent="0.35">
      <c r="A243" s="115" t="s">
        <v>295</v>
      </c>
      <c r="B243" s="115" t="s">
        <v>295</v>
      </c>
    </row>
    <row r="244" spans="1:2" x14ac:dyDescent="0.35">
      <c r="A244" s="184" t="s">
        <v>366</v>
      </c>
      <c r="B244" s="115" t="s">
        <v>367</v>
      </c>
    </row>
  </sheetData>
  <mergeCells count="52">
    <mergeCell ref="A148:D148"/>
    <mergeCell ref="A141:D141"/>
    <mergeCell ref="A142:D142"/>
    <mergeCell ref="A115:D115"/>
    <mergeCell ref="A116:D116"/>
    <mergeCell ref="A128:D128"/>
    <mergeCell ref="A130:D130"/>
    <mergeCell ref="A132:D132"/>
    <mergeCell ref="A134:D134"/>
    <mergeCell ref="A118:D118"/>
    <mergeCell ref="A126:D126"/>
    <mergeCell ref="A124:D124"/>
    <mergeCell ref="A75:D75"/>
    <mergeCell ref="A78:D78"/>
    <mergeCell ref="A106:D106"/>
    <mergeCell ref="A108:D108"/>
    <mergeCell ref="A102:D102"/>
    <mergeCell ref="A104:D104"/>
    <mergeCell ref="A100:D100"/>
    <mergeCell ref="A168:D168"/>
    <mergeCell ref="A136:D136"/>
    <mergeCell ref="A138:D138"/>
    <mergeCell ref="A144:D144"/>
    <mergeCell ref="A146:D146"/>
    <mergeCell ref="A150:D150"/>
    <mergeCell ref="A156:D156"/>
    <mergeCell ref="A158:D158"/>
    <mergeCell ref="A162:D162"/>
    <mergeCell ref="A164:D164"/>
    <mergeCell ref="A166:D166"/>
    <mergeCell ref="A152:D152"/>
    <mergeCell ref="A154:D154"/>
    <mergeCell ref="A160:D160"/>
    <mergeCell ref="A140:D140"/>
    <mergeCell ref="A139:D139"/>
    <mergeCell ref="F78:H78"/>
    <mergeCell ref="F79:H79"/>
    <mergeCell ref="A80:D80"/>
    <mergeCell ref="F80:H80"/>
    <mergeCell ref="A98:D98"/>
    <mergeCell ref="A82:D82"/>
    <mergeCell ref="A88:D88"/>
    <mergeCell ref="A90:D90"/>
    <mergeCell ref="A92:D92"/>
    <mergeCell ref="A96:D96"/>
    <mergeCell ref="A84:D84"/>
    <mergeCell ref="A86:D86"/>
    <mergeCell ref="A110:D110"/>
    <mergeCell ref="A122:D122"/>
    <mergeCell ref="A112:D112"/>
    <mergeCell ref="A114:D114"/>
    <mergeCell ref="A120:D12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C27ED-307E-4206-B654-95331224131D}">
  <dimension ref="A1:S24"/>
  <sheetViews>
    <sheetView workbookViewId="0">
      <selection activeCell="L10" sqref="L10"/>
    </sheetView>
  </sheetViews>
  <sheetFormatPr defaultRowHeight="14.5" x14ac:dyDescent="0.35"/>
  <cols>
    <col min="1" max="1" width="56" style="4" customWidth="1"/>
    <col min="2" max="2" width="12.81640625" style="4" customWidth="1"/>
    <col min="3" max="18" width="15.81640625" style="4" customWidth="1"/>
    <col min="19" max="256" width="9.1796875" style="4"/>
    <col min="257" max="257" width="56" style="4" customWidth="1"/>
    <col min="258" max="258" width="12.81640625" style="4" customWidth="1"/>
    <col min="259" max="274" width="15.81640625" style="4" customWidth="1"/>
    <col min="275" max="512" width="9.1796875" style="4"/>
    <col min="513" max="513" width="56" style="4" customWidth="1"/>
    <col min="514" max="514" width="12.81640625" style="4" customWidth="1"/>
    <col min="515" max="530" width="15.81640625" style="4" customWidth="1"/>
    <col min="531" max="768" width="9.1796875" style="4"/>
    <col min="769" max="769" width="56" style="4" customWidth="1"/>
    <col min="770" max="770" width="12.81640625" style="4" customWidth="1"/>
    <col min="771" max="786" width="15.81640625" style="4" customWidth="1"/>
    <col min="787" max="1024" width="9.1796875" style="4"/>
    <col min="1025" max="1025" width="56" style="4" customWidth="1"/>
    <col min="1026" max="1026" width="12.81640625" style="4" customWidth="1"/>
    <col min="1027" max="1042" width="15.81640625" style="4" customWidth="1"/>
    <col min="1043" max="1280" width="9.1796875" style="4"/>
    <col min="1281" max="1281" width="56" style="4" customWidth="1"/>
    <col min="1282" max="1282" width="12.81640625" style="4" customWidth="1"/>
    <col min="1283" max="1298" width="15.81640625" style="4" customWidth="1"/>
    <col min="1299" max="1536" width="9.1796875" style="4"/>
    <col min="1537" max="1537" width="56" style="4" customWidth="1"/>
    <col min="1538" max="1538" width="12.81640625" style="4" customWidth="1"/>
    <col min="1539" max="1554" width="15.81640625" style="4" customWidth="1"/>
    <col min="1555" max="1792" width="9.1796875" style="4"/>
    <col min="1793" max="1793" width="56" style="4" customWidth="1"/>
    <col min="1794" max="1794" width="12.81640625" style="4" customWidth="1"/>
    <col min="1795" max="1810" width="15.81640625" style="4" customWidth="1"/>
    <col min="1811" max="2048" width="9.1796875" style="4"/>
    <col min="2049" max="2049" width="56" style="4" customWidth="1"/>
    <col min="2050" max="2050" width="12.81640625" style="4" customWidth="1"/>
    <col min="2051" max="2066" width="15.81640625" style="4" customWidth="1"/>
    <col min="2067" max="2304" width="9.1796875" style="4"/>
    <col min="2305" max="2305" width="56" style="4" customWidth="1"/>
    <col min="2306" max="2306" width="12.81640625" style="4" customWidth="1"/>
    <col min="2307" max="2322" width="15.81640625" style="4" customWidth="1"/>
    <col min="2323" max="2560" width="9.1796875" style="4"/>
    <col min="2561" max="2561" width="56" style="4" customWidth="1"/>
    <col min="2562" max="2562" width="12.81640625" style="4" customWidth="1"/>
    <col min="2563" max="2578" width="15.81640625" style="4" customWidth="1"/>
    <col min="2579" max="2816" width="9.1796875" style="4"/>
    <col min="2817" max="2817" width="56" style="4" customWidth="1"/>
    <col min="2818" max="2818" width="12.81640625" style="4" customWidth="1"/>
    <col min="2819" max="2834" width="15.81640625" style="4" customWidth="1"/>
    <col min="2835" max="3072" width="9.1796875" style="4"/>
    <col min="3073" max="3073" width="56" style="4" customWidth="1"/>
    <col min="3074" max="3074" width="12.81640625" style="4" customWidth="1"/>
    <col min="3075" max="3090" width="15.81640625" style="4" customWidth="1"/>
    <col min="3091" max="3328" width="9.1796875" style="4"/>
    <col min="3329" max="3329" width="56" style="4" customWidth="1"/>
    <col min="3330" max="3330" width="12.81640625" style="4" customWidth="1"/>
    <col min="3331" max="3346" width="15.81640625" style="4" customWidth="1"/>
    <col min="3347" max="3584" width="9.1796875" style="4"/>
    <col min="3585" max="3585" width="56" style="4" customWidth="1"/>
    <col min="3586" max="3586" width="12.81640625" style="4" customWidth="1"/>
    <col min="3587" max="3602" width="15.81640625" style="4" customWidth="1"/>
    <col min="3603" max="3840" width="9.1796875" style="4"/>
    <col min="3841" max="3841" width="56" style="4" customWidth="1"/>
    <col min="3842" max="3842" width="12.81640625" style="4" customWidth="1"/>
    <col min="3843" max="3858" width="15.81640625" style="4" customWidth="1"/>
    <col min="3859" max="4096" width="9.1796875" style="4"/>
    <col min="4097" max="4097" width="56" style="4" customWidth="1"/>
    <col min="4098" max="4098" width="12.81640625" style="4" customWidth="1"/>
    <col min="4099" max="4114" width="15.81640625" style="4" customWidth="1"/>
    <col min="4115" max="4352" width="9.1796875" style="4"/>
    <col min="4353" max="4353" width="56" style="4" customWidth="1"/>
    <col min="4354" max="4354" width="12.81640625" style="4" customWidth="1"/>
    <col min="4355" max="4370" width="15.81640625" style="4" customWidth="1"/>
    <col min="4371" max="4608" width="9.1796875" style="4"/>
    <col min="4609" max="4609" width="56" style="4" customWidth="1"/>
    <col min="4610" max="4610" width="12.81640625" style="4" customWidth="1"/>
    <col min="4611" max="4626" width="15.81640625" style="4" customWidth="1"/>
    <col min="4627" max="4864" width="9.1796875" style="4"/>
    <col min="4865" max="4865" width="56" style="4" customWidth="1"/>
    <col min="4866" max="4866" width="12.81640625" style="4" customWidth="1"/>
    <col min="4867" max="4882" width="15.81640625" style="4" customWidth="1"/>
    <col min="4883" max="5120" width="9.1796875" style="4"/>
    <col min="5121" max="5121" width="56" style="4" customWidth="1"/>
    <col min="5122" max="5122" width="12.81640625" style="4" customWidth="1"/>
    <col min="5123" max="5138" width="15.81640625" style="4" customWidth="1"/>
    <col min="5139" max="5376" width="9.1796875" style="4"/>
    <col min="5377" max="5377" width="56" style="4" customWidth="1"/>
    <col min="5378" max="5378" width="12.81640625" style="4" customWidth="1"/>
    <col min="5379" max="5394" width="15.81640625" style="4" customWidth="1"/>
    <col min="5395" max="5632" width="9.1796875" style="4"/>
    <col min="5633" max="5633" width="56" style="4" customWidth="1"/>
    <col min="5634" max="5634" width="12.81640625" style="4" customWidth="1"/>
    <col min="5635" max="5650" width="15.81640625" style="4" customWidth="1"/>
    <col min="5651" max="5888" width="9.1796875" style="4"/>
    <col min="5889" max="5889" width="56" style="4" customWidth="1"/>
    <col min="5890" max="5890" width="12.81640625" style="4" customWidth="1"/>
    <col min="5891" max="5906" width="15.81640625" style="4" customWidth="1"/>
    <col min="5907" max="6144" width="9.1796875" style="4"/>
    <col min="6145" max="6145" width="56" style="4" customWidth="1"/>
    <col min="6146" max="6146" width="12.81640625" style="4" customWidth="1"/>
    <col min="6147" max="6162" width="15.81640625" style="4" customWidth="1"/>
    <col min="6163" max="6400" width="9.1796875" style="4"/>
    <col min="6401" max="6401" width="56" style="4" customWidth="1"/>
    <col min="6402" max="6402" width="12.81640625" style="4" customWidth="1"/>
    <col min="6403" max="6418" width="15.81640625" style="4" customWidth="1"/>
    <col min="6419" max="6656" width="9.1796875" style="4"/>
    <col min="6657" max="6657" width="56" style="4" customWidth="1"/>
    <col min="6658" max="6658" width="12.81640625" style="4" customWidth="1"/>
    <col min="6659" max="6674" width="15.81640625" style="4" customWidth="1"/>
    <col min="6675" max="6912" width="9.1796875" style="4"/>
    <col min="6913" max="6913" width="56" style="4" customWidth="1"/>
    <col min="6914" max="6914" width="12.81640625" style="4" customWidth="1"/>
    <col min="6915" max="6930" width="15.81640625" style="4" customWidth="1"/>
    <col min="6931" max="7168" width="9.1796875" style="4"/>
    <col min="7169" max="7169" width="56" style="4" customWidth="1"/>
    <col min="7170" max="7170" width="12.81640625" style="4" customWidth="1"/>
    <col min="7171" max="7186" width="15.81640625" style="4" customWidth="1"/>
    <col min="7187" max="7424" width="9.1796875" style="4"/>
    <col min="7425" max="7425" width="56" style="4" customWidth="1"/>
    <col min="7426" max="7426" width="12.81640625" style="4" customWidth="1"/>
    <col min="7427" max="7442" width="15.81640625" style="4" customWidth="1"/>
    <col min="7443" max="7680" width="9.1796875" style="4"/>
    <col min="7681" max="7681" width="56" style="4" customWidth="1"/>
    <col min="7682" max="7682" width="12.81640625" style="4" customWidth="1"/>
    <col min="7683" max="7698" width="15.81640625" style="4" customWidth="1"/>
    <col min="7699" max="7936" width="9.1796875" style="4"/>
    <col min="7937" max="7937" width="56" style="4" customWidth="1"/>
    <col min="7938" max="7938" width="12.81640625" style="4" customWidth="1"/>
    <col min="7939" max="7954" width="15.81640625" style="4" customWidth="1"/>
    <col min="7955" max="8192" width="9.1796875" style="4"/>
    <col min="8193" max="8193" width="56" style="4" customWidth="1"/>
    <col min="8194" max="8194" width="12.81640625" style="4" customWidth="1"/>
    <col min="8195" max="8210" width="15.81640625" style="4" customWidth="1"/>
    <col min="8211" max="8448" width="9.1796875" style="4"/>
    <col min="8449" max="8449" width="56" style="4" customWidth="1"/>
    <col min="8450" max="8450" width="12.81640625" style="4" customWidth="1"/>
    <col min="8451" max="8466" width="15.81640625" style="4" customWidth="1"/>
    <col min="8467" max="8704" width="9.1796875" style="4"/>
    <col min="8705" max="8705" width="56" style="4" customWidth="1"/>
    <col min="8706" max="8706" width="12.81640625" style="4" customWidth="1"/>
    <col min="8707" max="8722" width="15.81640625" style="4" customWidth="1"/>
    <col min="8723" max="8960" width="9.1796875" style="4"/>
    <col min="8961" max="8961" width="56" style="4" customWidth="1"/>
    <col min="8962" max="8962" width="12.81640625" style="4" customWidth="1"/>
    <col min="8963" max="8978" width="15.81640625" style="4" customWidth="1"/>
    <col min="8979" max="9216" width="9.1796875" style="4"/>
    <col min="9217" max="9217" width="56" style="4" customWidth="1"/>
    <col min="9218" max="9218" width="12.81640625" style="4" customWidth="1"/>
    <col min="9219" max="9234" width="15.81640625" style="4" customWidth="1"/>
    <col min="9235" max="9472" width="9.1796875" style="4"/>
    <col min="9473" max="9473" width="56" style="4" customWidth="1"/>
    <col min="9474" max="9474" width="12.81640625" style="4" customWidth="1"/>
    <col min="9475" max="9490" width="15.81640625" style="4" customWidth="1"/>
    <col min="9491" max="9728" width="9.1796875" style="4"/>
    <col min="9729" max="9729" width="56" style="4" customWidth="1"/>
    <col min="9730" max="9730" width="12.81640625" style="4" customWidth="1"/>
    <col min="9731" max="9746" width="15.81640625" style="4" customWidth="1"/>
    <col min="9747" max="9984" width="9.1796875" style="4"/>
    <col min="9985" max="9985" width="56" style="4" customWidth="1"/>
    <col min="9986" max="9986" width="12.81640625" style="4" customWidth="1"/>
    <col min="9987" max="10002" width="15.81640625" style="4" customWidth="1"/>
    <col min="10003" max="10240" width="9.1796875" style="4"/>
    <col min="10241" max="10241" width="56" style="4" customWidth="1"/>
    <col min="10242" max="10242" width="12.81640625" style="4" customWidth="1"/>
    <col min="10243" max="10258" width="15.81640625" style="4" customWidth="1"/>
    <col min="10259" max="10496" width="9.1796875" style="4"/>
    <col min="10497" max="10497" width="56" style="4" customWidth="1"/>
    <col min="10498" max="10498" width="12.81640625" style="4" customWidth="1"/>
    <col min="10499" max="10514" width="15.81640625" style="4" customWidth="1"/>
    <col min="10515" max="10752" width="9.1796875" style="4"/>
    <col min="10753" max="10753" width="56" style="4" customWidth="1"/>
    <col min="10754" max="10754" width="12.81640625" style="4" customWidth="1"/>
    <col min="10755" max="10770" width="15.81640625" style="4" customWidth="1"/>
    <col min="10771" max="11008" width="9.1796875" style="4"/>
    <col min="11009" max="11009" width="56" style="4" customWidth="1"/>
    <col min="11010" max="11010" width="12.81640625" style="4" customWidth="1"/>
    <col min="11011" max="11026" width="15.81640625" style="4" customWidth="1"/>
    <col min="11027" max="11264" width="9.1796875" style="4"/>
    <col min="11265" max="11265" width="56" style="4" customWidth="1"/>
    <col min="11266" max="11266" width="12.81640625" style="4" customWidth="1"/>
    <col min="11267" max="11282" width="15.81640625" style="4" customWidth="1"/>
    <col min="11283" max="11520" width="9.1796875" style="4"/>
    <col min="11521" max="11521" width="56" style="4" customWidth="1"/>
    <col min="11522" max="11522" width="12.81640625" style="4" customWidth="1"/>
    <col min="11523" max="11538" width="15.81640625" style="4" customWidth="1"/>
    <col min="11539" max="11776" width="9.1796875" style="4"/>
    <col min="11777" max="11777" width="56" style="4" customWidth="1"/>
    <col min="11778" max="11778" width="12.81640625" style="4" customWidth="1"/>
    <col min="11779" max="11794" width="15.81640625" style="4" customWidth="1"/>
    <col min="11795" max="12032" width="9.1796875" style="4"/>
    <col min="12033" max="12033" width="56" style="4" customWidth="1"/>
    <col min="12034" max="12034" width="12.81640625" style="4" customWidth="1"/>
    <col min="12035" max="12050" width="15.81640625" style="4" customWidth="1"/>
    <col min="12051" max="12288" width="9.1796875" style="4"/>
    <col min="12289" max="12289" width="56" style="4" customWidth="1"/>
    <col min="12290" max="12290" width="12.81640625" style="4" customWidth="1"/>
    <col min="12291" max="12306" width="15.81640625" style="4" customWidth="1"/>
    <col min="12307" max="12544" width="9.1796875" style="4"/>
    <col min="12545" max="12545" width="56" style="4" customWidth="1"/>
    <col min="12546" max="12546" width="12.81640625" style="4" customWidth="1"/>
    <col min="12547" max="12562" width="15.81640625" style="4" customWidth="1"/>
    <col min="12563" max="12800" width="9.1796875" style="4"/>
    <col min="12801" max="12801" width="56" style="4" customWidth="1"/>
    <col min="12802" max="12802" width="12.81640625" style="4" customWidth="1"/>
    <col min="12803" max="12818" width="15.81640625" style="4" customWidth="1"/>
    <col min="12819" max="13056" width="9.1796875" style="4"/>
    <col min="13057" max="13057" width="56" style="4" customWidth="1"/>
    <col min="13058" max="13058" width="12.81640625" style="4" customWidth="1"/>
    <col min="13059" max="13074" width="15.81640625" style="4" customWidth="1"/>
    <col min="13075" max="13312" width="9.1796875" style="4"/>
    <col min="13313" max="13313" width="56" style="4" customWidth="1"/>
    <col min="13314" max="13314" width="12.81640625" style="4" customWidth="1"/>
    <col min="13315" max="13330" width="15.81640625" style="4" customWidth="1"/>
    <col min="13331" max="13568" width="9.1796875" style="4"/>
    <col min="13569" max="13569" width="56" style="4" customWidth="1"/>
    <col min="13570" max="13570" width="12.81640625" style="4" customWidth="1"/>
    <col min="13571" max="13586" width="15.81640625" style="4" customWidth="1"/>
    <col min="13587" max="13824" width="9.1796875" style="4"/>
    <col min="13825" max="13825" width="56" style="4" customWidth="1"/>
    <col min="13826" max="13826" width="12.81640625" style="4" customWidth="1"/>
    <col min="13827" max="13842" width="15.81640625" style="4" customWidth="1"/>
    <col min="13843" max="14080" width="9.1796875" style="4"/>
    <col min="14081" max="14081" width="56" style="4" customWidth="1"/>
    <col min="14082" max="14082" width="12.81640625" style="4" customWidth="1"/>
    <col min="14083" max="14098" width="15.81640625" style="4" customWidth="1"/>
    <col min="14099" max="14336" width="9.1796875" style="4"/>
    <col min="14337" max="14337" width="56" style="4" customWidth="1"/>
    <col min="14338" max="14338" width="12.81640625" style="4" customWidth="1"/>
    <col min="14339" max="14354" width="15.81640625" style="4" customWidth="1"/>
    <col min="14355" max="14592" width="9.1796875" style="4"/>
    <col min="14593" max="14593" width="56" style="4" customWidth="1"/>
    <col min="14594" max="14594" width="12.81640625" style="4" customWidth="1"/>
    <col min="14595" max="14610" width="15.81640625" style="4" customWidth="1"/>
    <col min="14611" max="14848" width="9.1796875" style="4"/>
    <col min="14849" max="14849" width="56" style="4" customWidth="1"/>
    <col min="14850" max="14850" width="12.81640625" style="4" customWidth="1"/>
    <col min="14851" max="14866" width="15.81640625" style="4" customWidth="1"/>
    <col min="14867" max="15104" width="9.1796875" style="4"/>
    <col min="15105" max="15105" width="56" style="4" customWidth="1"/>
    <col min="15106" max="15106" width="12.81640625" style="4" customWidth="1"/>
    <col min="15107" max="15122" width="15.81640625" style="4" customWidth="1"/>
    <col min="15123" max="15360" width="9.1796875" style="4"/>
    <col min="15361" max="15361" width="56" style="4" customWidth="1"/>
    <col min="15362" max="15362" width="12.81640625" style="4" customWidth="1"/>
    <col min="15363" max="15378" width="15.81640625" style="4" customWidth="1"/>
    <col min="15379" max="15616" width="9.1796875" style="4"/>
    <col min="15617" max="15617" width="56" style="4" customWidth="1"/>
    <col min="15618" max="15618" width="12.81640625" style="4" customWidth="1"/>
    <col min="15619" max="15634" width="15.81640625" style="4" customWidth="1"/>
    <col min="15635" max="15872" width="9.1796875" style="4"/>
    <col min="15873" max="15873" width="56" style="4" customWidth="1"/>
    <col min="15874" max="15874" width="12.81640625" style="4" customWidth="1"/>
    <col min="15875" max="15890" width="15.81640625" style="4" customWidth="1"/>
    <col min="15891" max="16128" width="9.1796875" style="4"/>
    <col min="16129" max="16129" width="56" style="4" customWidth="1"/>
    <col min="16130" max="16130" width="12.81640625" style="4" customWidth="1"/>
    <col min="16131" max="16146" width="15.81640625" style="4" customWidth="1"/>
    <col min="16147" max="16384" width="9.1796875" style="4"/>
  </cols>
  <sheetData>
    <row r="1" spans="1:19" ht="32.5" x14ac:dyDescent="0.65">
      <c r="A1" s="142" t="s">
        <v>368</v>
      </c>
      <c r="B1" s="12"/>
      <c r="C1" s="12"/>
      <c r="D1" s="12"/>
      <c r="E1" s="12"/>
      <c r="F1" s="12"/>
      <c r="G1" s="12"/>
      <c r="H1" s="12"/>
      <c r="I1" s="12"/>
      <c r="J1" s="12"/>
      <c r="K1" s="12"/>
      <c r="L1" s="12"/>
      <c r="M1" s="12"/>
      <c r="N1" s="12"/>
      <c r="O1" s="12"/>
      <c r="P1" s="12"/>
      <c r="Q1" s="12"/>
      <c r="R1" s="12"/>
      <c r="S1" s="12"/>
    </row>
    <row r="2" spans="1:19" ht="15.5" x14ac:dyDescent="0.35">
      <c r="A2" s="47" t="s">
        <v>369</v>
      </c>
      <c r="B2" s="12"/>
      <c r="C2" s="12"/>
      <c r="D2" s="12"/>
      <c r="E2" s="12"/>
      <c r="F2" s="12"/>
      <c r="G2" s="12"/>
      <c r="H2" s="12"/>
      <c r="I2" s="12"/>
      <c r="J2" s="12"/>
      <c r="K2" s="12"/>
      <c r="L2" s="12"/>
      <c r="M2" s="12"/>
      <c r="N2" s="12"/>
      <c r="O2" s="12"/>
      <c r="P2" s="12"/>
      <c r="Q2" s="12"/>
      <c r="R2" s="12"/>
      <c r="S2" s="12"/>
    </row>
    <row r="3" spans="1:19" ht="32.25" customHeight="1" x14ac:dyDescent="0.35">
      <c r="A3" s="450" t="s">
        <v>370</v>
      </c>
      <c r="B3" s="451"/>
      <c r="C3" s="451"/>
      <c r="D3" s="451"/>
      <c r="E3" s="451"/>
      <c r="F3" s="451"/>
      <c r="G3" s="451"/>
      <c r="H3" s="451"/>
      <c r="I3" s="451"/>
      <c r="J3" s="451"/>
      <c r="K3" s="451"/>
      <c r="L3" s="12"/>
      <c r="M3" s="12"/>
      <c r="N3" s="12"/>
      <c r="O3" s="12"/>
      <c r="P3" s="12"/>
      <c r="Q3" s="12"/>
      <c r="R3" s="12"/>
      <c r="S3" s="12"/>
    </row>
    <row r="4" spans="1:19" ht="18" x14ac:dyDescent="0.4">
      <c r="A4" s="28"/>
      <c r="B4" s="12"/>
      <c r="C4" s="12"/>
      <c r="D4" s="12"/>
      <c r="E4" s="12"/>
      <c r="F4" s="12"/>
      <c r="G4" s="12"/>
      <c r="H4" s="12"/>
      <c r="I4" s="12"/>
      <c r="J4" s="12"/>
      <c r="K4" s="12"/>
      <c r="L4" s="12"/>
      <c r="M4" s="12"/>
      <c r="N4" s="12"/>
      <c r="O4" s="12"/>
      <c r="P4" s="12"/>
      <c r="Q4" s="12"/>
      <c r="R4" s="12"/>
      <c r="S4" s="12"/>
    </row>
    <row r="5" spans="1:19" ht="15.5" x14ac:dyDescent="0.35">
      <c r="A5" s="47" t="s">
        <v>66</v>
      </c>
      <c r="B5" s="12"/>
      <c r="C5" s="30">
        <v>0</v>
      </c>
      <c r="D5" s="30">
        <v>1</v>
      </c>
      <c r="E5" s="30">
        <v>2</v>
      </c>
      <c r="F5" s="30">
        <v>3</v>
      </c>
      <c r="G5" s="30">
        <v>4</v>
      </c>
      <c r="H5" s="30">
        <v>5</v>
      </c>
      <c r="I5" s="30">
        <v>6</v>
      </c>
      <c r="J5" s="30">
        <v>7</v>
      </c>
      <c r="K5" s="30">
        <v>8</v>
      </c>
      <c r="L5" s="30">
        <v>9</v>
      </c>
      <c r="M5" s="30">
        <v>10</v>
      </c>
      <c r="N5" s="30">
        <v>11</v>
      </c>
      <c r="O5" s="30">
        <v>12</v>
      </c>
      <c r="P5" s="30">
        <v>13</v>
      </c>
      <c r="Q5" s="30">
        <v>14</v>
      </c>
      <c r="R5" s="30">
        <v>15</v>
      </c>
      <c r="S5" s="12"/>
    </row>
    <row r="6" spans="1:19" x14ac:dyDescent="0.35">
      <c r="A6" s="30"/>
      <c r="B6" s="12"/>
      <c r="C6" s="30"/>
      <c r="D6" s="30"/>
      <c r="E6" s="30"/>
      <c r="F6" s="30"/>
      <c r="G6" s="30"/>
      <c r="H6" s="30"/>
      <c r="I6" s="30"/>
      <c r="J6" s="30"/>
      <c r="K6" s="30"/>
      <c r="L6" s="30"/>
      <c r="M6" s="30"/>
      <c r="N6" s="30"/>
      <c r="O6" s="30"/>
      <c r="P6" s="30"/>
      <c r="Q6" s="30"/>
      <c r="R6" s="30"/>
      <c r="S6" s="12"/>
    </row>
    <row r="7" spans="1:19" ht="15.5" x14ac:dyDescent="0.35">
      <c r="A7" s="47" t="s">
        <v>371</v>
      </c>
      <c r="B7" s="12"/>
      <c r="C7" s="12"/>
      <c r="D7" s="12"/>
      <c r="E7" s="12"/>
      <c r="F7" s="12"/>
      <c r="G7" s="12"/>
      <c r="H7" s="12"/>
      <c r="I7" s="12"/>
      <c r="J7" s="12"/>
      <c r="K7" s="12"/>
      <c r="L7" s="12"/>
      <c r="M7" s="12"/>
      <c r="N7" s="12"/>
      <c r="O7" s="12"/>
      <c r="P7" s="12"/>
      <c r="Q7" s="12"/>
      <c r="R7" s="12"/>
      <c r="S7" s="12"/>
    </row>
    <row r="8" spans="1:19" x14ac:dyDescent="0.35">
      <c r="A8" s="12" t="s">
        <v>372</v>
      </c>
      <c r="B8" s="12"/>
      <c r="C8" s="57">
        <f>Exploitatieberekening!N145</f>
        <v>0</v>
      </c>
      <c r="D8" s="57">
        <f>Exploitatieberekening!O145</f>
        <v>-2.92E-2</v>
      </c>
      <c r="E8" s="57">
        <f>Exploitatieberekening!P145</f>
        <v>-2.9784000000000001E-2</v>
      </c>
      <c r="F8" s="57">
        <f>Exploitatieberekening!Q145</f>
        <v>-3.0379680000000003E-2</v>
      </c>
      <c r="G8" s="57">
        <f>Exploitatieberekening!R145</f>
        <v>-3.0987273600000004E-2</v>
      </c>
      <c r="H8" s="57">
        <f>Exploitatieberekening!S145</f>
        <v>-3.1607019072000003E-2</v>
      </c>
      <c r="I8" s="57">
        <f>Exploitatieberekening!T145</f>
        <v>0</v>
      </c>
      <c r="J8" s="57">
        <f>Exploitatieberekening!U145</f>
        <v>0</v>
      </c>
      <c r="K8" s="57">
        <f>Exploitatieberekening!V145</f>
        <v>0</v>
      </c>
      <c r="L8" s="57">
        <f>Exploitatieberekening!W145</f>
        <v>0</v>
      </c>
      <c r="M8" s="57">
        <f>Exploitatieberekening!X145</f>
        <v>0</v>
      </c>
      <c r="N8" s="57">
        <f>Exploitatieberekening!Y145</f>
        <v>0</v>
      </c>
      <c r="O8" s="57">
        <f>Exploitatieberekening!Z145</f>
        <v>0</v>
      </c>
      <c r="P8" s="57">
        <f>Exploitatieberekening!AA145</f>
        <v>0</v>
      </c>
      <c r="Q8" s="57">
        <f>Exploitatieberekening!AB145</f>
        <v>0</v>
      </c>
      <c r="R8" s="57">
        <f>Exploitatieberekening!AC145</f>
        <v>0</v>
      </c>
      <c r="S8" s="12"/>
    </row>
    <row r="9" spans="1:19" x14ac:dyDescent="0.35">
      <c r="A9" s="12" t="s">
        <v>373</v>
      </c>
      <c r="B9" s="143">
        <f>IF(Exploitatieberekening!B12=8,IRR(C8:K8,0%),IF(Exploitatieberekening!B12=12,IRR(C8:O8,0%),IF(Exploitatieberekening!B12=15,IRR(C8:R8,0%),)))</f>
        <v>0</v>
      </c>
      <c r="C9" s="12"/>
      <c r="D9" s="12"/>
      <c r="E9" s="12"/>
      <c r="F9" s="12"/>
      <c r="G9" s="12"/>
      <c r="H9" s="12"/>
      <c r="I9" s="12"/>
      <c r="J9" s="12"/>
      <c r="K9" s="12"/>
      <c r="L9" s="12"/>
      <c r="M9" s="12"/>
      <c r="N9" s="12"/>
      <c r="O9" s="12"/>
      <c r="P9" s="12"/>
      <c r="Q9" s="12"/>
      <c r="R9" s="12"/>
      <c r="S9" s="12"/>
    </row>
    <row r="10" spans="1:19" x14ac:dyDescent="0.35">
      <c r="A10" s="12" t="s">
        <v>374</v>
      </c>
      <c r="B10" s="30"/>
      <c r="C10" s="57">
        <f>Exploitatieberekening!N145</f>
        <v>0</v>
      </c>
      <c r="D10" s="57">
        <f>IF(Exploitatieberekening!$B$12=8,SUM($D$8:$K$8)/8,IF(Exploitatieberekening!$B$12=12,SUM($D$8:$O$8)/12,IF(Exploitatieberekening!$B$12=15,SUM($D$8:$R$8)/15,0)))</f>
        <v>0</v>
      </c>
      <c r="E10" s="57">
        <f>IF(Exploitatieberekening!$B$12=8,SUM($D$8:$K$8)/8,IF(Exploitatieberekening!$B$12=12,SUM($D$8:$O$8)/12,IF(Exploitatieberekening!$B$12=15,SUM($D$8:$R$8)/15,0)))</f>
        <v>0</v>
      </c>
      <c r="F10" s="57">
        <f>IF(Exploitatieberekening!$B$12=8,SUM($D$8:$K$8)/8,IF(Exploitatieberekening!$B$12=12,SUM($D$8:$O$8)/12,IF(Exploitatieberekening!$B$12=15,SUM($D$8:$R$8)/15,0)))</f>
        <v>0</v>
      </c>
      <c r="G10" s="57">
        <f>IF(Exploitatieberekening!$B$12=8,SUM($D$8:$K$8)/8,IF(Exploitatieberekening!$B$12=12,SUM($D$8:$O$8)/12,IF(Exploitatieberekening!$B$12=15,SUM($D$8:$R$8)/15,0)))</f>
        <v>0</v>
      </c>
      <c r="H10" s="57">
        <f>IF(Exploitatieberekening!$B$12=8,SUM($D$8:$K$8)/8,IF(Exploitatieberekening!$B$12=12,SUM($D$8:$O$8)/12,IF(Exploitatieberekening!$B$12=15,SUM($D$8:$R$8)/15,0)))</f>
        <v>0</v>
      </c>
      <c r="I10" s="57">
        <f>IF(Exploitatieberekening!$B$12=8,SUM($D$8:$K$8)/8,IF(Exploitatieberekening!$B$12=12,SUM($D$8:$O$8)/12,IF(Exploitatieberekening!$B$12=15,SUM($D$8:$R$8)/15,0)))</f>
        <v>0</v>
      </c>
      <c r="J10" s="57">
        <f>IF(Exploitatieberekening!$B$12=8,SUM($D$8:$K$8)/8,IF(Exploitatieberekening!$B$12=12,SUM($D$8:$O$8)/12,IF(Exploitatieberekening!$B$12=15,SUM($D$8:$R$8)/15,0)))</f>
        <v>0</v>
      </c>
      <c r="K10" s="57">
        <f>IF(Exploitatieberekening!$B$12=8,SUM($D$8:$K$8)/8,IF(Exploitatieberekening!$B$12=12,SUM($D$8:$O$8)/12,IF(Exploitatieberekening!$B$12=15,SUM($D$8:$R$8)/15,0)))</f>
        <v>0</v>
      </c>
      <c r="L10" s="57">
        <f>IF(Exploitatieberekening!$B$12=8,SUM($D$8:$K$8)/8,IF(Exploitatieberekening!$B$12=12,SUM($D$8:$O$8)/12,IF(Exploitatieberekening!$B$12=15,SUM($D$8:$R$8)/15,0)))</f>
        <v>0</v>
      </c>
      <c r="M10" s="57">
        <f>IF(Exploitatieberekening!$B$12=8,SUM($D$8:$K$8)/8,IF(Exploitatieberekening!$B$12=12,SUM($D$8:$O$8)/12,IF(Exploitatieberekening!$B$12=15,SUM($D$8:$R$8)/15,0)))</f>
        <v>0</v>
      </c>
      <c r="N10" s="57">
        <f>IF(Exploitatieberekening!$B$12=8,SUM($D$8:$K$8)/8,IF(Exploitatieberekening!$B$12=12,SUM($D$8:$O$8)/12,IF(Exploitatieberekening!$B$12=15,SUM($D$8:$R$8)/15,0)))</f>
        <v>0</v>
      </c>
      <c r="O10" s="57">
        <f>IF(Exploitatieberekening!$B$12=8,SUM($D$8:$K$8)/8,IF(Exploitatieberekening!$B$12=12,SUM($D$8:$O$8)/12,IF(Exploitatieberekening!$B$12=15,SUM($D$8:$R$8)/15,0)))</f>
        <v>0</v>
      </c>
      <c r="P10" s="57">
        <f>IF(Exploitatieberekening!$B$12=8,SUM($D$8:$K$8)/8,IF(Exploitatieberekening!$B$12=12,SUM($D$8:$O$8)/12,IF(Exploitatieberekening!$B$12=15,SUM($D$8:$R$8)/15,0)))</f>
        <v>0</v>
      </c>
      <c r="Q10" s="57">
        <f>IF(Exploitatieberekening!$B$12=8,SUM($D$8:$K$8)/8,IF(Exploitatieberekening!$B$12=12,SUM($D$8:$O$8)/12,IF(Exploitatieberekening!$B$12=15,SUM($D$8:$R$8)/15,0)))</f>
        <v>0</v>
      </c>
      <c r="R10" s="57">
        <f>IF(Exploitatieberekening!$B$12=8,SUM($D$8:$K$8)/8,IF(Exploitatieberekening!$B$12=12,SUM($D$8:$O$8)/12,IF(Exploitatieberekening!$B$12=15,SUM($D$8:$R$8)/15,0)))</f>
        <v>0</v>
      </c>
      <c r="S10" s="12"/>
    </row>
    <row r="11" spans="1:19" x14ac:dyDescent="0.35">
      <c r="A11" s="12" t="s">
        <v>375</v>
      </c>
      <c r="B11" s="143">
        <f>IF(Exploitatieberekening!B12=8,IRR(C10:K10,0%),IF(Exploitatieberekening!B12=12,IRR(C10:O10,0%),IF(Exploitatieberekening!B12=15,IRR(C10:R10,0%),)))</f>
        <v>0</v>
      </c>
      <c r="C11" s="12"/>
      <c r="D11" s="12"/>
      <c r="E11" s="12"/>
      <c r="F11" s="12"/>
      <c r="G11" s="12"/>
      <c r="H11" s="12"/>
      <c r="I11" s="12"/>
      <c r="J11" s="12"/>
      <c r="K11" s="12"/>
      <c r="L11" s="12"/>
      <c r="M11" s="12"/>
      <c r="N11" s="12"/>
      <c r="O11" s="12"/>
      <c r="P11" s="12"/>
      <c r="Q11" s="12"/>
      <c r="R11" s="12"/>
      <c r="S11" s="12"/>
    </row>
    <row r="12" spans="1:19" x14ac:dyDescent="0.35">
      <c r="A12" s="30"/>
      <c r="B12" s="143"/>
      <c r="C12" s="12"/>
      <c r="D12" s="12"/>
      <c r="E12" s="12"/>
      <c r="F12" s="12"/>
      <c r="G12" s="12"/>
      <c r="H12" s="12"/>
      <c r="I12" s="12"/>
      <c r="J12" s="12"/>
      <c r="K12" s="12"/>
      <c r="L12" s="12"/>
      <c r="M12" s="12"/>
      <c r="N12" s="12"/>
      <c r="O12" s="12"/>
      <c r="P12" s="12"/>
      <c r="Q12" s="12"/>
      <c r="R12" s="12"/>
      <c r="S12" s="12"/>
    </row>
    <row r="13" spans="1:19" ht="15.5" x14ac:dyDescent="0.35">
      <c r="A13" s="47" t="s">
        <v>376</v>
      </c>
      <c r="B13" s="143"/>
      <c r="C13" s="12"/>
      <c r="D13" s="12"/>
      <c r="E13" s="12"/>
      <c r="F13" s="12"/>
      <c r="G13" s="12"/>
      <c r="H13" s="12"/>
      <c r="I13" s="12"/>
      <c r="J13" s="12"/>
      <c r="K13" s="12"/>
      <c r="L13" s="12"/>
      <c r="M13" s="12"/>
      <c r="N13" s="12"/>
      <c r="O13" s="12"/>
      <c r="P13" s="12"/>
      <c r="Q13" s="12"/>
      <c r="R13" s="12"/>
      <c r="S13" s="12"/>
    </row>
    <row r="14" spans="1:19" x14ac:dyDescent="0.35">
      <c r="A14" s="12" t="s">
        <v>377</v>
      </c>
      <c r="B14" s="12"/>
      <c r="C14" s="57" t="e">
        <f>Exploitatieberekening!N150</f>
        <v>#DIV/0!</v>
      </c>
      <c r="D14" s="57">
        <f>Exploitatieberekening!O150</f>
        <v>-2.92E-2</v>
      </c>
      <c r="E14" s="57">
        <f>Exploitatieberekening!P150</f>
        <v>-2.9784000000000001E-2</v>
      </c>
      <c r="F14" s="57">
        <f>Exploitatieberekening!Q150</f>
        <v>-3.0379680000000003E-2</v>
      </c>
      <c r="G14" s="57">
        <f>Exploitatieberekening!R150</f>
        <v>-3.0987273600000004E-2</v>
      </c>
      <c r="H14" s="57">
        <f>Exploitatieberekening!S150</f>
        <v>-3.1607019072000003E-2</v>
      </c>
      <c r="I14" s="57">
        <f>Exploitatieberekening!T150</f>
        <v>0</v>
      </c>
      <c r="J14" s="57">
        <f>Exploitatieberekening!U150</f>
        <v>0</v>
      </c>
      <c r="K14" s="57">
        <f>Exploitatieberekening!V150</f>
        <v>0</v>
      </c>
      <c r="L14" s="57">
        <f>Exploitatieberekening!W150</f>
        <v>0</v>
      </c>
      <c r="M14" s="57">
        <f>Exploitatieberekening!X150</f>
        <v>0</v>
      </c>
      <c r="N14" s="57">
        <f>Exploitatieberekening!Y150</f>
        <v>0</v>
      </c>
      <c r="O14" s="57">
        <f>Exploitatieberekening!Z150</f>
        <v>0</v>
      </c>
      <c r="P14" s="57">
        <f>Exploitatieberekening!AA150</f>
        <v>0</v>
      </c>
      <c r="Q14" s="57">
        <f>Exploitatieberekening!AB150</f>
        <v>0</v>
      </c>
      <c r="R14" s="57">
        <f>Exploitatieberekening!AC150</f>
        <v>0</v>
      </c>
      <c r="S14" s="12"/>
    </row>
    <row r="15" spans="1:19" x14ac:dyDescent="0.35">
      <c r="A15" s="12" t="s">
        <v>373</v>
      </c>
      <c r="B15" s="143">
        <f>IF(Exploitatieberekening!B12=8,IRR(C14:K14,0%),IF(Exploitatieberekening!B12=12,IRR(C14:O14,0%),IF(Exploitatieberekening!B12=15,IRR(C14:R14,0%),)))</f>
        <v>0</v>
      </c>
      <c r="C15" s="12"/>
      <c r="D15" s="12"/>
      <c r="E15" s="12"/>
      <c r="F15" s="12"/>
      <c r="G15" s="12"/>
      <c r="H15" s="12"/>
      <c r="I15" s="12"/>
      <c r="J15" s="12"/>
      <c r="K15" s="12"/>
      <c r="L15" s="12"/>
      <c r="M15" s="12"/>
      <c r="N15" s="12"/>
      <c r="O15" s="12"/>
      <c r="P15" s="12"/>
      <c r="Q15" s="12"/>
      <c r="R15" s="12"/>
      <c r="S15" s="12"/>
    </row>
    <row r="16" spans="1:19" x14ac:dyDescent="0.35">
      <c r="A16" s="12" t="s">
        <v>378</v>
      </c>
      <c r="B16" s="12"/>
      <c r="C16" s="57" t="e">
        <f>Exploitatieberekening!N150</f>
        <v>#DIV/0!</v>
      </c>
      <c r="D16" s="57">
        <f>IF(Exploitatieberekening!$B$12=8,SUM($D$14:$K$14)/8,IF(Exploitatieberekening!$B$12=12,SUM($D$14:$O$14)/12,IF(Exploitatieberekening!$B$12=15,SUM($D$14:$R$14)/15,0)))</f>
        <v>0</v>
      </c>
      <c r="E16" s="57">
        <f>IF(Exploitatieberekening!$B$12=8,SUM($D$14:$K$14)/8,IF(Exploitatieberekening!$B$12=12,SUM($D$14:$O$14)/12,IF(Exploitatieberekening!$B$12=15,SUM($D$14:$R$14)/15,0)))</f>
        <v>0</v>
      </c>
      <c r="F16" s="57">
        <f>IF(Exploitatieberekening!$B$12=8,SUM($D$14:$K$14)/8,IF(Exploitatieberekening!$B$12=12,SUM($D$14:$O$14)/12,IF(Exploitatieberekening!$B$12=15,SUM($D$14:$R$14)/15,0)))</f>
        <v>0</v>
      </c>
      <c r="G16" s="57">
        <f>IF(Exploitatieberekening!$B$12=8,SUM($D$14:$K$14)/8,IF(Exploitatieberekening!$B$12=12,SUM($D$14:$O$14)/12,IF(Exploitatieberekening!$B$12=15,SUM($D$14:$R$14)/15,0)))</f>
        <v>0</v>
      </c>
      <c r="H16" s="57">
        <f>IF(Exploitatieberekening!$B$12=8,SUM($D$14:$K$14)/8,IF(Exploitatieberekening!$B$12=12,SUM($D$14:$O$14)/12,IF(Exploitatieberekening!$B$12=15,SUM($D$14:$R$14)/15,0)))</f>
        <v>0</v>
      </c>
      <c r="I16" s="57">
        <f>IF(Exploitatieberekening!$B$12=8,SUM($D$14:$K$14)/8,IF(Exploitatieberekening!$B$12=12,SUM($D$14:$O$14)/12,IF(Exploitatieberekening!$B$12=15,SUM($D$14:$R$14)/15,0)))</f>
        <v>0</v>
      </c>
      <c r="J16" s="57">
        <f>IF(Exploitatieberekening!$B$12=8,SUM($D$14:$K$14)/8,IF(Exploitatieberekening!$B$12=12,SUM($D$14:$O$14)/12,IF(Exploitatieberekening!$B$12=15,SUM($D$14:$R$14)/15,0)))</f>
        <v>0</v>
      </c>
      <c r="K16" s="57">
        <f>IF(Exploitatieberekening!$B$12=8,SUM($D$14:$K$14)/8,IF(Exploitatieberekening!$B$12=12,SUM($D$14:$O$14)/12,IF(Exploitatieberekening!$B$12=15,SUM($D$14:$R$14)/15,0)))</f>
        <v>0</v>
      </c>
      <c r="L16" s="57">
        <f>IF(Exploitatieberekening!$B$12=8,SUM($D$14:$K$14)/8,IF(Exploitatieberekening!$B$12=12,SUM($D$14:$O$14)/12,IF(Exploitatieberekening!$B$12=15,SUM($D$14:$R$14)/15,0)))</f>
        <v>0</v>
      </c>
      <c r="M16" s="57">
        <f>IF(Exploitatieberekening!$B$12=8,SUM($D$14:$K$14)/8,IF(Exploitatieberekening!$B$12=12,SUM($D$14:$O$14)/12,IF(Exploitatieberekening!$B$12=15,SUM($D$14:$R$14)/15,0)))</f>
        <v>0</v>
      </c>
      <c r="N16" s="57">
        <f>IF(Exploitatieberekening!$B$12=8,SUM($D$14:$K$14)/8,IF(Exploitatieberekening!$B$12=12,SUM($D$14:$O$14)/12,IF(Exploitatieberekening!$B$12=15,SUM($D$14:$R$14)/15,0)))</f>
        <v>0</v>
      </c>
      <c r="O16" s="57">
        <f>IF(Exploitatieberekening!$B$12=8,SUM($D$14:$K$14)/8,IF(Exploitatieberekening!$B$12=12,SUM($D$14:$O$14)/12,IF(Exploitatieberekening!$B$12=15,SUM($D$14:$R$14)/15,0)))</f>
        <v>0</v>
      </c>
      <c r="P16" s="57">
        <f>IF(Exploitatieberekening!$B$12=8,SUM($D$14:$K$14)/8,IF(Exploitatieberekening!$B$12=12,SUM($D$14:$O$14)/12,IF(Exploitatieberekening!$B$12=15,SUM($D$14:$R$14)/15,0)))</f>
        <v>0</v>
      </c>
      <c r="Q16" s="57">
        <f>IF(Exploitatieberekening!$B$12=8,SUM($D$14:$K$14)/8,IF(Exploitatieberekening!$B$12=12,SUM($D$14:$O$14)/12,IF(Exploitatieberekening!$B$12=15,SUM($D$14:$R$14)/15,0)))</f>
        <v>0</v>
      </c>
      <c r="R16" s="57">
        <f>IF(Exploitatieberekening!$B$12=8,SUM($D$14:$K$14)/8,IF(Exploitatieberekening!$B$12=12,SUM($D$14:$O$14)/12,IF(Exploitatieberekening!$B$12=15,SUM($D$14:$R$14)/15,0)))</f>
        <v>0</v>
      </c>
      <c r="S16" s="12"/>
    </row>
    <row r="17" spans="1:19" x14ac:dyDescent="0.35">
      <c r="A17" s="12" t="s">
        <v>379</v>
      </c>
      <c r="B17" s="143">
        <f>IF(Exploitatieberekening!B12=8,IRR(C16:K16,0%),IF(Exploitatieberekening!B12=12,IRR(C16:O16,0%),IF(Exploitatieberekening!B12=15,IRR(C16:R16,0%),)))</f>
        <v>0</v>
      </c>
      <c r="C17" s="12"/>
      <c r="D17" s="12"/>
      <c r="E17" s="12"/>
      <c r="F17" s="12"/>
      <c r="G17" s="12"/>
      <c r="H17" s="12"/>
      <c r="I17" s="12"/>
      <c r="J17" s="12"/>
      <c r="K17" s="12"/>
      <c r="L17" s="12"/>
      <c r="M17" s="12"/>
      <c r="N17" s="12"/>
      <c r="O17" s="12"/>
      <c r="P17" s="12"/>
      <c r="Q17" s="12"/>
      <c r="R17" s="12"/>
      <c r="S17" s="12"/>
    </row>
    <row r="18" spans="1:19" x14ac:dyDescent="0.35">
      <c r="A18" s="12"/>
      <c r="B18" s="30"/>
      <c r="C18" s="12"/>
      <c r="D18" s="12"/>
      <c r="E18" s="12"/>
      <c r="F18" s="12"/>
      <c r="G18" s="12"/>
      <c r="H18" s="12"/>
      <c r="I18" s="12"/>
      <c r="J18" s="12"/>
      <c r="K18" s="12"/>
      <c r="L18" s="12"/>
      <c r="M18" s="12"/>
      <c r="N18" s="12"/>
      <c r="O18" s="12"/>
      <c r="P18" s="12"/>
      <c r="Q18" s="12"/>
      <c r="R18" s="12"/>
      <c r="S18" s="12"/>
    </row>
    <row r="19" spans="1:19" x14ac:dyDescent="0.35">
      <c r="A19" s="12"/>
      <c r="B19" s="12"/>
      <c r="C19" s="12"/>
      <c r="D19" s="12"/>
      <c r="E19" s="12"/>
      <c r="F19" s="12"/>
      <c r="G19" s="12"/>
      <c r="H19" s="12"/>
      <c r="I19" s="12"/>
      <c r="J19" s="12"/>
      <c r="K19" s="12"/>
      <c r="L19" s="12"/>
      <c r="M19" s="12"/>
      <c r="N19" s="12"/>
      <c r="O19" s="12"/>
      <c r="P19" s="12"/>
      <c r="Q19" s="12"/>
      <c r="R19" s="12"/>
      <c r="S19" s="12"/>
    </row>
    <row r="20" spans="1:19" x14ac:dyDescent="0.35">
      <c r="A20" s="12"/>
      <c r="B20" s="12"/>
      <c r="C20" s="12"/>
      <c r="D20" s="12"/>
      <c r="E20" s="12"/>
      <c r="F20" s="12"/>
      <c r="G20" s="12"/>
      <c r="H20" s="12"/>
      <c r="I20" s="12"/>
      <c r="J20" s="12"/>
      <c r="K20" s="12"/>
      <c r="L20" s="12"/>
      <c r="M20" s="12"/>
      <c r="N20" s="12"/>
      <c r="O20" s="12"/>
      <c r="P20" s="12"/>
      <c r="Q20" s="12"/>
      <c r="R20" s="12"/>
      <c r="S20" s="12"/>
    </row>
    <row r="21" spans="1:19" x14ac:dyDescent="0.35">
      <c r="A21" s="12"/>
      <c r="B21" s="12"/>
      <c r="C21" s="12"/>
      <c r="D21" s="12"/>
      <c r="E21" s="12"/>
      <c r="F21" s="12"/>
      <c r="G21" s="12"/>
      <c r="H21" s="12"/>
      <c r="I21" s="12"/>
      <c r="J21" s="12"/>
      <c r="K21" s="12"/>
      <c r="L21" s="12"/>
      <c r="M21" s="12"/>
      <c r="N21" s="12"/>
      <c r="O21" s="12"/>
      <c r="P21" s="12"/>
      <c r="Q21" s="12"/>
      <c r="R21" s="12"/>
      <c r="S21" s="12"/>
    </row>
    <row r="22" spans="1:19" x14ac:dyDescent="0.35">
      <c r="A22" s="12"/>
      <c r="B22" s="12"/>
      <c r="C22" s="12"/>
      <c r="D22" s="12"/>
      <c r="E22" s="12"/>
      <c r="F22" s="12"/>
      <c r="G22" s="12"/>
      <c r="H22" s="12"/>
      <c r="I22" s="12"/>
      <c r="J22" s="12"/>
      <c r="K22" s="12"/>
      <c r="L22" s="12"/>
      <c r="M22" s="12"/>
      <c r="N22" s="12"/>
      <c r="O22" s="12"/>
      <c r="P22" s="12"/>
      <c r="Q22" s="12"/>
      <c r="R22" s="12"/>
      <c r="S22" s="12"/>
    </row>
    <row r="23" spans="1:19" x14ac:dyDescent="0.35">
      <c r="A23" s="12"/>
      <c r="B23" s="12"/>
      <c r="C23" s="12"/>
      <c r="D23" s="12"/>
      <c r="E23" s="12"/>
      <c r="F23" s="12"/>
      <c r="G23" s="12"/>
      <c r="H23" s="12"/>
      <c r="I23" s="12"/>
      <c r="J23" s="12"/>
      <c r="K23" s="12"/>
      <c r="L23" s="12"/>
      <c r="M23" s="12"/>
      <c r="N23" s="12"/>
      <c r="O23" s="12"/>
      <c r="P23" s="12"/>
      <c r="Q23" s="12"/>
      <c r="R23" s="12"/>
      <c r="S23" s="12"/>
    </row>
    <row r="24" spans="1:19" x14ac:dyDescent="0.35">
      <c r="A24" s="12"/>
      <c r="B24" s="12"/>
      <c r="C24" s="12"/>
      <c r="D24" s="12"/>
      <c r="E24" s="12"/>
      <c r="F24" s="12"/>
      <c r="G24" s="12"/>
      <c r="H24" s="12"/>
      <c r="I24" s="12"/>
      <c r="J24" s="12"/>
      <c r="K24" s="12"/>
      <c r="L24" s="12"/>
      <c r="M24" s="12"/>
      <c r="N24" s="12"/>
      <c r="O24" s="12"/>
      <c r="P24" s="12"/>
      <c r="Q24" s="12"/>
      <c r="R24" s="12"/>
      <c r="S24" s="12"/>
    </row>
  </sheetData>
  <mergeCells count="1">
    <mergeCell ref="A3:K3"/>
  </mergeCells>
  <pageMargins left="0.7" right="0.7" top="0.75" bottom="0.75" header="0.3" footer="0.3"/>
  <ignoredErrors>
    <ignoredError sqref="D8 B17 B15 B11 B9" evalError="1"/>
  </ignoredErrors>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Invulinstructie_disclaimer</vt:lpstr>
      <vt:lpstr>Financiering_en_projectplan</vt:lpstr>
      <vt:lpstr>Productie_en_afzet</vt:lpstr>
      <vt:lpstr>Exploitatieberekening</vt:lpstr>
      <vt:lpstr>Overzicht bijlagen</vt:lpstr>
      <vt:lpstr>Hulpblad_categorieën_parameters</vt:lpstr>
      <vt:lpstr>Hulpblad_overig</vt:lpstr>
      <vt:lpstr>Alternat.rendementsberekening</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 haalbaarheidsstudie SDE ++ 2026</dc:title>
  <dc:creator>Rijksdienst voor Ondernemend Nederland</dc:creator>
  <cp:lastModifiedBy>Rijksdienst voor Ondernemend Nederland</cp:lastModifiedBy>
  <dcterms:created xsi:type="dcterms:W3CDTF">2022-04-26T18:18:30Z</dcterms:created>
  <dcterms:modified xsi:type="dcterms:W3CDTF">2026-08-03T15:35:41Z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2023-01-31T14:22:23Z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794c74a3-7f6b-40a7-a737-d9bde0f657ab</vt:lpwstr>
  </property>
  <property fmtid="{D5CDD505-2E9C-101B-9397-08002B2CF9AE}" pid="8" name="MSIP_Label_4bde8109-f994-4a60-a1d3-5c95e2ff3620_ContentBits">
    <vt:lpwstr>0</vt:lpwstr>
  </property>
</Properties>
</file>