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39781BE7-3491-4D56-9825-1F664237E68A}" xr6:coauthVersionLast="47" xr6:coauthVersionMax="47" xr10:uidLastSave="{00000000-0000-0000-0000-000000000000}"/>
  <workbookProtection workbookAlgorithmName="SHA-512" workbookHashValue="ljuTGOjw5Sj/EmCE/W0bSOilv0DicJ4hI7CTVG9lxanoqbgWYk1RsDlX8tXJTUmOwbzeJXoDUvaZ9RtaWuYq0w==" workbookSaltValue="45JE/Q8FwVXjZJD/+fW//A==" workbookSpinCount="100000" lockStructure="1"/>
  <bookViews>
    <workbookView xWindow="-120" yWindow="-120" windowWidth="29040" windowHeight="17640" tabRatio="851" xr2:uid="{F8206712-7A86-4E29-820C-C649C7548CE7}"/>
  </bookViews>
  <sheets>
    <sheet name="Voorblad" sheetId="19" r:id="rId1"/>
    <sheet name="Benodigde subsidie" sheetId="17" r:id="rId2"/>
    <sheet name="1 Econ. levensduur" sheetId="1" r:id="rId3"/>
    <sheet name="2 Investeringskosten" sheetId="2" r:id="rId4"/>
    <sheet name="3 Omzet" sheetId="9" r:id="rId5"/>
    <sheet name="4a Exploitatiekosten" sheetId="3" r:id="rId6"/>
    <sheet name="4b Energiekosten" sheetId="21" r:id="rId7"/>
    <sheet name="5 Operationele voordelen" sheetId="8" r:id="rId8"/>
    <sheet name="6 WACC" sheetId="14" r:id="rId9"/>
    <sheet name="7 Overige subsidies " sheetId="15" r:id="rId10"/>
    <sheet name="CW operationele kasstromen" sheetId="16" r:id="rId11"/>
    <sheet name="Vastgestelde parameters" sheetId="20" r:id="rId12"/>
    <sheet name="Opzoekblad" sheetId="7" state="hidden" r:id="rId13"/>
    <sheet name="Versiebeheer" sheetId="22" state="hidden" r:id="rId14"/>
    <sheet name="Actualisatie" sheetId="23" state="hidden" r:id="rId15"/>
  </sheets>
  <definedNames>
    <definedName name="_Econ_levensduur">'1 Econ. levensduur'!$C$12</definedName>
    <definedName name="_Hlk198320077" localSheetId="3">'2 Investeringskosten'!$B$3</definedName>
    <definedName name="CW_kasstroom">'CW operationele kasstromen'!$C$15</definedName>
    <definedName name="Debt">'6 WACC'!$C$14</definedName>
    <definedName name="DEF_KOLOMNR">Opzoekblad!$D$3:$E$31</definedName>
    <definedName name="Equity">'6 WACC'!$C$13</definedName>
    <definedName name="ERP">'Vastgestelde parameters'!$C$31</definedName>
    <definedName name="Europese_Subsidie">'7 Overige subsidies '!$D$20</definedName>
    <definedName name="Geschatte_totale_EIA">'7 Overige subsidies '!$D$38</definedName>
    <definedName name="Investeringskosten">'2 Investeringskosten'!$D$9</definedName>
    <definedName name="Laatste_exploitatiejaar">'1 Econ. levensduur'!$C$17</definedName>
    <definedName name="realisatiekosten">Opzoekblad!$B$4:$B$13</definedName>
    <definedName name="RiskFreeRate">'Vastgestelde parameters'!$C$33</definedName>
    <definedName name="start_operatie">'1 Econ. levensduur'!$C$11</definedName>
    <definedName name="start_realisatie">'1 Econ. levensduur'!$C$10</definedName>
    <definedName name="subsidiejaar">'Vastgestelde parameters'!$C$30</definedName>
    <definedName name="tax_rate">'Vastgestelde parameters'!$C$32</definedName>
    <definedName name="WACC">'6 WACC'!$C$27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4" l="1"/>
  <c r="C27" i="14"/>
  <c r="G17" i="20" l="1"/>
  <c r="G16" i="20"/>
  <c r="G15" i="20"/>
  <c r="G14" i="20"/>
  <c r="G13" i="20"/>
  <c r="G12" i="20"/>
  <c r="G10" i="20"/>
  <c r="G9" i="20"/>
  <c r="G8" i="20"/>
  <c r="G7" i="20"/>
  <c r="G6" i="20"/>
  <c r="Z6" i="20"/>
  <c r="Z7" i="20"/>
  <c r="Z8" i="20"/>
  <c r="Z9" i="20"/>
  <c r="Z10" i="20"/>
  <c r="Z18" i="20"/>
  <c r="C31" i="20"/>
  <c r="C33" i="20"/>
  <c r="D38" i="15"/>
  <c r="D37" i="15"/>
  <c r="D36" i="15"/>
  <c r="D8" i="2" l="1"/>
  <c r="E12" i="1"/>
  <c r="E11" i="1"/>
  <c r="E10" i="1"/>
  <c r="I4" i="16"/>
  <c r="H4" i="16"/>
  <c r="J4" i="16"/>
  <c r="K4" i="16"/>
  <c r="L4" i="16"/>
  <c r="M4" i="16"/>
  <c r="E96" i="21"/>
  <c r="E95" i="21"/>
  <c r="D20" i="8"/>
  <c r="C17" i="14"/>
  <c r="E34" i="21" l="1"/>
  <c r="F34" i="21" s="1"/>
  <c r="G34" i="21" s="1"/>
  <c r="H34" i="21" s="1"/>
  <c r="I34" i="21" s="1"/>
  <c r="J34" i="21" s="1"/>
  <c r="K34" i="21" s="1"/>
  <c r="L34" i="21" s="1"/>
  <c r="M34" i="21" s="1"/>
  <c r="N34" i="21" s="1"/>
  <c r="B31" i="21"/>
  <c r="D16" i="8"/>
  <c r="M20" i="8"/>
  <c r="L20" i="8"/>
  <c r="K20" i="8"/>
  <c r="J20" i="8"/>
  <c r="I20" i="8"/>
  <c r="H20" i="8"/>
  <c r="G20" i="8"/>
  <c r="F20" i="8"/>
  <c r="E20" i="8"/>
  <c r="D84" i="9"/>
  <c r="D85" i="9"/>
  <c r="D86" i="9"/>
  <c r="D87" i="9"/>
  <c r="D88" i="9"/>
  <c r="D89" i="9"/>
  <c r="D90" i="9"/>
  <c r="D91" i="9"/>
  <c r="D92" i="9"/>
  <c r="D93" i="9"/>
  <c r="D94" i="9"/>
  <c r="D95" i="9"/>
  <c r="D96" i="9"/>
  <c r="D97" i="9"/>
  <c r="D98" i="9"/>
  <c r="D99" i="9"/>
  <c r="D100" i="9"/>
  <c r="D101" i="9"/>
  <c r="D102" i="9"/>
  <c r="D83" i="9"/>
  <c r="D60" i="9"/>
  <c r="D61" i="9"/>
  <c r="D62" i="9"/>
  <c r="D63" i="9"/>
  <c r="D64" i="9"/>
  <c r="D65" i="9"/>
  <c r="D66" i="9"/>
  <c r="D67" i="9"/>
  <c r="D68" i="9"/>
  <c r="D69" i="9"/>
  <c r="D70" i="9"/>
  <c r="D71" i="9"/>
  <c r="D72" i="9"/>
  <c r="D73" i="9"/>
  <c r="D74" i="9"/>
  <c r="D75" i="9"/>
  <c r="D76" i="9"/>
  <c r="D77" i="9"/>
  <c r="D78" i="9"/>
  <c r="D59" i="9"/>
  <c r="D36" i="9"/>
  <c r="D37" i="9"/>
  <c r="D38" i="9"/>
  <c r="D39" i="9"/>
  <c r="D40" i="9"/>
  <c r="D41" i="9"/>
  <c r="D42" i="9"/>
  <c r="D43" i="9"/>
  <c r="D44" i="9"/>
  <c r="D45" i="9"/>
  <c r="D46" i="9"/>
  <c r="D47" i="9"/>
  <c r="D48" i="9"/>
  <c r="D49" i="9"/>
  <c r="D50" i="9"/>
  <c r="D51" i="9"/>
  <c r="D52" i="9"/>
  <c r="D53" i="9"/>
  <c r="D54" i="9"/>
  <c r="D35" i="9"/>
  <c r="B35" i="9"/>
  <c r="D9" i="2"/>
  <c r="M12" i="3"/>
  <c r="L12" i="3"/>
  <c r="K12" i="3"/>
  <c r="J12" i="3"/>
  <c r="I12" i="3"/>
  <c r="H12" i="3"/>
  <c r="G12" i="3"/>
  <c r="F12" i="3"/>
  <c r="E12" i="3"/>
  <c r="D12" i="3"/>
  <c r="I96" i="21"/>
  <c r="N98" i="21"/>
  <c r="M98" i="21"/>
  <c r="L98" i="21"/>
  <c r="K98" i="21"/>
  <c r="J98" i="21"/>
  <c r="I98" i="21"/>
  <c r="H98" i="21"/>
  <c r="G98" i="21"/>
  <c r="F98" i="21"/>
  <c r="E98" i="21"/>
  <c r="N97" i="21"/>
  <c r="M97" i="21"/>
  <c r="L97" i="21"/>
  <c r="K97" i="21"/>
  <c r="J97" i="21"/>
  <c r="I97" i="21"/>
  <c r="H97" i="21"/>
  <c r="G97" i="21"/>
  <c r="F97" i="21"/>
  <c r="E97" i="21"/>
  <c r="N96" i="21"/>
  <c r="M96" i="21"/>
  <c r="L96" i="21"/>
  <c r="K96" i="21"/>
  <c r="J96" i="21"/>
  <c r="H96" i="21"/>
  <c r="G96" i="21"/>
  <c r="F96" i="21"/>
  <c r="N95" i="21"/>
  <c r="M95" i="21"/>
  <c r="L95" i="21"/>
  <c r="K95" i="21"/>
  <c r="J95" i="21"/>
  <c r="I95" i="21"/>
  <c r="H95" i="21"/>
  <c r="G95" i="21"/>
  <c r="F95" i="21"/>
  <c r="C72" i="21"/>
  <c r="C71" i="21"/>
  <c r="C70" i="21"/>
  <c r="C69" i="21"/>
  <c r="C96" i="21"/>
  <c r="C97" i="21"/>
  <c r="C98" i="21"/>
  <c r="B84" i="9"/>
  <c r="C84" i="9"/>
  <c r="B85" i="9"/>
  <c r="C85" i="9"/>
  <c r="B86" i="9"/>
  <c r="C86" i="9"/>
  <c r="B87" i="9"/>
  <c r="C87" i="9"/>
  <c r="B88" i="9"/>
  <c r="C88" i="9"/>
  <c r="B89" i="9"/>
  <c r="C89" i="9"/>
  <c r="B90" i="9"/>
  <c r="C90" i="9"/>
  <c r="B91" i="9"/>
  <c r="C91" i="9"/>
  <c r="B92" i="9"/>
  <c r="C92" i="9"/>
  <c r="B93" i="9"/>
  <c r="C93" i="9"/>
  <c r="B94" i="9"/>
  <c r="C94" i="9"/>
  <c r="B95" i="9"/>
  <c r="C95" i="9"/>
  <c r="B96" i="9"/>
  <c r="C96" i="9"/>
  <c r="B97" i="9"/>
  <c r="C97" i="9"/>
  <c r="B98" i="9"/>
  <c r="C98" i="9"/>
  <c r="B99" i="9"/>
  <c r="C99" i="9"/>
  <c r="B100" i="9"/>
  <c r="C100" i="9"/>
  <c r="B101" i="9"/>
  <c r="C101" i="9"/>
  <c r="B102" i="9"/>
  <c r="C102" i="9"/>
  <c r="C83" i="9"/>
  <c r="B83" i="9"/>
  <c r="B59" i="9"/>
  <c r="B60" i="9"/>
  <c r="C60" i="9"/>
  <c r="B61" i="9"/>
  <c r="C61" i="9"/>
  <c r="B62" i="9"/>
  <c r="C62" i="9"/>
  <c r="B63" i="9"/>
  <c r="C63" i="9"/>
  <c r="B64" i="9"/>
  <c r="C64" i="9"/>
  <c r="B65" i="9"/>
  <c r="C65" i="9"/>
  <c r="B66" i="9"/>
  <c r="C66" i="9"/>
  <c r="B67" i="9"/>
  <c r="C67" i="9"/>
  <c r="B68" i="9"/>
  <c r="C68" i="9"/>
  <c r="B69" i="9"/>
  <c r="C69" i="9"/>
  <c r="B70" i="9"/>
  <c r="C70" i="9"/>
  <c r="B71" i="9"/>
  <c r="C71" i="9"/>
  <c r="B72" i="9"/>
  <c r="C72" i="9"/>
  <c r="B73" i="9"/>
  <c r="C73" i="9"/>
  <c r="B74" i="9"/>
  <c r="C74" i="9"/>
  <c r="B75" i="9"/>
  <c r="C75" i="9"/>
  <c r="B76" i="9"/>
  <c r="C76" i="9"/>
  <c r="B77" i="9"/>
  <c r="C77" i="9"/>
  <c r="B78" i="9"/>
  <c r="C78" i="9"/>
  <c r="C59" i="9"/>
  <c r="C54" i="9"/>
  <c r="B54" i="9"/>
  <c r="C53" i="9"/>
  <c r="B53" i="9"/>
  <c r="C52" i="9"/>
  <c r="B52" i="9"/>
  <c r="C51" i="9"/>
  <c r="B51" i="9"/>
  <c r="C50" i="9"/>
  <c r="B50" i="9"/>
  <c r="C49" i="9"/>
  <c r="B49" i="9"/>
  <c r="C48" i="9"/>
  <c r="B48" i="9"/>
  <c r="C47" i="9"/>
  <c r="B47" i="9"/>
  <c r="C46" i="9"/>
  <c r="B46" i="9"/>
  <c r="C45" i="9"/>
  <c r="B45" i="9"/>
  <c r="C44" i="9"/>
  <c r="B44" i="9"/>
  <c r="C43" i="9"/>
  <c r="B43" i="9"/>
  <c r="C42" i="9"/>
  <c r="B42" i="9"/>
  <c r="C41" i="9"/>
  <c r="B41" i="9"/>
  <c r="C40" i="9"/>
  <c r="B40" i="9"/>
  <c r="C39" i="9"/>
  <c r="B39" i="9"/>
  <c r="C38" i="9"/>
  <c r="B38" i="9"/>
  <c r="C37" i="9"/>
  <c r="B37" i="9"/>
  <c r="C36" i="9"/>
  <c r="B36" i="9"/>
  <c r="C35" i="9"/>
  <c r="C16" i="1"/>
  <c r="C17" i="1"/>
  <c r="D21" i="15"/>
  <c r="D20" i="15"/>
  <c r="C6" i="17" s="1"/>
  <c r="D12" i="16"/>
  <c r="E12" i="16" s="1"/>
  <c r="F12" i="16" s="1"/>
  <c r="G12" i="16" s="1"/>
  <c r="H12" i="16" s="1"/>
  <c r="I12" i="16" s="1"/>
  <c r="J12" i="16" s="1"/>
  <c r="K12" i="16" s="1"/>
  <c r="L12" i="16" s="1"/>
  <c r="M12" i="16" s="1"/>
  <c r="N12" i="16" s="1"/>
  <c r="O12" i="16" s="1"/>
  <c r="P12" i="16" s="1"/>
  <c r="Q12" i="16" s="1"/>
  <c r="R12" i="16" s="1"/>
  <c r="S12" i="16" s="1"/>
  <c r="T12" i="16" s="1"/>
  <c r="U12" i="16" s="1"/>
  <c r="V12" i="16" s="1"/>
  <c r="W12" i="16" s="1"/>
  <c r="X12" i="16" s="1"/>
  <c r="Y12" i="16" s="1"/>
  <c r="Z12" i="16" s="1"/>
  <c r="AA12" i="16" s="1"/>
  <c r="AB12" i="16" s="1"/>
  <c r="AC12" i="16" s="1"/>
  <c r="AD12" i="16" s="1"/>
  <c r="AE12" i="16" s="1"/>
  <c r="C95" i="21"/>
  <c r="E44" i="21"/>
  <c r="F44" i="21" s="1"/>
  <c r="G44" i="21" s="1"/>
  <c r="H44" i="21" s="1"/>
  <c r="I44" i="21" s="1"/>
  <c r="J44" i="21" s="1"/>
  <c r="K44" i="21" s="1"/>
  <c r="L44" i="21" s="1"/>
  <c r="M44" i="21" s="1"/>
  <c r="N44" i="21" s="1"/>
  <c r="E38" i="21"/>
  <c r="F38" i="21" s="1"/>
  <c r="G38" i="21" s="1"/>
  <c r="H38" i="21" s="1"/>
  <c r="I38" i="21" s="1"/>
  <c r="J38" i="21" s="1"/>
  <c r="K38" i="21" s="1"/>
  <c r="L38" i="21" s="1"/>
  <c r="M38" i="21" s="1"/>
  <c r="N38" i="21" s="1"/>
  <c r="E20" i="21"/>
  <c r="F20" i="21" s="1"/>
  <c r="G20" i="21" s="1"/>
  <c r="H20" i="21" s="1"/>
  <c r="I20" i="21" s="1"/>
  <c r="J20" i="21" s="1"/>
  <c r="K20" i="21" s="1"/>
  <c r="L20" i="21" s="1"/>
  <c r="M20" i="21" s="1"/>
  <c r="N20" i="21" s="1"/>
  <c r="E75" i="21"/>
  <c r="F75" i="21" s="1"/>
  <c r="G75" i="21" s="1"/>
  <c r="H75" i="21" s="1"/>
  <c r="I75" i="21" s="1"/>
  <c r="J75" i="21" s="1"/>
  <c r="K75" i="21" s="1"/>
  <c r="L75" i="21" s="1"/>
  <c r="M75" i="21" s="1"/>
  <c r="N75" i="21" s="1"/>
  <c r="E51" i="21"/>
  <c r="E12" i="21"/>
  <c r="F12" i="21" s="1"/>
  <c r="G12" i="21" s="1"/>
  <c r="H12" i="21" s="1"/>
  <c r="I12" i="21" s="1"/>
  <c r="J12" i="21" s="1"/>
  <c r="K12" i="21" s="1"/>
  <c r="L12" i="21" s="1"/>
  <c r="M12" i="21" s="1"/>
  <c r="N12" i="21" s="1"/>
  <c r="D11" i="3"/>
  <c r="E11" i="3"/>
  <c r="F11" i="3"/>
  <c r="G11" i="3"/>
  <c r="H11" i="3"/>
  <c r="I11" i="3"/>
  <c r="J11" i="3"/>
  <c r="K11" i="3"/>
  <c r="L11" i="3"/>
  <c r="M11" i="3"/>
  <c r="G21" i="20"/>
  <c r="H17" i="20"/>
  <c r="I17" i="20" s="1"/>
  <c r="J17" i="20" s="1"/>
  <c r="K17" i="20" s="1"/>
  <c r="L17" i="20" s="1"/>
  <c r="M17" i="20" s="1"/>
  <c r="N17" i="20" s="1"/>
  <c r="O17" i="20" s="1"/>
  <c r="P17" i="20" s="1"/>
  <c r="Q17" i="20" s="1"/>
  <c r="R17" i="20" s="1"/>
  <c r="S17" i="20" s="1"/>
  <c r="T17" i="20" s="1"/>
  <c r="U17" i="20" s="1"/>
  <c r="V17" i="20" s="1"/>
  <c r="W17" i="20" s="1"/>
  <c r="X17" i="20" s="1"/>
  <c r="Y17" i="20" s="1"/>
  <c r="Z17" i="20" s="1"/>
  <c r="Z16" i="20"/>
  <c r="Z15" i="20"/>
  <c r="Z14" i="20"/>
  <c r="Z13" i="20"/>
  <c r="Z12" i="20"/>
  <c r="E68" i="21" l="1"/>
  <c r="E67" i="21"/>
  <c r="E66" i="21"/>
  <c r="E64" i="21"/>
  <c r="E63" i="21"/>
  <c r="E62" i="21"/>
  <c r="E61" i="21"/>
  <c r="E60" i="21"/>
  <c r="E59" i="21"/>
  <c r="E58" i="21"/>
  <c r="E57" i="21"/>
  <c r="E56" i="21"/>
  <c r="E55" i="21"/>
  <c r="E54" i="21"/>
  <c r="E53" i="21"/>
  <c r="E52" i="21"/>
  <c r="E92" i="21"/>
  <c r="E91" i="21"/>
  <c r="E90" i="21"/>
  <c r="E88" i="21"/>
  <c r="E82" i="21"/>
  <c r="E76" i="21"/>
  <c r="D21" i="8"/>
  <c r="D22" i="8" s="1"/>
  <c r="D19" i="8"/>
  <c r="D7" i="16"/>
  <c r="E16" i="8"/>
  <c r="AF12" i="16"/>
  <c r="Y7" i="20"/>
  <c r="X7" i="20"/>
  <c r="W7" i="20"/>
  <c r="V7" i="20"/>
  <c r="U7" i="20"/>
  <c r="T7" i="20"/>
  <c r="S7" i="20"/>
  <c r="R7" i="20"/>
  <c r="Q7" i="20"/>
  <c r="P7" i="20"/>
  <c r="O7" i="20"/>
  <c r="N7" i="20"/>
  <c r="M7" i="20"/>
  <c r="L7" i="20"/>
  <c r="K7" i="20"/>
  <c r="J7" i="20"/>
  <c r="I7" i="20"/>
  <c r="H7" i="20"/>
  <c r="Y8" i="20"/>
  <c r="X8" i="20"/>
  <c r="W8" i="20"/>
  <c r="V8" i="20"/>
  <c r="U8" i="20"/>
  <c r="T8" i="20"/>
  <c r="S8" i="20"/>
  <c r="R8" i="20"/>
  <c r="Q8" i="20"/>
  <c r="P8" i="20"/>
  <c r="O8" i="20"/>
  <c r="N8" i="20"/>
  <c r="M8" i="20"/>
  <c r="L8" i="20"/>
  <c r="K8" i="20"/>
  <c r="J8" i="20"/>
  <c r="I8" i="20"/>
  <c r="H8" i="20"/>
  <c r="Y9" i="20"/>
  <c r="X9" i="20"/>
  <c r="W9" i="20"/>
  <c r="V9" i="20"/>
  <c r="U9" i="20"/>
  <c r="T9" i="20"/>
  <c r="S9" i="20"/>
  <c r="R9" i="20"/>
  <c r="Q9" i="20"/>
  <c r="P9" i="20"/>
  <c r="O9" i="20"/>
  <c r="N9" i="20"/>
  <c r="M9" i="20"/>
  <c r="L9" i="20"/>
  <c r="K9" i="20"/>
  <c r="J9" i="20"/>
  <c r="I9" i="20"/>
  <c r="H9" i="20"/>
  <c r="Y10" i="20"/>
  <c r="Y18" i="20" s="1"/>
  <c r="X10" i="20"/>
  <c r="X18" i="20" s="1"/>
  <c r="W10" i="20"/>
  <c r="W18" i="20" s="1"/>
  <c r="V10" i="20"/>
  <c r="V18" i="20" s="1"/>
  <c r="U10" i="20"/>
  <c r="U18" i="20" s="1"/>
  <c r="T10" i="20"/>
  <c r="T18" i="20" s="1"/>
  <c r="S10" i="20"/>
  <c r="S18" i="20" s="1"/>
  <c r="R10" i="20"/>
  <c r="R18" i="20" s="1"/>
  <c r="Q10" i="20"/>
  <c r="Q18" i="20" s="1"/>
  <c r="P10" i="20"/>
  <c r="P18" i="20" s="1"/>
  <c r="O10" i="20"/>
  <c r="O18" i="20" s="1"/>
  <c r="N10" i="20"/>
  <c r="N18" i="20" s="1"/>
  <c r="M10" i="20"/>
  <c r="M18" i="20" s="1"/>
  <c r="L10" i="20"/>
  <c r="K10" i="20"/>
  <c r="K18" i="20" s="1"/>
  <c r="J10" i="20"/>
  <c r="J18" i="20" s="1"/>
  <c r="I10" i="20"/>
  <c r="I18" i="20" s="1"/>
  <c r="H10" i="20"/>
  <c r="H18" i="20" s="1"/>
  <c r="G18" i="20"/>
  <c r="Y6" i="20"/>
  <c r="X6" i="20"/>
  <c r="W6" i="20"/>
  <c r="V6" i="20"/>
  <c r="U6" i="20"/>
  <c r="T6" i="20"/>
  <c r="S6" i="20"/>
  <c r="R6" i="20"/>
  <c r="Q6" i="20"/>
  <c r="P6" i="20"/>
  <c r="O6" i="20"/>
  <c r="N6" i="20"/>
  <c r="M6" i="20"/>
  <c r="L6" i="20"/>
  <c r="E77" i="21" s="1"/>
  <c r="K6" i="20"/>
  <c r="J6" i="20"/>
  <c r="I6" i="20"/>
  <c r="H6" i="20"/>
  <c r="E80" i="21"/>
  <c r="E79" i="21"/>
  <c r="E78" i="21"/>
  <c r="F51" i="21"/>
  <c r="F52" i="21" l="1"/>
  <c r="F53" i="21"/>
  <c r="F54" i="21"/>
  <c r="F55" i="21"/>
  <c r="F56" i="21"/>
  <c r="F57" i="21"/>
  <c r="F58" i="21"/>
  <c r="F59" i="21"/>
  <c r="F60" i="21"/>
  <c r="F61" i="21"/>
  <c r="F62" i="21"/>
  <c r="F63" i="21"/>
  <c r="F64" i="21"/>
  <c r="F65" i="21"/>
  <c r="F66" i="21"/>
  <c r="F67" i="21"/>
  <c r="F68" i="21"/>
  <c r="L18" i="20"/>
  <c r="E81" i="21"/>
  <c r="E21" i="8"/>
  <c r="E19" i="8"/>
  <c r="F89" i="21"/>
  <c r="F88" i="21"/>
  <c r="F16" i="8"/>
  <c r="AG12" i="16"/>
  <c r="E93" i="21"/>
  <c r="E94" i="21"/>
  <c r="F76" i="21"/>
  <c r="F77" i="21"/>
  <c r="F78" i="21"/>
  <c r="F79" i="21"/>
  <c r="F80" i="21"/>
  <c r="F81" i="21"/>
  <c r="F82" i="21"/>
  <c r="F90" i="21"/>
  <c r="F91" i="21"/>
  <c r="G51" i="21"/>
  <c r="E65" i="21" l="1"/>
  <c r="E89" i="21" s="1"/>
  <c r="G52" i="21"/>
  <c r="G53" i="21"/>
  <c r="G54" i="21"/>
  <c r="G55" i="21"/>
  <c r="G56" i="21"/>
  <c r="G57" i="21"/>
  <c r="G58" i="21"/>
  <c r="G59" i="21"/>
  <c r="G60" i="21"/>
  <c r="G61" i="21"/>
  <c r="G62" i="21"/>
  <c r="G63" i="21"/>
  <c r="G64" i="21"/>
  <c r="G65" i="21"/>
  <c r="G66" i="21"/>
  <c r="G67" i="21"/>
  <c r="G68" i="21"/>
  <c r="E22" i="8"/>
  <c r="E7" i="16" s="1"/>
  <c r="F21" i="8"/>
  <c r="F19" i="8"/>
  <c r="G89" i="21"/>
  <c r="G88" i="21"/>
  <c r="G16" i="8"/>
  <c r="F92" i="21"/>
  <c r="F93" i="21"/>
  <c r="F94" i="21"/>
  <c r="G76" i="21"/>
  <c r="G77" i="21"/>
  <c r="G78" i="21"/>
  <c r="G79" i="21"/>
  <c r="G80" i="21"/>
  <c r="G81" i="21"/>
  <c r="G82" i="21"/>
  <c r="G90" i="21"/>
  <c r="G91" i="21"/>
  <c r="H51" i="21"/>
  <c r="H52" i="21" l="1"/>
  <c r="H53" i="21"/>
  <c r="H54" i="21"/>
  <c r="H55" i="21"/>
  <c r="H56" i="21"/>
  <c r="H57" i="21"/>
  <c r="H58" i="21"/>
  <c r="H59" i="21"/>
  <c r="H60" i="21"/>
  <c r="H61" i="21"/>
  <c r="H62" i="21"/>
  <c r="H63" i="21"/>
  <c r="H64" i="21"/>
  <c r="H65" i="21"/>
  <c r="H66" i="21"/>
  <c r="H67" i="21"/>
  <c r="H68" i="21"/>
  <c r="F22" i="8"/>
  <c r="F7" i="16" s="1"/>
  <c r="G21" i="8"/>
  <c r="G19" i="8"/>
  <c r="H89" i="21"/>
  <c r="H88" i="21"/>
  <c r="H16" i="8"/>
  <c r="G92" i="21"/>
  <c r="G93" i="21"/>
  <c r="G94" i="21"/>
  <c r="H76" i="21"/>
  <c r="H77" i="21"/>
  <c r="H78" i="21"/>
  <c r="H79" i="21"/>
  <c r="H80" i="21"/>
  <c r="H81" i="21"/>
  <c r="H82" i="21"/>
  <c r="H90" i="21"/>
  <c r="H91" i="21"/>
  <c r="I51" i="21"/>
  <c r="I52" i="21" l="1"/>
  <c r="I53" i="21"/>
  <c r="I54" i="21"/>
  <c r="I55" i="21"/>
  <c r="I56" i="21"/>
  <c r="I57" i="21"/>
  <c r="I58" i="21"/>
  <c r="I59" i="21"/>
  <c r="I60" i="21"/>
  <c r="I61" i="21"/>
  <c r="I62" i="21"/>
  <c r="I63" i="21"/>
  <c r="I64" i="21"/>
  <c r="I65" i="21"/>
  <c r="I66" i="21"/>
  <c r="I67" i="21"/>
  <c r="I68" i="21"/>
  <c r="G22" i="8"/>
  <c r="G7" i="16" s="1"/>
  <c r="H21" i="8"/>
  <c r="H19" i="8"/>
  <c r="I89" i="21"/>
  <c r="I88" i="21"/>
  <c r="I16" i="8"/>
  <c r="H92" i="21"/>
  <c r="H93" i="21"/>
  <c r="H94" i="21"/>
  <c r="I76" i="21"/>
  <c r="I77" i="21"/>
  <c r="I78" i="21"/>
  <c r="I79" i="21"/>
  <c r="I80" i="21"/>
  <c r="I81" i="21"/>
  <c r="I82" i="21"/>
  <c r="I90" i="21"/>
  <c r="I91" i="21"/>
  <c r="J51" i="21"/>
  <c r="C23" i="14"/>
  <c r="C19" i="14"/>
  <c r="C18" i="14"/>
  <c r="J52" i="21" l="1"/>
  <c r="J53" i="21"/>
  <c r="J54" i="21"/>
  <c r="J55" i="21"/>
  <c r="J56" i="21"/>
  <c r="J57" i="21"/>
  <c r="J58" i="21"/>
  <c r="J59" i="21"/>
  <c r="J60" i="21"/>
  <c r="J61" i="21"/>
  <c r="J62" i="21"/>
  <c r="J63" i="21"/>
  <c r="J64" i="21"/>
  <c r="J65" i="21"/>
  <c r="J66" i="21"/>
  <c r="J67" i="21"/>
  <c r="J68" i="21"/>
  <c r="C22" i="14"/>
  <c r="C26" i="14"/>
  <c r="H22" i="8"/>
  <c r="H7" i="16" s="1"/>
  <c r="I21" i="8"/>
  <c r="I19" i="8"/>
  <c r="J89" i="21"/>
  <c r="J88" i="21"/>
  <c r="J16" i="8"/>
  <c r="I92" i="21"/>
  <c r="I93" i="21"/>
  <c r="I94" i="21"/>
  <c r="J76" i="21"/>
  <c r="J77" i="21"/>
  <c r="J78" i="21"/>
  <c r="J79" i="21"/>
  <c r="J80" i="21"/>
  <c r="J81" i="21"/>
  <c r="J82" i="21"/>
  <c r="J90" i="21"/>
  <c r="J91" i="21"/>
  <c r="K51" i="21"/>
  <c r="D3" i="16"/>
  <c r="C25" i="14"/>
  <c r="E82" i="9"/>
  <c r="E34" i="9"/>
  <c r="E58" i="9"/>
  <c r="E83" i="9"/>
  <c r="F82" i="9"/>
  <c r="G82" i="9"/>
  <c r="H82" i="9"/>
  <c r="I82" i="9"/>
  <c r="J82" i="9"/>
  <c r="K82" i="9"/>
  <c r="L82" i="9"/>
  <c r="M82" i="9"/>
  <c r="N82" i="9"/>
  <c r="E84" i="9"/>
  <c r="F84" i="9"/>
  <c r="G84" i="9"/>
  <c r="H84" i="9"/>
  <c r="I84" i="9"/>
  <c r="J84" i="9"/>
  <c r="K84" i="9"/>
  <c r="L84" i="9"/>
  <c r="M84" i="9"/>
  <c r="N84" i="9"/>
  <c r="E85" i="9"/>
  <c r="F85" i="9"/>
  <c r="G85" i="9"/>
  <c r="H85" i="9"/>
  <c r="I85" i="9"/>
  <c r="J85" i="9"/>
  <c r="K85" i="9"/>
  <c r="L85" i="9"/>
  <c r="M85" i="9"/>
  <c r="N85" i="9"/>
  <c r="E86" i="9"/>
  <c r="F86" i="9"/>
  <c r="G86" i="9"/>
  <c r="H86" i="9"/>
  <c r="I86" i="9"/>
  <c r="J86" i="9"/>
  <c r="K86" i="9"/>
  <c r="L86" i="9"/>
  <c r="M86" i="9"/>
  <c r="N86" i="9"/>
  <c r="E87" i="9"/>
  <c r="F87" i="9"/>
  <c r="G87" i="9"/>
  <c r="H87" i="9"/>
  <c r="I87" i="9"/>
  <c r="J87" i="9"/>
  <c r="K87" i="9"/>
  <c r="L87" i="9"/>
  <c r="M87" i="9"/>
  <c r="N87" i="9"/>
  <c r="E88" i="9"/>
  <c r="F88" i="9"/>
  <c r="G88" i="9"/>
  <c r="H88" i="9"/>
  <c r="I88" i="9"/>
  <c r="J88" i="9"/>
  <c r="K88" i="9"/>
  <c r="L88" i="9"/>
  <c r="M88" i="9"/>
  <c r="N88" i="9"/>
  <c r="E89" i="9"/>
  <c r="F89" i="9"/>
  <c r="G89" i="9"/>
  <c r="H89" i="9"/>
  <c r="I89" i="9"/>
  <c r="J89" i="9"/>
  <c r="K89" i="9"/>
  <c r="L89" i="9"/>
  <c r="M89" i="9"/>
  <c r="N89" i="9"/>
  <c r="E90" i="9"/>
  <c r="F90" i="9"/>
  <c r="G90" i="9"/>
  <c r="H90" i="9"/>
  <c r="I90" i="9"/>
  <c r="J90" i="9"/>
  <c r="K90" i="9"/>
  <c r="L90" i="9"/>
  <c r="M90" i="9"/>
  <c r="N90" i="9"/>
  <c r="E91" i="9"/>
  <c r="F91" i="9"/>
  <c r="G91" i="9"/>
  <c r="H91" i="9"/>
  <c r="I91" i="9"/>
  <c r="J91" i="9"/>
  <c r="K91" i="9"/>
  <c r="L91" i="9"/>
  <c r="M91" i="9"/>
  <c r="N91" i="9"/>
  <c r="E92" i="9"/>
  <c r="F92" i="9"/>
  <c r="G92" i="9"/>
  <c r="H92" i="9"/>
  <c r="I92" i="9"/>
  <c r="J92" i="9"/>
  <c r="K92" i="9"/>
  <c r="L92" i="9"/>
  <c r="M92" i="9"/>
  <c r="N92" i="9"/>
  <c r="E93" i="9"/>
  <c r="F93" i="9"/>
  <c r="G93" i="9"/>
  <c r="H93" i="9"/>
  <c r="I93" i="9"/>
  <c r="J93" i="9"/>
  <c r="K93" i="9"/>
  <c r="L93" i="9"/>
  <c r="M93" i="9"/>
  <c r="N93" i="9"/>
  <c r="E94" i="9"/>
  <c r="F94" i="9"/>
  <c r="G94" i="9"/>
  <c r="H94" i="9"/>
  <c r="I94" i="9"/>
  <c r="J94" i="9"/>
  <c r="K94" i="9"/>
  <c r="L94" i="9"/>
  <c r="M94" i="9"/>
  <c r="N94" i="9"/>
  <c r="E95" i="9"/>
  <c r="F95" i="9"/>
  <c r="G95" i="9"/>
  <c r="H95" i="9"/>
  <c r="I95" i="9"/>
  <c r="J95" i="9"/>
  <c r="K95" i="9"/>
  <c r="L95" i="9"/>
  <c r="M95" i="9"/>
  <c r="N95" i="9"/>
  <c r="E96" i="9"/>
  <c r="F96" i="9"/>
  <c r="G96" i="9"/>
  <c r="H96" i="9"/>
  <c r="I96" i="9"/>
  <c r="J96" i="9"/>
  <c r="K96" i="9"/>
  <c r="L96" i="9"/>
  <c r="M96" i="9"/>
  <c r="N96" i="9"/>
  <c r="E97" i="9"/>
  <c r="F97" i="9"/>
  <c r="G97" i="9"/>
  <c r="H97" i="9"/>
  <c r="I97" i="9"/>
  <c r="J97" i="9"/>
  <c r="K97" i="9"/>
  <c r="L97" i="9"/>
  <c r="M97" i="9"/>
  <c r="N97" i="9"/>
  <c r="E98" i="9"/>
  <c r="F98" i="9"/>
  <c r="G98" i="9"/>
  <c r="H98" i="9"/>
  <c r="I98" i="9"/>
  <c r="J98" i="9"/>
  <c r="K98" i="9"/>
  <c r="L98" i="9"/>
  <c r="M98" i="9"/>
  <c r="N98" i="9"/>
  <c r="E99" i="9"/>
  <c r="F99" i="9"/>
  <c r="G99" i="9"/>
  <c r="H99" i="9"/>
  <c r="I99" i="9"/>
  <c r="J99" i="9"/>
  <c r="K99" i="9"/>
  <c r="L99" i="9"/>
  <c r="M99" i="9"/>
  <c r="N99" i="9"/>
  <c r="E100" i="9"/>
  <c r="F100" i="9"/>
  <c r="G100" i="9"/>
  <c r="H100" i="9"/>
  <c r="I100" i="9"/>
  <c r="J100" i="9"/>
  <c r="K100" i="9"/>
  <c r="L100" i="9"/>
  <c r="M100" i="9"/>
  <c r="N100" i="9"/>
  <c r="E101" i="9"/>
  <c r="F101" i="9"/>
  <c r="G101" i="9"/>
  <c r="H101" i="9"/>
  <c r="I101" i="9"/>
  <c r="J101" i="9"/>
  <c r="K101" i="9"/>
  <c r="L101" i="9"/>
  <c r="M101" i="9"/>
  <c r="N101" i="9"/>
  <c r="E102" i="9"/>
  <c r="F102" i="9"/>
  <c r="G102" i="9"/>
  <c r="H102" i="9"/>
  <c r="I102" i="9"/>
  <c r="J102" i="9"/>
  <c r="K102" i="9"/>
  <c r="L102" i="9"/>
  <c r="M102" i="9"/>
  <c r="N102" i="9"/>
  <c r="E103" i="9"/>
  <c r="D4" i="16" s="1"/>
  <c r="F58" i="9"/>
  <c r="G58" i="9"/>
  <c r="H58" i="9"/>
  <c r="I58" i="9"/>
  <c r="J58" i="9"/>
  <c r="K58" i="9"/>
  <c r="L58" i="9"/>
  <c r="M58" i="9"/>
  <c r="N58" i="9"/>
  <c r="K52" i="21" l="1"/>
  <c r="K53" i="21"/>
  <c r="K54" i="21"/>
  <c r="K55" i="21"/>
  <c r="K56" i="21"/>
  <c r="K57" i="21"/>
  <c r="K58" i="21"/>
  <c r="K59" i="21"/>
  <c r="K60" i="21"/>
  <c r="K61" i="21"/>
  <c r="K62" i="21"/>
  <c r="K63" i="21"/>
  <c r="K64" i="21"/>
  <c r="K65" i="21"/>
  <c r="K66" i="21"/>
  <c r="K67" i="21"/>
  <c r="K68" i="21"/>
  <c r="I22" i="8"/>
  <c r="I7" i="16" s="1"/>
  <c r="J21" i="8"/>
  <c r="J19" i="8"/>
  <c r="K89" i="21"/>
  <c r="K88" i="21"/>
  <c r="K16" i="8"/>
  <c r="J92" i="21"/>
  <c r="J93" i="21"/>
  <c r="J94" i="21"/>
  <c r="K76" i="21"/>
  <c r="K77" i="21"/>
  <c r="K78" i="21"/>
  <c r="K79" i="21"/>
  <c r="K80" i="21"/>
  <c r="K81" i="21"/>
  <c r="K82" i="21"/>
  <c r="K90" i="21"/>
  <c r="K91" i="21"/>
  <c r="L51" i="21"/>
  <c r="C4" i="17"/>
  <c r="F83" i="9"/>
  <c r="F103" i="9" s="1"/>
  <c r="E4" i="16" s="1"/>
  <c r="L52" i="21" l="1"/>
  <c r="L53" i="21"/>
  <c r="L54" i="21"/>
  <c r="L55" i="21"/>
  <c r="L56" i="21"/>
  <c r="L57" i="21"/>
  <c r="L58" i="21"/>
  <c r="L59" i="21"/>
  <c r="L60" i="21"/>
  <c r="L61" i="21"/>
  <c r="L62" i="21"/>
  <c r="L63" i="21"/>
  <c r="L64" i="21"/>
  <c r="L65" i="21"/>
  <c r="L66" i="21"/>
  <c r="L67" i="21"/>
  <c r="L68" i="21"/>
  <c r="J22" i="8"/>
  <c r="J7" i="16" s="1"/>
  <c r="K21" i="8"/>
  <c r="K19" i="8"/>
  <c r="L89" i="21"/>
  <c r="L88" i="21"/>
  <c r="L16" i="8"/>
  <c r="K92" i="21"/>
  <c r="K93" i="21"/>
  <c r="K94" i="21"/>
  <c r="L76" i="21"/>
  <c r="L77" i="21"/>
  <c r="L78" i="21"/>
  <c r="L79" i="21"/>
  <c r="L80" i="21"/>
  <c r="L81" i="21"/>
  <c r="L82" i="21"/>
  <c r="L90" i="21"/>
  <c r="L91" i="21"/>
  <c r="M51" i="21"/>
  <c r="M52" i="21" s="1"/>
  <c r="G83" i="9"/>
  <c r="G103" i="9" s="1"/>
  <c r="F4" i="16" s="1"/>
  <c r="M53" i="21" l="1"/>
  <c r="M54" i="21"/>
  <c r="M55" i="21"/>
  <c r="M56" i="21"/>
  <c r="M57" i="21"/>
  <c r="M58" i="21"/>
  <c r="M59" i="21"/>
  <c r="M60" i="21"/>
  <c r="M61" i="21"/>
  <c r="M62" i="21"/>
  <c r="M63" i="21"/>
  <c r="M64" i="21"/>
  <c r="M65" i="21"/>
  <c r="M66" i="21"/>
  <c r="M67" i="21"/>
  <c r="M68" i="21"/>
  <c r="K22" i="8"/>
  <c r="K7" i="16" s="1"/>
  <c r="L21" i="8"/>
  <c r="L19" i="8"/>
  <c r="M89" i="21"/>
  <c r="M88" i="21"/>
  <c r="M16" i="8"/>
  <c r="L92" i="21"/>
  <c r="L93" i="21"/>
  <c r="L94" i="21"/>
  <c r="M76" i="21"/>
  <c r="M77" i="21"/>
  <c r="M78" i="21"/>
  <c r="M79" i="21"/>
  <c r="M80" i="21"/>
  <c r="M81" i="21"/>
  <c r="M82" i="21"/>
  <c r="M90" i="21"/>
  <c r="M91" i="21"/>
  <c r="N51" i="21"/>
  <c r="H83" i="9"/>
  <c r="H103" i="9" s="1"/>
  <c r="G4" i="16" s="1"/>
  <c r="N52" i="21" l="1"/>
  <c r="N53" i="21"/>
  <c r="N54" i="21"/>
  <c r="N55" i="21"/>
  <c r="N56" i="21"/>
  <c r="N57" i="21"/>
  <c r="N58" i="21"/>
  <c r="N59" i="21"/>
  <c r="N60" i="21"/>
  <c r="N61" i="21"/>
  <c r="N62" i="21"/>
  <c r="N63" i="21"/>
  <c r="N64" i="21"/>
  <c r="N65" i="21"/>
  <c r="N66" i="21"/>
  <c r="N67" i="21"/>
  <c r="N68" i="21"/>
  <c r="L22" i="8"/>
  <c r="L7" i="16" s="1"/>
  <c r="M21" i="8"/>
  <c r="M22" i="8" s="1"/>
  <c r="M19" i="8"/>
  <c r="N89" i="21"/>
  <c r="N88" i="21"/>
  <c r="M7" i="16"/>
  <c r="M92" i="21"/>
  <c r="M93" i="21"/>
  <c r="M94" i="21"/>
  <c r="N76" i="21"/>
  <c r="N77" i="21"/>
  <c r="N78" i="21"/>
  <c r="N79" i="21"/>
  <c r="N80" i="21"/>
  <c r="N81" i="21"/>
  <c r="N82" i="21"/>
  <c r="N90" i="21"/>
  <c r="N91" i="21"/>
  <c r="I83" i="9"/>
  <c r="I103" i="9" s="1"/>
  <c r="N92" i="21" l="1"/>
  <c r="N93" i="21"/>
  <c r="N94" i="21"/>
  <c r="J83" i="9"/>
  <c r="J103" i="9" s="1"/>
  <c r="K83" i="9" l="1"/>
  <c r="K103" i="9" s="1"/>
  <c r="L83" i="9" l="1"/>
  <c r="L103" i="9" s="1"/>
  <c r="N83" i="9" l="1"/>
  <c r="N103" i="9" s="1"/>
  <c r="M83" i="9"/>
  <c r="M103" i="9" s="1"/>
  <c r="E3" i="16" l="1"/>
  <c r="F3" i="16" l="1"/>
  <c r="F34" i="9" l="1"/>
  <c r="G34" i="9" s="1"/>
  <c r="H34" i="9" s="1"/>
  <c r="I34" i="9" s="1"/>
  <c r="J34" i="9" s="1"/>
  <c r="K34" i="9" s="1"/>
  <c r="L34" i="9" s="1"/>
  <c r="M34" i="9" s="1"/>
  <c r="N34" i="9" s="1"/>
  <c r="G3" i="16"/>
  <c r="H3" i="16" l="1"/>
  <c r="I3" i="16" l="1"/>
  <c r="J3" i="16" l="1"/>
  <c r="K3" i="16" l="1"/>
  <c r="L3" i="16" l="1"/>
  <c r="M3" i="16" l="1"/>
  <c r="N3" i="16" l="1"/>
  <c r="O3" i="16" l="1"/>
  <c r="P3" i="16" l="1"/>
  <c r="Q3" i="16" l="1"/>
  <c r="R3" i="16" l="1"/>
  <c r="S3" i="16" l="1"/>
  <c r="T3" i="16" l="1"/>
  <c r="U3" i="16" l="1"/>
  <c r="V3" i="16" l="1"/>
  <c r="W3" i="16" l="1"/>
  <c r="X3" i="16" l="1"/>
  <c r="Y3" i="16" l="1"/>
  <c r="Z3" i="16" l="1"/>
  <c r="AA3" i="16" l="1"/>
  <c r="AB3" i="16" l="1"/>
  <c r="AC3" i="16" l="1"/>
  <c r="AD3" i="16" l="1"/>
  <c r="AE3" i="16" l="1"/>
  <c r="AF3" i="16" l="1"/>
  <c r="AG3" i="16" l="1"/>
  <c r="E5" i="16" l="1"/>
  <c r="F5" i="16"/>
  <c r="G5" i="16"/>
  <c r="H5" i="16"/>
  <c r="L5" i="16"/>
  <c r="K5" i="16"/>
  <c r="J5" i="16"/>
  <c r="I5" i="16"/>
  <c r="M5" i="16"/>
  <c r="D5" i="16"/>
  <c r="Y16" i="20" l="1"/>
  <c r="X16" i="20"/>
  <c r="W16" i="20"/>
  <c r="V16" i="20"/>
  <c r="U16" i="20"/>
  <c r="T16" i="20"/>
  <c r="S16" i="20"/>
  <c r="R16" i="20"/>
  <c r="Q16" i="20"/>
  <c r="P16" i="20"/>
  <c r="O16" i="20"/>
  <c r="N16" i="20"/>
  <c r="M16" i="20"/>
  <c r="L16" i="20"/>
  <c r="E87" i="21" s="1"/>
  <c r="K16" i="20"/>
  <c r="J16" i="20"/>
  <c r="I16" i="20"/>
  <c r="H16" i="20"/>
  <c r="Y15" i="20"/>
  <c r="X15" i="20"/>
  <c r="W15" i="20"/>
  <c r="V15" i="20"/>
  <c r="U15" i="20"/>
  <c r="T15" i="20"/>
  <c r="S15" i="20"/>
  <c r="R15" i="20"/>
  <c r="Q15" i="20"/>
  <c r="P15" i="20"/>
  <c r="O15" i="20"/>
  <c r="N15" i="20"/>
  <c r="M15" i="20"/>
  <c r="L15" i="20"/>
  <c r="K15" i="20"/>
  <c r="J15" i="20"/>
  <c r="I15" i="20"/>
  <c r="H15" i="20"/>
  <c r="Y14" i="20"/>
  <c r="X14" i="20"/>
  <c r="W14" i="20"/>
  <c r="V14" i="20"/>
  <c r="U14" i="20"/>
  <c r="T14" i="20"/>
  <c r="S14" i="20"/>
  <c r="R14" i="20"/>
  <c r="Q14" i="20"/>
  <c r="P14" i="20"/>
  <c r="O14" i="20"/>
  <c r="N14" i="20"/>
  <c r="M14" i="20"/>
  <c r="L14" i="20"/>
  <c r="K14" i="20"/>
  <c r="J14" i="20"/>
  <c r="I14" i="20"/>
  <c r="H14" i="20"/>
  <c r="Y13" i="20"/>
  <c r="X13" i="20"/>
  <c r="W13" i="20"/>
  <c r="V13" i="20"/>
  <c r="U13" i="20"/>
  <c r="T13" i="20"/>
  <c r="S13" i="20"/>
  <c r="R13" i="20"/>
  <c r="Q13" i="20"/>
  <c r="P13" i="20"/>
  <c r="O13" i="20"/>
  <c r="N13" i="20"/>
  <c r="M13" i="20"/>
  <c r="L13" i="20"/>
  <c r="K13" i="20"/>
  <c r="J13" i="20"/>
  <c r="I13" i="20"/>
  <c r="H13" i="20"/>
  <c r="Y12" i="20"/>
  <c r="X12" i="20"/>
  <c r="W12" i="20"/>
  <c r="V12" i="20"/>
  <c r="U12" i="20"/>
  <c r="T12" i="20"/>
  <c r="S12" i="20"/>
  <c r="R12" i="20"/>
  <c r="Q12" i="20"/>
  <c r="P12" i="20"/>
  <c r="O12" i="20"/>
  <c r="N12" i="20"/>
  <c r="M12" i="20"/>
  <c r="L12" i="20"/>
  <c r="E83" i="21" s="1"/>
  <c r="K12" i="20"/>
  <c r="J12" i="20"/>
  <c r="H12" i="20"/>
  <c r="I12" i="20"/>
  <c r="F83" i="21" l="1"/>
  <c r="G83" i="21"/>
  <c r="H83" i="21"/>
  <c r="I83" i="21"/>
  <c r="J83" i="21"/>
  <c r="K83" i="21"/>
  <c r="L83" i="21"/>
  <c r="N83" i="21"/>
  <c r="M83" i="21"/>
  <c r="E84" i="21"/>
  <c r="F84" i="21"/>
  <c r="G84" i="21"/>
  <c r="H84" i="21"/>
  <c r="I84" i="21"/>
  <c r="J84" i="21"/>
  <c r="K84" i="21"/>
  <c r="L84" i="21"/>
  <c r="N84" i="21"/>
  <c r="M84" i="21"/>
  <c r="E85" i="21"/>
  <c r="F85" i="21"/>
  <c r="G85" i="21"/>
  <c r="H85" i="21"/>
  <c r="I85" i="21"/>
  <c r="J85" i="21"/>
  <c r="K85" i="21"/>
  <c r="L85" i="21"/>
  <c r="N85" i="21"/>
  <c r="M85" i="21"/>
  <c r="E86" i="21"/>
  <c r="F86" i="21"/>
  <c r="G86" i="21"/>
  <c r="H86" i="21"/>
  <c r="I86" i="21"/>
  <c r="J86" i="21"/>
  <c r="K86" i="21"/>
  <c r="L86" i="21"/>
  <c r="N86" i="21"/>
  <c r="M86" i="21"/>
  <c r="F87" i="21"/>
  <c r="G87" i="21"/>
  <c r="H87" i="21"/>
  <c r="I87" i="21"/>
  <c r="J87" i="21"/>
  <c r="K87" i="21"/>
  <c r="L87" i="21"/>
  <c r="N87" i="21"/>
  <c r="M87" i="21"/>
  <c r="E99" i="21" l="1"/>
  <c r="M99" i="21"/>
  <c r="L6" i="16" s="1"/>
  <c r="L8" i="16" s="1"/>
  <c r="N99" i="21"/>
  <c r="M6" i="16" s="1"/>
  <c r="M8" i="16" s="1"/>
  <c r="L99" i="21"/>
  <c r="K6" i="16" s="1"/>
  <c r="K8" i="16" s="1"/>
  <c r="K99" i="21"/>
  <c r="J6" i="16" s="1"/>
  <c r="J8" i="16" s="1"/>
  <c r="J99" i="21"/>
  <c r="I6" i="16" s="1"/>
  <c r="I8" i="16" s="1"/>
  <c r="I99" i="21"/>
  <c r="H6" i="16" s="1"/>
  <c r="H99" i="21"/>
  <c r="G6" i="16" s="1"/>
  <c r="G8" i="16" s="1"/>
  <c r="G13" i="16" s="1"/>
  <c r="G99" i="21"/>
  <c r="F6" i="16" s="1"/>
  <c r="F8" i="16" s="1"/>
  <c r="F13" i="16" s="1"/>
  <c r="F99" i="21"/>
  <c r="E6" i="16" s="1"/>
  <c r="E8" i="16" s="1"/>
  <c r="E13" i="16" s="1"/>
  <c r="D6" i="16"/>
  <c r="D8" i="16" s="1"/>
  <c r="D13" i="16" s="1"/>
  <c r="H8" i="16" l="1"/>
  <c r="H13" i="16" s="1"/>
  <c r="I13" i="16"/>
  <c r="J13" i="16"/>
  <c r="K13" i="16"/>
  <c r="M13" i="16"/>
  <c r="L13" i="16"/>
  <c r="C14" i="16" l="1"/>
  <c r="D14" i="16" s="1"/>
  <c r="D15" i="16" s="1"/>
  <c r="E14" i="16"/>
  <c r="E15" i="16" s="1"/>
  <c r="F14" i="16"/>
  <c r="F15" i="16" l="1"/>
  <c r="G14" i="16"/>
  <c r="G15" i="16" l="1"/>
  <c r="H14" i="16"/>
  <c r="H15" i="16" l="1"/>
  <c r="I14" i="16"/>
  <c r="I15" i="16" l="1"/>
  <c r="J14" i="16"/>
  <c r="J15" i="16" l="1"/>
  <c r="K14" i="16"/>
  <c r="K15" i="16" l="1"/>
  <c r="L14" i="16"/>
  <c r="L15" i="16" l="1"/>
  <c r="M14" i="16"/>
  <c r="M15" i="16" l="1"/>
  <c r="N14" i="16"/>
  <c r="O14" i="16" l="1"/>
  <c r="P14" i="16" l="1"/>
  <c r="Q14" i="16" l="1"/>
  <c r="R14" i="16" l="1"/>
  <c r="S14" i="16" l="1"/>
  <c r="T14" i="16" l="1"/>
  <c r="U14" i="16" l="1"/>
  <c r="V14" i="16" l="1"/>
  <c r="W14" i="16" l="1"/>
  <c r="X14" i="16" l="1"/>
  <c r="Y14" i="16" l="1"/>
  <c r="Z14" i="16" l="1"/>
  <c r="AA14" i="16" l="1"/>
  <c r="AB14" i="16" l="1"/>
  <c r="AC14" i="16" l="1"/>
  <c r="AD14" i="16" l="1"/>
  <c r="AE14" i="16" l="1"/>
  <c r="AF14" i="16" l="1"/>
  <c r="AG14" i="16" l="1"/>
  <c r="N9" i="16"/>
  <c r="O9" i="16"/>
  <c r="P9" i="16"/>
  <c r="Q9" i="16"/>
  <c r="R9" i="16"/>
  <c r="S9" i="16"/>
  <c r="T9" i="16"/>
  <c r="U9" i="16"/>
  <c r="V9" i="16"/>
  <c r="W9" i="16"/>
  <c r="X9" i="16"/>
  <c r="Y9" i="16"/>
  <c r="Z9" i="16"/>
  <c r="AA9" i="16"/>
  <c r="AB9" i="16"/>
  <c r="AC9" i="16"/>
  <c r="AD9" i="16"/>
  <c r="AE9" i="16"/>
  <c r="AF9" i="16"/>
  <c r="AG9" i="16"/>
  <c r="N13" i="16"/>
  <c r="O13" i="16"/>
  <c r="P13" i="16"/>
  <c r="Q13" i="16"/>
  <c r="R13" i="16"/>
  <c r="S13" i="16"/>
  <c r="T13" i="16"/>
  <c r="U13" i="16"/>
  <c r="V13" i="16"/>
  <c r="W13" i="16"/>
  <c r="X13" i="16"/>
  <c r="Y13" i="16"/>
  <c r="Z13" i="16"/>
  <c r="AA13" i="16"/>
  <c r="AB13" i="16"/>
  <c r="AC13" i="16"/>
  <c r="AD13" i="16"/>
  <c r="AE13" i="16"/>
  <c r="AF13" i="16"/>
  <c r="AG13" i="16"/>
  <c r="N15" i="16"/>
  <c r="O15" i="16"/>
  <c r="P15" i="16"/>
  <c r="Q15" i="16"/>
  <c r="R15" i="16"/>
  <c r="S15" i="16"/>
  <c r="T15" i="16"/>
  <c r="U15" i="16"/>
  <c r="V15" i="16"/>
  <c r="W15" i="16"/>
  <c r="X15" i="16"/>
  <c r="Y15" i="16"/>
  <c r="Z15" i="16"/>
  <c r="AA15" i="16"/>
  <c r="AB15" i="16"/>
  <c r="AC15" i="16"/>
  <c r="AD15" i="16"/>
  <c r="AE15" i="16"/>
  <c r="AG15" i="16"/>
  <c r="AF15" i="16"/>
  <c r="C15" i="16"/>
  <c r="C5" i="17"/>
  <c r="C7" i="17"/>
</calcChain>
</file>

<file path=xl/sharedStrings.xml><?xml version="1.0" encoding="utf-8"?>
<sst xmlns="http://schemas.openxmlformats.org/spreadsheetml/2006/main" count="719" uniqueCount="361">
  <si>
    <t>WACC</t>
  </si>
  <si>
    <t>Beschrijving van de investering</t>
  </si>
  <si>
    <t>Waarde</t>
  </si>
  <si>
    <t>Naam product</t>
  </si>
  <si>
    <t>Beschrijving product</t>
  </si>
  <si>
    <t>Referentie product</t>
  </si>
  <si>
    <t>Overig</t>
  </si>
  <si>
    <t>Marktprijzen (€ per eenheid product)</t>
  </si>
  <si>
    <t>Eenheid product</t>
  </si>
  <si>
    <t>Bron</t>
  </si>
  <si>
    <t>Projectgegevens</t>
  </si>
  <si>
    <t>Kostensoort</t>
  </si>
  <si>
    <t>Label</t>
  </si>
  <si>
    <t>Exploitatie jaar 1</t>
  </si>
  <si>
    <t>Exploitatie jaar 2</t>
  </si>
  <si>
    <t>Exploitatie jaar 3</t>
  </si>
  <si>
    <t>Exploitatie jaar 4</t>
  </si>
  <si>
    <t>Exploitatie jaar 5</t>
  </si>
  <si>
    <t>Exploitatie jaar 6</t>
  </si>
  <si>
    <t>Exploitatie jaar 7</t>
  </si>
  <si>
    <t>Exploitatie jaar 8</t>
  </si>
  <si>
    <t>Exploitatie jaar 9</t>
  </si>
  <si>
    <t>Exploitatie jaar 10</t>
  </si>
  <si>
    <t>Eenheid</t>
  </si>
  <si>
    <t>Stap 2: Bepaal de investeringskosten</t>
  </si>
  <si>
    <t>Beschrijving kostenpost</t>
  </si>
  <si>
    <t>WACC components</t>
  </si>
  <si>
    <t>E = Equity</t>
  </si>
  <si>
    <t>D = Debt</t>
  </si>
  <si>
    <t>rf = Risk free rate</t>
  </si>
  <si>
    <t>Unlevered beta</t>
  </si>
  <si>
    <t>ERP = Equity Risk Premium</t>
  </si>
  <si>
    <t>DP = Debt premium</t>
  </si>
  <si>
    <t>T = Tax rate</t>
  </si>
  <si>
    <t>WACC calculation</t>
  </si>
  <si>
    <t>Formula</t>
  </si>
  <si>
    <t>β = equity beta</t>
  </si>
  <si>
    <t>Cost of Equity</t>
  </si>
  <si>
    <t>E/(D+E)</t>
  </si>
  <si>
    <t>Cost of Debt (after tax)</t>
  </si>
  <si>
    <t>D/(D+E)</t>
  </si>
  <si>
    <t>-</t>
  </si>
  <si>
    <r>
      <t>t CO</t>
    </r>
    <r>
      <rPr>
        <i/>
        <vertAlign val="subscript"/>
        <sz val="11"/>
        <color theme="1"/>
        <rFont val="Calibri"/>
        <family val="2"/>
        <scheme val="minor"/>
      </rPr>
      <t>2</t>
    </r>
    <r>
      <rPr>
        <i/>
        <sz val="11"/>
        <color theme="1"/>
        <rFont val="Calibri"/>
        <family val="2"/>
        <scheme val="minor"/>
      </rPr>
      <t>/j</t>
    </r>
  </si>
  <si>
    <t>%</t>
  </si>
  <si>
    <t>Netto te verkopen rechten</t>
  </si>
  <si>
    <t>€/t CO2</t>
  </si>
  <si>
    <t>Laatste exploitatiejaar waarvoor model extrapoleert</t>
  </si>
  <si>
    <t>Omzet</t>
  </si>
  <si>
    <t>Exploitatiekosten</t>
  </si>
  <si>
    <t>Operationele baten</t>
  </si>
  <si>
    <t>TOTAAL</t>
  </si>
  <si>
    <t>CW jaarlijkse kasstromen</t>
  </si>
  <si>
    <t>WACC / Verdisconteringsfactor</t>
  </si>
  <si>
    <t>Bedrag</t>
  </si>
  <si>
    <t>Totaal</t>
  </si>
  <si>
    <t>Operationele kasstroom</t>
  </si>
  <si>
    <t>Berekening contante waarde operationele kasstromen</t>
  </si>
  <si>
    <t>Waarschuwing</t>
  </si>
  <si>
    <t>Input</t>
  </si>
  <si>
    <t>Output</t>
  </si>
  <si>
    <t>Installaties en machines</t>
  </si>
  <si>
    <t>Infrastructuur</t>
  </si>
  <si>
    <t>Aanpassingskosten</t>
  </si>
  <si>
    <t>Exploitatiekosten per jaar</t>
  </si>
  <si>
    <t>Onderhoudskosten</t>
  </si>
  <si>
    <t>Variabele exploitatiekosten</t>
  </si>
  <si>
    <t>Vaste exploitatiekosten</t>
  </si>
  <si>
    <t>Elektriciteit</t>
  </si>
  <si>
    <t>Gas</t>
  </si>
  <si>
    <t>Warmte</t>
  </si>
  <si>
    <t>Afbouwpad vrije allocatie EU-ETS, tov 2025 (%)</t>
  </si>
  <si>
    <t>Subsidiejaar</t>
  </si>
  <si>
    <t>Jaarlijkse kasstromen, eerste 10 jaar</t>
  </si>
  <si>
    <t>Parameter</t>
  </si>
  <si>
    <t>RVO</t>
  </si>
  <si>
    <r>
      <t xml:space="preserve">Status </t>
    </r>
    <r>
      <rPr>
        <b/>
        <sz val="9"/>
        <color theme="0"/>
        <rFont val="Calibri"/>
        <family val="2"/>
        <scheme val="minor"/>
      </rPr>
      <t>(toegekend/nog niet toegekend)</t>
    </r>
  </si>
  <si>
    <t>Kostenpost</t>
  </si>
  <si>
    <t>Gasprijs</t>
  </si>
  <si>
    <t>Tarief 1e schijf (0 - 1.000 m3)</t>
  </si>
  <si>
    <t>Tarief 2e schijf (1.001 - 170.000 m3)</t>
  </si>
  <si>
    <t>Tarief 3e schijf (170.001 - 1.000.000 m3)</t>
  </si>
  <si>
    <t>Tarief 4e schijf (1.000.001 - 10.000.000 m3)</t>
  </si>
  <si>
    <t>Tarief 5e schijf (&gt;10.000.000 m3)</t>
  </si>
  <si>
    <t>Elektriciteitsprijs</t>
  </si>
  <si>
    <t>Tarief 1e schijf (0 - 2.900 kWh)</t>
  </si>
  <si>
    <t>Tarief 2e schijf (2.901 - 10.000 kWh)</t>
  </si>
  <si>
    <t>Tarief 3e schijf (10.001 - 50.000 kWh)</t>
  </si>
  <si>
    <t>Tarief 4e schijf (50.001 - 10.000.000 kWh)</t>
  </si>
  <si>
    <t>Tarief 5e schijf (&gt;10.000.000 kWh)</t>
  </si>
  <si>
    <t>Jaarlijkse netkosten</t>
  </si>
  <si>
    <t>€/m3</t>
  </si>
  <si>
    <t>€/kWh</t>
  </si>
  <si>
    <t>Energiebelasting gas</t>
  </si>
  <si>
    <t>Energiebelasting elektriciteit</t>
  </si>
  <si>
    <t>Nettarief elektriciteit</t>
  </si>
  <si>
    <t>Kolen</t>
  </si>
  <si>
    <t>Kolenprijs</t>
  </si>
  <si>
    <t>€/ton</t>
  </si>
  <si>
    <t>Aardolie</t>
  </si>
  <si>
    <t>Olieprijs</t>
  </si>
  <si>
    <t>€/vat</t>
  </si>
  <si>
    <t>CO2</t>
  </si>
  <si>
    <t>ETS2-prijs</t>
  </si>
  <si>
    <t>Energiekosten</t>
  </si>
  <si>
    <t>Gasverbruik</t>
  </si>
  <si>
    <t>m3/j</t>
  </si>
  <si>
    <t>Elektriciteitsverbruik</t>
  </si>
  <si>
    <t>kWh/j</t>
  </si>
  <si>
    <t>Warmteverbruik</t>
  </si>
  <si>
    <t>GJ/j</t>
  </si>
  <si>
    <t>Kolenverbruik</t>
  </si>
  <si>
    <t>ton/j</t>
  </si>
  <si>
    <t>Aardolieverbruik</t>
  </si>
  <si>
    <t>Kosten gas excl. belasting</t>
  </si>
  <si>
    <t>€/j</t>
  </si>
  <si>
    <t>1e schijf</t>
  </si>
  <si>
    <t>2e schijf</t>
  </si>
  <si>
    <t>3e schijf</t>
  </si>
  <si>
    <t>4e schijf</t>
  </si>
  <si>
    <t>5e schijf</t>
  </si>
  <si>
    <t>Kosten elektriciteit excl. belasting</t>
  </si>
  <si>
    <t>Overige energiekosten</t>
  </si>
  <si>
    <t>vaten/j</t>
  </si>
  <si>
    <t>€/GJ</t>
  </si>
  <si>
    <t>Energieverbruik</t>
  </si>
  <si>
    <t>Energiebelasting</t>
  </si>
  <si>
    <t>CO2 emissies</t>
  </si>
  <si>
    <t>Energie- en emissieprijzen</t>
  </si>
  <si>
    <t>Energie- en emissiekosten</t>
  </si>
  <si>
    <t>Totaal jaarlijkse kasstromen</t>
  </si>
  <si>
    <t>CW berekening:</t>
  </si>
  <si>
    <t>Toegekende subsidies</t>
  </si>
  <si>
    <t>Nog niet toegekende subsidies</t>
  </si>
  <si>
    <t>Informatievelden</t>
  </si>
  <si>
    <t>Type veld</t>
  </si>
  <si>
    <t>Beschrijving</t>
  </si>
  <si>
    <t>Vul hier de benodigde gegevens in. Alleen deze velden kunt u aanpassen.</t>
  </si>
  <si>
    <t xml:space="preserve">Bekijk hier de resultaten van de berekeningen. </t>
  </si>
  <si>
    <t>Lees hier aanvullende gegevens die nodig zijn om het model te begrijpen.</t>
  </si>
  <si>
    <t>Bedragen</t>
  </si>
  <si>
    <t>Onderdelen</t>
  </si>
  <si>
    <t>Opmerkingen</t>
  </si>
  <si>
    <t>Parameters</t>
  </si>
  <si>
    <t>Dit zijn vaste inputwaarden, of berekende waardes uit een eerdere stap.</t>
  </si>
  <si>
    <t>Som van alle investeringskosten</t>
  </si>
  <si>
    <t>Startjaar NIKI-project</t>
  </si>
  <si>
    <t>Verwachte economische levensduur</t>
  </si>
  <si>
    <t>Foute waarde</t>
  </si>
  <si>
    <t>Een cel krijgt deze kleur als een waarde niet juist is ingevuld</t>
  </si>
  <si>
    <t>Benodigde subsidie</t>
  </si>
  <si>
    <t>Stap 1: Bepaal de economische levensduur</t>
  </si>
  <si>
    <t>Vastgestelde jaarlijkse energiecijfers</t>
  </si>
  <si>
    <t>Vastgestelde overige parameters</t>
  </si>
  <si>
    <t xml:space="preserve">Omzet </t>
  </si>
  <si>
    <t>Jaar</t>
  </si>
  <si>
    <t>Relevante jaren voor stap 3 t/m 5</t>
  </si>
  <si>
    <t>Operationele kasstroom, extrapolatie</t>
  </si>
  <si>
    <t>Onderbouwing in projectplan</t>
  </si>
  <si>
    <t>Onderbouwing in projectplan (marktprijs en productie-aantallen)</t>
  </si>
  <si>
    <t>Overig energieverbruik</t>
  </si>
  <si>
    <t>Indexering netkosten</t>
  </si>
  <si>
    <t>Inhoudsopgave</t>
  </si>
  <si>
    <t>Uitleg kleurgebruik</t>
  </si>
  <si>
    <t>Blad</t>
  </si>
  <si>
    <t>Voorblad</t>
  </si>
  <si>
    <t>CW operationele kasstromen</t>
  </si>
  <si>
    <t>Vastgestelde parameters</t>
  </si>
  <si>
    <t>Opzoekblad</t>
  </si>
  <si>
    <t>Dit zijn de in het model gebruikte vaste parameters en kan desgewenst worden geraadpleegd.</t>
  </si>
  <si>
    <t>Dit blad, met uitleg van de velden en van de verschillende tabbladen</t>
  </si>
  <si>
    <t>Exploitatiejaar 1</t>
  </si>
  <si>
    <t>Exploitatiejaar 2</t>
  </si>
  <si>
    <t>Exploitatiejaar 3</t>
  </si>
  <si>
    <t>Exploitatiejaar 4</t>
  </si>
  <si>
    <t>Exploitatiejaar 5</t>
  </si>
  <si>
    <t>Exploitatiejaar 6</t>
  </si>
  <si>
    <t>Exploitatiejaar 7</t>
  </si>
  <si>
    <t>Exploitatiejaar 8</t>
  </si>
  <si>
    <t>Exploitatiejaar 9</t>
  </si>
  <si>
    <t>Exploitatiejaar 10</t>
  </si>
  <si>
    <t>Referentie marktprijs</t>
  </si>
  <si>
    <t>Exploitatiejaar 11</t>
  </si>
  <si>
    <t>Exploitatiejaar 12</t>
  </si>
  <si>
    <t>Exploitatiejaar 13</t>
  </si>
  <si>
    <t>Exploitatiejaar 14</t>
  </si>
  <si>
    <t>Exploitatiejaar 15</t>
  </si>
  <si>
    <t>Exploitatiejaar 16</t>
  </si>
  <si>
    <t>Exploitatiejaar 17</t>
  </si>
  <si>
    <t>Exploitatiejaar 18</t>
  </si>
  <si>
    <t>Exploitatiejaar 19</t>
  </si>
  <si>
    <t>Exploitatiejaar 20</t>
  </si>
  <si>
    <t>Exploitatiejaar 21</t>
  </si>
  <si>
    <t>Exploitatiejaar 22</t>
  </si>
  <si>
    <t>Exploitatiejaar 23</t>
  </si>
  <si>
    <t>Exploitatiejaar 24</t>
  </si>
  <si>
    <t>Exploitatiejaar 25</t>
  </si>
  <si>
    <t>Exploitatiejaar 26</t>
  </si>
  <si>
    <t>Exploitatiejaar 27</t>
  </si>
  <si>
    <t>Exploitatiejaar 28</t>
  </si>
  <si>
    <t>Exploitatiejaar 29</t>
  </si>
  <si>
    <t>Exploitatiejaar 30</t>
  </si>
  <si>
    <t>Netbeheerderskosten</t>
  </si>
  <si>
    <r>
      <t xml:space="preserve">Nettarief elektriciteit </t>
    </r>
    <r>
      <rPr>
        <sz val="11"/>
        <color theme="1"/>
        <rFont val="Calibri"/>
        <family val="2"/>
        <scheme val="minor"/>
      </rPr>
      <t>(obv netbeheerderstarieven 2025)</t>
    </r>
  </si>
  <si>
    <t>Vrije ruimte voor berekeningen, verdere toelichting en notities</t>
  </si>
  <si>
    <t>Resultaat</t>
  </si>
  <si>
    <t>Stap 6: Bepaal de WACC (Weighted Average Cost of Capital)</t>
  </si>
  <si>
    <t>Stap 4b: Bepaal de energiekosten</t>
  </si>
  <si>
    <t>Stap 4a: Bepaal de exploitatiekosten</t>
  </si>
  <si>
    <r>
      <t>Stap 5: Bepaal de operationele baten uit de verkoop van CO</t>
    </r>
    <r>
      <rPr>
        <b/>
        <vertAlign val="subscript"/>
        <sz val="12"/>
        <color theme="1"/>
        <rFont val="Calibri"/>
        <family val="2"/>
        <scheme val="minor"/>
      </rPr>
      <t>2</t>
    </r>
    <r>
      <rPr>
        <b/>
        <sz val="22"/>
        <color theme="1"/>
        <rFont val="Calibri"/>
        <family val="2"/>
        <scheme val="minor"/>
      </rPr>
      <t>-rechten</t>
    </r>
  </si>
  <si>
    <t>Productinformatie</t>
  </si>
  <si>
    <t>Engineering en ontwerp na FID</t>
  </si>
  <si>
    <t>Voorbereidingskosten van de locatie</t>
  </si>
  <si>
    <t>Realisatiekosten (niet infra of aansluiten externe verbindingen)</t>
  </si>
  <si>
    <t>Aansluiten externe verbindingen</t>
  </si>
  <si>
    <t>Gebouwen</t>
  </si>
  <si>
    <t>Productlabel</t>
  </si>
  <si>
    <t>Productieaantallen (= aantal van eenheid product)</t>
  </si>
  <si>
    <t>E = equity, D = debt,  rf = risk-free rate, β = equity beta, ERP = equity risk premium, DP = debt premium and T = tax rate</t>
  </si>
  <si>
    <t>Forfetair tarief</t>
  </si>
  <si>
    <t>Prijs ingekochte warmte</t>
  </si>
  <si>
    <t>• Voor de energiebelasting rekent u zelf uit in welke schijf/schijven uw verbruik valt. U maakt u gebruik van het marginale belastingtarief indien er meer verbruikers dan alleen de NIKI-installatie zijn aangesloten op dezelfde aansluiting.</t>
  </si>
  <si>
    <t>Netkosten elektriciteit</t>
  </si>
  <si>
    <t>€/eenheid</t>
  </si>
  <si>
    <t>Tarief energiekosten rgl 45</t>
  </si>
  <si>
    <t>Tarief energiekosten rgl 46</t>
  </si>
  <si>
    <t>Tarief energiekosten rgl 47</t>
  </si>
  <si>
    <t>Tarief energiekosten rgl 48</t>
  </si>
  <si>
    <t>eenheid/j</t>
  </si>
  <si>
    <t>• Indien u via uw energieleverancier deelneemt aan het emissiehandelssysteem voor kleinere uitstoters (ETS2), dan vult u hier 'Nee' in.</t>
  </si>
  <si>
    <t>• De hoeveelheid gratis uitstootrechten moet stroken met het afbouwpad zoals beschreven in de tabel.</t>
  </si>
  <si>
    <t>• U dient uw keuzes te onderbouwen in het tekstveld hieronder.</t>
  </si>
  <si>
    <t>Bepaal startjaar NIKI-project, startjaar exploitatiefase en economische levensduur NIKI-project</t>
  </si>
  <si>
    <t>Bepaal investeringskosten NIKI-project</t>
  </si>
  <si>
    <t>Bepaal marktprijzen en productieaantallen NIKI-producten gedurende eerste 10 jaar van exploiatie</t>
  </si>
  <si>
    <t>Bepaal exploitatiekosten NIKI-project (exclusief energiekosten) gedurende eerste 10 jaar van exploitatie</t>
  </si>
  <si>
    <t>Bepaal baten uit verkoop overtollige emissierechten onder EU-ETS 1 gedurende eerste 10 jaar van exploitatie</t>
  </si>
  <si>
    <t>Bepaal de Weighted Average Cost of Capital</t>
  </si>
  <si>
    <t>Bepaal energieverbruik en energiekosten NIKI-project gedurende eerste 10 jaar van exploitatie</t>
  </si>
  <si>
    <t>Bepaal de Europese subsidiebedragen die voor NIKI-project gebruikt worden</t>
  </si>
  <si>
    <t xml:space="preserve">• Startjaar: Met de uitvoering van de investeringsactiviteiten wordt gestart binnen twaalf maanden na de beschikking tot subsidieverlening. </t>
  </si>
  <si>
    <t xml:space="preserve">• Start exploitatiefase: De subsidieontvanger neemt de NIKI-installatie of -installaties uiterlijk binnen vier jaar na de start van het NIKI-project in gebruik. </t>
  </si>
  <si>
    <t>• In dit blad bepaalt u de verwachte investeringskosten.</t>
  </si>
  <si>
    <t>• De opgevoerde investeringskosten dienen overeen te stemmen met de bedragen die in het projectplan zijn onderbouwd.</t>
  </si>
  <si>
    <t>• Het investeringsbedrag in gebouwen, infrastructuur en externe aansluitingen wordt bepaald op basis van de verhouding tussen de economische levensduur van de NIKI-installatie en de langere boekhoudkundige afschrijfperiode van deze investeringen.</t>
  </si>
  <si>
    <t>• In dit blad bepaalt u de verwachte omzet gedurende eerste 10 jaar van exploitatie.</t>
  </si>
  <si>
    <t xml:space="preserve">• De jaarlijkse marktprijzen en productie-output moeten in overeenstemming zijn met de marktprijzen en productie-output die in het projectplan zijn onderbouwd. </t>
  </si>
  <si>
    <t xml:space="preserve">• De jaarlijkse productie-output dient consistent te zijn met de variabele exploitatiekosten in stap 4. </t>
  </si>
  <si>
    <t>• In dit blad bepaalt u de verwachte exploitatiekosten gedurende eerste 10 jaar van exploitatie, exclusief energiekosten. De energiekosten worden bepaald in blad 4b.</t>
  </si>
  <si>
    <t>• De opgevoerde bedragen dienen consistent te zijn met de onderbouwing in projectplan.</t>
  </si>
  <si>
    <t xml:space="preserve">• In dit blad bepaalt u de verwachte Weighted Average Cost of Capital. </t>
  </si>
  <si>
    <t xml:space="preserve">• De opgave bij Equity, Debt, Unlevered beta en Debt premium dienen overeen te stemmen met onderbouwing in projectplan. </t>
  </si>
  <si>
    <t>• Indien de aanvrager heeft bepaald dat de Debt premium 2,0% bedraagt, dan dient in dit blad eveneens 2,0% ingevuld te worden (de opgave is dus niet in basispunten).</t>
  </si>
  <si>
    <t>• Als u warmte inkoopt (stoom, stadswarmte, thermische olie etc.), dan dient u het voorgeschreven tarief voor warmte te gebruiken, zoals weergegeven op regel 65 van dit rekenblad. Het is niet toegestaan om een eigen tarief te hanteren. Daarnaast dient u de netto hoeveelheid ingekochte warmte op te geven, dus na aftrek van eventuele warmte in de retourstroom. Voor condensaat baseert u dit op een eigen meting of, indien deze niet beschikbaar is, op standaardcondities (vloeistof op 90°C, atmosferische druk).</t>
  </si>
  <si>
    <t>Hier vindt de berekening van de contante waarde van de operationele kasstromen plaats.</t>
  </si>
  <si>
    <t>Versie</t>
  </si>
  <si>
    <t xml:space="preserve">Datum </t>
  </si>
  <si>
    <t>Naam</t>
  </si>
  <si>
    <t>Omschrijving</t>
  </si>
  <si>
    <t>1.0</t>
  </si>
  <si>
    <t>2.0</t>
  </si>
  <si>
    <t>Gerwin Brandsen</t>
  </si>
  <si>
    <t>Eerste versie</t>
  </si>
  <si>
    <t>Versiebeheer</t>
  </si>
  <si>
    <t>Chris Jongsma</t>
  </si>
  <si>
    <t>2.1</t>
  </si>
  <si>
    <t>Alternatieve formule voor rekenkundig gemiddelde</t>
  </si>
  <si>
    <t>-Instructie ETS2 aangepast in stap 4b
-Commentaarvelden allemaal weer goed toegankelijk</t>
  </si>
  <si>
    <t>• De netbeheerderskosten voor elektriciteit voert u in op regel 35. U rekent daarbij zelf uit hoeveel u met uw aansluiting per jaar denkt te gaan gebruiken en welke kosten daarmee gepaard gaan, uitgaande van de tarieven die uw netbeheerder hanteert voor 2025. De regeling schrijft een jaarlijkse indexering van de netkosten voor, deze vindt automatisch plaats in dit rekenblad op regel 88. U hoeft dit dus niet zelf te doen.</t>
  </si>
  <si>
    <t>2.2</t>
  </si>
  <si>
    <t>Reiniera van der Feltz</t>
  </si>
  <si>
    <t>-Formule extrapolatie gewijzigd van geometrische naar VOORSPELLEN
-Namen tabbladen ingekort
-Lijst met gedefinieerde variabelenamen opgeschoond</t>
  </si>
  <si>
    <t>Stap 7: Overige (Europese) subsidies en fiscale voordelen</t>
  </si>
  <si>
    <r>
      <t xml:space="preserve">Status </t>
    </r>
    <r>
      <rPr>
        <b/>
        <sz val="9"/>
        <color theme="0"/>
        <rFont val="Calibri"/>
        <family val="2"/>
        <scheme val="minor"/>
      </rPr>
      <t>(vastgesteld/nog niet vastgesteld)</t>
    </r>
  </si>
  <si>
    <t>EIA</t>
  </si>
  <si>
    <t>Vastgestelde EIA</t>
  </si>
  <si>
    <t>Nog niet vastgestelde EIA</t>
  </si>
  <si>
    <t>Overige (Europese) subsidies en fiscale voordelen</t>
  </si>
  <si>
    <t>(Geschatte) totale EIA</t>
  </si>
  <si>
    <t>2.3</t>
  </si>
  <si>
    <t>1 Econ. levensduur</t>
  </si>
  <si>
    <t>2 Investeringskosten</t>
  </si>
  <si>
    <t>3 Omzet</t>
  </si>
  <si>
    <t>4a Exploitatiekosten</t>
  </si>
  <si>
    <t>4b Energiekosten</t>
  </si>
  <si>
    <t>5 Operationele voordelen</t>
  </si>
  <si>
    <t>6 WACC</t>
  </si>
  <si>
    <t>7 Overige subsidies</t>
  </si>
  <si>
    <t>Samenvatting van de uitkomst van het model</t>
  </si>
  <si>
    <t>Berekening benodigde subsidie NIKI</t>
  </si>
  <si>
    <t>Dit is de som van alle investeringskosten, berekend in stap 2.</t>
  </si>
  <si>
    <t>Dit is de netto contante waarde van de jaarlijkse kasstromen over de levensduur van het project, berekend in stap 3-5. De kasstromen worden verdisconteerd met de WACC, berekend in stap 6.</t>
  </si>
  <si>
    <t>NB: in de berekening van benodigde subsidie worden reeds toegekende overige subsidies en fiscale voordelen afgetrokken. Indien er na indiening van de aanvraag voor NIKI-subsidie nog (aanvullende) toekenning van overige subsidies of fiscale voordelen EU subsidie  volgt, dan zal dit worden gekort c.q. worden teruggevorderd op de toegekende NIKI-subsidie.</t>
  </si>
  <si>
    <t>Opex tijdens capex-periode</t>
  </si>
  <si>
    <r>
      <rPr>
        <sz val="11"/>
        <color theme="1"/>
        <rFont val="Calibri"/>
        <family val="2"/>
      </rPr>
      <t xml:space="preserve">• </t>
    </r>
    <r>
      <rPr>
        <sz val="11"/>
        <color theme="1"/>
        <rFont val="Calibri"/>
        <family val="2"/>
        <scheme val="minor"/>
      </rPr>
      <t>In dit blad bepaalt u het startjaar van het NIKI-project, het startjaar van de exploitatiefase en de verwachte economische levensduur.</t>
    </r>
  </si>
  <si>
    <t>• Verwachte economische levensduur: De totale economische levensduur is minimaal 20 jaar. Een economische levensduur van langer dan 30 jaar wordt in dit model begrensd op 30 jaar.</t>
  </si>
  <si>
    <t>Startjaar exploitatiefase</t>
  </si>
  <si>
    <t>• Zie in stap 2 van de NIKI rekenmethode voor een lijst van toegestane en uitgesloten investeringskosten.</t>
  </si>
  <si>
    <t>Stap 3: Bepaal de marktprijs, de productie-output en de omzet</t>
  </si>
  <si>
    <r>
      <t xml:space="preserve">• Bij ‘productinformatie’ geeft u aan welke eenheid van het product wordt gehanteerd voor de marktprijs en productieaantallen. 
</t>
    </r>
    <r>
      <rPr>
        <i/>
        <sz val="12"/>
        <color theme="1"/>
        <rFont val="Calibri"/>
        <family val="2"/>
        <scheme val="minor"/>
      </rPr>
      <t xml:space="preserve">    Voorbeeld: bij een prijs van € 1.500 per 1.000 bio-kratten en een verkoop van 2.000 × 1.000 bio-kratten, vult u bij eenheid product “1.000 stuks” in, bij marktprijs “€ 1.500” en bij productieaantal “2.000”.</t>
    </r>
  </si>
  <si>
    <r>
      <t>• Let op dat de jaarlijkse productiehoeveelheden uit dit overzicht overeenkomen met de waarden uit het NIKI-rekenmodel CO</t>
    </r>
    <r>
      <rPr>
        <vertAlign val="subscript"/>
        <sz val="12"/>
        <color theme="1"/>
        <rFont val="Calibri"/>
        <family val="2"/>
        <scheme val="minor"/>
      </rPr>
      <t>2</t>
    </r>
    <r>
      <rPr>
        <sz val="12"/>
        <color theme="1"/>
        <rFont val="Calibri"/>
        <family val="2"/>
        <scheme val="minor"/>
      </rPr>
      <t>-emissiereductie.</t>
    </r>
  </si>
  <si>
    <t>• Raadpleeg stap 4 van de NIKI rekenmethode voor een overzicht van toegestane en uitgesloten exploitatiekosten.</t>
  </si>
  <si>
    <t>• De variabele exploitatiekosten dienen consistent te zijn met productie-output stap 3.</t>
  </si>
  <si>
    <r>
      <t>• Let op dat de jaarlijkse hoeveelheden aan grond-/afvalstoffen en materialen die worden meegenomen in de kostenberekening overeenkomen met waarden uit het NIKI-rekenmodel CO</t>
    </r>
    <r>
      <rPr>
        <vertAlign val="subscript"/>
        <sz val="12"/>
        <color theme="1"/>
        <rFont val="Calibri"/>
        <family val="2"/>
        <scheme val="minor"/>
      </rPr>
      <t>2</t>
    </r>
    <r>
      <rPr>
        <sz val="12"/>
        <color theme="1"/>
        <rFont val="Calibri"/>
        <family val="2"/>
        <scheme val="minor"/>
      </rPr>
      <t>-emissiereductie.</t>
    </r>
  </si>
  <si>
    <r>
      <t>• In dit tabblad bepaalt u de energiegerelateerde kosten. U vult alle relevante groene cellen in: kosten voor energie, energiebelasting, netwerkkosten en eventuele kosten voor CO</t>
    </r>
    <r>
      <rPr>
        <vertAlign val="subscript"/>
        <sz val="11"/>
        <rFont val="Calibri"/>
        <family val="2"/>
      </rPr>
      <t>2</t>
    </r>
    <r>
      <rPr>
        <sz val="11"/>
        <rFont val="Calibri"/>
        <family val="2"/>
      </rPr>
      <t>-uitstoot onder ETS2.</t>
    </r>
  </si>
  <si>
    <r>
      <t>CO</t>
    </r>
    <r>
      <rPr>
        <vertAlign val="subscript"/>
        <sz val="11"/>
        <color theme="1"/>
        <rFont val="Calibri"/>
        <family val="2"/>
        <scheme val="minor"/>
      </rPr>
      <t>2</t>
    </r>
    <r>
      <rPr>
        <sz val="11"/>
        <color theme="1"/>
        <rFont val="Calibri"/>
        <family val="2"/>
        <scheme val="minor"/>
      </rPr>
      <t>-uitstoot door gas</t>
    </r>
  </si>
  <si>
    <r>
      <t>CO</t>
    </r>
    <r>
      <rPr>
        <vertAlign val="subscript"/>
        <sz val="11"/>
        <color theme="1"/>
        <rFont val="Calibri"/>
        <family val="2"/>
        <scheme val="minor"/>
      </rPr>
      <t>2</t>
    </r>
    <r>
      <rPr>
        <sz val="11"/>
        <color theme="1"/>
        <rFont val="Calibri"/>
        <family val="2"/>
        <scheme val="minor"/>
      </rPr>
      <t>-uitstoot door kolen</t>
    </r>
  </si>
  <si>
    <r>
      <t>CO</t>
    </r>
    <r>
      <rPr>
        <vertAlign val="subscript"/>
        <sz val="11"/>
        <color theme="1"/>
        <rFont val="Calibri"/>
        <family val="2"/>
        <scheme val="minor"/>
      </rPr>
      <t>2</t>
    </r>
    <r>
      <rPr>
        <sz val="11"/>
        <color theme="1"/>
        <rFont val="Calibri"/>
        <family val="2"/>
        <scheme val="minor"/>
      </rPr>
      <t>-uitstoot door olie</t>
    </r>
  </si>
  <si>
    <t>Let op: alleen voor ETS2!</t>
  </si>
  <si>
    <t>ton CO2/j</t>
  </si>
  <si>
    <r>
      <t>CO</t>
    </r>
    <r>
      <rPr>
        <vertAlign val="subscript"/>
        <sz val="11"/>
        <color theme="1"/>
        <rFont val="Calibri"/>
        <family val="2"/>
        <scheme val="minor"/>
      </rPr>
      <t>2</t>
    </r>
    <r>
      <rPr>
        <sz val="11"/>
        <color theme="1"/>
        <rFont val="Calibri"/>
        <family val="2"/>
        <scheme val="minor"/>
      </rPr>
      <t>-kosten gas</t>
    </r>
  </si>
  <si>
    <r>
      <t>CO</t>
    </r>
    <r>
      <rPr>
        <vertAlign val="subscript"/>
        <sz val="11"/>
        <color theme="1"/>
        <rFont val="Calibri"/>
        <family val="2"/>
        <scheme val="minor"/>
      </rPr>
      <t>2</t>
    </r>
    <r>
      <rPr>
        <sz val="11"/>
        <color theme="1"/>
        <rFont val="Calibri"/>
        <family val="2"/>
        <scheme val="minor"/>
      </rPr>
      <t>-kosten kolen</t>
    </r>
  </si>
  <si>
    <r>
      <t>CO</t>
    </r>
    <r>
      <rPr>
        <vertAlign val="subscript"/>
        <sz val="11"/>
        <color theme="1"/>
        <rFont val="Calibri"/>
        <family val="2"/>
        <scheme val="minor"/>
      </rPr>
      <t>2</t>
    </r>
    <r>
      <rPr>
        <sz val="11"/>
        <color theme="1"/>
        <rFont val="Calibri"/>
        <family val="2"/>
        <scheme val="minor"/>
      </rPr>
      <t>-kosten olie</t>
    </r>
  </si>
  <si>
    <r>
      <rPr>
        <b/>
        <sz val="11"/>
        <rFont val="Calibri"/>
        <family val="2"/>
        <scheme val="minor"/>
      </rPr>
      <t xml:space="preserve">• </t>
    </r>
    <r>
      <rPr>
        <sz val="11"/>
        <rFont val="Calibri"/>
        <family val="2"/>
        <scheme val="minor"/>
      </rPr>
      <t>Gebruikt u een energiedrager die niet in deze tabel staat? Dan hanteert u een eigen tarief en onderbouwt u uw keuze. Let op dat u dan zelf de verbruiken moet vermenigvuldigen met de kostprijs per eenheid.</t>
    </r>
  </si>
  <si>
    <r>
      <t>• In dit tabblad rekent u alleen CO</t>
    </r>
    <r>
      <rPr>
        <vertAlign val="subscript"/>
        <sz val="11"/>
        <rFont val="Calibri"/>
        <family val="2"/>
        <scheme val="minor"/>
      </rPr>
      <t>2</t>
    </r>
    <r>
      <rPr>
        <sz val="11"/>
        <rFont val="Calibri"/>
        <family val="2"/>
        <scheme val="minor"/>
      </rPr>
      <t xml:space="preserve">-kosten als u </t>
    </r>
    <r>
      <rPr>
        <u/>
        <sz val="11"/>
        <rFont val="Calibri"/>
        <family val="2"/>
        <scheme val="minor"/>
      </rPr>
      <t>niet</t>
    </r>
    <r>
      <rPr>
        <sz val="11"/>
        <rFont val="Calibri"/>
        <family val="2"/>
        <scheme val="minor"/>
      </rPr>
      <t xml:space="preserve"> onder het Europees emissiehandelssysteem voor grote uitstoters valt (ETS1). U valt dan via uw energieleverancier automatisch onder het handelssysteem voor kleinere uitstoters (ETS2). In dat geval dient u zelf uit te rekenen hoeveel de CO</t>
    </r>
    <r>
      <rPr>
        <vertAlign val="subscript"/>
        <sz val="11"/>
        <rFont val="Calibri"/>
        <family val="2"/>
        <scheme val="minor"/>
      </rPr>
      <t>2</t>
    </r>
    <r>
      <rPr>
        <sz val="11"/>
        <rFont val="Calibri"/>
        <family val="2"/>
        <scheme val="minor"/>
      </rPr>
      <t>-uitstoot bedraagt van de brandstoffen die u gebruikt. ETS2 geldt niet voor elektriciteit of stoom, maar alleen voor koolstofhoudende brandstoffen. De CO</t>
    </r>
    <r>
      <rPr>
        <vertAlign val="subscript"/>
        <sz val="11"/>
        <rFont val="Calibri"/>
        <family val="2"/>
        <scheme val="minor"/>
      </rPr>
      <t>2</t>
    </r>
    <r>
      <rPr>
        <sz val="11"/>
        <rFont val="Calibri"/>
        <family val="2"/>
        <scheme val="minor"/>
      </rPr>
      <t>-uitstoot voert u op in regel 39-41, waarbij u voor de emissiefactoren gebruik maakt van de meest recente versie van de "Nederlandse lijst van energiedragers en standaard CO2 emissiefactoren", te vinden op de website van RVO. Het rekenblad rekent dan automatisch uit hoeveel uw CO</t>
    </r>
    <r>
      <rPr>
        <vertAlign val="subscript"/>
        <sz val="11"/>
        <rFont val="Calibri"/>
        <family val="2"/>
        <scheme val="minor"/>
      </rPr>
      <t>2</t>
    </r>
    <r>
      <rPr>
        <sz val="11"/>
        <rFont val="Calibri"/>
        <family val="2"/>
        <scheme val="minor"/>
      </rPr>
      <t>-kosten per jaar bedragen en geeft dit weer op regel 92-94. Indien u al onder het ETS1 valt, hoeft u hier dus geen kosten voor CO</t>
    </r>
    <r>
      <rPr>
        <vertAlign val="subscript"/>
        <sz val="11"/>
        <rFont val="Calibri"/>
        <family val="2"/>
        <scheme val="minor"/>
      </rPr>
      <t>2</t>
    </r>
    <r>
      <rPr>
        <sz val="11"/>
        <rFont val="Calibri"/>
        <family val="2"/>
        <scheme val="minor"/>
      </rPr>
      <t>-uitstoot op te voeren.</t>
    </r>
  </si>
  <si>
    <r>
      <t>• Let op dat de jaarlijkse hoeveelheden aan energie die worden meegenomen in de kostenberekening, overeenkomen met waarden uit het NIKI-rekenmodel CO</t>
    </r>
    <r>
      <rPr>
        <vertAlign val="subscript"/>
        <sz val="11"/>
        <rFont val="Calibri"/>
        <family val="2"/>
        <scheme val="minor"/>
      </rPr>
      <t>2</t>
    </r>
    <r>
      <rPr>
        <sz val="11"/>
        <rFont val="Calibri"/>
        <family val="2"/>
        <scheme val="minor"/>
      </rPr>
      <t>-emissiereductie en met de opgave/onderbouwing van de exploitatiekosten in het projectplan.</t>
    </r>
  </si>
  <si>
    <t>Categorieën investeringskosten (capex)</t>
  </si>
  <si>
    <t>Categorieën exploitatiekosten (opex)</t>
  </si>
  <si>
    <t>• In dit tabblad worden de operationele baten berekend uit de verkoop van overtollige emissierechten onder EU ETS 1.</t>
  </si>
  <si>
    <t>• Alleen de baten worden meegenomen in de berekening van de benodigde subsidie. Eventuele kosten die u heeft voor het EU ETS 1 zijn niet subsidiabel.</t>
  </si>
  <si>
    <t xml:space="preserve">• Geef op of het NIKI-proces onder het EU ETS valt. Dit is het geval als het proces voldoet aan de deelnamecriteria van het EU ETS 1, zoals vastgelegd in Annex I van richtlijn 2003/87/EC. </t>
  </si>
  <si>
    <r>
      <t xml:space="preserve">• Valt uw proces </t>
    </r>
    <r>
      <rPr>
        <u/>
        <sz val="11"/>
        <rFont val="Calibri"/>
        <family val="2"/>
        <scheme val="minor"/>
      </rPr>
      <t>niet</t>
    </r>
    <r>
      <rPr>
        <sz val="11"/>
        <rFont val="Calibri"/>
        <family val="2"/>
        <scheme val="minor"/>
      </rPr>
      <t xml:space="preserve"> onder het EU ETS 1? Dan vult u hieronder een onderbouwing in waarom dat zo is en bent u klaar met dit tabblad.</t>
    </r>
  </si>
  <si>
    <r>
      <t xml:space="preserve">• Valt uw proces </t>
    </r>
    <r>
      <rPr>
        <u/>
        <sz val="11"/>
        <rFont val="Calibri"/>
        <family val="2"/>
        <scheme val="minor"/>
      </rPr>
      <t>wel</t>
    </r>
    <r>
      <rPr>
        <sz val="11"/>
        <rFont val="Calibri"/>
        <family val="2"/>
        <scheme val="minor"/>
      </rPr>
      <t xml:space="preserve"> onder het EU ETS 1? Dan vult u in de groene cellen in hoeveel de toerekenbare uitstoot per jaar bedraagt en hoeveel gratis uitstootrechten u verwacht te gaan ontvangen. U dient dit zelf te berekenen en te onderbouwen.</t>
    </r>
  </si>
  <si>
    <r>
      <t>• De uitstoot moet in lijn zijn met de productiedata, energieverbruiken etc. die u heeft opgegeven in het NIKI rekenmodel CO</t>
    </r>
    <r>
      <rPr>
        <vertAlign val="subscript"/>
        <sz val="11"/>
        <rFont val="Calibri"/>
        <family val="2"/>
        <scheme val="minor"/>
      </rPr>
      <t>2</t>
    </r>
    <r>
      <rPr>
        <sz val="11"/>
        <rFont val="Calibri"/>
        <family val="2"/>
        <scheme val="minor"/>
      </rPr>
      <t xml:space="preserve">-emissiereductie en stap 4b. </t>
    </r>
  </si>
  <si>
    <r>
      <t>CO</t>
    </r>
    <r>
      <rPr>
        <vertAlign val="subscript"/>
        <sz val="11"/>
        <color theme="1"/>
        <rFont val="Calibri"/>
        <family val="2"/>
        <scheme val="minor"/>
      </rPr>
      <t>2</t>
    </r>
    <r>
      <rPr>
        <sz val="11"/>
        <color theme="1"/>
        <rFont val="Calibri"/>
        <family val="2"/>
        <scheme val="minor"/>
      </rPr>
      <t>-uitstoot onder ETS2</t>
    </r>
  </si>
  <si>
    <t>Tarief 2026</t>
  </si>
  <si>
    <t>EU ETS prijs (€/t CO2)</t>
  </si>
  <si>
    <t>Vastgestelde cijfers EU ETS</t>
  </si>
  <si>
    <t>Valt het NIKI-proces onder het EU ETS?</t>
  </si>
  <si>
    <t>Uitstoot toerekenbaar onder EU ETS 1</t>
  </si>
  <si>
    <t>Te ontvangen gratis uitstootrechten EU ETS 1</t>
  </si>
  <si>
    <t>Afbouwpad vrije allocatie EU ETS 1, t.o.v. 2025</t>
  </si>
  <si>
    <t>Prijs uitstootrechten EU ETS 1</t>
  </si>
  <si>
    <t>Baten EU ETS 1</t>
  </si>
  <si>
    <t xml:space="preserve">• De Risk free rate, Equity Risk Premium en Tax rate zijn reeds door RVO vastgesteld. De overige onderdelen dient de aanvrager te bepalen conform stap 6 van de NIKI rekenmethode. </t>
  </si>
  <si>
    <t>• De volgende formule wordt gebruikt om de WACC te berekenen:</t>
  </si>
  <si>
    <t>• In dit blad bepaalt u hoeveel u gebruik maakt van overige (Europese) subsidies of Nederlandse fiscale voordelen, zoals de Energie-investeringsaftrek (EIA), voor zover deze samenhangt met (onderdelen van) het NIKI-project . De NIKI kan niet gecombineerd worden met andere nationale subsidieregelingen.</t>
  </si>
  <si>
    <t>• U dient aan te geven welke status de subsidie heeft. Toegekende subsidies worden meegenomen in de berekening van benodigde subsidie in deze sheet. Nog niet toegekende subsidies worden niet meegenomen in de berekening van benodigde subsidie in deze sheet. Indien een subsidie wordt toegekend na het indienen van de NIKI-aanvraag, wordt bij de vaststelling van de NIKI-subsidie het bedrag van de subsidie in mindering gebracht op de benodigde subsidie.</t>
  </si>
  <si>
    <t>• U dient aan te geven welke status de EIA heeft. Zowel vastgestelde als nog niet vastgestelde EIA worden meegenomen in de berekening van de benodigde subsidie in deze sheet. Indien een hogere EIA wordt vastgesteld na indienen van de NIKI-aanvraag, wordt bij de vaststelling van de NIKI-subsidie het bedrag van deze EIA-vaststelling in mindering gebracht op de benodigde subsidie.</t>
  </si>
  <si>
    <t>Naam subsidie</t>
  </si>
  <si>
    <t>Vennootschapsbelasting (excl. EIA)</t>
  </si>
  <si>
    <t>• U geeft de vennootschapsbelasting op exclusief aftrek van eventuele Energie-investeringsaftrek (EIA). De EIA geeft u op in stap 7.</t>
  </si>
  <si>
    <t>Investeringskosten (capex)</t>
  </si>
  <si>
    <t>Prijspad EZK</t>
  </si>
  <si>
    <t>Prijzen actualiseren</t>
  </si>
  <si>
    <t>WACC-parameters actualiseren</t>
  </si>
  <si>
    <t>-Risk free rate: actuele rendement op 10-jarige Nederlandse Staatsleningen</t>
  </si>
  <si>
    <t>-Equity risk premium</t>
  </si>
  <si>
    <t>Rapport van KPMG, periodiek geactualiseerd</t>
  </si>
  <si>
    <t>Dialogue</t>
  </si>
  <si>
    <t>-Energiebelasting actualiseren met actuele tarieven (zie website Belastingdienst)</t>
  </si>
  <si>
    <t>-Voor energie- en CO2-prijzen EZK vragen om actueel prijspad van PBL.</t>
  </si>
  <si>
    <t>Overige parameters</t>
  </si>
  <si>
    <t>-Subsidiejaar wijzigen voor nieuwe ronde in tabblad 'Vastgestelde parameters'</t>
  </si>
  <si>
    <t>Jaarlijkse actualisatie NIKI rekenmodel subsidie</t>
  </si>
  <si>
    <t>v</t>
  </si>
  <si>
    <t>Indexering netkosten t.o.v. 2026</t>
  </si>
  <si>
    <t xml:space="preserve">     -1 extra jaar toevoegen aan het einde van de prijzenset</t>
  </si>
  <si>
    <t xml:space="preserve">     -In tabel 'Vastgestelde parameters' ook 1 jaar toevoegen aan het einde</t>
  </si>
  <si>
    <t xml:space="preserve">     -Prijzen kopiëren (let erop dat alle eenheden dezelfde zijn, PBL geeft bijv. gas in ct.m3!) Laat de prijzen van voorgaande jaren ongewijzigd.</t>
  </si>
  <si>
    <t xml:space="preserve">     -Verwijzingen aanpassen in tab '4b Energiekosten' zodat ook het extra jaar in de tabel wordt meegenomen</t>
  </si>
  <si>
    <t>-7 Overige subsidies: EIA toegevoegd
-4a Exploitatiekosten: toelichting vpb ex EIA toegevoegd
-Algehele aanscherping van teksten op alle tabbladen
-Energieprijzen geactualiseerd naar 2026
-Risk free rate en equity risk premium geactualiseerd
-Hyperlinks op voorblad hersteld
'-Tabblad 'Actualisatie' toegevoegd met instructies voor actualisatie tabblad voor volgende ronde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</si>
</sst>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44" formatCode="_ &quot;€&quot;\ * #,##0.00_ ;_ &quot;€&quot;\ * \-#,##0.00_ ;_ &quot;€&quot;\ * &quot;-&quot;??_ ;_ @_ "/>
    <numFmt numFmtId="43" formatCode="_ * #,##0.00_ ;_ * \-#,##0.00_ ;_ * &quot;-&quot;??_ ;_ @_ "/>
    <numFmt numFmtId="164" formatCode="_ &quot;€&quot;\ * #,##0_ ;_ &quot;€&quot;\ * \-#,##0_ ;_ &quot;€&quot;\ * &quot;-&quot;??_ ;_ @_ "/>
    <numFmt numFmtId="165" formatCode="0.0%"/>
    <numFmt numFmtId="166" formatCode="_ * #,##0_ ;_ * \-#,##0_ ;_ * &quot;-&quot;??_ ;_ @_ "/>
    <numFmt numFmtId="167" formatCode="_ &quot;€&quot;\ * #,##0.000_ ;_ &quot;€&quot;\ * \-#,##0.000_ ;_ &quot;€&quot;\ * &quot;-&quot;??_ ;_ @_ "/>
  </numFmts>
  <fonts count="41" x14ac:knownFonts="1">
    <font>
      <sz val="11"/>
      <color theme="1"/>
      <name val="Calibri"/>
      <family val="2"/>
      <scheme val="minor"/>
    </font>
    <font>
      <sz val="11"/>
      <color theme="1"/>
      <name val="Calibri"/>
      <family val="2"/>
    </font>
    <font>
      <b/>
      <sz val="11"/>
      <color theme="1"/>
      <name val="Calibri"/>
      <family val="2"/>
      <scheme val="minor"/>
    </font>
    <font>
      <sz val="8"/>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8"/>
      <color theme="1"/>
      <name val="Calibri"/>
      <family val="2"/>
      <scheme val="minor"/>
    </font>
    <font>
      <i/>
      <sz val="11"/>
      <color theme="1"/>
      <name val="Calibri"/>
      <family val="2"/>
      <scheme val="minor"/>
    </font>
    <font>
      <sz val="14"/>
      <color theme="0"/>
      <name val="Calibri"/>
      <family val="2"/>
      <scheme val="minor"/>
    </font>
    <font>
      <b/>
      <sz val="14"/>
      <color theme="1"/>
      <name val="Calibri"/>
      <family val="2"/>
      <scheme val="minor"/>
    </font>
    <font>
      <b/>
      <sz val="12"/>
      <color theme="0"/>
      <name val="Calibri"/>
      <family val="2"/>
      <scheme val="minor"/>
    </font>
    <font>
      <b/>
      <sz val="12"/>
      <color theme="1"/>
      <name val="Calibri"/>
      <family val="2"/>
      <scheme val="minor"/>
    </font>
    <font>
      <b/>
      <sz val="11"/>
      <name val="Calibri"/>
      <family val="2"/>
      <scheme val="minor"/>
    </font>
    <font>
      <sz val="11"/>
      <name val="Calibri"/>
      <family val="2"/>
      <scheme val="minor"/>
    </font>
    <font>
      <sz val="14"/>
      <color theme="1"/>
      <name val="Calibri"/>
      <family val="2"/>
      <scheme val="minor"/>
    </font>
    <font>
      <b/>
      <sz val="22"/>
      <color theme="1"/>
      <name val="Calibri"/>
      <family val="2"/>
      <scheme val="minor"/>
    </font>
    <font>
      <sz val="11"/>
      <color indexed="17"/>
      <name val="Calibri"/>
      <family val="2"/>
    </font>
    <font>
      <sz val="11"/>
      <color indexed="60"/>
      <name val="Calibri"/>
      <family val="2"/>
    </font>
    <font>
      <b/>
      <sz val="12"/>
      <name val="Calibri"/>
      <family val="2"/>
      <scheme val="minor"/>
    </font>
    <font>
      <i/>
      <vertAlign val="subscript"/>
      <sz val="11"/>
      <color theme="1"/>
      <name val="Calibri"/>
      <family val="2"/>
      <scheme val="minor"/>
    </font>
    <font>
      <b/>
      <sz val="9"/>
      <color theme="0"/>
      <name val="Calibri"/>
      <family val="2"/>
      <scheme val="minor"/>
    </font>
    <font>
      <b/>
      <sz val="11"/>
      <color rgb="FFFF0000"/>
      <name val="Calibri"/>
      <family val="2"/>
      <scheme val="minor"/>
    </font>
    <font>
      <b/>
      <sz val="12"/>
      <name val="Calibri"/>
      <family val="2"/>
    </font>
    <font>
      <b/>
      <sz val="12"/>
      <color rgb="FFFF0000"/>
      <name val="Calibri"/>
      <family val="2"/>
      <scheme val="minor"/>
    </font>
    <font>
      <sz val="12"/>
      <color theme="1"/>
      <name val="Calibri"/>
      <family val="2"/>
      <scheme val="minor"/>
    </font>
    <font>
      <sz val="12"/>
      <name val="Calibri"/>
      <family val="2"/>
      <scheme val="minor"/>
    </font>
    <font>
      <sz val="10"/>
      <name val="Calibri"/>
      <family val="2"/>
      <scheme val="minor"/>
    </font>
    <font>
      <sz val="12"/>
      <color rgb="FFFF0000"/>
      <name val="Calibri"/>
      <family val="2"/>
      <scheme val="minor"/>
    </font>
    <font>
      <b/>
      <vertAlign val="subscript"/>
      <sz val="12"/>
      <color theme="1"/>
      <name val="Calibri"/>
      <family val="2"/>
      <scheme val="minor"/>
    </font>
    <font>
      <sz val="10"/>
      <color theme="1"/>
      <name val="Calibri"/>
      <family val="2"/>
      <scheme val="minor"/>
    </font>
    <font>
      <sz val="11"/>
      <color theme="0"/>
      <name val="Calibri"/>
      <family val="2"/>
      <scheme val="minor"/>
    </font>
    <font>
      <i/>
      <sz val="12"/>
      <color theme="1"/>
      <name val="Calibri"/>
      <family val="2"/>
      <scheme val="minor"/>
    </font>
    <font>
      <sz val="11"/>
      <name val="Calibri"/>
      <family val="2"/>
    </font>
    <font>
      <u/>
      <sz val="11"/>
      <name val="Calibri"/>
      <family val="2"/>
      <scheme val="minor"/>
    </font>
    <font>
      <b/>
      <i/>
      <sz val="11"/>
      <name val="Calibri"/>
      <family val="2"/>
      <scheme val="minor"/>
    </font>
    <font>
      <u/>
      <sz val="11"/>
      <color theme="10"/>
      <name val="Calibri"/>
      <family val="2"/>
      <scheme val="minor"/>
    </font>
    <font>
      <vertAlign val="subscript"/>
      <sz val="12"/>
      <color theme="1"/>
      <name val="Calibri"/>
      <family val="2"/>
      <scheme val="minor"/>
    </font>
    <font>
      <vertAlign val="subscript"/>
      <sz val="11"/>
      <name val="Calibri"/>
      <family val="2"/>
    </font>
    <font>
      <vertAlign val="subscript"/>
      <sz val="11"/>
      <color theme="1"/>
      <name val="Calibri"/>
      <family val="2"/>
      <scheme val="minor"/>
    </font>
    <font>
      <vertAlign val="subscript"/>
      <sz val="11"/>
      <name val="Calibri"/>
      <family val="2"/>
      <scheme val="minor"/>
    </font>
  </fonts>
  <fills count="20">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8" tint="-0.499984740745262"/>
        <bgColor indexed="64"/>
      </patternFill>
    </fill>
    <fill>
      <patternFill patternType="solid">
        <fgColor theme="8" tint="-0.499984740745262"/>
        <bgColor theme="4"/>
      </patternFill>
    </fill>
    <fill>
      <patternFill patternType="solid">
        <fgColor theme="2"/>
        <bgColor indexed="64"/>
      </patternFill>
    </fill>
    <fill>
      <patternFill patternType="solid">
        <fgColor indexed="42"/>
      </patternFill>
    </fill>
    <fill>
      <patternFill patternType="solid">
        <fgColor indexed="43"/>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theme="4" tint="0.79998168889431442"/>
      </patternFill>
    </fill>
    <fill>
      <patternFill patternType="solid">
        <fgColor theme="0" tint="-4.9989318521683403E-2"/>
        <bgColor indexed="64"/>
      </patternFill>
    </fill>
    <fill>
      <patternFill patternType="solid">
        <fgColor theme="0" tint="-4.9989318521683403E-2"/>
        <bgColor theme="4" tint="0.79998168889431442"/>
      </patternFill>
    </fill>
    <fill>
      <patternFill patternType="solid">
        <fgColor rgb="FFFFC000"/>
        <bgColor indexed="64"/>
      </patternFill>
    </fill>
    <fill>
      <patternFill patternType="solid">
        <fgColor theme="2"/>
        <bgColor theme="4"/>
      </patternFill>
    </fill>
    <fill>
      <patternFill patternType="solid">
        <fgColor theme="9" tint="-0.249977111117893"/>
        <bgColor indexed="64"/>
      </patternFill>
    </fill>
    <fill>
      <patternFill patternType="solid">
        <fgColor rgb="FFFFFF00"/>
        <bgColor indexed="64"/>
      </patternFill>
    </fill>
    <fill>
      <patternFill patternType="solid">
        <fgColor rgb="FF5B9BD5"/>
        <bgColor indexed="64"/>
      </patternFill>
    </fill>
  </fills>
  <borders count="30">
    <border>
      <left/>
      <right/>
      <top/>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double">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medium">
        <color theme="2" tint="-0.499984740745262"/>
      </top>
      <bottom style="medium">
        <color theme="2"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theme="2" tint="-0.499984740745262"/>
      </bottom>
      <diagonal/>
    </border>
    <border>
      <left/>
      <right style="thin">
        <color indexed="64"/>
      </right>
      <top style="thin">
        <color indexed="64"/>
      </top>
      <bottom style="thin">
        <color theme="2" tint="-0.499984740745262"/>
      </bottom>
      <diagonal/>
    </border>
    <border>
      <left style="thin">
        <color theme="2" tint="-0.499984740745262"/>
      </left>
      <right/>
      <top/>
      <bottom/>
      <diagonal/>
    </border>
    <border>
      <left/>
      <right/>
      <top style="thin">
        <color theme="2" tint="-0.499984740745262"/>
      </top>
      <bottom/>
      <diagonal/>
    </border>
    <border>
      <left style="thin">
        <color theme="2" tint="-0.499984740745262"/>
      </left>
      <right style="thin">
        <color theme="2" tint="-0.499984740745262"/>
      </right>
      <top style="thin">
        <color theme="2" tint="-0.499984740745262"/>
      </top>
      <bottom style="double">
        <color indexed="64"/>
      </bottom>
      <diagonal/>
    </border>
    <border>
      <left style="thin">
        <color theme="2" tint="-0.499984740745262"/>
      </left>
      <right/>
      <top/>
      <bottom style="thin">
        <color theme="2" tint="-0.499984740745262"/>
      </bottom>
      <diagonal/>
    </border>
    <border>
      <left/>
      <right style="thin">
        <color theme="2" tint="-0.499984740745262"/>
      </right>
      <top/>
      <bottom style="thin">
        <color theme="2" tint="-0.499984740745262"/>
      </bottom>
      <diagonal/>
    </border>
  </borders>
  <cellStyleXfs count="7">
    <xf numFmtId="0" fontId="0" fillId="0" borderId="0"/>
    <xf numFmtId="43" fontId="4" fillId="0" borderId="0" applyFont="0" applyFill="0" applyBorder="0" applyAlignment="0" applyProtection="0"/>
    <xf numFmtId="9" fontId="4" fillId="0" borderId="0" applyFont="0" applyFill="0" applyBorder="0" applyAlignment="0" applyProtection="0"/>
    <xf numFmtId="0" fontId="17" fillId="8" borderId="0" applyNumberFormat="0" applyBorder="0" applyAlignment="0" applyProtection="0"/>
    <xf numFmtId="0" fontId="18" fillId="9" borderId="0" applyNumberFormat="0" applyBorder="0" applyAlignment="0" applyProtection="0"/>
    <xf numFmtId="44" fontId="4" fillId="0" borderId="0" applyFont="0" applyFill="0" applyBorder="0" applyAlignment="0" applyProtection="0"/>
    <xf numFmtId="0" fontId="36" fillId="0" borderId="0" applyNumberFormat="0" applyFill="0" applyBorder="0" applyAlignment="0" applyProtection="0"/>
  </cellStyleXfs>
  <cellXfs count="246">
    <xf numFmtId="0" fontId="0" fillId="0" borderId="0" xfId="0"/>
    <xf numFmtId="0" fontId="12" fillId="7" borderId="0" xfId="0" applyFont="1" applyFill="1"/>
    <xf numFmtId="0" fontId="0" fillId="7" borderId="0" xfId="0" applyFill="1"/>
    <xf numFmtId="0" fontId="0" fillId="10" borderId="0" xfId="0" applyFill="1"/>
    <xf numFmtId="0" fontId="0" fillId="10" borderId="2" xfId="0" applyFill="1" applyBorder="1"/>
    <xf numFmtId="0" fontId="11" fillId="5" borderId="10" xfId="0" applyFont="1" applyFill="1" applyBorder="1"/>
    <xf numFmtId="0" fontId="11" fillId="5" borderId="11" xfId="0" applyFont="1" applyFill="1" applyBorder="1"/>
    <xf numFmtId="0" fontId="6" fillId="10" borderId="0" xfId="0" applyFont="1" applyFill="1"/>
    <xf numFmtId="0" fontId="0" fillId="3" borderId="0" xfId="0" applyFill="1"/>
    <xf numFmtId="0" fontId="11" fillId="5" borderId="2" xfId="0" applyFont="1" applyFill="1" applyBorder="1"/>
    <xf numFmtId="0" fontId="11" fillId="5" borderId="12" xfId="0" applyFont="1" applyFill="1" applyBorder="1"/>
    <xf numFmtId="0" fontId="2" fillId="10" borderId="0" xfId="0" applyFont="1" applyFill="1"/>
    <xf numFmtId="43" fontId="0" fillId="3" borderId="0" xfId="1" applyFont="1" applyFill="1" applyBorder="1"/>
    <xf numFmtId="166" fontId="0" fillId="3" borderId="0" xfId="1" applyNumberFormat="1" applyFont="1" applyFill="1" applyBorder="1"/>
    <xf numFmtId="0" fontId="5" fillId="5" borderId="0" xfId="0" applyFont="1" applyFill="1" applyAlignment="1">
      <alignment vertical="center"/>
    </xf>
    <xf numFmtId="0" fontId="0" fillId="2" borderId="2" xfId="0" applyFill="1" applyBorder="1" applyAlignment="1">
      <alignment vertical="center"/>
    </xf>
    <xf numFmtId="0" fontId="0" fillId="11" borderId="2" xfId="0" applyFill="1" applyBorder="1" applyAlignment="1">
      <alignment vertical="center"/>
    </xf>
    <xf numFmtId="0" fontId="0" fillId="3" borderId="2" xfId="0" applyFill="1" applyBorder="1" applyAlignment="1">
      <alignment vertical="center"/>
    </xf>
    <xf numFmtId="166" fontId="10" fillId="12" borderId="1" xfId="1" applyNumberFormat="1" applyFont="1" applyFill="1" applyBorder="1" applyAlignment="1">
      <alignment vertical="center"/>
    </xf>
    <xf numFmtId="166" fontId="15" fillId="12" borderId="1" xfId="1" applyNumberFormat="1" applyFont="1" applyFill="1" applyBorder="1" applyAlignment="1">
      <alignment vertical="center"/>
    </xf>
    <xf numFmtId="164" fontId="15" fillId="12" borderId="1" xfId="5" applyNumberFormat="1" applyFont="1" applyFill="1" applyBorder="1" applyAlignment="1">
      <alignment vertical="center"/>
    </xf>
    <xf numFmtId="0" fontId="0" fillId="15" borderId="2" xfId="0" applyFill="1" applyBorder="1" applyAlignment="1">
      <alignment vertical="center"/>
    </xf>
    <xf numFmtId="0" fontId="2" fillId="3" borderId="14" xfId="0" applyFont="1" applyFill="1" applyBorder="1" applyAlignment="1">
      <alignment vertical="center" wrapText="1"/>
    </xf>
    <xf numFmtId="164" fontId="2" fillId="3" borderId="14" xfId="5" applyNumberFormat="1" applyFont="1" applyFill="1" applyBorder="1" applyAlignment="1">
      <alignment vertical="center" wrapText="1"/>
    </xf>
    <xf numFmtId="0" fontId="0" fillId="3" borderId="14" xfId="0" applyFill="1" applyBorder="1"/>
    <xf numFmtId="0" fontId="11" fillId="6" borderId="14" xfId="0" applyFont="1" applyFill="1" applyBorder="1" applyAlignment="1">
      <alignment horizontal="left" vertical="center"/>
    </xf>
    <xf numFmtId="164" fontId="0" fillId="3" borderId="14" xfId="5" applyNumberFormat="1" applyFont="1" applyFill="1" applyBorder="1"/>
    <xf numFmtId="164" fontId="14" fillId="3" borderId="14" xfId="5" applyNumberFormat="1" applyFont="1" applyFill="1" applyBorder="1"/>
    <xf numFmtId="0" fontId="2" fillId="3" borderId="14" xfId="0" applyFont="1" applyFill="1" applyBorder="1"/>
    <xf numFmtId="164" fontId="13" fillId="3" borderId="14" xfId="5" applyNumberFormat="1" applyFont="1" applyFill="1" applyBorder="1"/>
    <xf numFmtId="164" fontId="2" fillId="3" borderId="19" xfId="5" applyNumberFormat="1" applyFont="1" applyFill="1" applyBorder="1"/>
    <xf numFmtId="164" fontId="13" fillId="3" borderId="19" xfId="5" applyNumberFormat="1" applyFont="1" applyFill="1" applyBorder="1"/>
    <xf numFmtId="164" fontId="0" fillId="3" borderId="18" xfId="5" applyNumberFormat="1" applyFont="1" applyFill="1" applyBorder="1"/>
    <xf numFmtId="164" fontId="14" fillId="3" borderId="18" xfId="5" applyNumberFormat="1" applyFont="1" applyFill="1" applyBorder="1"/>
    <xf numFmtId="0" fontId="11" fillId="5" borderId="14" xfId="0" applyFont="1" applyFill="1" applyBorder="1"/>
    <xf numFmtId="0" fontId="0" fillId="4" borderId="14" xfId="0" applyFill="1" applyBorder="1"/>
    <xf numFmtId="0" fontId="8" fillId="4" borderId="14" xfId="0" applyFont="1" applyFill="1" applyBorder="1"/>
    <xf numFmtId="0" fontId="0" fillId="4" borderId="19" xfId="0" applyFill="1" applyBorder="1"/>
    <xf numFmtId="0" fontId="8" fillId="4" borderId="19" xfId="0" applyFont="1" applyFill="1" applyBorder="1"/>
    <xf numFmtId="0" fontId="0" fillId="4" borderId="20" xfId="0" applyFill="1" applyBorder="1"/>
    <xf numFmtId="0" fontId="8" fillId="4" borderId="20" xfId="0" applyFont="1" applyFill="1" applyBorder="1"/>
    <xf numFmtId="0" fontId="0" fillId="4" borderId="21" xfId="0" applyFill="1" applyBorder="1"/>
    <xf numFmtId="0" fontId="8" fillId="4" borderId="21" xfId="0" applyFont="1" applyFill="1" applyBorder="1"/>
    <xf numFmtId="164" fontId="0" fillId="3" borderId="14" xfId="0" applyNumberFormat="1" applyFill="1" applyBorder="1"/>
    <xf numFmtId="164" fontId="0" fillId="3" borderId="19" xfId="0" applyNumberFormat="1" applyFill="1" applyBorder="1"/>
    <xf numFmtId="164" fontId="0" fillId="3" borderId="20" xfId="0" applyNumberFormat="1" applyFill="1" applyBorder="1"/>
    <xf numFmtId="164" fontId="0" fillId="3" borderId="21" xfId="0" applyNumberFormat="1" applyFill="1" applyBorder="1"/>
    <xf numFmtId="0" fontId="13" fillId="3" borderId="14" xfId="0" applyFont="1" applyFill="1" applyBorder="1"/>
    <xf numFmtId="0" fontId="13" fillId="4" borderId="14" xfId="0" applyFont="1" applyFill="1" applyBorder="1"/>
    <xf numFmtId="164" fontId="13" fillId="3" borderId="19" xfId="0" applyNumberFormat="1" applyFont="1" applyFill="1" applyBorder="1"/>
    <xf numFmtId="164" fontId="0" fillId="3" borderId="18" xfId="0" applyNumberFormat="1" applyFill="1" applyBorder="1"/>
    <xf numFmtId="0" fontId="4" fillId="14" borderId="1" xfId="1" applyNumberFormat="1" applyFont="1" applyFill="1" applyBorder="1" applyAlignment="1">
      <alignment vertical="center" wrapText="1"/>
    </xf>
    <xf numFmtId="164" fontId="10" fillId="12" borderId="1" xfId="5" applyNumberFormat="1" applyFont="1" applyFill="1" applyBorder="1" applyAlignment="1">
      <alignment vertical="center"/>
    </xf>
    <xf numFmtId="0" fontId="4" fillId="14" borderId="1" xfId="5" applyNumberFormat="1" applyFont="1" applyFill="1" applyBorder="1" applyAlignment="1">
      <alignment vertical="center" wrapText="1"/>
    </xf>
    <xf numFmtId="0" fontId="25" fillId="10" borderId="0" xfId="0" applyFont="1" applyFill="1"/>
    <xf numFmtId="0" fontId="0" fillId="10" borderId="0" xfId="0" applyFill="1" applyAlignment="1">
      <alignment vertical="top"/>
    </xf>
    <xf numFmtId="0" fontId="15" fillId="10" borderId="0" xfId="0" applyFont="1" applyFill="1" applyAlignment="1">
      <alignment vertical="top"/>
    </xf>
    <xf numFmtId="164" fontId="0" fillId="10" borderId="0" xfId="5" applyNumberFormat="1" applyFont="1" applyFill="1"/>
    <xf numFmtId="0" fontId="12" fillId="10" borderId="0" xfId="0" applyFont="1" applyFill="1"/>
    <xf numFmtId="0" fontId="16" fillId="10" borderId="0" xfId="0" applyFont="1" applyFill="1"/>
    <xf numFmtId="0" fontId="11" fillId="5" borderId="14" xfId="0" applyFont="1" applyFill="1" applyBorder="1" applyAlignment="1">
      <alignment vertical="center" wrapText="1"/>
    </xf>
    <xf numFmtId="0" fontId="14" fillId="3" borderId="14" xfId="0" applyFont="1" applyFill="1" applyBorder="1"/>
    <xf numFmtId="0" fontId="14" fillId="11" borderId="14" xfId="0" applyFont="1" applyFill="1" applyBorder="1"/>
    <xf numFmtId="165" fontId="14" fillId="11" borderId="14" xfId="2" applyNumberFormat="1" applyFont="1" applyFill="1" applyBorder="1"/>
    <xf numFmtId="0" fontId="14" fillId="3" borderId="14" xfId="0" applyFont="1" applyFill="1" applyBorder="1" applyAlignment="1">
      <alignment vertical="center"/>
    </xf>
    <xf numFmtId="10" fontId="14" fillId="3" borderId="14" xfId="2" applyNumberFormat="1" applyFont="1" applyFill="1" applyBorder="1" applyAlignment="1">
      <alignment vertical="center"/>
    </xf>
    <xf numFmtId="0" fontId="0" fillId="7" borderId="0" xfId="0" applyFill="1" applyAlignment="1">
      <alignment horizontal="center" vertical="center"/>
    </xf>
    <xf numFmtId="0" fontId="27" fillId="16" borderId="14" xfId="0" applyFont="1" applyFill="1" applyBorder="1" applyAlignment="1">
      <alignment horizontal="left" vertical="center" wrapText="1"/>
    </xf>
    <xf numFmtId="0" fontId="11" fillId="5" borderId="10" xfId="0" applyFont="1" applyFill="1" applyBorder="1" applyAlignment="1">
      <alignment vertical="center"/>
    </xf>
    <xf numFmtId="0" fontId="11" fillId="5" borderId="3" xfId="0" applyFont="1" applyFill="1" applyBorder="1" applyAlignment="1">
      <alignment vertical="center"/>
    </xf>
    <xf numFmtId="43" fontId="14" fillId="3" borderId="14" xfId="1" applyFont="1" applyFill="1" applyBorder="1"/>
    <xf numFmtId="43" fontId="14" fillId="3" borderId="16" xfId="1" applyFont="1" applyFill="1" applyBorder="1"/>
    <xf numFmtId="10" fontId="14" fillId="11" borderId="22" xfId="2" applyNumberFormat="1" applyFont="1" applyFill="1" applyBorder="1"/>
    <xf numFmtId="164" fontId="14" fillId="3" borderId="16" xfId="5" applyNumberFormat="1" applyFont="1" applyFill="1" applyBorder="1"/>
    <xf numFmtId="164" fontId="14" fillId="3" borderId="22" xfId="5" applyNumberFormat="1" applyFont="1" applyFill="1" applyBorder="1"/>
    <xf numFmtId="44" fontId="0" fillId="11" borderId="20" xfId="0" applyNumberFormat="1" applyFill="1" applyBorder="1"/>
    <xf numFmtId="44" fontId="0" fillId="11" borderId="19" xfId="0" applyNumberFormat="1" applyFill="1" applyBorder="1"/>
    <xf numFmtId="44" fontId="0" fillId="11" borderId="14" xfId="0" applyNumberFormat="1" applyFill="1" applyBorder="1"/>
    <xf numFmtId="44" fontId="0" fillId="11" borderId="21" xfId="0" applyNumberFormat="1" applyFill="1" applyBorder="1"/>
    <xf numFmtId="165" fontId="0" fillId="11" borderId="14" xfId="2" applyNumberFormat="1" applyFont="1" applyFill="1" applyBorder="1"/>
    <xf numFmtId="0" fontId="2" fillId="7" borderId="0" xfId="0" applyFont="1" applyFill="1"/>
    <xf numFmtId="0" fontId="22" fillId="10" borderId="0" xfId="0" applyFont="1" applyFill="1"/>
    <xf numFmtId="166" fontId="0" fillId="10" borderId="0" xfId="1" applyNumberFormat="1" applyFont="1" applyFill="1"/>
    <xf numFmtId="0" fontId="25" fillId="2" borderId="14" xfId="0" applyFont="1" applyFill="1" applyBorder="1" applyProtection="1">
      <protection locked="0"/>
    </xf>
    <xf numFmtId="0" fontId="25" fillId="11" borderId="14" xfId="0" applyFont="1" applyFill="1" applyBorder="1"/>
    <xf numFmtId="0" fontId="25" fillId="3" borderId="14" xfId="0" applyFont="1" applyFill="1" applyBorder="1"/>
    <xf numFmtId="0" fontId="0" fillId="2" borderId="14" xfId="0" applyFill="1" applyBorder="1" applyAlignment="1" applyProtection="1">
      <alignment vertical="center" wrapText="1"/>
      <protection locked="0"/>
    </xf>
    <xf numFmtId="164" fontId="0" fillId="2" borderId="14" xfId="5" applyNumberFormat="1" applyFont="1" applyFill="1" applyBorder="1" applyAlignment="1" applyProtection="1">
      <alignment vertical="center" wrapText="1"/>
      <protection locked="0"/>
    </xf>
    <xf numFmtId="0" fontId="0" fillId="2" borderId="14" xfId="0" applyFill="1" applyBorder="1" applyProtection="1">
      <protection locked="0"/>
    </xf>
    <xf numFmtId="164" fontId="0" fillId="2" borderId="14" xfId="5" applyNumberFormat="1" applyFont="1" applyFill="1" applyBorder="1" applyProtection="1">
      <protection locked="0"/>
    </xf>
    <xf numFmtId="166" fontId="0" fillId="2" borderId="14" xfId="1" applyNumberFormat="1" applyFont="1" applyFill="1" applyBorder="1" applyProtection="1">
      <protection locked="0"/>
    </xf>
    <xf numFmtId="166" fontId="0" fillId="2" borderId="20" xfId="1" applyNumberFormat="1" applyFont="1" applyFill="1" applyBorder="1" applyProtection="1">
      <protection locked="0"/>
    </xf>
    <xf numFmtId="166" fontId="0" fillId="2" borderId="19" xfId="1" applyNumberFormat="1" applyFont="1" applyFill="1" applyBorder="1" applyProtection="1">
      <protection locked="0"/>
    </xf>
    <xf numFmtId="0" fontId="8" fillId="2" borderId="14" xfId="0" applyFont="1" applyFill="1" applyBorder="1" applyProtection="1">
      <protection locked="0"/>
    </xf>
    <xf numFmtId="0" fontId="8" fillId="2" borderId="19" xfId="0" applyFont="1" applyFill="1" applyBorder="1" applyProtection="1">
      <protection locked="0"/>
    </xf>
    <xf numFmtId="0" fontId="14" fillId="2" borderId="14" xfId="0" applyFont="1" applyFill="1" applyBorder="1" applyProtection="1">
      <protection locked="0"/>
    </xf>
    <xf numFmtId="0" fontId="9" fillId="10" borderId="0" xfId="0" applyFont="1" applyFill="1" applyAlignment="1">
      <alignment horizontal="left" vertical="top"/>
    </xf>
    <xf numFmtId="165" fontId="14" fillId="2" borderId="14" xfId="2" applyNumberFormat="1" applyFont="1" applyFill="1" applyBorder="1" applyProtection="1">
      <protection locked="0"/>
    </xf>
    <xf numFmtId="164" fontId="14" fillId="4" borderId="14" xfId="5" applyNumberFormat="1" applyFont="1" applyFill="1" applyBorder="1"/>
    <xf numFmtId="164" fontId="14" fillId="4" borderId="19" xfId="5" applyNumberFormat="1" applyFont="1" applyFill="1" applyBorder="1"/>
    <xf numFmtId="43" fontId="14" fillId="4" borderId="14" xfId="1" applyFont="1" applyFill="1" applyBorder="1"/>
    <xf numFmtId="164" fontId="14" fillId="11" borderId="16" xfId="5" applyNumberFormat="1" applyFont="1" applyFill="1" applyBorder="1"/>
    <xf numFmtId="164" fontId="14" fillId="11" borderId="14" xfId="5" applyNumberFormat="1" applyFont="1" applyFill="1" applyBorder="1"/>
    <xf numFmtId="164" fontId="14" fillId="2" borderId="14" xfId="5" applyNumberFormat="1" applyFont="1" applyFill="1" applyBorder="1" applyProtection="1">
      <protection locked="0"/>
    </xf>
    <xf numFmtId="8" fontId="0" fillId="10" borderId="0" xfId="0" applyNumberFormat="1" applyFill="1"/>
    <xf numFmtId="0" fontId="0" fillId="10" borderId="0" xfId="0" applyFill="1" applyAlignment="1">
      <alignment horizontal="left" vertical="center" indent="5"/>
    </xf>
    <xf numFmtId="0" fontId="7" fillId="10" borderId="0" xfId="0" applyFont="1" applyFill="1" applyAlignment="1">
      <alignment vertical="center"/>
    </xf>
    <xf numFmtId="0" fontId="14" fillId="11" borderId="14" xfId="5" applyNumberFormat="1" applyFont="1" applyFill="1" applyBorder="1"/>
    <xf numFmtId="0" fontId="0" fillId="2" borderId="15" xfId="0" applyFill="1" applyBorder="1" applyProtection="1">
      <protection locked="0"/>
    </xf>
    <xf numFmtId="167" fontId="0" fillId="11" borderId="20" xfId="0" applyNumberFormat="1" applyFill="1" applyBorder="1"/>
    <xf numFmtId="167" fontId="0" fillId="11" borderId="19" xfId="0" applyNumberFormat="1" applyFill="1" applyBorder="1"/>
    <xf numFmtId="167" fontId="0" fillId="11" borderId="14" xfId="0" applyNumberFormat="1" applyFill="1" applyBorder="1"/>
    <xf numFmtId="44" fontId="0" fillId="11" borderId="21" xfId="5" applyFont="1" applyFill="1" applyBorder="1"/>
    <xf numFmtId="44" fontId="0" fillId="11" borderId="19" xfId="5" applyFont="1" applyFill="1" applyBorder="1"/>
    <xf numFmtId="0" fontId="11" fillId="5" borderId="3" xfId="0" applyFont="1" applyFill="1" applyBorder="1"/>
    <xf numFmtId="0" fontId="11" fillId="5" borderId="4" xfId="0" applyFont="1" applyFill="1" applyBorder="1"/>
    <xf numFmtId="43" fontId="0" fillId="11" borderId="21" xfId="1" applyFont="1" applyFill="1" applyBorder="1"/>
    <xf numFmtId="0" fontId="22" fillId="10" borderId="0" xfId="0" applyFont="1" applyFill="1" applyAlignment="1" applyProtection="1">
      <alignment horizontal="left" vertical="center" wrapText="1"/>
      <protection hidden="1"/>
    </xf>
    <xf numFmtId="0" fontId="27" fillId="16" borderId="14" xfId="0" applyFont="1" applyFill="1" applyBorder="1" applyAlignment="1">
      <alignment horizontal="center" vertical="center" wrapText="1"/>
    </xf>
    <xf numFmtId="166" fontId="0" fillId="3" borderId="14" xfId="1" applyNumberFormat="1" applyFont="1" applyFill="1" applyBorder="1" applyProtection="1"/>
    <xf numFmtId="164" fontId="14" fillId="3" borderId="19" xfId="5" applyNumberFormat="1" applyFont="1" applyFill="1" applyBorder="1"/>
    <xf numFmtId="164" fontId="14" fillId="11" borderId="27" xfId="5" applyNumberFormat="1" applyFont="1" applyFill="1" applyBorder="1"/>
    <xf numFmtId="0" fontId="14" fillId="2" borderId="14" xfId="0" applyFont="1" applyFill="1" applyBorder="1" applyAlignment="1" applyProtection="1">
      <alignment wrapText="1"/>
      <protection locked="0"/>
    </xf>
    <xf numFmtId="164" fontId="0" fillId="10" borderId="0" xfId="0" applyNumberFormat="1" applyFill="1"/>
    <xf numFmtId="9" fontId="30" fillId="7" borderId="14" xfId="2" applyFont="1" applyFill="1" applyBorder="1" applyAlignment="1" applyProtection="1">
      <alignment horizontal="center" wrapText="1"/>
    </xf>
    <xf numFmtId="43" fontId="14" fillId="3" borderId="0" xfId="1" applyFont="1" applyFill="1" applyBorder="1"/>
    <xf numFmtId="43" fontId="0" fillId="10" borderId="0" xfId="1" applyFont="1" applyFill="1"/>
    <xf numFmtId="0" fontId="31" fillId="17" borderId="2" xfId="0" applyFont="1" applyFill="1" applyBorder="1" applyAlignment="1">
      <alignment vertical="center"/>
    </xf>
    <xf numFmtId="0" fontId="0" fillId="7" borderId="2" xfId="0" applyFill="1" applyBorder="1" applyAlignment="1">
      <alignment vertical="center"/>
    </xf>
    <xf numFmtId="0" fontId="11" fillId="5" borderId="15" xfId="0" applyFont="1" applyFill="1" applyBorder="1"/>
    <xf numFmtId="44" fontId="0" fillId="2" borderId="15" xfId="5" applyFont="1" applyFill="1" applyBorder="1" applyAlignment="1" applyProtection="1">
      <protection locked="0"/>
    </xf>
    <xf numFmtId="0" fontId="2" fillId="10" borderId="0" xfId="0" applyFont="1" applyFill="1" applyAlignment="1" applyProtection="1">
      <alignment horizontal="left" vertical="center"/>
      <protection hidden="1"/>
    </xf>
    <xf numFmtId="0" fontId="10" fillId="7" borderId="4" xfId="0" applyFont="1" applyFill="1" applyBorder="1" applyAlignment="1">
      <alignment vertical="top" wrapText="1"/>
    </xf>
    <xf numFmtId="166" fontId="0" fillId="3" borderId="14" xfId="1" applyNumberFormat="1" applyFont="1" applyFill="1" applyBorder="1"/>
    <xf numFmtId="0" fontId="11" fillId="5" borderId="11" xfId="0" applyFont="1" applyFill="1" applyBorder="1" applyAlignment="1">
      <alignment horizontal="right"/>
    </xf>
    <xf numFmtId="0" fontId="14" fillId="11" borderId="14" xfId="1" applyNumberFormat="1" applyFont="1" applyFill="1" applyBorder="1"/>
    <xf numFmtId="0" fontId="0" fillId="3" borderId="14" xfId="0" applyFill="1" applyBorder="1" applyAlignment="1">
      <alignment vertical="center" wrapText="1"/>
    </xf>
    <xf numFmtId="2" fontId="14" fillId="3" borderId="14" xfId="0" applyNumberFormat="1" applyFont="1" applyFill="1" applyBorder="1" applyAlignment="1">
      <alignment vertical="center"/>
    </xf>
    <xf numFmtId="0" fontId="10" fillId="7" borderId="8" xfId="0" applyFont="1" applyFill="1" applyBorder="1" applyAlignment="1">
      <alignment vertical="top" wrapText="1"/>
    </xf>
    <xf numFmtId="0" fontId="24" fillId="7" borderId="0" xfId="0" applyFont="1" applyFill="1" applyAlignment="1">
      <alignment vertical="top"/>
    </xf>
    <xf numFmtId="0" fontId="19" fillId="7" borderId="0" xfId="0" applyFont="1" applyFill="1" applyAlignment="1">
      <alignment vertical="top"/>
    </xf>
    <xf numFmtId="0" fontId="19" fillId="7" borderId="0" xfId="0" applyFont="1" applyFill="1" applyAlignment="1">
      <alignment vertical="top" wrapText="1"/>
    </xf>
    <xf numFmtId="0" fontId="10" fillId="10" borderId="0" xfId="0" applyFont="1" applyFill="1" applyAlignment="1">
      <alignment vertical="top" wrapText="1"/>
    </xf>
    <xf numFmtId="0" fontId="23" fillId="7" borderId="0" xfId="0" applyFont="1" applyFill="1" applyAlignment="1">
      <alignment vertical="top" wrapText="1"/>
    </xf>
    <xf numFmtId="0" fontId="13" fillId="7" borderId="0" xfId="0" applyFont="1" applyFill="1" applyAlignment="1">
      <alignment vertical="top"/>
    </xf>
    <xf numFmtId="9" fontId="0" fillId="11" borderId="14" xfId="2" applyFont="1" applyFill="1" applyBorder="1" applyProtection="1"/>
    <xf numFmtId="0" fontId="0" fillId="10" borderId="0" xfId="0" applyFill="1" applyAlignment="1">
      <alignment vertical="center"/>
    </xf>
    <xf numFmtId="164" fontId="13" fillId="3" borderId="28" xfId="0" applyNumberFormat="1" applyFont="1" applyFill="1" applyBorder="1"/>
    <xf numFmtId="0" fontId="2" fillId="7" borderId="3" xfId="0" applyFont="1" applyFill="1" applyBorder="1" applyAlignment="1" applyProtection="1">
      <alignment vertical="top"/>
      <protection locked="0"/>
    </xf>
    <xf numFmtId="0" fontId="2" fillId="7" borderId="4" xfId="0" applyFont="1" applyFill="1" applyBorder="1" applyAlignment="1" applyProtection="1">
      <alignment vertical="top" wrapText="1"/>
      <protection locked="0"/>
    </xf>
    <xf numFmtId="0" fontId="2" fillId="7" borderId="8" xfId="0" applyFont="1" applyFill="1" applyBorder="1" applyAlignment="1" applyProtection="1">
      <alignment vertical="top" wrapText="1"/>
      <protection locked="0"/>
    </xf>
    <xf numFmtId="0" fontId="2" fillId="10" borderId="0" xfId="0" applyFont="1" applyFill="1" applyAlignment="1">
      <alignment vertical="center"/>
    </xf>
    <xf numFmtId="0" fontId="11" fillId="6" borderId="19" xfId="0" applyFont="1" applyFill="1" applyBorder="1" applyAlignment="1">
      <alignment horizontal="left" vertical="center" wrapText="1"/>
    </xf>
    <xf numFmtId="0" fontId="0" fillId="7" borderId="0" xfId="0" applyFill="1" applyAlignment="1">
      <alignment vertical="center"/>
    </xf>
    <xf numFmtId="0" fontId="25" fillId="7" borderId="0" xfId="0" applyFont="1" applyFill="1"/>
    <xf numFmtId="0" fontId="14" fillId="7" borderId="0" xfId="0" applyFont="1" applyFill="1" applyAlignment="1">
      <alignment vertical="top"/>
    </xf>
    <xf numFmtId="0" fontId="14" fillId="7" borderId="0" xfId="0" applyFont="1" applyFill="1" applyAlignment="1">
      <alignment horizontal="left" vertical="top"/>
    </xf>
    <xf numFmtId="0" fontId="0" fillId="10" borderId="0" xfId="0" applyFill="1" applyAlignment="1">
      <alignment horizontal="right"/>
    </xf>
    <xf numFmtId="0" fontId="0" fillId="7" borderId="0" xfId="0" applyFill="1" applyAlignment="1">
      <alignment horizontal="left" vertical="center"/>
    </xf>
    <xf numFmtId="0" fontId="35" fillId="4" borderId="14" xfId="0" applyFont="1" applyFill="1" applyBorder="1"/>
    <xf numFmtId="44" fontId="0" fillId="11" borderId="14" xfId="5" applyFont="1" applyFill="1" applyBorder="1" applyProtection="1"/>
    <xf numFmtId="166" fontId="0" fillId="11" borderId="14" xfId="1" applyNumberFormat="1" applyFont="1" applyFill="1" applyBorder="1" applyProtection="1"/>
    <xf numFmtId="0" fontId="33" fillId="7" borderId="0" xfId="0" applyFont="1" applyFill="1" applyAlignment="1">
      <alignment horizontal="left" vertical="center"/>
    </xf>
    <xf numFmtId="0" fontId="23" fillId="7" borderId="0" xfId="0" applyFont="1" applyFill="1" applyAlignment="1">
      <alignment horizontal="left" vertical="center"/>
    </xf>
    <xf numFmtId="0" fontId="14" fillId="7" borderId="0" xfId="0" applyFont="1" applyFill="1" applyAlignment="1">
      <alignment horizontal="left" vertical="center"/>
    </xf>
    <xf numFmtId="0" fontId="24" fillId="7" borderId="0" xfId="0" quotePrefix="1" applyFont="1" applyFill="1" applyAlignment="1">
      <alignment horizontal="left" vertical="center"/>
    </xf>
    <xf numFmtId="0" fontId="24" fillId="7" borderId="0" xfId="0" applyFont="1" applyFill="1" applyAlignment="1">
      <alignment horizontal="left" vertical="center"/>
    </xf>
    <xf numFmtId="0" fontId="19" fillId="7" borderId="0" xfId="0" applyFont="1" applyFill="1" applyAlignment="1">
      <alignment horizontal="left" vertical="center"/>
    </xf>
    <xf numFmtId="44" fontId="0" fillId="2" borderId="19" xfId="5" applyFont="1" applyFill="1" applyBorder="1" applyProtection="1">
      <protection locked="0"/>
    </xf>
    <xf numFmtId="44" fontId="0" fillId="2" borderId="14" xfId="5" applyFont="1" applyFill="1" applyBorder="1" applyProtection="1">
      <protection locked="0"/>
    </xf>
    <xf numFmtId="0" fontId="0" fillId="2" borderId="2" xfId="0" applyFill="1" applyBorder="1" applyProtection="1">
      <protection locked="0"/>
    </xf>
    <xf numFmtId="0" fontId="14" fillId="18" borderId="2" xfId="0" applyFont="1" applyFill="1" applyBorder="1" applyAlignment="1">
      <alignment vertical="center"/>
    </xf>
    <xf numFmtId="0" fontId="14" fillId="19" borderId="2" xfId="0" applyFont="1" applyFill="1" applyBorder="1" applyAlignment="1">
      <alignment vertical="center"/>
    </xf>
    <xf numFmtId="0" fontId="14" fillId="7" borderId="2" xfId="0" applyFont="1" applyFill="1" applyBorder="1" applyAlignment="1">
      <alignment vertical="center"/>
    </xf>
    <xf numFmtId="0" fontId="14" fillId="4" borderId="14" xfId="0" applyFont="1" applyFill="1" applyBorder="1"/>
    <xf numFmtId="0" fontId="14" fillId="4" borderId="14" xfId="0" applyFont="1" applyFill="1" applyBorder="1" applyAlignment="1">
      <alignment vertical="center"/>
    </xf>
    <xf numFmtId="0" fontId="13" fillId="4" borderId="14" xfId="0" applyFont="1" applyFill="1" applyBorder="1" applyAlignment="1">
      <alignment vertical="center"/>
    </xf>
    <xf numFmtId="0" fontId="26" fillId="4" borderId="14" xfId="0" applyFont="1" applyFill="1" applyBorder="1"/>
    <xf numFmtId="0" fontId="25" fillId="4" borderId="14" xfId="0" applyFont="1" applyFill="1" applyBorder="1"/>
    <xf numFmtId="0" fontId="28" fillId="13" borderId="14" xfId="0" applyFont="1" applyFill="1" applyBorder="1" applyProtection="1">
      <protection hidden="1"/>
    </xf>
    <xf numFmtId="0" fontId="2" fillId="7" borderId="3" xfId="0" applyFont="1" applyFill="1" applyBorder="1" applyAlignment="1">
      <alignment vertical="top"/>
    </xf>
    <xf numFmtId="0" fontId="0" fillId="0" borderId="13" xfId="0" applyBorder="1" applyAlignment="1">
      <alignment vertical="top" wrapText="1"/>
    </xf>
    <xf numFmtId="0" fontId="0" fillId="0" borderId="9" xfId="0" applyBorder="1" applyAlignment="1">
      <alignment vertical="top" wrapText="1"/>
    </xf>
    <xf numFmtId="0" fontId="0" fillId="0" borderId="13" xfId="0" quotePrefix="1" applyBorder="1" applyAlignment="1">
      <alignment vertical="top" wrapText="1"/>
    </xf>
    <xf numFmtId="0" fontId="5" fillId="5" borderId="10" xfId="0" applyFont="1" applyFill="1" applyBorder="1" applyAlignment="1">
      <alignment vertical="top"/>
    </xf>
    <xf numFmtId="0" fontId="5" fillId="5" borderId="11" xfId="0" applyFont="1" applyFill="1" applyBorder="1" applyAlignment="1">
      <alignment vertical="top"/>
    </xf>
    <xf numFmtId="0" fontId="5" fillId="5" borderId="12" xfId="0" applyFont="1" applyFill="1" applyBorder="1" applyAlignment="1">
      <alignment vertical="top"/>
    </xf>
    <xf numFmtId="0" fontId="0" fillId="0" borderId="5" xfId="0" applyBorder="1" applyAlignment="1">
      <alignment vertical="top"/>
    </xf>
    <xf numFmtId="14" fontId="0" fillId="0" borderId="0" xfId="0" applyNumberFormat="1" applyAlignment="1">
      <alignment vertical="top"/>
    </xf>
    <xf numFmtId="0" fontId="0" fillId="0" borderId="0" xfId="0" applyAlignment="1">
      <alignment vertical="top"/>
    </xf>
    <xf numFmtId="0" fontId="0" fillId="0" borderId="6" xfId="0" applyBorder="1" applyAlignment="1">
      <alignment vertical="top"/>
    </xf>
    <xf numFmtId="14" fontId="0" fillId="0" borderId="7" xfId="0" applyNumberFormat="1" applyBorder="1" applyAlignment="1">
      <alignment vertical="top"/>
    </xf>
    <xf numFmtId="0" fontId="0" fillId="0" borderId="7" xfId="0" applyBorder="1" applyAlignment="1">
      <alignment vertical="top"/>
    </xf>
    <xf numFmtId="0" fontId="36" fillId="18" borderId="2" xfId="6" applyFill="1" applyBorder="1" applyAlignment="1">
      <alignment vertical="center"/>
    </xf>
    <xf numFmtId="0" fontId="36" fillId="17" borderId="2" xfId="6" applyFill="1" applyBorder="1" applyAlignment="1">
      <alignment vertical="center"/>
    </xf>
    <xf numFmtId="0" fontId="36" fillId="19" borderId="2" xfId="6" applyFill="1" applyBorder="1" applyAlignment="1">
      <alignment vertical="center"/>
    </xf>
    <xf numFmtId="0" fontId="36" fillId="7" borderId="2" xfId="6" applyFill="1" applyBorder="1" applyAlignment="1">
      <alignment vertical="center"/>
    </xf>
    <xf numFmtId="49" fontId="0" fillId="4" borderId="14" xfId="1" applyNumberFormat="1" applyFont="1" applyFill="1" applyBorder="1" applyProtection="1"/>
    <xf numFmtId="49" fontId="0" fillId="4" borderId="14" xfId="2" applyNumberFormat="1" applyFont="1" applyFill="1" applyBorder="1" applyProtection="1"/>
    <xf numFmtId="49" fontId="8" fillId="4" borderId="14" xfId="1" applyNumberFormat="1" applyFont="1" applyFill="1" applyBorder="1" applyProtection="1"/>
    <xf numFmtId="49" fontId="8" fillId="4" borderId="14" xfId="2" applyNumberFormat="1" applyFont="1" applyFill="1" applyBorder="1" applyProtection="1"/>
    <xf numFmtId="0" fontId="8" fillId="4" borderId="21" xfId="0" quotePrefix="1" applyFont="1" applyFill="1" applyBorder="1"/>
    <xf numFmtId="2" fontId="0" fillId="11" borderId="21" xfId="0" applyNumberFormat="1" applyFill="1" applyBorder="1"/>
    <xf numFmtId="0" fontId="2" fillId="0" borderId="0" xfId="0" applyFont="1"/>
    <xf numFmtId="0" fontId="0" fillId="0" borderId="0" xfId="0" quotePrefix="1"/>
    <xf numFmtId="0" fontId="36" fillId="0" borderId="0" xfId="6"/>
    <xf numFmtId="0" fontId="16" fillId="0" borderId="0" xfId="0" applyFont="1"/>
    <xf numFmtId="10" fontId="13" fillId="3" borderId="14" xfId="2" applyNumberFormat="1" applyFont="1" applyFill="1" applyBorder="1" applyAlignment="1">
      <alignment vertical="center"/>
    </xf>
    <xf numFmtId="44" fontId="0" fillId="10" borderId="0" xfId="0" applyNumberFormat="1" applyFill="1"/>
    <xf numFmtId="0" fontId="0" fillId="7" borderId="5" xfId="0" applyFill="1" applyBorder="1" applyAlignment="1" applyProtection="1">
      <alignment horizontal="center" vertical="top" wrapText="1"/>
      <protection locked="0"/>
    </xf>
    <xf numFmtId="0" fontId="0" fillId="7" borderId="0" xfId="0" applyFill="1" applyAlignment="1" applyProtection="1">
      <alignment horizontal="center" vertical="top" wrapText="1"/>
      <protection locked="0"/>
    </xf>
    <xf numFmtId="0" fontId="0" fillId="7" borderId="13" xfId="0" applyFill="1" applyBorder="1" applyAlignment="1" applyProtection="1">
      <alignment horizontal="center" vertical="top" wrapText="1"/>
      <protection locked="0"/>
    </xf>
    <xf numFmtId="0" fontId="0" fillId="7" borderId="6" xfId="0" applyFill="1" applyBorder="1" applyAlignment="1" applyProtection="1">
      <alignment horizontal="center" vertical="top" wrapText="1"/>
      <protection locked="0"/>
    </xf>
    <xf numFmtId="0" fontId="0" fillId="7" borderId="7" xfId="0" applyFill="1" applyBorder="1" applyAlignment="1" applyProtection="1">
      <alignment horizontal="center" vertical="top" wrapText="1"/>
      <protection locked="0"/>
    </xf>
    <xf numFmtId="0" fontId="0" fillId="7" borderId="9" xfId="0" applyFill="1" applyBorder="1" applyAlignment="1" applyProtection="1">
      <alignment horizontal="center" vertical="top" wrapText="1"/>
      <protection locked="0"/>
    </xf>
    <xf numFmtId="0" fontId="0" fillId="7" borderId="0" xfId="0" applyFill="1" applyAlignment="1">
      <alignment horizontal="left" vertical="center" wrapText="1"/>
    </xf>
    <xf numFmtId="0" fontId="0" fillId="2" borderId="15" xfId="0" applyFill="1" applyBorder="1" applyAlignment="1" applyProtection="1">
      <alignment horizontal="left" wrapText="1"/>
      <protection locked="0"/>
    </xf>
    <xf numFmtId="0" fontId="0" fillId="2" borderId="16" xfId="0" applyFill="1" applyBorder="1" applyAlignment="1" applyProtection="1">
      <alignment horizontal="left" wrapText="1"/>
      <protection locked="0"/>
    </xf>
    <xf numFmtId="0" fontId="0" fillId="2" borderId="14" xfId="0" applyFill="1" applyBorder="1" applyAlignment="1" applyProtection="1">
      <alignment horizontal="left" wrapText="1"/>
      <protection locked="0"/>
    </xf>
    <xf numFmtId="0" fontId="11" fillId="6" borderId="15" xfId="0" applyFont="1" applyFill="1" applyBorder="1" applyAlignment="1">
      <alignment horizontal="left" vertical="center"/>
    </xf>
    <xf numFmtId="0" fontId="11" fillId="6" borderId="17" xfId="0" applyFont="1" applyFill="1" applyBorder="1" applyAlignment="1">
      <alignment horizontal="left" vertical="center"/>
    </xf>
    <xf numFmtId="0" fontId="11" fillId="6" borderId="16" xfId="0" applyFont="1" applyFill="1" applyBorder="1" applyAlignment="1">
      <alignment horizontal="left" vertical="center"/>
    </xf>
    <xf numFmtId="0" fontId="11" fillId="6" borderId="28" xfId="0" applyFont="1" applyFill="1" applyBorder="1" applyAlignment="1">
      <alignment horizontal="left" vertical="center"/>
    </xf>
    <xf numFmtId="0" fontId="11" fillId="6" borderId="29" xfId="0" applyFont="1" applyFill="1" applyBorder="1" applyAlignment="1">
      <alignment horizontal="left" vertical="center"/>
    </xf>
    <xf numFmtId="0" fontId="0" fillId="2" borderId="14" xfId="0" applyFill="1" applyBorder="1" applyAlignment="1" applyProtection="1">
      <alignment horizontal="center" wrapText="1"/>
      <protection locked="0"/>
    </xf>
    <xf numFmtId="0" fontId="25" fillId="7" borderId="0" xfId="0" quotePrefix="1" applyFont="1" applyFill="1" applyAlignment="1">
      <alignment horizontal="left" vertical="center" wrapText="1"/>
    </xf>
    <xf numFmtId="0" fontId="0" fillId="2" borderId="15" xfId="0" applyFill="1" applyBorder="1" applyAlignment="1" applyProtection="1">
      <alignment horizontal="left"/>
      <protection locked="0"/>
    </xf>
    <xf numFmtId="0" fontId="0" fillId="2" borderId="17" xfId="0" applyFill="1" applyBorder="1" applyAlignment="1" applyProtection="1">
      <alignment horizontal="left"/>
      <protection locked="0"/>
    </xf>
    <xf numFmtId="0" fontId="0" fillId="2" borderId="16" xfId="0" applyFill="1" applyBorder="1" applyAlignment="1" applyProtection="1">
      <alignment horizontal="left"/>
      <protection locked="0"/>
    </xf>
    <xf numFmtId="0" fontId="11" fillId="6" borderId="25" xfId="0" applyFont="1" applyFill="1" applyBorder="1" applyAlignment="1">
      <alignment horizontal="left" vertical="center" wrapText="1"/>
    </xf>
    <xf numFmtId="0" fontId="11" fillId="6" borderId="0" xfId="0" applyFont="1" applyFill="1" applyAlignment="1">
      <alignment horizontal="left" vertical="center" wrapText="1"/>
    </xf>
    <xf numFmtId="0" fontId="0" fillId="10" borderId="0" xfId="0" applyFill="1" applyAlignment="1" applyProtection="1">
      <alignment horizontal="center" wrapText="1"/>
      <protection locked="0"/>
    </xf>
    <xf numFmtId="0" fontId="0" fillId="7" borderId="5" xfId="0" applyFill="1" applyBorder="1" applyAlignment="1" applyProtection="1">
      <alignment horizontal="left" vertical="top" wrapText="1"/>
      <protection locked="0"/>
    </xf>
    <xf numFmtId="0" fontId="0" fillId="7" borderId="0" xfId="0" applyFill="1" applyAlignment="1" applyProtection="1">
      <alignment horizontal="left" vertical="top" wrapText="1"/>
      <protection locked="0"/>
    </xf>
    <xf numFmtId="0" fontId="0" fillId="7" borderId="13" xfId="0" applyFill="1" applyBorder="1" applyAlignment="1" applyProtection="1">
      <alignment horizontal="left" vertical="top" wrapText="1"/>
      <protection locked="0"/>
    </xf>
    <xf numFmtId="0" fontId="0" fillId="7" borderId="6" xfId="0" applyFill="1" applyBorder="1" applyAlignment="1" applyProtection="1">
      <alignment horizontal="left" vertical="top" wrapText="1"/>
      <protection locked="0"/>
    </xf>
    <xf numFmtId="0" fontId="0" fillId="7" borderId="7" xfId="0" applyFill="1" applyBorder="1" applyAlignment="1" applyProtection="1">
      <alignment horizontal="left" vertical="top" wrapText="1"/>
      <protection locked="0"/>
    </xf>
    <xf numFmtId="0" fontId="0" fillId="7" borderId="9" xfId="0" applyFill="1" applyBorder="1" applyAlignment="1" applyProtection="1">
      <alignment horizontal="left" vertical="top" wrapText="1"/>
      <protection locked="0"/>
    </xf>
    <xf numFmtId="0" fontId="22" fillId="10" borderId="26" xfId="0" applyFont="1" applyFill="1" applyBorder="1" applyAlignment="1" applyProtection="1">
      <alignment horizontal="left" vertical="center" wrapText="1"/>
      <protection hidden="1"/>
    </xf>
    <xf numFmtId="0" fontId="14" fillId="7" borderId="0" xfId="0" applyFont="1" applyFill="1" applyAlignment="1">
      <alignment horizontal="left" vertical="center" wrapText="1"/>
    </xf>
    <xf numFmtId="0" fontId="0" fillId="7" borderId="0" xfId="0" applyFill="1" applyAlignment="1">
      <alignment horizontal="left" vertical="top" wrapText="1"/>
    </xf>
    <xf numFmtId="0" fontId="11" fillId="5" borderId="23" xfId="0" applyFont="1" applyFill="1" applyBorder="1" applyAlignment="1">
      <alignment horizontal="left" vertical="center"/>
    </xf>
    <xf numFmtId="0" fontId="11" fillId="5" borderId="24" xfId="0" applyFont="1" applyFill="1" applyBorder="1" applyAlignment="1">
      <alignment horizontal="left" vertical="center"/>
    </xf>
    <xf numFmtId="0" fontId="16" fillId="0" borderId="1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cellXfs>
  <cellStyles count="7">
    <cellStyle name="Good" xfId="3" xr:uid="{6B1D1C74-DB72-4843-AE74-2875C13B979C}"/>
    <cellStyle name="Hyperlink" xfId="6" builtinId="8"/>
    <cellStyle name="Komma" xfId="1" builtinId="3"/>
    <cellStyle name="Neutral" xfId="4" xr:uid="{528F0BE9-D662-4D38-A0BA-B2488CC1ABD2}"/>
    <cellStyle name="Procent" xfId="2" builtinId="5"/>
    <cellStyle name="Standaard" xfId="0" builtinId="0"/>
    <cellStyle name="Valuta" xfId="5" builtinId="4"/>
  </cellStyles>
  <dxfs count="20">
    <dxf>
      <fill>
        <patternFill>
          <bgColor theme="6" tint="0.79998168889431442"/>
        </patternFill>
      </fill>
    </dxf>
    <dxf>
      <fill>
        <patternFill>
          <bgColor theme="6" tint="0.79998168889431442"/>
        </patternFill>
      </fill>
    </dxf>
    <dxf>
      <font>
        <b/>
        <i val="0"/>
        <color rgb="FFFF0000"/>
      </font>
      <fill>
        <patternFill>
          <bgColor theme="6"/>
        </patternFill>
      </fill>
    </dxf>
    <dxf>
      <font>
        <b/>
        <i val="0"/>
        <color rgb="FFFF0000"/>
      </font>
      <fill>
        <patternFill>
          <bgColor theme="6"/>
        </patternFill>
      </fill>
    </dxf>
    <dxf>
      <font>
        <b/>
        <i val="0"/>
        <color rgb="FFFF0000"/>
      </font>
      <fill>
        <patternFill>
          <bgColor theme="6"/>
        </patternFill>
      </fill>
    </dxf>
    <dxf>
      <fill>
        <patternFill>
          <bgColor theme="6" tint="0.79998168889431442"/>
        </patternFill>
      </fill>
    </dxf>
    <dxf>
      <fill>
        <patternFill>
          <bgColor rgb="FFFFC00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FFC000"/>
        </patternFill>
      </fill>
    </dxf>
    <dxf>
      <fill>
        <patternFill>
          <bgColor rgb="FFFFC000"/>
        </patternFill>
      </fill>
    </dxf>
    <dxf>
      <font>
        <b/>
        <i val="0"/>
        <color rgb="FFFF0000"/>
      </font>
      <fill>
        <patternFill>
          <bgColor theme="6"/>
        </patternFill>
      </fill>
    </dxf>
    <dxf>
      <fill>
        <patternFill>
          <bgColor rgb="FFFFC000"/>
        </patternFill>
      </fill>
    </dxf>
    <dxf>
      <fill>
        <patternFill>
          <bgColor theme="9" tint="0.79998168889431442"/>
        </patternFill>
      </fill>
    </dxf>
    <dxf>
      <fill>
        <patternFill>
          <bgColor rgb="FFFFC000"/>
        </patternFill>
      </fill>
    </dxf>
    <dxf>
      <fill>
        <patternFill>
          <bgColor rgb="FFFFC000"/>
        </patternFill>
      </fill>
    </dxf>
    <dxf>
      <fill>
        <patternFill>
          <bgColor theme="9" tint="0.79998168889431442"/>
        </patternFill>
      </fill>
    </dxf>
  </dxfs>
  <tableStyles count="0" defaultTableStyle="TableStyleMedium2" defaultPivotStyle="PivotStyleLight16"/>
  <colors>
    <mruColors>
      <color rgb="FF5B9BD5"/>
      <color rgb="FF2F75B5"/>
      <color rgb="FF6699FF"/>
      <color rgb="FF0066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xdr:col>
      <xdr:colOff>28568</xdr:colOff>
      <xdr:row>7</xdr:row>
      <xdr:rowOff>107955</xdr:rowOff>
    </xdr:from>
    <xdr:ext cx="4018847" cy="510268"/>
    <mc:AlternateContent xmlns:mc="http://schemas.openxmlformats.org/markup-compatibility/2006" xmlns:a14="http://schemas.microsoft.com/office/drawing/2010/main">
      <mc:Choice Requires="a14">
        <xdr:sp macro="" textlink="">
          <xdr:nvSpPr>
            <xdr:cNvPr id="2" name="TextBox 2">
              <a:extLst>
                <a:ext uri="{FF2B5EF4-FFF2-40B4-BE49-F238E27FC236}">
                  <a16:creationId xmlns:a16="http://schemas.microsoft.com/office/drawing/2014/main" id="{E7073992-83A7-4B02-801B-ACEA0C7D9F73}"/>
                </a:ext>
              </a:extLst>
            </xdr:cNvPr>
            <xdr:cNvSpPr txBox="1"/>
          </xdr:nvSpPr>
          <xdr:spPr>
            <a:xfrm>
              <a:off x="295268" y="1851030"/>
              <a:ext cx="4018847" cy="5102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lang="it-IT" sz="1100" i="1">
                      <a:solidFill>
                        <a:schemeClr val="tx1"/>
                      </a:solidFill>
                      <a:effectLst/>
                      <a:latin typeface="Cambria Math" panose="02040503050406030204" pitchFamily="18" charset="0"/>
                      <a:ea typeface="+mn-ea"/>
                      <a:cs typeface="+mn-cs"/>
                    </a:rPr>
                    <m:t>𝑊𝐴𝐶𝐶</m:t>
                  </m:r>
                  <m:r>
                    <a:rPr lang="en-GB" sz="1100" i="1">
                      <a:solidFill>
                        <a:schemeClr val="tx1"/>
                      </a:solidFill>
                      <a:effectLst/>
                      <a:latin typeface="Cambria Math" panose="02040503050406030204" pitchFamily="18" charset="0"/>
                      <a:ea typeface="+mn-ea"/>
                      <a:cs typeface="+mn-cs"/>
                    </a:rPr>
                    <m:t>= </m:t>
                  </m:r>
                  <m:f>
                    <m:fPr>
                      <m:ctrlPr>
                        <a:rPr lang="en-US" sz="1100" i="1">
                          <a:solidFill>
                            <a:schemeClr val="tx1"/>
                          </a:solidFill>
                          <a:effectLst/>
                          <a:latin typeface="Cambria Math" panose="02040503050406030204" pitchFamily="18" charset="0"/>
                          <a:ea typeface="+mn-ea"/>
                          <a:cs typeface="+mn-cs"/>
                        </a:rPr>
                      </m:ctrlPr>
                    </m:fPr>
                    <m:num>
                      <m:r>
                        <a:rPr lang="it-IT" sz="1100" i="1">
                          <a:solidFill>
                            <a:schemeClr val="tx1"/>
                          </a:solidFill>
                          <a:effectLst/>
                          <a:latin typeface="Cambria Math" panose="02040503050406030204" pitchFamily="18" charset="0"/>
                          <a:ea typeface="+mn-ea"/>
                          <a:cs typeface="+mn-cs"/>
                        </a:rPr>
                        <m:t>𝐸</m:t>
                      </m:r>
                    </m:num>
                    <m:den>
                      <m:r>
                        <a:rPr lang="it-IT" sz="1100" i="1">
                          <a:solidFill>
                            <a:schemeClr val="tx1"/>
                          </a:solidFill>
                          <a:effectLst/>
                          <a:latin typeface="Cambria Math" panose="02040503050406030204" pitchFamily="18" charset="0"/>
                          <a:ea typeface="+mn-ea"/>
                          <a:cs typeface="+mn-cs"/>
                        </a:rPr>
                        <m:t>𝐷</m:t>
                      </m:r>
                      <m:r>
                        <a:rPr lang="en-GB" sz="1100" i="1">
                          <a:solidFill>
                            <a:schemeClr val="tx1"/>
                          </a:solidFill>
                          <a:effectLst/>
                          <a:latin typeface="Cambria Math" panose="02040503050406030204" pitchFamily="18" charset="0"/>
                          <a:ea typeface="+mn-ea"/>
                          <a:cs typeface="+mn-cs"/>
                        </a:rPr>
                        <m:t>+</m:t>
                      </m:r>
                      <m:r>
                        <a:rPr lang="it-IT" sz="1100" i="1">
                          <a:solidFill>
                            <a:schemeClr val="tx1"/>
                          </a:solidFill>
                          <a:effectLst/>
                          <a:latin typeface="Cambria Math" panose="02040503050406030204" pitchFamily="18" charset="0"/>
                          <a:ea typeface="+mn-ea"/>
                          <a:cs typeface="+mn-cs"/>
                        </a:rPr>
                        <m:t>𝐸</m:t>
                      </m:r>
                    </m:den>
                  </m:f>
                  <m:r>
                    <a:rPr lang="en-GB" sz="1100" i="1">
                      <a:solidFill>
                        <a:schemeClr val="tx1"/>
                      </a:solidFill>
                      <a:effectLst/>
                      <a:latin typeface="Cambria Math" panose="02040503050406030204" pitchFamily="18" charset="0"/>
                      <a:ea typeface="+mn-ea"/>
                      <a:cs typeface="+mn-cs"/>
                    </a:rPr>
                    <m:t>∗</m:t>
                  </m:r>
                  <m:d>
                    <m:dPr>
                      <m:ctrlPr>
                        <a:rPr lang="en-US" sz="1100" i="1">
                          <a:solidFill>
                            <a:schemeClr val="tx1"/>
                          </a:solidFill>
                          <a:effectLst/>
                          <a:latin typeface="Cambria Math" panose="02040503050406030204" pitchFamily="18" charset="0"/>
                          <a:ea typeface="+mn-ea"/>
                          <a:cs typeface="+mn-cs"/>
                        </a:rPr>
                      </m:ctrlPr>
                    </m:dPr>
                    <m:e>
                      <m:sSub>
                        <m:sSubPr>
                          <m:ctrlPr>
                            <a:rPr lang="en-US" sz="1100" i="1">
                              <a:solidFill>
                                <a:schemeClr val="tx1"/>
                              </a:solidFill>
                              <a:effectLst/>
                              <a:latin typeface="Cambria Math" panose="02040503050406030204" pitchFamily="18" charset="0"/>
                              <a:ea typeface="+mn-ea"/>
                              <a:cs typeface="+mn-cs"/>
                            </a:rPr>
                          </m:ctrlPr>
                        </m:sSubPr>
                        <m:e>
                          <m:r>
                            <a:rPr lang="it-IT" sz="1100" i="1">
                              <a:solidFill>
                                <a:schemeClr val="tx1"/>
                              </a:solidFill>
                              <a:effectLst/>
                              <a:latin typeface="Cambria Math" panose="02040503050406030204" pitchFamily="18" charset="0"/>
                              <a:ea typeface="+mn-ea"/>
                              <a:cs typeface="+mn-cs"/>
                            </a:rPr>
                            <m:t>𝑟</m:t>
                          </m:r>
                        </m:e>
                        <m:sub>
                          <m:r>
                            <a:rPr lang="it-IT" sz="1100" i="1">
                              <a:solidFill>
                                <a:schemeClr val="tx1"/>
                              </a:solidFill>
                              <a:effectLst/>
                              <a:latin typeface="Cambria Math" panose="02040503050406030204" pitchFamily="18" charset="0"/>
                              <a:ea typeface="+mn-ea"/>
                              <a:cs typeface="+mn-cs"/>
                            </a:rPr>
                            <m:t>𝑓</m:t>
                          </m:r>
                        </m:sub>
                      </m:sSub>
                      <m:r>
                        <a:rPr lang="en-GB" sz="1100" i="1">
                          <a:solidFill>
                            <a:schemeClr val="tx1"/>
                          </a:solidFill>
                          <a:effectLst/>
                          <a:latin typeface="Cambria Math" panose="02040503050406030204" pitchFamily="18" charset="0"/>
                          <a:ea typeface="+mn-ea"/>
                          <a:cs typeface="+mn-cs"/>
                        </a:rPr>
                        <m:t>+</m:t>
                      </m:r>
                      <m:r>
                        <a:rPr lang="it-IT" sz="1100" i="1">
                          <a:solidFill>
                            <a:schemeClr val="tx1"/>
                          </a:solidFill>
                          <a:effectLst/>
                          <a:latin typeface="Cambria Math" panose="02040503050406030204" pitchFamily="18" charset="0"/>
                          <a:ea typeface="+mn-ea"/>
                          <a:cs typeface="+mn-cs"/>
                        </a:rPr>
                        <m:t>𝛽</m:t>
                      </m:r>
                      <m:r>
                        <a:rPr lang="en-GB" sz="1100" i="1">
                          <a:solidFill>
                            <a:schemeClr val="tx1"/>
                          </a:solidFill>
                          <a:effectLst/>
                          <a:latin typeface="Cambria Math" panose="02040503050406030204" pitchFamily="18" charset="0"/>
                          <a:ea typeface="+mn-ea"/>
                          <a:cs typeface="+mn-cs"/>
                        </a:rPr>
                        <m:t>∗</m:t>
                      </m:r>
                      <m:r>
                        <a:rPr lang="it-IT" sz="1100" i="1">
                          <a:solidFill>
                            <a:schemeClr val="tx1"/>
                          </a:solidFill>
                          <a:effectLst/>
                          <a:latin typeface="Cambria Math" panose="02040503050406030204" pitchFamily="18" charset="0"/>
                          <a:ea typeface="+mn-ea"/>
                          <a:cs typeface="+mn-cs"/>
                        </a:rPr>
                        <m:t>𝐸𝑅𝑃</m:t>
                      </m:r>
                    </m:e>
                  </m:d>
                  <m:r>
                    <a:rPr lang="en-GB" sz="1100" i="1">
                      <a:solidFill>
                        <a:schemeClr val="tx1"/>
                      </a:solidFill>
                      <a:effectLst/>
                      <a:latin typeface="Cambria Math" panose="02040503050406030204" pitchFamily="18" charset="0"/>
                      <a:ea typeface="+mn-ea"/>
                      <a:cs typeface="+mn-cs"/>
                    </a:rPr>
                    <m:t>+</m:t>
                  </m:r>
                  <m:f>
                    <m:fPr>
                      <m:ctrlPr>
                        <a:rPr lang="en-US" sz="1100" i="1">
                          <a:solidFill>
                            <a:schemeClr val="tx1"/>
                          </a:solidFill>
                          <a:effectLst/>
                          <a:latin typeface="Cambria Math" panose="02040503050406030204" pitchFamily="18" charset="0"/>
                          <a:ea typeface="+mn-ea"/>
                          <a:cs typeface="+mn-cs"/>
                        </a:rPr>
                      </m:ctrlPr>
                    </m:fPr>
                    <m:num>
                      <m:r>
                        <a:rPr lang="it-IT" sz="1100" i="1">
                          <a:solidFill>
                            <a:schemeClr val="tx1"/>
                          </a:solidFill>
                          <a:effectLst/>
                          <a:latin typeface="Cambria Math" panose="02040503050406030204" pitchFamily="18" charset="0"/>
                          <a:ea typeface="+mn-ea"/>
                          <a:cs typeface="+mn-cs"/>
                        </a:rPr>
                        <m:t>𝐷</m:t>
                      </m:r>
                    </m:num>
                    <m:den>
                      <m:r>
                        <a:rPr lang="it-IT" sz="1100" i="1">
                          <a:solidFill>
                            <a:schemeClr val="tx1"/>
                          </a:solidFill>
                          <a:effectLst/>
                          <a:latin typeface="Cambria Math" panose="02040503050406030204" pitchFamily="18" charset="0"/>
                          <a:ea typeface="+mn-ea"/>
                          <a:cs typeface="+mn-cs"/>
                        </a:rPr>
                        <m:t>𝐷</m:t>
                      </m:r>
                      <m:r>
                        <a:rPr lang="en-GB" sz="1100" i="1">
                          <a:solidFill>
                            <a:schemeClr val="tx1"/>
                          </a:solidFill>
                          <a:effectLst/>
                          <a:latin typeface="Cambria Math" panose="02040503050406030204" pitchFamily="18" charset="0"/>
                          <a:ea typeface="+mn-ea"/>
                          <a:cs typeface="+mn-cs"/>
                        </a:rPr>
                        <m:t>+</m:t>
                      </m:r>
                      <m:r>
                        <a:rPr lang="it-IT" sz="1100" i="1">
                          <a:solidFill>
                            <a:schemeClr val="tx1"/>
                          </a:solidFill>
                          <a:effectLst/>
                          <a:latin typeface="Cambria Math" panose="02040503050406030204" pitchFamily="18" charset="0"/>
                          <a:ea typeface="+mn-ea"/>
                          <a:cs typeface="+mn-cs"/>
                        </a:rPr>
                        <m:t>𝐸</m:t>
                      </m:r>
                    </m:den>
                  </m:f>
                </m:oMath>
              </a14:m>
              <a:r>
                <a:rPr lang="en-GB" sz="1100">
                  <a:solidFill>
                    <a:schemeClr val="tx1"/>
                  </a:solidFill>
                  <a:effectLst/>
                  <a:latin typeface="+mn-lt"/>
                  <a:ea typeface="+mn-ea"/>
                  <a:cs typeface="+mn-cs"/>
                </a:rPr>
                <a:t>*(</a:t>
              </a:r>
              <a14:m>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r>
                        <a:rPr lang="it-IT" sz="1100" i="1">
                          <a:solidFill>
                            <a:schemeClr val="tx1"/>
                          </a:solidFill>
                          <a:effectLst/>
                          <a:latin typeface="Cambria Math" panose="02040503050406030204" pitchFamily="18" charset="0"/>
                          <a:ea typeface="+mn-ea"/>
                          <a:cs typeface="+mn-cs"/>
                        </a:rPr>
                        <m:t>𝑟</m:t>
                      </m:r>
                    </m:e>
                    <m:sub>
                      <m:r>
                        <a:rPr lang="it-IT" sz="1100" i="1">
                          <a:solidFill>
                            <a:schemeClr val="tx1"/>
                          </a:solidFill>
                          <a:effectLst/>
                          <a:latin typeface="Cambria Math" panose="02040503050406030204" pitchFamily="18" charset="0"/>
                          <a:ea typeface="+mn-ea"/>
                          <a:cs typeface="+mn-cs"/>
                        </a:rPr>
                        <m:t>𝑓</m:t>
                      </m:r>
                    </m:sub>
                  </m:sSub>
                  <m:r>
                    <a:rPr lang="en-GB" sz="1100" i="1">
                      <a:solidFill>
                        <a:schemeClr val="tx1"/>
                      </a:solidFill>
                      <a:effectLst/>
                      <a:latin typeface="Cambria Math" panose="02040503050406030204" pitchFamily="18" charset="0"/>
                      <a:ea typeface="+mn-ea"/>
                      <a:cs typeface="+mn-cs"/>
                    </a:rPr>
                    <m:t>+</m:t>
                  </m:r>
                  <m:r>
                    <a:rPr lang="it-IT" sz="1100" i="1">
                      <a:solidFill>
                        <a:schemeClr val="tx1"/>
                      </a:solidFill>
                      <a:effectLst/>
                      <a:latin typeface="Cambria Math" panose="02040503050406030204" pitchFamily="18" charset="0"/>
                      <a:ea typeface="+mn-ea"/>
                      <a:cs typeface="+mn-cs"/>
                    </a:rPr>
                    <m:t>𝐷𝑃</m:t>
                  </m:r>
                  <m:r>
                    <a:rPr lang="en-GB" sz="1100" i="1">
                      <a:solidFill>
                        <a:schemeClr val="tx1"/>
                      </a:solidFill>
                      <a:effectLst/>
                      <a:latin typeface="Cambria Math" panose="02040503050406030204" pitchFamily="18" charset="0"/>
                      <a:ea typeface="+mn-ea"/>
                      <a:cs typeface="+mn-cs"/>
                    </a:rPr>
                    <m:t>)∗(1−</m:t>
                  </m:r>
                  <m:r>
                    <a:rPr lang="it-IT" sz="1100" i="1">
                      <a:solidFill>
                        <a:schemeClr val="tx1"/>
                      </a:solidFill>
                      <a:effectLst/>
                      <a:latin typeface="Cambria Math" panose="02040503050406030204" pitchFamily="18" charset="0"/>
                      <a:ea typeface="+mn-ea"/>
                      <a:cs typeface="+mn-cs"/>
                    </a:rPr>
                    <m:t>𝑇</m:t>
                  </m:r>
                  <m:r>
                    <a:rPr lang="en-GB" sz="1100" i="1">
                      <a:solidFill>
                        <a:schemeClr val="tx1"/>
                      </a:solidFill>
                      <a:effectLst/>
                      <a:latin typeface="Cambria Math" panose="02040503050406030204" pitchFamily="18" charset="0"/>
                      <a:ea typeface="+mn-ea"/>
                      <a:cs typeface="+mn-cs"/>
                    </a:rPr>
                    <m:t>)</m:t>
                  </m:r>
                </m:oMath>
              </a14:m>
              <a:endParaRPr lang="en-US" sz="1100">
                <a:solidFill>
                  <a:schemeClr val="tx1"/>
                </a:solidFill>
                <a:effectLst/>
                <a:latin typeface="+mn-lt"/>
                <a:ea typeface="+mn-ea"/>
                <a:cs typeface="+mn-cs"/>
              </a:endParaRPr>
            </a:p>
            <a:p>
              <a:endParaRPr lang="en-US" sz="1100"/>
            </a:p>
          </xdr:txBody>
        </xdr:sp>
      </mc:Choice>
      <mc:Fallback xmlns="">
        <xdr:sp macro="" textlink="">
          <xdr:nvSpPr>
            <xdr:cNvPr id="2" name="TextBox 2">
              <a:extLst>
                <a:ext uri="{FF2B5EF4-FFF2-40B4-BE49-F238E27FC236}">
                  <a16:creationId xmlns:a16="http://schemas.microsoft.com/office/drawing/2014/main" id="{E7073992-83A7-4B02-801B-ACEA0C7D9F73}"/>
                </a:ext>
              </a:extLst>
            </xdr:cNvPr>
            <xdr:cNvSpPr txBox="1"/>
          </xdr:nvSpPr>
          <xdr:spPr>
            <a:xfrm>
              <a:off x="295268" y="1851030"/>
              <a:ext cx="4018847" cy="5102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it-IT" sz="1100" i="0">
                  <a:solidFill>
                    <a:schemeClr val="tx1"/>
                  </a:solidFill>
                  <a:effectLst/>
                  <a:latin typeface="Cambria Math" panose="02040503050406030204" pitchFamily="18" charset="0"/>
                  <a:ea typeface="+mn-ea"/>
                  <a:cs typeface="+mn-cs"/>
                </a:rPr>
                <a:t>𝑊𝐴𝐶𝐶</a:t>
              </a:r>
              <a:r>
                <a:rPr lang="en-GB" sz="1100" i="0">
                  <a:solidFill>
                    <a:schemeClr val="tx1"/>
                  </a:solidFill>
                  <a:effectLst/>
                  <a:latin typeface="Cambria Math" panose="02040503050406030204" pitchFamily="18" charset="0"/>
                  <a:ea typeface="+mn-ea"/>
                  <a:cs typeface="+mn-cs"/>
                </a:rPr>
                <a:t>= </a:t>
              </a:r>
              <a:r>
                <a:rPr lang="it-IT" sz="1100" i="0">
                  <a:solidFill>
                    <a:schemeClr val="tx1"/>
                  </a:solidFill>
                  <a:effectLst/>
                  <a:latin typeface="Cambria Math" panose="02040503050406030204" pitchFamily="18" charset="0"/>
                  <a:ea typeface="+mn-ea"/>
                  <a:cs typeface="+mn-cs"/>
                </a:rPr>
                <a:t> 𝐸</a:t>
              </a:r>
              <a:r>
                <a:rPr lang="en-US"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𝐷</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𝐸</a:t>
              </a:r>
              <a:r>
                <a:rPr lang="en-US" sz="1100" i="0">
                  <a:solidFill>
                    <a:schemeClr val="tx1"/>
                  </a:solidFill>
                  <a:effectLst/>
                  <a:latin typeface="Cambria Math" panose="02040503050406030204" pitchFamily="18" charset="0"/>
                  <a:ea typeface="+mn-ea"/>
                  <a:cs typeface="+mn-cs"/>
                </a:rPr>
                <a:t>)</a:t>
              </a:r>
              <a:r>
                <a:rPr lang="en-GB" sz="1100" i="0">
                  <a:solidFill>
                    <a:schemeClr val="tx1"/>
                  </a:solidFill>
                  <a:effectLst/>
                  <a:latin typeface="Cambria Math" panose="02040503050406030204" pitchFamily="18" charset="0"/>
                  <a:ea typeface="+mn-ea"/>
                  <a:cs typeface="+mn-cs"/>
                </a:rPr>
                <a:t>∗</a:t>
              </a:r>
              <a:r>
                <a:rPr lang="en-US"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𝑟</a:t>
              </a:r>
              <a:r>
                <a:rPr lang="en-US" sz="1100" i="0">
                  <a:solidFill>
                    <a:schemeClr val="tx1"/>
                  </a:solidFill>
                  <a:effectLst/>
                  <a:latin typeface="Cambria Math" panose="02040503050406030204" pitchFamily="18" charset="0"/>
                  <a:ea typeface="+mn-ea"/>
                  <a:cs typeface="+mn-cs"/>
                </a:rPr>
                <a:t>_</a:t>
              </a:r>
              <a:r>
                <a:rPr lang="it-IT" sz="1100" i="0">
                  <a:solidFill>
                    <a:schemeClr val="tx1"/>
                  </a:solidFill>
                  <a:effectLst/>
                  <a:latin typeface="Cambria Math" panose="02040503050406030204" pitchFamily="18" charset="0"/>
                  <a:ea typeface="+mn-ea"/>
                  <a:cs typeface="+mn-cs"/>
                </a:rPr>
                <a:t>𝑓</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𝛽</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𝐸𝑅𝑃)</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𝐷</a:t>
              </a:r>
              <a:r>
                <a:rPr lang="en-US"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𝐷</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𝐸</a:t>
              </a:r>
              <a:r>
                <a:rPr lang="en-US" sz="1100" i="0">
                  <a:solidFill>
                    <a:schemeClr val="tx1"/>
                  </a:solidFill>
                  <a:effectLst/>
                  <a:latin typeface="Cambria Math" panose="02040503050406030204" pitchFamily="18" charset="0"/>
                  <a:ea typeface="+mn-ea"/>
                  <a:cs typeface="+mn-cs"/>
                </a:rPr>
                <a:t>)</a:t>
              </a:r>
              <a:r>
                <a:rPr lang="en-GB" sz="1100">
                  <a:solidFill>
                    <a:schemeClr val="tx1"/>
                  </a:solidFill>
                  <a:effectLst/>
                  <a:latin typeface="+mn-lt"/>
                  <a:ea typeface="+mn-ea"/>
                  <a:cs typeface="+mn-cs"/>
                </a:rPr>
                <a:t>*(</a:t>
              </a:r>
              <a:r>
                <a:rPr lang="it-IT" sz="1100" i="0">
                  <a:solidFill>
                    <a:schemeClr val="tx1"/>
                  </a:solidFill>
                  <a:effectLst/>
                  <a:latin typeface="Cambria Math" panose="02040503050406030204" pitchFamily="18" charset="0"/>
                  <a:ea typeface="+mn-ea"/>
                  <a:cs typeface="+mn-cs"/>
                </a:rPr>
                <a:t>𝑟</a:t>
              </a:r>
              <a:r>
                <a:rPr lang="en-US" sz="1100" i="0">
                  <a:solidFill>
                    <a:schemeClr val="tx1"/>
                  </a:solidFill>
                  <a:effectLst/>
                  <a:latin typeface="Cambria Math" panose="02040503050406030204" pitchFamily="18" charset="0"/>
                  <a:ea typeface="+mn-ea"/>
                  <a:cs typeface="+mn-cs"/>
                </a:rPr>
                <a:t>_</a:t>
              </a:r>
              <a:r>
                <a:rPr lang="it-IT" sz="1100" i="0">
                  <a:solidFill>
                    <a:schemeClr val="tx1"/>
                  </a:solidFill>
                  <a:effectLst/>
                  <a:latin typeface="Cambria Math" panose="02040503050406030204" pitchFamily="18" charset="0"/>
                  <a:ea typeface="+mn-ea"/>
                  <a:cs typeface="+mn-cs"/>
                </a:rPr>
                <a:t>𝑓</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𝐷𝑃</a:t>
              </a:r>
              <a:r>
                <a:rPr lang="en-GB" sz="1100" i="0">
                  <a:solidFill>
                    <a:schemeClr val="tx1"/>
                  </a:solidFill>
                  <a:effectLst/>
                  <a:latin typeface="Cambria Math" panose="02040503050406030204" pitchFamily="18" charset="0"/>
                  <a:ea typeface="+mn-ea"/>
                  <a:cs typeface="+mn-cs"/>
                </a:rPr>
                <a:t>)∗(1−</a:t>
              </a:r>
              <a:r>
                <a:rPr lang="it-IT" sz="1100" i="0">
                  <a:solidFill>
                    <a:schemeClr val="tx1"/>
                  </a:solidFill>
                  <a:effectLst/>
                  <a:latin typeface="Cambria Math" panose="02040503050406030204" pitchFamily="18" charset="0"/>
                  <a:ea typeface="+mn-ea"/>
                  <a:cs typeface="+mn-cs"/>
                </a:rPr>
                <a:t>𝑇</a:t>
              </a:r>
              <a:r>
                <a:rPr lang="en-GB" sz="1100" i="0">
                  <a:solidFill>
                    <a:schemeClr val="tx1"/>
                  </a:solidFill>
                  <a:effectLst/>
                  <a:latin typeface="Cambria Math" panose="02040503050406030204" pitchFamily="18" charset="0"/>
                  <a:ea typeface="+mn-ea"/>
                  <a:cs typeface="+mn-cs"/>
                </a:rPr>
                <a:t>)</a:t>
              </a:r>
              <a:endParaRPr lang="en-US" sz="1100">
                <a:solidFill>
                  <a:schemeClr val="tx1"/>
                </a:solidFill>
                <a:effectLst/>
                <a:latin typeface="+mn-lt"/>
                <a:ea typeface="+mn-ea"/>
                <a:cs typeface="+mn-cs"/>
              </a:endParaRPr>
            </a:p>
            <a:p>
              <a:endParaRPr lang="en-US" sz="1100"/>
            </a:p>
          </xdr:txBody>
        </xdr:sp>
      </mc:Fallback>
    </mc:AlternateContent>
    <xdr:clientData/>
  </xdr:oneCellAnchor>
  <xdr:oneCellAnchor>
    <xdr:from>
      <xdr:col>3</xdr:col>
      <xdr:colOff>55404</xdr:colOff>
      <xdr:row>23</xdr:row>
      <xdr:rowOff>70485</xdr:rowOff>
    </xdr:from>
    <xdr:ext cx="1476375" cy="287258"/>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0B8C3731-D569-438B-8EE0-88EFB5EDD902}"/>
                </a:ext>
              </a:extLst>
            </xdr:cNvPr>
            <xdr:cNvSpPr txBox="1"/>
          </xdr:nvSpPr>
          <xdr:spPr>
            <a:xfrm>
              <a:off x="3354864" y="5998845"/>
              <a:ext cx="1476375" cy="2872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left"/>
                  </m:oMathParaPr>
                  <m:oMath xmlns:m="http://schemas.openxmlformats.org/officeDocument/2006/math">
                    <m:d>
                      <m:dPr>
                        <m:ctrlPr>
                          <a:rPr lang="en-US" sz="1100" i="1">
                            <a:solidFill>
                              <a:schemeClr val="tx1"/>
                            </a:solidFill>
                            <a:effectLst/>
                            <a:latin typeface="Cambria Math" panose="02040503050406030204" pitchFamily="18" charset="0"/>
                            <a:ea typeface="+mn-ea"/>
                            <a:cs typeface="+mn-cs"/>
                          </a:rPr>
                        </m:ctrlPr>
                      </m:dPr>
                      <m:e>
                        <m:sSub>
                          <m:sSubPr>
                            <m:ctrlPr>
                              <a:rPr lang="en-US" sz="1100" i="1">
                                <a:solidFill>
                                  <a:schemeClr val="tx1"/>
                                </a:solidFill>
                                <a:effectLst/>
                                <a:latin typeface="Cambria Math" panose="02040503050406030204" pitchFamily="18" charset="0"/>
                                <a:ea typeface="+mn-ea"/>
                                <a:cs typeface="+mn-cs"/>
                              </a:rPr>
                            </m:ctrlPr>
                          </m:sSubPr>
                          <m:e>
                            <m:r>
                              <a:rPr lang="it-IT" sz="1100" i="1">
                                <a:solidFill>
                                  <a:schemeClr val="tx1"/>
                                </a:solidFill>
                                <a:effectLst/>
                                <a:latin typeface="Cambria Math" panose="02040503050406030204" pitchFamily="18" charset="0"/>
                                <a:ea typeface="+mn-ea"/>
                                <a:cs typeface="+mn-cs"/>
                              </a:rPr>
                              <m:t>𝑟</m:t>
                            </m:r>
                          </m:e>
                          <m:sub>
                            <m:r>
                              <a:rPr lang="it-IT" sz="1100" i="1">
                                <a:solidFill>
                                  <a:schemeClr val="tx1"/>
                                </a:solidFill>
                                <a:effectLst/>
                                <a:latin typeface="Cambria Math" panose="02040503050406030204" pitchFamily="18" charset="0"/>
                                <a:ea typeface="+mn-ea"/>
                                <a:cs typeface="+mn-cs"/>
                              </a:rPr>
                              <m:t>𝑓</m:t>
                            </m:r>
                          </m:sub>
                        </m:sSub>
                        <m:r>
                          <a:rPr lang="en-GB" sz="1100" i="1">
                            <a:solidFill>
                              <a:schemeClr val="tx1"/>
                            </a:solidFill>
                            <a:effectLst/>
                            <a:latin typeface="Cambria Math" panose="02040503050406030204" pitchFamily="18" charset="0"/>
                            <a:ea typeface="+mn-ea"/>
                            <a:cs typeface="+mn-cs"/>
                          </a:rPr>
                          <m:t>+</m:t>
                        </m:r>
                        <m:r>
                          <a:rPr lang="it-IT" sz="1100" i="1">
                            <a:solidFill>
                              <a:schemeClr val="tx1"/>
                            </a:solidFill>
                            <a:effectLst/>
                            <a:latin typeface="Cambria Math" panose="02040503050406030204" pitchFamily="18" charset="0"/>
                            <a:ea typeface="+mn-ea"/>
                            <a:cs typeface="+mn-cs"/>
                          </a:rPr>
                          <m:t>𝛽</m:t>
                        </m:r>
                        <m:r>
                          <a:rPr lang="en-GB" sz="1100" i="1">
                            <a:solidFill>
                              <a:schemeClr val="tx1"/>
                            </a:solidFill>
                            <a:effectLst/>
                            <a:latin typeface="Cambria Math" panose="02040503050406030204" pitchFamily="18" charset="0"/>
                            <a:ea typeface="+mn-ea"/>
                            <a:cs typeface="+mn-cs"/>
                          </a:rPr>
                          <m:t>∗</m:t>
                        </m:r>
                        <m:r>
                          <a:rPr lang="it-IT" sz="1100" i="1">
                            <a:solidFill>
                              <a:schemeClr val="tx1"/>
                            </a:solidFill>
                            <a:effectLst/>
                            <a:latin typeface="Cambria Math" panose="02040503050406030204" pitchFamily="18" charset="0"/>
                            <a:ea typeface="+mn-ea"/>
                            <a:cs typeface="+mn-cs"/>
                          </a:rPr>
                          <m:t>𝐸𝑅𝑃</m:t>
                        </m:r>
                      </m:e>
                    </m:d>
                  </m:oMath>
                </m:oMathPara>
              </a14:m>
              <a:endParaRPr lang="en-US" sz="1100">
                <a:latin typeface="+mn-lt"/>
              </a:endParaRPr>
            </a:p>
          </xdr:txBody>
        </xdr:sp>
      </mc:Choice>
      <mc:Fallback xmlns="">
        <xdr:sp macro="" textlink="">
          <xdr:nvSpPr>
            <xdr:cNvPr id="3" name="TextBox 2">
              <a:extLst>
                <a:ext uri="{FF2B5EF4-FFF2-40B4-BE49-F238E27FC236}">
                  <a16:creationId xmlns:a16="http://schemas.microsoft.com/office/drawing/2014/main" id="{0B8C3731-D569-438B-8EE0-88EFB5EDD902}"/>
                </a:ext>
              </a:extLst>
            </xdr:cNvPr>
            <xdr:cNvSpPr txBox="1"/>
          </xdr:nvSpPr>
          <xdr:spPr>
            <a:xfrm>
              <a:off x="3354864" y="5998845"/>
              <a:ext cx="1476375" cy="2872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𝑟</a:t>
              </a:r>
              <a:r>
                <a:rPr lang="en-US" sz="1100" i="0">
                  <a:solidFill>
                    <a:schemeClr val="tx1"/>
                  </a:solidFill>
                  <a:effectLst/>
                  <a:latin typeface="Cambria Math" panose="02040503050406030204" pitchFamily="18" charset="0"/>
                  <a:ea typeface="+mn-ea"/>
                  <a:cs typeface="+mn-cs"/>
                </a:rPr>
                <a:t>_</a:t>
              </a:r>
              <a:r>
                <a:rPr lang="it-IT" sz="1100" i="0">
                  <a:solidFill>
                    <a:schemeClr val="tx1"/>
                  </a:solidFill>
                  <a:effectLst/>
                  <a:latin typeface="Cambria Math" panose="02040503050406030204" pitchFamily="18" charset="0"/>
                  <a:ea typeface="+mn-ea"/>
                  <a:cs typeface="+mn-cs"/>
                </a:rPr>
                <a:t>𝑓</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𝛽</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𝐸𝑅𝑃)</a:t>
              </a:r>
              <a:endParaRPr lang="en-US" sz="1100">
                <a:latin typeface="+mn-lt"/>
              </a:endParaRPr>
            </a:p>
          </xdr:txBody>
        </xdr:sp>
      </mc:Fallback>
    </mc:AlternateContent>
    <xdr:clientData/>
  </xdr:oneCellAnchor>
  <xdr:oneCellAnchor>
    <xdr:from>
      <xdr:col>3</xdr:col>
      <xdr:colOff>72866</xdr:colOff>
      <xdr:row>25</xdr:row>
      <xdr:rowOff>108585</xdr:rowOff>
    </xdr:from>
    <xdr:ext cx="1369218" cy="321469"/>
    <mc:AlternateContent xmlns:mc="http://schemas.openxmlformats.org/markup-compatibility/2006" xmlns:a14="http://schemas.microsoft.com/office/drawing/2010/main">
      <mc:Choice Requires="a14">
        <xdr:sp macro="" textlink="">
          <xdr:nvSpPr>
            <xdr:cNvPr id="4" name="TextBox 2">
              <a:extLst>
                <a:ext uri="{FF2B5EF4-FFF2-40B4-BE49-F238E27FC236}">
                  <a16:creationId xmlns:a16="http://schemas.microsoft.com/office/drawing/2014/main" id="{912EA44B-44A8-4D8D-8224-A2B4555487D7}"/>
                </a:ext>
              </a:extLst>
            </xdr:cNvPr>
            <xdr:cNvSpPr txBox="1"/>
          </xdr:nvSpPr>
          <xdr:spPr>
            <a:xfrm>
              <a:off x="3250406" y="7294245"/>
              <a:ext cx="1369218" cy="321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a:t>
              </a:r>
              <a14:m>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r>
                        <a:rPr lang="it-IT" sz="1100" i="1">
                          <a:solidFill>
                            <a:schemeClr val="tx1"/>
                          </a:solidFill>
                          <a:effectLst/>
                          <a:latin typeface="Cambria Math" panose="02040503050406030204" pitchFamily="18" charset="0"/>
                          <a:ea typeface="+mn-ea"/>
                          <a:cs typeface="+mn-cs"/>
                        </a:rPr>
                        <m:t>𝑟</m:t>
                      </m:r>
                    </m:e>
                    <m:sub>
                      <m:r>
                        <a:rPr lang="it-IT" sz="1100" i="1">
                          <a:solidFill>
                            <a:schemeClr val="tx1"/>
                          </a:solidFill>
                          <a:effectLst/>
                          <a:latin typeface="Cambria Math" panose="02040503050406030204" pitchFamily="18" charset="0"/>
                          <a:ea typeface="+mn-ea"/>
                          <a:cs typeface="+mn-cs"/>
                        </a:rPr>
                        <m:t>𝑓</m:t>
                      </m:r>
                    </m:sub>
                  </m:sSub>
                  <m:r>
                    <a:rPr lang="en-GB" sz="1100" i="1">
                      <a:solidFill>
                        <a:schemeClr val="tx1"/>
                      </a:solidFill>
                      <a:effectLst/>
                      <a:latin typeface="Cambria Math" panose="02040503050406030204" pitchFamily="18" charset="0"/>
                      <a:ea typeface="+mn-ea"/>
                      <a:cs typeface="+mn-cs"/>
                    </a:rPr>
                    <m:t>+</m:t>
                  </m:r>
                  <m:r>
                    <a:rPr lang="it-IT" sz="1100" i="1">
                      <a:solidFill>
                        <a:schemeClr val="tx1"/>
                      </a:solidFill>
                      <a:effectLst/>
                      <a:latin typeface="Cambria Math" panose="02040503050406030204" pitchFamily="18" charset="0"/>
                      <a:ea typeface="+mn-ea"/>
                      <a:cs typeface="+mn-cs"/>
                    </a:rPr>
                    <m:t>𝐷𝑃</m:t>
                  </m:r>
                  <m:r>
                    <a:rPr lang="en-GB" sz="1100" i="1">
                      <a:solidFill>
                        <a:schemeClr val="tx1"/>
                      </a:solidFill>
                      <a:effectLst/>
                      <a:latin typeface="Cambria Math" panose="02040503050406030204" pitchFamily="18" charset="0"/>
                      <a:ea typeface="+mn-ea"/>
                      <a:cs typeface="+mn-cs"/>
                    </a:rPr>
                    <m:t>)∗(1−</m:t>
                  </m:r>
                  <m:r>
                    <a:rPr lang="it-IT" sz="1100" i="1">
                      <a:solidFill>
                        <a:schemeClr val="tx1"/>
                      </a:solidFill>
                      <a:effectLst/>
                      <a:latin typeface="Cambria Math" panose="02040503050406030204" pitchFamily="18" charset="0"/>
                      <a:ea typeface="+mn-ea"/>
                      <a:cs typeface="+mn-cs"/>
                    </a:rPr>
                    <m:t>𝑇</m:t>
                  </m:r>
                  <m:r>
                    <a:rPr lang="en-GB" sz="1100" i="1">
                      <a:solidFill>
                        <a:schemeClr val="tx1"/>
                      </a:solidFill>
                      <a:effectLst/>
                      <a:latin typeface="Cambria Math" panose="02040503050406030204" pitchFamily="18" charset="0"/>
                      <a:ea typeface="+mn-ea"/>
                      <a:cs typeface="+mn-cs"/>
                    </a:rPr>
                    <m:t>)</m:t>
                  </m:r>
                </m:oMath>
              </a14:m>
              <a:endParaRPr lang="en-US" sz="1100">
                <a:solidFill>
                  <a:schemeClr val="tx1"/>
                </a:solidFill>
                <a:effectLst/>
                <a:latin typeface="+mn-lt"/>
                <a:ea typeface="+mn-ea"/>
                <a:cs typeface="+mn-cs"/>
              </a:endParaRPr>
            </a:p>
            <a:p>
              <a:pPr algn="l"/>
              <a:endParaRPr lang="en-US" sz="1100">
                <a:latin typeface="+mn-lt"/>
              </a:endParaRPr>
            </a:p>
          </xdr:txBody>
        </xdr:sp>
      </mc:Choice>
      <mc:Fallback xmlns="">
        <xdr:sp macro="" textlink="">
          <xdr:nvSpPr>
            <xdr:cNvPr id="4" name="TextBox 2">
              <a:extLst>
                <a:ext uri="{FF2B5EF4-FFF2-40B4-BE49-F238E27FC236}">
                  <a16:creationId xmlns:a16="http://schemas.microsoft.com/office/drawing/2014/main" id="{912EA44B-44A8-4D8D-8224-A2B4555487D7}"/>
                </a:ext>
              </a:extLst>
            </xdr:cNvPr>
            <xdr:cNvSpPr txBox="1"/>
          </xdr:nvSpPr>
          <xdr:spPr>
            <a:xfrm>
              <a:off x="3250406" y="7294245"/>
              <a:ext cx="1369218" cy="321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a:t>
              </a:r>
              <a:r>
                <a:rPr lang="it-IT" sz="1100" i="0">
                  <a:solidFill>
                    <a:schemeClr val="tx1"/>
                  </a:solidFill>
                  <a:effectLst/>
                  <a:latin typeface="Cambria Math" panose="02040503050406030204" pitchFamily="18" charset="0"/>
                  <a:ea typeface="+mn-ea"/>
                  <a:cs typeface="+mn-cs"/>
                </a:rPr>
                <a:t>𝑟</a:t>
              </a:r>
              <a:r>
                <a:rPr lang="en-US" sz="1100" i="0">
                  <a:solidFill>
                    <a:schemeClr val="tx1"/>
                  </a:solidFill>
                  <a:effectLst/>
                  <a:latin typeface="Cambria Math" panose="02040503050406030204" pitchFamily="18" charset="0"/>
                  <a:ea typeface="+mn-ea"/>
                  <a:cs typeface="+mn-cs"/>
                </a:rPr>
                <a:t>_</a:t>
              </a:r>
              <a:r>
                <a:rPr lang="it-IT" sz="1100" i="0">
                  <a:solidFill>
                    <a:schemeClr val="tx1"/>
                  </a:solidFill>
                  <a:effectLst/>
                  <a:latin typeface="Cambria Math" panose="02040503050406030204" pitchFamily="18" charset="0"/>
                  <a:ea typeface="+mn-ea"/>
                  <a:cs typeface="+mn-cs"/>
                </a:rPr>
                <a:t>𝑓</a:t>
              </a:r>
              <a:r>
                <a:rPr lang="en-GB" sz="1100" i="0">
                  <a:solidFill>
                    <a:schemeClr val="tx1"/>
                  </a:solidFill>
                  <a:effectLst/>
                  <a:latin typeface="Cambria Math" panose="02040503050406030204" pitchFamily="18" charset="0"/>
                  <a:ea typeface="+mn-ea"/>
                  <a:cs typeface="+mn-cs"/>
                </a:rPr>
                <a:t>+</a:t>
              </a:r>
              <a:r>
                <a:rPr lang="it-IT" sz="1100" i="0">
                  <a:solidFill>
                    <a:schemeClr val="tx1"/>
                  </a:solidFill>
                  <a:effectLst/>
                  <a:latin typeface="Cambria Math" panose="02040503050406030204" pitchFamily="18" charset="0"/>
                  <a:ea typeface="+mn-ea"/>
                  <a:cs typeface="+mn-cs"/>
                </a:rPr>
                <a:t>𝐷𝑃</a:t>
              </a:r>
              <a:r>
                <a:rPr lang="en-GB" sz="1100" i="0">
                  <a:solidFill>
                    <a:schemeClr val="tx1"/>
                  </a:solidFill>
                  <a:effectLst/>
                  <a:latin typeface="Cambria Math" panose="02040503050406030204" pitchFamily="18" charset="0"/>
                  <a:ea typeface="+mn-ea"/>
                  <a:cs typeface="+mn-cs"/>
                </a:rPr>
                <a:t>)∗(1−</a:t>
              </a:r>
              <a:r>
                <a:rPr lang="it-IT" sz="1100" i="0">
                  <a:solidFill>
                    <a:schemeClr val="tx1"/>
                  </a:solidFill>
                  <a:effectLst/>
                  <a:latin typeface="Cambria Math" panose="02040503050406030204" pitchFamily="18" charset="0"/>
                  <a:ea typeface="+mn-ea"/>
                  <a:cs typeface="+mn-cs"/>
                </a:rPr>
                <a:t>𝑇</a:t>
              </a:r>
              <a:r>
                <a:rPr lang="en-GB" sz="1100" i="0">
                  <a:solidFill>
                    <a:schemeClr val="tx1"/>
                  </a:solidFill>
                  <a:effectLst/>
                  <a:latin typeface="Cambria Math" panose="02040503050406030204" pitchFamily="18" charset="0"/>
                  <a:ea typeface="+mn-ea"/>
                  <a:cs typeface="+mn-cs"/>
                </a:rPr>
                <a:t>)</a:t>
              </a:r>
              <a:endParaRPr lang="en-US" sz="1100">
                <a:solidFill>
                  <a:schemeClr val="tx1"/>
                </a:solidFill>
                <a:effectLst/>
                <a:latin typeface="+mn-lt"/>
                <a:ea typeface="+mn-ea"/>
                <a:cs typeface="+mn-cs"/>
              </a:endParaRPr>
            </a:p>
            <a:p>
              <a:pPr algn="l"/>
              <a:endParaRPr lang="en-US" sz="1100">
                <a:latin typeface="+mn-lt"/>
              </a:endParaRPr>
            </a:p>
          </xdr:txBody>
        </xdr:sp>
      </mc:Fallback>
    </mc:AlternateContent>
    <xdr:clientData/>
  </xdr:oneCellAnchor>
  <xdr:oneCellAnchor>
    <xdr:from>
      <xdr:col>3</xdr:col>
      <xdr:colOff>40005</xdr:colOff>
      <xdr:row>20</xdr:row>
      <xdr:rowOff>196215</xdr:rowOff>
    </xdr:from>
    <xdr:ext cx="2779395" cy="408125"/>
    <mc:AlternateContent xmlns:mc="http://schemas.openxmlformats.org/markup-compatibility/2006" xmlns:a14="http://schemas.microsoft.com/office/drawing/2010/main">
      <mc:Choice Requires="a14">
        <xdr:sp macro="" textlink="">
          <xdr:nvSpPr>
            <xdr:cNvPr id="6" name="TextBox 2">
              <a:extLst>
                <a:ext uri="{FF2B5EF4-FFF2-40B4-BE49-F238E27FC236}">
                  <a16:creationId xmlns:a16="http://schemas.microsoft.com/office/drawing/2014/main" id="{0EBAABA1-1788-40B1-9C9D-5E5F177AEECB}"/>
                </a:ext>
              </a:extLst>
            </xdr:cNvPr>
            <xdr:cNvSpPr txBox="1"/>
          </xdr:nvSpPr>
          <xdr:spPr>
            <a:xfrm>
              <a:off x="5726430" y="5520690"/>
              <a:ext cx="2779395" cy="40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fr-FR" sz="1100" b="0" i="1">
                        <a:solidFill>
                          <a:schemeClr val="tx1"/>
                        </a:solidFill>
                        <a:effectLst/>
                        <a:latin typeface="Cambria Math" panose="02040503050406030204" pitchFamily="18" charset="0"/>
                        <a:ea typeface="+mn-ea"/>
                        <a:cs typeface="+mn-cs"/>
                      </a:rPr>
                      <m:t>𝑈𝑛𝑙𝑒𝑣𝑒𝑟𝑒𝑑</m:t>
                    </m:r>
                    <m:r>
                      <a:rPr lang="fr-FR" sz="1100" b="0" i="1">
                        <a:solidFill>
                          <a:schemeClr val="tx1"/>
                        </a:solidFill>
                        <a:effectLst/>
                        <a:latin typeface="Cambria Math" panose="02040503050406030204" pitchFamily="18" charset="0"/>
                        <a:ea typeface="+mn-ea"/>
                        <a:cs typeface="+mn-cs"/>
                      </a:rPr>
                      <m:t> </m:t>
                    </m:r>
                    <m:r>
                      <a:rPr lang="fr-FR" sz="1100" b="0" i="1">
                        <a:solidFill>
                          <a:schemeClr val="tx1"/>
                        </a:solidFill>
                        <a:effectLst/>
                        <a:latin typeface="Cambria Math" panose="02040503050406030204" pitchFamily="18" charset="0"/>
                        <a:ea typeface="+mn-ea"/>
                        <a:cs typeface="+mn-cs"/>
                      </a:rPr>
                      <m:t>𝐵𝑒𝑡𝑎</m:t>
                    </m:r>
                    <m:r>
                      <a:rPr lang="fr-FR" sz="1100" b="0" i="1">
                        <a:solidFill>
                          <a:schemeClr val="tx1"/>
                        </a:solidFill>
                        <a:effectLst/>
                        <a:latin typeface="Cambria Math" panose="02040503050406030204" pitchFamily="18" charset="0"/>
                        <a:ea typeface="+mn-ea"/>
                        <a:cs typeface="+mn-cs"/>
                      </a:rPr>
                      <m:t> ∗(1+</m:t>
                    </m:r>
                    <m:f>
                      <m:fPr>
                        <m:ctrlPr>
                          <a:rPr lang="en-US" sz="1100" i="1">
                            <a:solidFill>
                              <a:schemeClr val="tx1"/>
                            </a:solidFill>
                            <a:effectLst/>
                            <a:latin typeface="Cambria Math" panose="02040503050406030204" pitchFamily="18" charset="0"/>
                            <a:ea typeface="+mn-ea"/>
                            <a:cs typeface="+mn-cs"/>
                          </a:rPr>
                        </m:ctrlPr>
                      </m:fPr>
                      <m:num>
                        <m:r>
                          <a:rPr lang="fr-FR" sz="1100" b="0" i="1">
                            <a:solidFill>
                              <a:schemeClr val="tx1"/>
                            </a:solidFill>
                            <a:effectLst/>
                            <a:latin typeface="Cambria Math" panose="02040503050406030204" pitchFamily="18" charset="0"/>
                            <a:ea typeface="+mn-ea"/>
                            <a:cs typeface="+mn-cs"/>
                          </a:rPr>
                          <m:t>𝐷</m:t>
                        </m:r>
                      </m:num>
                      <m:den>
                        <m:r>
                          <a:rPr lang="fr-FR" sz="1100" b="0" i="1">
                            <a:solidFill>
                              <a:schemeClr val="tx1"/>
                            </a:solidFill>
                            <a:effectLst/>
                            <a:latin typeface="Cambria Math" panose="02040503050406030204" pitchFamily="18" charset="0"/>
                            <a:ea typeface="+mn-ea"/>
                            <a:cs typeface="+mn-cs"/>
                          </a:rPr>
                          <m:t>𝐸</m:t>
                        </m:r>
                      </m:den>
                    </m:f>
                    <m:r>
                      <a:rPr lang="en-GB" sz="1100" i="1">
                        <a:solidFill>
                          <a:schemeClr val="tx1"/>
                        </a:solidFill>
                        <a:effectLst/>
                        <a:latin typeface="Cambria Math" panose="02040503050406030204" pitchFamily="18" charset="0"/>
                        <a:ea typeface="+mn-ea"/>
                        <a:cs typeface="+mn-cs"/>
                      </a:rPr>
                      <m:t>∗</m:t>
                    </m:r>
                    <m:d>
                      <m:dPr>
                        <m:ctrlPr>
                          <a:rPr lang="en-US" sz="1100" i="1">
                            <a:solidFill>
                              <a:schemeClr val="tx1"/>
                            </a:solidFill>
                            <a:effectLst/>
                            <a:latin typeface="Cambria Math" panose="02040503050406030204" pitchFamily="18" charset="0"/>
                            <a:ea typeface="+mn-ea"/>
                            <a:cs typeface="+mn-cs"/>
                          </a:rPr>
                        </m:ctrlPr>
                      </m:dPr>
                      <m:e>
                        <m:r>
                          <a:rPr lang="fr-FR" sz="1100" b="0" i="1">
                            <a:solidFill>
                              <a:schemeClr val="tx1"/>
                            </a:solidFill>
                            <a:effectLst/>
                            <a:latin typeface="Cambria Math" panose="02040503050406030204" pitchFamily="18" charset="0"/>
                            <a:ea typeface="+mn-ea"/>
                            <a:cs typeface="+mn-cs"/>
                          </a:rPr>
                          <m:t>1−</m:t>
                        </m:r>
                        <m:r>
                          <a:rPr lang="it-IT" sz="1100" i="1">
                            <a:solidFill>
                              <a:schemeClr val="tx1"/>
                            </a:solidFill>
                            <a:effectLst/>
                            <a:latin typeface="Cambria Math" panose="02040503050406030204" pitchFamily="18" charset="0"/>
                            <a:ea typeface="+mn-ea"/>
                            <a:cs typeface="+mn-cs"/>
                          </a:rPr>
                          <m:t>𝑇</m:t>
                        </m:r>
                        <m:r>
                          <a:rPr lang="fr-FR" sz="1100" b="0" i="1">
                            <a:solidFill>
                              <a:schemeClr val="tx1"/>
                            </a:solidFill>
                            <a:effectLst/>
                            <a:latin typeface="Cambria Math" panose="02040503050406030204" pitchFamily="18" charset="0"/>
                            <a:ea typeface="+mn-ea"/>
                            <a:cs typeface="+mn-cs"/>
                          </a:rPr>
                          <m:t>)</m:t>
                        </m:r>
                      </m:e>
                    </m:d>
                  </m:oMath>
                </m:oMathPara>
              </a14:m>
              <a:endParaRPr lang="en-US" sz="1100">
                <a:latin typeface="+mn-lt"/>
              </a:endParaRPr>
            </a:p>
          </xdr:txBody>
        </xdr:sp>
      </mc:Choice>
      <mc:Fallback xmlns="">
        <xdr:sp macro="" textlink="">
          <xdr:nvSpPr>
            <xdr:cNvPr id="6" name="TextBox 2">
              <a:extLst>
                <a:ext uri="{FF2B5EF4-FFF2-40B4-BE49-F238E27FC236}">
                  <a16:creationId xmlns:a16="http://schemas.microsoft.com/office/drawing/2014/main" id="{0EBAABA1-1788-40B1-9C9D-5E5F177AEECB}"/>
                </a:ext>
              </a:extLst>
            </xdr:cNvPr>
            <xdr:cNvSpPr txBox="1"/>
          </xdr:nvSpPr>
          <xdr:spPr>
            <a:xfrm>
              <a:off x="5726430" y="5520690"/>
              <a:ext cx="2779395" cy="40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fr-FR" sz="1100" b="0" i="0">
                  <a:solidFill>
                    <a:schemeClr val="tx1"/>
                  </a:solidFill>
                  <a:effectLst/>
                  <a:latin typeface="Cambria Math" panose="02040503050406030204" pitchFamily="18" charset="0"/>
                  <a:ea typeface="+mn-ea"/>
                  <a:cs typeface="+mn-cs"/>
                </a:rPr>
                <a:t>𝑈𝑛𝑙𝑒𝑣𝑒𝑟𝑒𝑑 𝐵𝑒𝑡𝑎 ∗(1+𝐷</a:t>
              </a:r>
              <a:r>
                <a:rPr lang="en-US" sz="1100" b="0" i="0">
                  <a:solidFill>
                    <a:schemeClr val="tx1"/>
                  </a:solidFill>
                  <a:effectLst/>
                  <a:latin typeface="Cambria Math" panose="02040503050406030204" pitchFamily="18" charset="0"/>
                  <a:ea typeface="+mn-ea"/>
                  <a:cs typeface="+mn-cs"/>
                </a:rPr>
                <a:t>/</a:t>
              </a:r>
              <a:r>
                <a:rPr lang="fr-FR" sz="1100" b="0" i="0">
                  <a:solidFill>
                    <a:schemeClr val="tx1"/>
                  </a:solidFill>
                  <a:effectLst/>
                  <a:latin typeface="Cambria Math" panose="02040503050406030204" pitchFamily="18" charset="0"/>
                  <a:ea typeface="+mn-ea"/>
                  <a:cs typeface="+mn-cs"/>
                </a:rPr>
                <a:t>𝐸</a:t>
              </a:r>
              <a:r>
                <a:rPr lang="en-GB" sz="1100" i="0">
                  <a:solidFill>
                    <a:schemeClr val="tx1"/>
                  </a:solidFill>
                  <a:effectLst/>
                  <a:latin typeface="Cambria Math" panose="02040503050406030204" pitchFamily="18" charset="0"/>
                  <a:ea typeface="+mn-ea"/>
                  <a:cs typeface="+mn-cs"/>
                </a:rPr>
                <a:t>∗</a:t>
              </a:r>
              <a:r>
                <a:rPr lang="en-US" sz="1100" i="0">
                  <a:solidFill>
                    <a:schemeClr val="tx1"/>
                  </a:solidFill>
                  <a:effectLst/>
                  <a:latin typeface="Cambria Math" panose="02040503050406030204" pitchFamily="18" charset="0"/>
                  <a:ea typeface="+mn-ea"/>
                  <a:cs typeface="+mn-cs"/>
                </a:rPr>
                <a:t>(</a:t>
              </a:r>
              <a:r>
                <a:rPr lang="fr-FR" sz="1100" b="0" i="0">
                  <a:solidFill>
                    <a:schemeClr val="tx1"/>
                  </a:solidFill>
                  <a:effectLst/>
                  <a:latin typeface="Cambria Math" panose="02040503050406030204" pitchFamily="18" charset="0"/>
                  <a:ea typeface="+mn-ea"/>
                  <a:cs typeface="+mn-cs"/>
                </a:rPr>
                <a:t>1−</a:t>
              </a:r>
              <a:r>
                <a:rPr lang="it-IT" sz="1100" i="0">
                  <a:solidFill>
                    <a:schemeClr val="tx1"/>
                  </a:solidFill>
                  <a:effectLst/>
                  <a:latin typeface="Cambria Math" panose="02040503050406030204" pitchFamily="18" charset="0"/>
                  <a:ea typeface="+mn-ea"/>
                  <a:cs typeface="+mn-cs"/>
                </a:rPr>
                <a:t>𝑇</a:t>
              </a:r>
              <a:r>
                <a:rPr lang="fr-FR" sz="1100" b="0" i="0">
                  <a:solidFill>
                    <a:schemeClr val="tx1"/>
                  </a:solidFill>
                  <a:effectLst/>
                  <a:latin typeface="Cambria Math" panose="02040503050406030204" pitchFamily="18" charset="0"/>
                  <a:ea typeface="+mn-ea"/>
                  <a:cs typeface="+mn-cs"/>
                </a:rPr>
                <a:t>))</a:t>
              </a:r>
              <a:endParaRPr lang="en-US" sz="1100">
                <a:latin typeface="+mn-lt"/>
              </a:endParaRPr>
            </a:p>
          </xdr:txBody>
        </xdr:sp>
      </mc:Fallback>
    </mc:AlternateContent>
    <xdr:clientData/>
  </xdr:oneCellAnchor>
  <xdr:oneCellAnchor>
    <xdr:from>
      <xdr:col>3</xdr:col>
      <xdr:colOff>0</xdr:colOff>
      <xdr:row>26</xdr:row>
      <xdr:rowOff>0</xdr:rowOff>
    </xdr:from>
    <xdr:ext cx="3718560" cy="412036"/>
    <mc:AlternateContent xmlns:mc="http://schemas.openxmlformats.org/markup-compatibility/2006" xmlns:a14="http://schemas.microsoft.com/office/drawing/2010/main">
      <mc:Choice Requires="a14">
        <xdr:sp macro="" textlink="">
          <xdr:nvSpPr>
            <xdr:cNvPr id="12" name="TextBox 2">
              <a:extLst>
                <a:ext uri="{FF2B5EF4-FFF2-40B4-BE49-F238E27FC236}">
                  <a16:creationId xmlns:a16="http://schemas.microsoft.com/office/drawing/2014/main" id="{30E5D682-74FC-4F57-8A3A-CE89CDAA34AA}"/>
                </a:ext>
              </a:extLst>
            </xdr:cNvPr>
            <xdr:cNvSpPr txBox="1"/>
          </xdr:nvSpPr>
          <xdr:spPr>
            <a:xfrm>
              <a:off x="3177540" y="7604760"/>
              <a:ext cx="3718560" cy="412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f>
                      <m:fPr>
                        <m:ctrlPr>
                          <a:rPr lang="en-US" sz="1100" i="1">
                            <a:solidFill>
                              <a:schemeClr val="tx1"/>
                            </a:solidFill>
                            <a:effectLst/>
                            <a:latin typeface="Cambria Math" panose="02040503050406030204" pitchFamily="18" charset="0"/>
                            <a:ea typeface="+mn-ea"/>
                            <a:cs typeface="+mn-cs"/>
                          </a:rPr>
                        </m:ctrlPr>
                      </m:fPr>
                      <m:num>
                        <m:r>
                          <a:rPr lang="nl-NL" sz="1100" b="0" i="1">
                            <a:solidFill>
                              <a:schemeClr val="tx1"/>
                            </a:solidFill>
                            <a:effectLst/>
                            <a:latin typeface="Cambria Math" panose="02040503050406030204" pitchFamily="18" charset="0"/>
                            <a:ea typeface="+mn-ea"/>
                            <a:cs typeface="+mn-cs"/>
                          </a:rPr>
                          <m:t>𝐸</m:t>
                        </m:r>
                      </m:num>
                      <m:den>
                        <m:r>
                          <a:rPr lang="nl-NL" sz="1100" b="0" i="1">
                            <a:solidFill>
                              <a:schemeClr val="tx1"/>
                            </a:solidFill>
                            <a:effectLst/>
                            <a:latin typeface="Cambria Math" panose="02040503050406030204" pitchFamily="18" charset="0"/>
                            <a:ea typeface="+mn-ea"/>
                            <a:cs typeface="+mn-cs"/>
                          </a:rPr>
                          <m:t>𝐷</m:t>
                        </m:r>
                        <m:r>
                          <a:rPr lang="nl-NL" sz="1100" b="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𝐸</m:t>
                        </m:r>
                      </m:den>
                    </m:f>
                    <m:r>
                      <a:rPr lang="en-GB" sz="1100" i="1">
                        <a:solidFill>
                          <a:schemeClr val="tx1"/>
                        </a:solidFill>
                        <a:effectLst/>
                        <a:latin typeface="Cambria Math" panose="02040503050406030204" pitchFamily="18" charset="0"/>
                        <a:ea typeface="+mn-ea"/>
                        <a:cs typeface="+mn-cs"/>
                      </a:rPr>
                      <m:t>∗</m:t>
                    </m:r>
                    <m:d>
                      <m:dPr>
                        <m:ctrlPr>
                          <a:rPr lang="en-US" sz="1100" i="1">
                            <a:solidFill>
                              <a:schemeClr val="tx1"/>
                            </a:solidFill>
                            <a:effectLst/>
                            <a:latin typeface="Cambria Math" panose="02040503050406030204" pitchFamily="18" charset="0"/>
                            <a:ea typeface="+mn-ea"/>
                            <a:cs typeface="+mn-cs"/>
                          </a:rPr>
                        </m:ctrlPr>
                      </m:dPr>
                      <m:e>
                        <m:sSub>
                          <m:sSubPr>
                            <m:ctrlPr>
                              <a:rPr lang="nl-NL" sz="1100" b="0" i="1">
                                <a:solidFill>
                                  <a:schemeClr val="tx1"/>
                                </a:solidFill>
                                <a:effectLst/>
                                <a:latin typeface="Cambria Math" panose="02040503050406030204" pitchFamily="18" charset="0"/>
                                <a:ea typeface="+mn-ea"/>
                                <a:cs typeface="+mn-cs"/>
                              </a:rPr>
                            </m:ctrlPr>
                          </m:sSubPr>
                          <m:e>
                            <m:r>
                              <a:rPr lang="nl-NL" sz="1100" b="0" i="1">
                                <a:solidFill>
                                  <a:schemeClr val="tx1"/>
                                </a:solidFill>
                                <a:effectLst/>
                                <a:latin typeface="Cambria Math" panose="02040503050406030204" pitchFamily="18" charset="0"/>
                                <a:ea typeface="+mn-ea"/>
                                <a:cs typeface="+mn-cs"/>
                              </a:rPr>
                              <m:t>𝑟</m:t>
                            </m:r>
                          </m:e>
                          <m:sub>
                            <m:r>
                              <a:rPr lang="nl-NL" sz="1100" b="0" i="1">
                                <a:solidFill>
                                  <a:schemeClr val="tx1"/>
                                </a:solidFill>
                                <a:effectLst/>
                                <a:latin typeface="Cambria Math" panose="02040503050406030204" pitchFamily="18" charset="0"/>
                                <a:ea typeface="+mn-ea"/>
                                <a:cs typeface="+mn-cs"/>
                              </a:rPr>
                              <m:t>𝑓</m:t>
                            </m:r>
                          </m:sub>
                        </m:sSub>
                        <m:r>
                          <a:rPr lang="nl-NL" sz="1100" b="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Cambria Math" panose="02040503050406030204" pitchFamily="18" charset="0"/>
                            <a:cs typeface="+mn-cs"/>
                          </a:rPr>
                          <m:t>𝛽</m:t>
                        </m:r>
                        <m:r>
                          <a:rPr lang="nl-NL" sz="1100" b="0" i="1">
                            <a:solidFill>
                              <a:schemeClr val="tx1"/>
                            </a:solidFill>
                            <a:effectLst/>
                            <a:latin typeface="Cambria Math" panose="02040503050406030204" pitchFamily="18" charset="0"/>
                            <a:ea typeface="Cambria Math" panose="02040503050406030204" pitchFamily="18" charset="0"/>
                            <a:cs typeface="+mn-cs"/>
                          </a:rPr>
                          <m:t>∗</m:t>
                        </m:r>
                        <m:r>
                          <a:rPr lang="nl-NL" sz="1100" b="0" i="1">
                            <a:solidFill>
                              <a:schemeClr val="tx1"/>
                            </a:solidFill>
                            <a:effectLst/>
                            <a:latin typeface="Cambria Math" panose="02040503050406030204" pitchFamily="18" charset="0"/>
                            <a:ea typeface="Cambria Math" panose="02040503050406030204" pitchFamily="18" charset="0"/>
                            <a:cs typeface="+mn-cs"/>
                          </a:rPr>
                          <m:t>𝐸𝑅𝑃</m:t>
                        </m:r>
                      </m:e>
                    </m:d>
                    <m:r>
                      <a:rPr lang="nl-NL" sz="1100" b="0" i="1">
                        <a:solidFill>
                          <a:schemeClr val="tx1"/>
                        </a:solidFill>
                        <a:effectLst/>
                        <a:latin typeface="Cambria Math" panose="02040503050406030204" pitchFamily="18" charset="0"/>
                        <a:ea typeface="+mn-ea"/>
                        <a:cs typeface="+mn-cs"/>
                      </a:rPr>
                      <m:t>+</m:t>
                    </m:r>
                    <m:f>
                      <m:fPr>
                        <m:ctrlPr>
                          <a:rPr lang="nl-NL" sz="1100" b="0" i="1">
                            <a:solidFill>
                              <a:schemeClr val="tx1"/>
                            </a:solidFill>
                            <a:effectLst/>
                            <a:latin typeface="Cambria Math" panose="02040503050406030204" pitchFamily="18" charset="0"/>
                            <a:ea typeface="+mn-ea"/>
                            <a:cs typeface="+mn-cs"/>
                          </a:rPr>
                        </m:ctrlPr>
                      </m:fPr>
                      <m:num>
                        <m:r>
                          <a:rPr lang="nl-NL" sz="1100" b="0" i="1">
                            <a:solidFill>
                              <a:schemeClr val="tx1"/>
                            </a:solidFill>
                            <a:effectLst/>
                            <a:latin typeface="Cambria Math" panose="02040503050406030204" pitchFamily="18" charset="0"/>
                            <a:ea typeface="+mn-ea"/>
                            <a:cs typeface="+mn-cs"/>
                          </a:rPr>
                          <m:t>𝐷</m:t>
                        </m:r>
                      </m:num>
                      <m:den>
                        <m:r>
                          <a:rPr lang="nl-NL" sz="1100" b="0" i="1">
                            <a:solidFill>
                              <a:schemeClr val="tx1"/>
                            </a:solidFill>
                            <a:effectLst/>
                            <a:latin typeface="Cambria Math" panose="02040503050406030204" pitchFamily="18" charset="0"/>
                            <a:ea typeface="+mn-ea"/>
                            <a:cs typeface="+mn-cs"/>
                          </a:rPr>
                          <m:t>𝐷</m:t>
                        </m:r>
                        <m:r>
                          <a:rPr lang="nl-NL" sz="1100" b="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𝐸</m:t>
                        </m:r>
                      </m:den>
                    </m:f>
                    <m:r>
                      <a:rPr lang="nl-NL" sz="1100" b="0" i="1">
                        <a:solidFill>
                          <a:schemeClr val="tx1"/>
                        </a:solidFill>
                        <a:effectLst/>
                        <a:latin typeface="Cambria Math" panose="02040503050406030204" pitchFamily="18" charset="0"/>
                        <a:ea typeface="+mn-ea"/>
                        <a:cs typeface="+mn-cs"/>
                      </a:rPr>
                      <m:t>∗</m:t>
                    </m:r>
                    <m:d>
                      <m:dPr>
                        <m:ctrlPr>
                          <a:rPr lang="nl-NL" sz="1100" b="0" i="1">
                            <a:solidFill>
                              <a:schemeClr val="tx1"/>
                            </a:solidFill>
                            <a:effectLst/>
                            <a:latin typeface="Cambria Math" panose="02040503050406030204" pitchFamily="18" charset="0"/>
                            <a:ea typeface="+mn-ea"/>
                            <a:cs typeface="+mn-cs"/>
                          </a:rPr>
                        </m:ctrlPr>
                      </m:dPr>
                      <m:e>
                        <m:sSub>
                          <m:sSubPr>
                            <m:ctrlPr>
                              <a:rPr lang="nl-NL" sz="1100" b="0" i="1">
                                <a:solidFill>
                                  <a:schemeClr val="tx1"/>
                                </a:solidFill>
                                <a:effectLst/>
                                <a:latin typeface="Cambria Math" panose="02040503050406030204" pitchFamily="18" charset="0"/>
                                <a:ea typeface="+mn-ea"/>
                                <a:cs typeface="+mn-cs"/>
                              </a:rPr>
                            </m:ctrlPr>
                          </m:sSubPr>
                          <m:e>
                            <m:r>
                              <a:rPr lang="nl-NL" sz="1100" b="0" i="1">
                                <a:solidFill>
                                  <a:schemeClr val="tx1"/>
                                </a:solidFill>
                                <a:effectLst/>
                                <a:latin typeface="Cambria Math" panose="02040503050406030204" pitchFamily="18" charset="0"/>
                                <a:ea typeface="+mn-ea"/>
                                <a:cs typeface="+mn-cs"/>
                              </a:rPr>
                              <m:t>𝑟</m:t>
                            </m:r>
                          </m:e>
                          <m:sub>
                            <m:r>
                              <a:rPr lang="nl-NL" sz="1100" b="0" i="1">
                                <a:solidFill>
                                  <a:schemeClr val="tx1"/>
                                </a:solidFill>
                                <a:effectLst/>
                                <a:latin typeface="Cambria Math" panose="02040503050406030204" pitchFamily="18" charset="0"/>
                                <a:ea typeface="+mn-ea"/>
                                <a:cs typeface="+mn-cs"/>
                              </a:rPr>
                              <m:t>𝑓</m:t>
                            </m:r>
                          </m:sub>
                        </m:sSub>
                        <m:r>
                          <a:rPr lang="nl-NL" sz="1100" b="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𝐷𝑃</m:t>
                        </m:r>
                      </m:e>
                    </m:d>
                    <m:r>
                      <a:rPr lang="nl-NL" sz="1100" b="0" i="1">
                        <a:solidFill>
                          <a:schemeClr val="tx1"/>
                        </a:solidFill>
                        <a:effectLst/>
                        <a:latin typeface="Cambria Math" panose="02040503050406030204" pitchFamily="18" charset="0"/>
                        <a:ea typeface="+mn-ea"/>
                        <a:cs typeface="+mn-cs"/>
                      </a:rPr>
                      <m:t>∗(1−</m:t>
                    </m:r>
                    <m:r>
                      <a:rPr lang="nl-NL" sz="1100" b="0" i="1">
                        <a:solidFill>
                          <a:schemeClr val="tx1"/>
                        </a:solidFill>
                        <a:effectLst/>
                        <a:latin typeface="Cambria Math" panose="02040503050406030204" pitchFamily="18" charset="0"/>
                        <a:ea typeface="+mn-ea"/>
                        <a:cs typeface="+mn-cs"/>
                      </a:rPr>
                      <m:t>𝑇</m:t>
                    </m:r>
                    <m:r>
                      <a:rPr lang="nl-NL" sz="1100" b="0" i="1">
                        <a:solidFill>
                          <a:schemeClr val="tx1"/>
                        </a:solidFill>
                        <a:effectLst/>
                        <a:latin typeface="Cambria Math" panose="02040503050406030204" pitchFamily="18" charset="0"/>
                        <a:ea typeface="+mn-ea"/>
                        <a:cs typeface="+mn-cs"/>
                      </a:rPr>
                      <m:t>)</m:t>
                    </m:r>
                  </m:oMath>
                </m:oMathPara>
              </a14:m>
              <a:endParaRPr lang="en-US" sz="1100">
                <a:latin typeface="+mn-lt"/>
              </a:endParaRPr>
            </a:p>
          </xdr:txBody>
        </xdr:sp>
      </mc:Choice>
      <mc:Fallback xmlns="">
        <xdr:sp macro="" textlink="">
          <xdr:nvSpPr>
            <xdr:cNvPr id="12" name="TextBox 2">
              <a:extLst>
                <a:ext uri="{FF2B5EF4-FFF2-40B4-BE49-F238E27FC236}">
                  <a16:creationId xmlns:a16="http://schemas.microsoft.com/office/drawing/2014/main" id="{30E5D682-74FC-4F57-8A3A-CE89CDAA34AA}"/>
                </a:ext>
              </a:extLst>
            </xdr:cNvPr>
            <xdr:cNvSpPr txBox="1"/>
          </xdr:nvSpPr>
          <xdr:spPr>
            <a:xfrm>
              <a:off x="3177540" y="7604760"/>
              <a:ext cx="3718560" cy="412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nl-NL" sz="1100" b="0" i="0">
                  <a:solidFill>
                    <a:schemeClr val="tx1"/>
                  </a:solidFill>
                  <a:effectLst/>
                  <a:latin typeface="Cambria Math" panose="02040503050406030204" pitchFamily="18" charset="0"/>
                  <a:ea typeface="+mn-ea"/>
                  <a:cs typeface="+mn-cs"/>
                </a:rPr>
                <a:t>𝐸</a:t>
              </a:r>
              <a:r>
                <a:rPr lang="en-US" sz="1100" b="0" i="0">
                  <a:solidFill>
                    <a:schemeClr val="tx1"/>
                  </a:solidFill>
                  <a:effectLst/>
                  <a:latin typeface="Cambria Math" panose="02040503050406030204" pitchFamily="18" charset="0"/>
                  <a:ea typeface="+mn-ea"/>
                  <a:cs typeface="+mn-cs"/>
                </a:rPr>
                <a:t>/(</a:t>
              </a:r>
              <a:r>
                <a:rPr lang="nl-NL" sz="1100" b="0" i="0">
                  <a:solidFill>
                    <a:schemeClr val="tx1"/>
                  </a:solidFill>
                  <a:effectLst/>
                  <a:latin typeface="Cambria Math" panose="02040503050406030204" pitchFamily="18" charset="0"/>
                  <a:ea typeface="+mn-ea"/>
                  <a:cs typeface="+mn-cs"/>
                </a:rPr>
                <a:t>𝐷+𝐸</a:t>
              </a:r>
              <a:r>
                <a:rPr lang="en-US" sz="1100" b="0" i="0">
                  <a:solidFill>
                    <a:schemeClr val="tx1"/>
                  </a:solidFill>
                  <a:effectLst/>
                  <a:latin typeface="Cambria Math" panose="02040503050406030204" pitchFamily="18" charset="0"/>
                  <a:ea typeface="+mn-ea"/>
                  <a:cs typeface="+mn-cs"/>
                </a:rPr>
                <a:t>)</a:t>
              </a:r>
              <a:r>
                <a:rPr lang="en-GB" sz="1100" i="0">
                  <a:solidFill>
                    <a:schemeClr val="tx1"/>
                  </a:solidFill>
                  <a:effectLst/>
                  <a:latin typeface="Cambria Math" panose="02040503050406030204" pitchFamily="18" charset="0"/>
                  <a:ea typeface="+mn-ea"/>
                  <a:cs typeface="+mn-cs"/>
                </a:rPr>
                <a:t>∗</a:t>
              </a:r>
              <a:r>
                <a:rPr lang="en-US" sz="1100" i="0">
                  <a:solidFill>
                    <a:schemeClr val="tx1"/>
                  </a:solidFill>
                  <a:effectLst/>
                  <a:latin typeface="Cambria Math" panose="02040503050406030204" pitchFamily="18" charset="0"/>
                  <a:ea typeface="+mn-ea"/>
                  <a:cs typeface="+mn-cs"/>
                </a:rPr>
                <a:t>(</a:t>
              </a:r>
              <a:r>
                <a:rPr lang="nl-NL" sz="1100" b="0" i="0">
                  <a:solidFill>
                    <a:schemeClr val="tx1"/>
                  </a:solidFill>
                  <a:effectLst/>
                  <a:latin typeface="Cambria Math" panose="02040503050406030204" pitchFamily="18" charset="0"/>
                  <a:ea typeface="+mn-ea"/>
                  <a:cs typeface="+mn-cs"/>
                </a:rPr>
                <a:t>𝑟_𝑓+</a:t>
              </a:r>
              <a:r>
                <a:rPr lang="nl-NL" sz="1100" b="0" i="0">
                  <a:solidFill>
                    <a:schemeClr val="tx1"/>
                  </a:solidFill>
                  <a:effectLst/>
                  <a:latin typeface="Cambria Math" panose="02040503050406030204" pitchFamily="18" charset="0"/>
                  <a:ea typeface="Cambria Math" panose="02040503050406030204" pitchFamily="18" charset="0"/>
                  <a:cs typeface="+mn-cs"/>
                </a:rPr>
                <a:t>𝛽∗𝐸𝑅𝑃</a:t>
              </a:r>
              <a:r>
                <a:rPr lang="fr-FR" sz="1100" b="0" i="0">
                  <a:solidFill>
                    <a:schemeClr val="tx1"/>
                  </a:solidFill>
                  <a:effectLst/>
                  <a:latin typeface="Cambria Math" panose="02040503050406030204" pitchFamily="18" charset="0"/>
                  <a:ea typeface="+mn-ea"/>
                  <a:cs typeface="+mn-cs"/>
                </a:rPr>
                <a:t>)</a:t>
              </a:r>
              <a:r>
                <a:rPr lang="nl-NL" sz="1100" b="0" i="0">
                  <a:solidFill>
                    <a:schemeClr val="tx1"/>
                  </a:solidFill>
                  <a:effectLst/>
                  <a:latin typeface="Cambria Math" panose="02040503050406030204" pitchFamily="18" charset="0"/>
                  <a:ea typeface="+mn-ea"/>
                  <a:cs typeface="+mn-cs"/>
                </a:rPr>
                <a:t>+𝐷/(𝐷+𝐸)∗(𝑟_𝑓+𝐷𝑃)∗(1−𝑇)</a:t>
              </a:r>
              <a:endParaRPr lang="en-US" sz="1100">
                <a:latin typeface="+mn-lt"/>
              </a:endParaRPr>
            </a:p>
          </xdr:txBody>
        </xdr:sp>
      </mc:Fallback>
    </mc:AlternateContent>
    <xdr:clientData/>
  </xdr:oneCellAnchor>
  <xdr:oneCellAnchor>
    <xdr:from>
      <xdr:col>3</xdr:col>
      <xdr:colOff>131445</xdr:colOff>
      <xdr:row>22</xdr:row>
      <xdr:rowOff>0</xdr:rowOff>
    </xdr:from>
    <xdr:ext cx="607695" cy="423834"/>
    <mc:AlternateContent xmlns:mc="http://schemas.openxmlformats.org/markup-compatibility/2006" xmlns:a14="http://schemas.microsoft.com/office/drawing/2010/main">
      <mc:Choice Requires="a14">
        <xdr:sp macro="" textlink="">
          <xdr:nvSpPr>
            <xdr:cNvPr id="13" name="TextBox 2">
              <a:extLst>
                <a:ext uri="{FF2B5EF4-FFF2-40B4-BE49-F238E27FC236}">
                  <a16:creationId xmlns:a16="http://schemas.microsoft.com/office/drawing/2014/main" id="{33E18E46-B757-4589-AA25-E27DDD547298}"/>
                </a:ext>
              </a:extLst>
            </xdr:cNvPr>
            <xdr:cNvSpPr txBox="1"/>
          </xdr:nvSpPr>
          <xdr:spPr>
            <a:xfrm>
              <a:off x="3308985" y="5928360"/>
              <a:ext cx="607695" cy="423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f>
                      <m:fPr>
                        <m:ctrlPr>
                          <a:rPr lang="en-US" sz="1100" i="1">
                            <a:solidFill>
                              <a:schemeClr val="tx1"/>
                            </a:solidFill>
                            <a:effectLst/>
                            <a:latin typeface="Cambria Math" panose="02040503050406030204" pitchFamily="18" charset="0"/>
                            <a:ea typeface="+mn-ea"/>
                            <a:cs typeface="+mn-cs"/>
                          </a:rPr>
                        </m:ctrlPr>
                      </m:fPr>
                      <m:num>
                        <m:r>
                          <a:rPr lang="nl-NL" sz="1100" b="0" i="1">
                            <a:solidFill>
                              <a:schemeClr val="tx1"/>
                            </a:solidFill>
                            <a:effectLst/>
                            <a:latin typeface="Cambria Math" panose="02040503050406030204" pitchFamily="18" charset="0"/>
                            <a:ea typeface="+mn-ea"/>
                            <a:cs typeface="+mn-cs"/>
                          </a:rPr>
                          <m:t>𝐸</m:t>
                        </m:r>
                      </m:num>
                      <m:den>
                        <m:r>
                          <a:rPr lang="nl-NL" sz="1100" b="0" i="1">
                            <a:solidFill>
                              <a:schemeClr val="tx1"/>
                            </a:solidFill>
                            <a:effectLst/>
                            <a:latin typeface="Cambria Math" panose="02040503050406030204" pitchFamily="18" charset="0"/>
                            <a:ea typeface="+mn-ea"/>
                            <a:cs typeface="+mn-cs"/>
                          </a:rPr>
                          <m:t>𝐷</m:t>
                        </m:r>
                        <m:r>
                          <a:rPr lang="nl-NL" sz="1100" b="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𝐸</m:t>
                        </m:r>
                      </m:den>
                    </m:f>
                  </m:oMath>
                </m:oMathPara>
              </a14:m>
              <a:endParaRPr lang="en-US" sz="1100">
                <a:latin typeface="+mn-lt"/>
              </a:endParaRPr>
            </a:p>
          </xdr:txBody>
        </xdr:sp>
      </mc:Choice>
      <mc:Fallback xmlns="">
        <xdr:sp macro="" textlink="">
          <xdr:nvSpPr>
            <xdr:cNvPr id="13" name="TextBox 2">
              <a:extLst>
                <a:ext uri="{FF2B5EF4-FFF2-40B4-BE49-F238E27FC236}">
                  <a16:creationId xmlns:a16="http://schemas.microsoft.com/office/drawing/2014/main" id="{33E18E46-B757-4589-AA25-E27DDD547298}"/>
                </a:ext>
              </a:extLst>
            </xdr:cNvPr>
            <xdr:cNvSpPr txBox="1"/>
          </xdr:nvSpPr>
          <xdr:spPr>
            <a:xfrm>
              <a:off x="3308985" y="5928360"/>
              <a:ext cx="607695" cy="423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nl-NL" sz="1100" b="0" i="0">
                  <a:solidFill>
                    <a:schemeClr val="tx1"/>
                  </a:solidFill>
                  <a:effectLst/>
                  <a:latin typeface="Cambria Math" panose="02040503050406030204" pitchFamily="18" charset="0"/>
                  <a:ea typeface="+mn-ea"/>
                  <a:cs typeface="+mn-cs"/>
                </a:rPr>
                <a:t>𝐸</a:t>
              </a:r>
              <a:r>
                <a:rPr lang="en-US" sz="1100" b="0" i="0">
                  <a:solidFill>
                    <a:schemeClr val="tx1"/>
                  </a:solidFill>
                  <a:effectLst/>
                  <a:latin typeface="Cambria Math" panose="02040503050406030204" pitchFamily="18" charset="0"/>
                  <a:ea typeface="+mn-ea"/>
                  <a:cs typeface="+mn-cs"/>
                </a:rPr>
                <a:t>/(</a:t>
              </a:r>
              <a:r>
                <a:rPr lang="nl-NL" sz="1100" b="0" i="0">
                  <a:solidFill>
                    <a:schemeClr val="tx1"/>
                  </a:solidFill>
                  <a:effectLst/>
                  <a:latin typeface="Cambria Math" panose="02040503050406030204" pitchFamily="18" charset="0"/>
                  <a:ea typeface="+mn-ea"/>
                  <a:cs typeface="+mn-cs"/>
                </a:rPr>
                <a:t>𝐷+𝐸</a:t>
              </a:r>
              <a:r>
                <a:rPr lang="en-US" sz="1100" b="0" i="0">
                  <a:solidFill>
                    <a:schemeClr val="tx1"/>
                  </a:solidFill>
                  <a:effectLst/>
                  <a:latin typeface="Cambria Math" panose="02040503050406030204" pitchFamily="18" charset="0"/>
                  <a:ea typeface="+mn-ea"/>
                  <a:cs typeface="+mn-cs"/>
                </a:rPr>
                <a:t>)</a:t>
              </a:r>
              <a:endParaRPr lang="en-US" sz="1100">
                <a:latin typeface="+mn-lt"/>
              </a:endParaRPr>
            </a:p>
          </xdr:txBody>
        </xdr:sp>
      </mc:Fallback>
    </mc:AlternateContent>
    <xdr:clientData/>
  </xdr:oneCellAnchor>
  <xdr:oneCellAnchor>
    <xdr:from>
      <xdr:col>3</xdr:col>
      <xdr:colOff>114300</xdr:colOff>
      <xdr:row>24</xdr:row>
      <xdr:rowOff>0</xdr:rowOff>
    </xdr:from>
    <xdr:ext cx="607695" cy="423834"/>
    <mc:AlternateContent xmlns:mc="http://schemas.openxmlformats.org/markup-compatibility/2006" xmlns:a14="http://schemas.microsoft.com/office/drawing/2010/main">
      <mc:Choice Requires="a14">
        <xdr:sp macro="" textlink="">
          <xdr:nvSpPr>
            <xdr:cNvPr id="14" name="TextBox 2">
              <a:extLst>
                <a:ext uri="{FF2B5EF4-FFF2-40B4-BE49-F238E27FC236}">
                  <a16:creationId xmlns:a16="http://schemas.microsoft.com/office/drawing/2014/main" id="{40737E3B-0D29-4B39-B969-006B775B4309}"/>
                </a:ext>
              </a:extLst>
            </xdr:cNvPr>
            <xdr:cNvSpPr txBox="1"/>
          </xdr:nvSpPr>
          <xdr:spPr>
            <a:xfrm>
              <a:off x="3291840" y="6766560"/>
              <a:ext cx="607695" cy="423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f>
                      <m:fPr>
                        <m:ctrlPr>
                          <a:rPr lang="en-US" sz="1100" i="1">
                            <a:solidFill>
                              <a:schemeClr val="tx1"/>
                            </a:solidFill>
                            <a:effectLst/>
                            <a:latin typeface="Cambria Math" panose="02040503050406030204" pitchFamily="18" charset="0"/>
                            <a:ea typeface="+mn-ea"/>
                            <a:cs typeface="+mn-cs"/>
                          </a:rPr>
                        </m:ctrlPr>
                      </m:fPr>
                      <m:num>
                        <m:r>
                          <a:rPr lang="nl-NL" sz="1100" b="0" i="1">
                            <a:solidFill>
                              <a:schemeClr val="tx1"/>
                            </a:solidFill>
                            <a:effectLst/>
                            <a:latin typeface="Cambria Math" panose="02040503050406030204" pitchFamily="18" charset="0"/>
                            <a:ea typeface="+mn-ea"/>
                            <a:cs typeface="+mn-cs"/>
                          </a:rPr>
                          <m:t>𝐷</m:t>
                        </m:r>
                      </m:num>
                      <m:den>
                        <m:r>
                          <a:rPr lang="nl-NL" sz="1100" b="0" i="1">
                            <a:solidFill>
                              <a:schemeClr val="tx1"/>
                            </a:solidFill>
                            <a:effectLst/>
                            <a:latin typeface="Cambria Math" panose="02040503050406030204" pitchFamily="18" charset="0"/>
                            <a:ea typeface="+mn-ea"/>
                            <a:cs typeface="+mn-cs"/>
                          </a:rPr>
                          <m:t>𝐷</m:t>
                        </m:r>
                        <m:r>
                          <a:rPr lang="nl-NL" sz="1100" b="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𝐸</m:t>
                        </m:r>
                      </m:den>
                    </m:f>
                  </m:oMath>
                </m:oMathPara>
              </a14:m>
              <a:endParaRPr lang="en-US" sz="1100">
                <a:latin typeface="+mn-lt"/>
              </a:endParaRPr>
            </a:p>
          </xdr:txBody>
        </xdr:sp>
      </mc:Choice>
      <mc:Fallback xmlns="">
        <xdr:sp macro="" textlink="">
          <xdr:nvSpPr>
            <xdr:cNvPr id="14" name="TextBox 2">
              <a:extLst>
                <a:ext uri="{FF2B5EF4-FFF2-40B4-BE49-F238E27FC236}">
                  <a16:creationId xmlns:a16="http://schemas.microsoft.com/office/drawing/2014/main" id="{40737E3B-0D29-4B39-B969-006B775B4309}"/>
                </a:ext>
              </a:extLst>
            </xdr:cNvPr>
            <xdr:cNvSpPr txBox="1"/>
          </xdr:nvSpPr>
          <xdr:spPr>
            <a:xfrm>
              <a:off x="3291840" y="6766560"/>
              <a:ext cx="607695" cy="423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nl-NL" sz="1100" b="0" i="0">
                  <a:solidFill>
                    <a:schemeClr val="tx1"/>
                  </a:solidFill>
                  <a:effectLst/>
                  <a:latin typeface="Cambria Math" panose="02040503050406030204" pitchFamily="18" charset="0"/>
                  <a:ea typeface="+mn-ea"/>
                  <a:cs typeface="+mn-cs"/>
                </a:rPr>
                <a:t>𝐷</a:t>
              </a:r>
              <a:r>
                <a:rPr lang="en-US" sz="1100" b="0" i="0">
                  <a:solidFill>
                    <a:schemeClr val="tx1"/>
                  </a:solidFill>
                  <a:effectLst/>
                  <a:latin typeface="Cambria Math" panose="02040503050406030204" pitchFamily="18" charset="0"/>
                  <a:ea typeface="+mn-ea"/>
                  <a:cs typeface="+mn-cs"/>
                </a:rPr>
                <a:t>/(</a:t>
              </a:r>
              <a:r>
                <a:rPr lang="nl-NL" sz="1100" b="0" i="0">
                  <a:solidFill>
                    <a:schemeClr val="tx1"/>
                  </a:solidFill>
                  <a:effectLst/>
                  <a:latin typeface="Cambria Math" panose="02040503050406030204" pitchFamily="18" charset="0"/>
                  <a:ea typeface="+mn-ea"/>
                  <a:cs typeface="+mn-cs"/>
                </a:rPr>
                <a:t>𝐷+𝐸</a:t>
              </a:r>
              <a:r>
                <a:rPr lang="en-US" sz="1100" b="0" i="0">
                  <a:solidFill>
                    <a:schemeClr val="tx1"/>
                  </a:solidFill>
                  <a:effectLst/>
                  <a:latin typeface="Cambria Math" panose="02040503050406030204" pitchFamily="18" charset="0"/>
                  <a:ea typeface="+mn-ea"/>
                  <a:cs typeface="+mn-cs"/>
                </a:rPr>
                <a:t>)</a:t>
              </a:r>
              <a:endParaRPr lang="en-US" sz="1100">
                <a:latin typeface="+mn-lt"/>
              </a:endParaRPr>
            </a:p>
          </xdr:txBody>
        </xdr:sp>
      </mc:Fallback>
    </mc:AlternateContent>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vertOverflow="clip" horzOverflow="clip" wrap="square" rtlCol="0" anchor="t">
        <a:spAutoFit/>
      </a:bodyPr>
      <a:lstStyle>
        <a:defPPr marL="0" marR="0" indent="0" algn="l" defTabSz="914400" eaLnBrk="1" fontAlgn="auto" latinLnBrk="0" hangingPunct="1">
          <a:lnSpc>
            <a:spcPct val="100000"/>
          </a:lnSpc>
          <a:spcBef>
            <a:spcPts val="0"/>
          </a:spcBef>
          <a:spcAft>
            <a:spcPts val="0"/>
          </a:spcAft>
          <a:buClrTx/>
          <a:buSzTx/>
          <a:buFontTx/>
          <a:buNone/>
          <a:tabLst/>
          <a:defRPr sz="1100" i="1">
            <a:solidFill>
              <a:schemeClr val="tx1"/>
            </a:solidFill>
            <a:effectLst/>
            <a:latin typeface="Cambria Math" panose="02040503050406030204" pitchFamily="18" charset="0"/>
            <a:ea typeface="+mn-ea"/>
            <a:cs typeface="+mn-cs"/>
          </a:defRPr>
        </a:defPPr>
      </a:lstStyle>
      <a:style>
        <a:lnRef idx="0">
          <a:scrgbClr r="0" g="0" b="0"/>
        </a:lnRef>
        <a:fillRef idx="0">
          <a:scrgbClr r="0" g="0" b="0"/>
        </a:fillRef>
        <a:effectRef idx="0">
          <a:scrgbClr r="0" g="0" b="0"/>
        </a:effectRef>
        <a:fontRef idx="minor">
          <a:schemeClr val="tx1"/>
        </a:fontRef>
      </a:style>
    </a:txDef>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hyperlink" Target="https://indialogue.io/clients/reports/public/5d9da61986db2894649a7ef2/5d9da63386db2894649a7ef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60C0B-AFBC-44EE-9B43-B442267A186E}">
  <sheetPr>
    <tabColor theme="4"/>
    <pageSetUpPr autoPageBreaks="0"/>
  </sheetPr>
  <dimension ref="A1:D25"/>
  <sheetViews>
    <sheetView tabSelected="1" zoomScaleNormal="100" workbookViewId="0"/>
  </sheetViews>
  <sheetFormatPr defaultColWidth="0" defaultRowHeight="15" zeroHeight="1" x14ac:dyDescent="0.25"/>
  <cols>
    <col min="1" max="1" width="2.85546875" style="3" customWidth="1"/>
    <col min="2" max="2" width="28.7109375" style="3" bestFit="1" customWidth="1"/>
    <col min="3" max="3" width="99.5703125" style="3" customWidth="1"/>
    <col min="4" max="4" width="2.85546875" style="3" customWidth="1"/>
    <col min="5" max="16384" width="9.28515625" style="3" hidden="1"/>
  </cols>
  <sheetData>
    <row r="1" spans="2:3" ht="28.5" x14ac:dyDescent="0.45">
      <c r="B1" s="59" t="s">
        <v>164</v>
      </c>
    </row>
    <row r="2" spans="2:3" x14ac:dyDescent="0.25"/>
    <row r="3" spans="2:3" x14ac:dyDescent="0.25">
      <c r="B3" s="11" t="s">
        <v>162</v>
      </c>
    </row>
    <row r="4" spans="2:3" x14ac:dyDescent="0.25">
      <c r="B4" s="14" t="s">
        <v>134</v>
      </c>
      <c r="C4" s="14" t="s">
        <v>135</v>
      </c>
    </row>
    <row r="5" spans="2:3" ht="21" customHeight="1" x14ac:dyDescent="0.25">
      <c r="B5" s="15" t="s">
        <v>58</v>
      </c>
      <c r="C5" s="15" t="s">
        <v>136</v>
      </c>
    </row>
    <row r="6" spans="2:3" ht="21" customHeight="1" x14ac:dyDescent="0.25">
      <c r="B6" s="16" t="s">
        <v>142</v>
      </c>
      <c r="C6" s="16" t="s">
        <v>143</v>
      </c>
    </row>
    <row r="7" spans="2:3" ht="21" customHeight="1" x14ac:dyDescent="0.25">
      <c r="B7" s="17" t="s">
        <v>59</v>
      </c>
      <c r="C7" s="17" t="s">
        <v>137</v>
      </c>
    </row>
    <row r="8" spans="2:3" ht="21" customHeight="1" x14ac:dyDescent="0.25">
      <c r="B8" s="128" t="s">
        <v>133</v>
      </c>
      <c r="C8" s="128" t="s">
        <v>138</v>
      </c>
    </row>
    <row r="9" spans="2:3" ht="22.5" customHeight="1" x14ac:dyDescent="0.25">
      <c r="B9" s="21" t="s">
        <v>147</v>
      </c>
      <c r="C9" s="21" t="s">
        <v>148</v>
      </c>
    </row>
    <row r="10" spans="2:3" x14ac:dyDescent="0.25">
      <c r="B10" s="7"/>
      <c r="C10" s="7"/>
    </row>
    <row r="11" spans="2:3" x14ac:dyDescent="0.25">
      <c r="B11" s="11" t="s">
        <v>161</v>
      </c>
    </row>
    <row r="12" spans="2:3" x14ac:dyDescent="0.25">
      <c r="B12" s="14" t="s">
        <v>163</v>
      </c>
      <c r="C12" s="14" t="s">
        <v>135</v>
      </c>
    </row>
    <row r="13" spans="2:3" x14ac:dyDescent="0.25">
      <c r="B13" s="128" t="s">
        <v>164</v>
      </c>
      <c r="C13" s="128" t="s">
        <v>169</v>
      </c>
    </row>
    <row r="14" spans="2:3" x14ac:dyDescent="0.25">
      <c r="B14" s="194" t="s">
        <v>149</v>
      </c>
      <c r="C14" s="127" t="s">
        <v>287</v>
      </c>
    </row>
    <row r="15" spans="2:3" x14ac:dyDescent="0.25">
      <c r="B15" s="193" t="s">
        <v>279</v>
      </c>
      <c r="C15" s="171" t="s">
        <v>231</v>
      </c>
    </row>
    <row r="16" spans="2:3" x14ac:dyDescent="0.25">
      <c r="B16" s="193" t="s">
        <v>280</v>
      </c>
      <c r="C16" s="171" t="s">
        <v>232</v>
      </c>
    </row>
    <row r="17" spans="2:3" x14ac:dyDescent="0.25">
      <c r="B17" s="193" t="s">
        <v>281</v>
      </c>
      <c r="C17" s="171" t="s">
        <v>233</v>
      </c>
    </row>
    <row r="18" spans="2:3" x14ac:dyDescent="0.25">
      <c r="B18" s="193" t="s">
        <v>282</v>
      </c>
      <c r="C18" s="171" t="s">
        <v>234</v>
      </c>
    </row>
    <row r="19" spans="2:3" x14ac:dyDescent="0.25">
      <c r="B19" s="193" t="s">
        <v>283</v>
      </c>
      <c r="C19" s="171" t="s">
        <v>237</v>
      </c>
    </row>
    <row r="20" spans="2:3" x14ac:dyDescent="0.25">
      <c r="B20" s="193" t="s">
        <v>284</v>
      </c>
      <c r="C20" s="171" t="s">
        <v>235</v>
      </c>
    </row>
    <row r="21" spans="2:3" x14ac:dyDescent="0.25">
      <c r="B21" s="193" t="s">
        <v>285</v>
      </c>
      <c r="C21" s="171" t="s">
        <v>236</v>
      </c>
    </row>
    <row r="22" spans="2:3" x14ac:dyDescent="0.25">
      <c r="B22" s="193" t="s">
        <v>286</v>
      </c>
      <c r="C22" s="171" t="s">
        <v>238</v>
      </c>
    </row>
    <row r="23" spans="2:3" x14ac:dyDescent="0.25">
      <c r="B23" s="195" t="s">
        <v>165</v>
      </c>
      <c r="C23" s="172" t="s">
        <v>253</v>
      </c>
    </row>
    <row r="24" spans="2:3" x14ac:dyDescent="0.25">
      <c r="B24" s="196" t="s">
        <v>166</v>
      </c>
      <c r="C24" s="173" t="s">
        <v>168</v>
      </c>
    </row>
    <row r="25" spans="2:3" x14ac:dyDescent="0.25"/>
  </sheetData>
  <sheetProtection algorithmName="SHA-512" hashValue="ffC50wnZgBHHUAS5tJK/Y56AbmpcGocS3WExbtAP5193knSzrCagT3/Qj632pLX2fcxCzIMgYllPoNjYg0xO2w==" saltValue="B09WHRRrwimeudErOuX62g==" spinCount="100000" sheet="1" objects="1" scenarios="1"/>
  <hyperlinks>
    <hyperlink ref="B14" location="'Benodigde subsidie'!A1" tooltip="Ga naar Benodigde subsidie" display="Benodigde subsidie" xr:uid="{4640D953-9C40-4986-BFEB-D73DA620EACD}"/>
    <hyperlink ref="B15" location="'1 Econ. levensduur'!A1" tooltip="Ga naar Stap 1" display="1 Econ. levensduur" xr:uid="{5E1193FE-EBD5-42CE-9CF5-8D2B965E9C80}"/>
    <hyperlink ref="B16" location="'2 Investeringskosten'!A1" tooltip="Ga naar Stap 2" display="2 Investeringskosten" xr:uid="{16E9B09B-4D5C-43DB-9D8F-6AE6BFB650B4}"/>
    <hyperlink ref="B17" location="'3 Omzet'!A1" tooltip="Ga naar Stap 3" display="3 Omzet" xr:uid="{49B06B93-FAC2-44B2-A7E8-620A56BDD5B6}"/>
    <hyperlink ref="B18" location="'4a Exploitatiekosten'!A1" tooltip="Ga naar Stap 4a" display="4a Exploitatiekosten" xr:uid="{EFB0A23E-1FA1-4686-AB86-2F9A3EE8EA19}"/>
    <hyperlink ref="B19" location="'4b Energiekosten'!A1" tooltip="Ga naar Stap 4b" display="4b Energiekosten" xr:uid="{BCB63D6F-B58C-492A-980D-070B88E7315B}"/>
    <hyperlink ref="B20" location="'5 Operationele voordelen'!A1" tooltip="Ga naar Stap 5" display="5 Operationele voordelen" xr:uid="{E8387FAB-E514-44BA-BE51-790B1E367A91}"/>
    <hyperlink ref="B21" location="'6 WACC'!A1" tooltip="Ga naar Stap 6" display="6 WACC" xr:uid="{F674A092-7BBA-4BF6-AF57-4A95CDF8D452}"/>
    <hyperlink ref="B22" location="'7 Overige subsidies '!A1" tooltip="Ga naar Stap 7" display="7 Overige subsidies" xr:uid="{72E9FFC7-E8D6-45CA-8240-2B18D324E080}"/>
    <hyperlink ref="B23" location="'CW operationele kasstromen'!A1" tooltip="Ga naar CW operationele kasstromen" display="CW operationele kasstromen" xr:uid="{8DED6650-EB93-40A4-921E-2F8E0798F5CE}"/>
    <hyperlink ref="B24" location="'Vastgestelde parameters'!A1" tooltip="Ga naar Vastgestelde parameters" display="Vastgestelde parameters" xr:uid="{34CD43C7-CCA6-4A6A-9E05-2120F522530D}"/>
  </hyperlinks>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9B7ED-7BC5-4E2F-ACCD-8149419683DC}">
  <sheetPr>
    <tabColor theme="9" tint="-0.249977111117893"/>
    <pageSetUpPr autoPageBreaks="0"/>
  </sheetPr>
  <dimension ref="A1:E9"/>
  <sheetViews>
    <sheetView zoomScaleNormal="100" workbookViewId="0"/>
  </sheetViews>
  <sheetFormatPr defaultColWidth="0" defaultRowHeight="15" zeroHeight="1" x14ac:dyDescent="0.25"/>
  <cols>
    <col min="1" max="1" width="2.85546875" style="3" customWidth="1"/>
    <col min="2" max="2" width="62.85546875" style="3" customWidth="1"/>
    <col min="3" max="3" width="24.42578125" style="82" customWidth="1"/>
    <col min="4" max="4" width="84.7109375" style="3" customWidth="1"/>
    <col min="5" max="5" width="2.85546875" style="3" customWidth="1"/>
    <col min="6" max="16384" width="9.28515625" style="3" hidden="1"/>
  </cols>
  <sheetData>
    <row r="1" spans="2:4" ht="28.5" x14ac:dyDescent="0.45">
      <c r="B1" s="59" t="s">
        <v>288</v>
      </c>
    </row>
    <row r="2" spans="2:4" x14ac:dyDescent="0.25"/>
    <row r="3" spans="2:4" x14ac:dyDescent="0.25">
      <c r="B3" s="14" t="s">
        <v>140</v>
      </c>
      <c r="C3" s="14" t="s">
        <v>139</v>
      </c>
      <c r="D3" s="14" t="s">
        <v>141</v>
      </c>
    </row>
    <row r="4" spans="2:4" ht="30" customHeight="1" x14ac:dyDescent="0.25">
      <c r="B4" s="19" t="s">
        <v>341</v>
      </c>
      <c r="C4" s="20">
        <f>+Investeringskosten</f>
        <v>0</v>
      </c>
      <c r="D4" s="53" t="s">
        <v>289</v>
      </c>
    </row>
    <row r="5" spans="2:4" ht="52.5" customHeight="1" x14ac:dyDescent="0.25">
      <c r="B5" s="19" t="s">
        <v>51</v>
      </c>
      <c r="C5" s="20" t="e">
        <f>+CW_kasstroom</f>
        <v>#VALUE!</v>
      </c>
      <c r="D5" s="53" t="s">
        <v>290</v>
      </c>
    </row>
    <row r="6" spans="2:4" ht="67.5" customHeight="1" x14ac:dyDescent="0.25">
      <c r="B6" s="19" t="s">
        <v>276</v>
      </c>
      <c r="C6" s="20">
        <f>+Europese_Subsidie+Geschatte_totale_EIA</f>
        <v>0</v>
      </c>
      <c r="D6" s="51" t="s">
        <v>291</v>
      </c>
    </row>
    <row r="7" spans="2:4" ht="34.5" customHeight="1" x14ac:dyDescent="0.25">
      <c r="B7" s="18" t="s">
        <v>149</v>
      </c>
      <c r="C7" s="52" t="e">
        <f>+C4-SUM(C5,C6)</f>
        <v>#VALUE!</v>
      </c>
      <c r="D7" s="53"/>
    </row>
    <row r="8" spans="2:4" x14ac:dyDescent="0.25"/>
    <row r="9" spans="2:4" hidden="1" x14ac:dyDescent="0.25">
      <c r="B9" s="81"/>
    </row>
  </sheetData>
  <sheetProtection algorithmName="SHA-512" hashValue="zvn582+KX/OqNvhv5s9X42AX+8+OJ5N/O248OzCgL7AhJffLW/Af69JY/VJ9Yt5u+m9Se/xwFFmCPyv61bNscg==" saltValue="lqblts5M419azzUYProSZQ=="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8F49C-F0CA-48F0-ABBE-4B793583D1ED}">
  <sheetPr>
    <tabColor rgb="FFFFFF00"/>
    <pageSetUpPr autoPageBreaks="0"/>
  </sheetPr>
  <dimension ref="A1:F49"/>
  <sheetViews>
    <sheetView zoomScaleNormal="100" workbookViewId="0"/>
  </sheetViews>
  <sheetFormatPr defaultColWidth="0" defaultRowHeight="15" zeroHeight="1" x14ac:dyDescent="0.25"/>
  <cols>
    <col min="1" max="1" width="4.5703125" style="3" customWidth="1"/>
    <col min="2" max="2" width="71.28515625" style="3" customWidth="1"/>
    <col min="3" max="3" width="23.5703125" style="3" customWidth="1"/>
    <col min="4" max="4" width="70.5703125" style="3" customWidth="1"/>
    <col min="5" max="5" width="69.28515625" style="3" customWidth="1"/>
    <col min="6" max="6" width="2.85546875" style="3" customWidth="1"/>
    <col min="7" max="16384" width="9.28515625" style="3" hidden="1"/>
  </cols>
  <sheetData>
    <row r="1" spans="2:5" ht="28.5" x14ac:dyDescent="0.45">
      <c r="B1" s="59" t="s">
        <v>150</v>
      </c>
    </row>
    <row r="2" spans="2:5" x14ac:dyDescent="0.25"/>
    <row r="3" spans="2:5" s="146" customFormat="1" ht="19.5" customHeight="1" x14ac:dyDescent="0.25">
      <c r="B3" s="153" t="s">
        <v>293</v>
      </c>
      <c r="C3" s="153"/>
      <c r="D3" s="153"/>
      <c r="E3" s="153"/>
    </row>
    <row r="4" spans="2:5" s="146" customFormat="1" ht="19.5" customHeight="1" x14ac:dyDescent="0.25">
      <c r="B4" s="153" t="s">
        <v>239</v>
      </c>
      <c r="C4" s="153"/>
      <c r="D4" s="153"/>
      <c r="E4" s="153"/>
    </row>
    <row r="5" spans="2:5" s="146" customFormat="1" ht="19.5" customHeight="1" x14ac:dyDescent="0.25">
      <c r="B5" s="153" t="s">
        <v>240</v>
      </c>
      <c r="C5" s="153"/>
      <c r="D5" s="153"/>
      <c r="E5" s="153"/>
    </row>
    <row r="6" spans="2:5" s="146" customFormat="1" ht="19.5" customHeight="1" x14ac:dyDescent="0.25">
      <c r="B6" s="153" t="s">
        <v>294</v>
      </c>
      <c r="C6" s="153"/>
      <c r="D6" s="153"/>
      <c r="E6" s="153"/>
    </row>
    <row r="7" spans="2:5" x14ac:dyDescent="0.25"/>
    <row r="8" spans="2:5" x14ac:dyDescent="0.25"/>
    <row r="9" spans="2:5" ht="15.75" x14ac:dyDescent="0.25">
      <c r="B9" s="34" t="s">
        <v>10</v>
      </c>
      <c r="C9" s="34" t="s">
        <v>2</v>
      </c>
      <c r="D9" s="34" t="s">
        <v>157</v>
      </c>
      <c r="E9" s="34" t="s">
        <v>57</v>
      </c>
    </row>
    <row r="10" spans="2:5" ht="15.75" x14ac:dyDescent="0.25">
      <c r="B10" s="177" t="s">
        <v>145</v>
      </c>
      <c r="C10" s="83">
        <v>2027</v>
      </c>
      <c r="D10" s="83"/>
      <c r="E10" s="179" t="str">
        <f>IF(AND(start_realisatie&lt;&gt;"",OR(start_realisatie&gt;subsidiejaar+1,start_realisatie&lt;subsidiejaar)),"Start moet binnen 1 jaar na toekenning subsidie plaatsvinden","")</f>
        <v/>
      </c>
    </row>
    <row r="11" spans="2:5" ht="15.75" x14ac:dyDescent="0.25">
      <c r="B11" s="178" t="s">
        <v>295</v>
      </c>
      <c r="C11" s="83">
        <v>2031</v>
      </c>
      <c r="D11" s="83"/>
      <c r="E11" s="179" t="str">
        <f>IF(OR(start_operatie&gt;start_realisatie+4,start_operatie&lt;start_realisatie),"Start exploitatiefase moet binnen 4 jaar na start NIKI-project zijn","")</f>
        <v/>
      </c>
    </row>
    <row r="12" spans="2:5" ht="15.75" x14ac:dyDescent="0.25">
      <c r="B12" s="178" t="s">
        <v>146</v>
      </c>
      <c r="C12" s="83">
        <v>20</v>
      </c>
      <c r="D12" s="83"/>
      <c r="E12" s="179" t="str">
        <f>IF(AND(start_realisatie&lt;&gt;0,_Econ_levensduur&lt;20),"Levensduur is minimaal 20 jaar","")</f>
        <v/>
      </c>
    </row>
    <row r="13" spans="2:5" ht="15.75" x14ac:dyDescent="0.25">
      <c r="B13" s="54"/>
      <c r="C13" s="54"/>
      <c r="D13" s="54"/>
      <c r="E13" s="54"/>
    </row>
    <row r="14" spans="2:5" ht="15.75" x14ac:dyDescent="0.25">
      <c r="B14" s="58"/>
      <c r="C14" s="54"/>
      <c r="D14" s="54"/>
      <c r="E14" s="54"/>
    </row>
    <row r="15" spans="2:5" ht="15.75" x14ac:dyDescent="0.25">
      <c r="B15" s="34" t="s">
        <v>155</v>
      </c>
      <c r="C15" s="34" t="s">
        <v>154</v>
      </c>
      <c r="D15" s="54"/>
      <c r="E15" s="54"/>
    </row>
    <row r="16" spans="2:5" ht="15.75" x14ac:dyDescent="0.25">
      <c r="B16" s="178" t="s">
        <v>71</v>
      </c>
      <c r="C16" s="84">
        <f>subsidiejaar</f>
        <v>2026</v>
      </c>
      <c r="D16" s="54"/>
      <c r="E16" s="54"/>
    </row>
    <row r="17" spans="2:5" ht="15.75" x14ac:dyDescent="0.25">
      <c r="B17" s="178" t="s">
        <v>46</v>
      </c>
      <c r="C17" s="85">
        <f>IF(+_Econ_levensduur&gt;30,+start_operatie+29,start_operatie+_Econ_levensduur-1)</f>
        <v>2050</v>
      </c>
      <c r="D17" s="54"/>
      <c r="E17" s="54"/>
    </row>
    <row r="18" spans="2:5" ht="15.75" x14ac:dyDescent="0.25">
      <c r="B18" s="54"/>
      <c r="C18" s="54"/>
      <c r="D18" s="54"/>
      <c r="E18" s="54"/>
    </row>
    <row r="19" spans="2:5" x14ac:dyDescent="0.25"/>
    <row r="20" spans="2:5" ht="18.75" customHeight="1" x14ac:dyDescent="0.25">
      <c r="B20" s="148" t="s">
        <v>203</v>
      </c>
      <c r="C20" s="149"/>
      <c r="D20" s="149"/>
      <c r="E20" s="150"/>
    </row>
    <row r="21" spans="2:5" ht="15" customHeight="1" x14ac:dyDescent="0.25">
      <c r="B21" s="209"/>
      <c r="C21" s="210"/>
      <c r="D21" s="210"/>
      <c r="E21" s="211"/>
    </row>
    <row r="22" spans="2:5" ht="15" customHeight="1" x14ac:dyDescent="0.25">
      <c r="B22" s="209"/>
      <c r="C22" s="210"/>
      <c r="D22" s="210"/>
      <c r="E22" s="211"/>
    </row>
    <row r="23" spans="2:5" ht="15" customHeight="1" x14ac:dyDescent="0.25">
      <c r="B23" s="209"/>
      <c r="C23" s="210"/>
      <c r="D23" s="210"/>
      <c r="E23" s="211"/>
    </row>
    <row r="24" spans="2:5" ht="15" customHeight="1" x14ac:dyDescent="0.25">
      <c r="B24" s="209"/>
      <c r="C24" s="210"/>
      <c r="D24" s="210"/>
      <c r="E24" s="211"/>
    </row>
    <row r="25" spans="2:5" ht="15" customHeight="1" x14ac:dyDescent="0.25">
      <c r="B25" s="209"/>
      <c r="C25" s="210"/>
      <c r="D25" s="210"/>
      <c r="E25" s="211"/>
    </row>
    <row r="26" spans="2:5" ht="15" customHeight="1" x14ac:dyDescent="0.25">
      <c r="B26" s="209"/>
      <c r="C26" s="210"/>
      <c r="D26" s="210"/>
      <c r="E26" s="211"/>
    </row>
    <row r="27" spans="2:5" ht="15" customHeight="1" x14ac:dyDescent="0.25">
      <c r="B27" s="209"/>
      <c r="C27" s="210"/>
      <c r="D27" s="210"/>
      <c r="E27" s="211"/>
    </row>
    <row r="28" spans="2:5" ht="15" customHeight="1" x14ac:dyDescent="0.25">
      <c r="B28" s="209"/>
      <c r="C28" s="210"/>
      <c r="D28" s="210"/>
      <c r="E28" s="211"/>
    </row>
    <row r="29" spans="2:5" ht="15" customHeight="1" x14ac:dyDescent="0.25">
      <c r="B29" s="209"/>
      <c r="C29" s="210"/>
      <c r="D29" s="210"/>
      <c r="E29" s="211"/>
    </row>
    <row r="30" spans="2:5" ht="15" customHeight="1" x14ac:dyDescent="0.25">
      <c r="B30" s="209"/>
      <c r="C30" s="210"/>
      <c r="D30" s="210"/>
      <c r="E30" s="211"/>
    </row>
    <row r="31" spans="2:5" ht="15" customHeight="1" x14ac:dyDescent="0.25">
      <c r="B31" s="209"/>
      <c r="C31" s="210"/>
      <c r="D31" s="210"/>
      <c r="E31" s="211"/>
    </row>
    <row r="32" spans="2:5" ht="15" customHeight="1" x14ac:dyDescent="0.25">
      <c r="B32" s="209"/>
      <c r="C32" s="210"/>
      <c r="D32" s="210"/>
      <c r="E32" s="211"/>
    </row>
    <row r="33" spans="2:5" ht="15" customHeight="1" x14ac:dyDescent="0.25">
      <c r="B33" s="209"/>
      <c r="C33" s="210"/>
      <c r="D33" s="210"/>
      <c r="E33" s="211"/>
    </row>
    <row r="34" spans="2:5" ht="15" customHeight="1" x14ac:dyDescent="0.25">
      <c r="B34" s="209"/>
      <c r="C34" s="210"/>
      <c r="D34" s="210"/>
      <c r="E34" s="211"/>
    </row>
    <row r="35" spans="2:5" ht="15" customHeight="1" x14ac:dyDescent="0.25">
      <c r="B35" s="209"/>
      <c r="C35" s="210"/>
      <c r="D35" s="210"/>
      <c r="E35" s="211"/>
    </row>
    <row r="36" spans="2:5" ht="15" customHeight="1" x14ac:dyDescent="0.25">
      <c r="B36" s="209"/>
      <c r="C36" s="210"/>
      <c r="D36" s="210"/>
      <c r="E36" s="211"/>
    </row>
    <row r="37" spans="2:5" ht="15" customHeight="1" x14ac:dyDescent="0.25">
      <c r="B37" s="209"/>
      <c r="C37" s="210"/>
      <c r="D37" s="210"/>
      <c r="E37" s="211"/>
    </row>
    <row r="38" spans="2:5" ht="15" customHeight="1" x14ac:dyDescent="0.25">
      <c r="B38" s="209"/>
      <c r="C38" s="210"/>
      <c r="D38" s="210"/>
      <c r="E38" s="211"/>
    </row>
    <row r="39" spans="2:5" ht="15" customHeight="1" x14ac:dyDescent="0.25">
      <c r="B39" s="209"/>
      <c r="C39" s="210"/>
      <c r="D39" s="210"/>
      <c r="E39" s="211"/>
    </row>
    <row r="40" spans="2:5" ht="15" customHeight="1" x14ac:dyDescent="0.25">
      <c r="B40" s="209"/>
      <c r="C40" s="210"/>
      <c r="D40" s="210"/>
      <c r="E40" s="211"/>
    </row>
    <row r="41" spans="2:5" ht="15" customHeight="1" x14ac:dyDescent="0.25">
      <c r="B41" s="209"/>
      <c r="C41" s="210"/>
      <c r="D41" s="210"/>
      <c r="E41" s="211"/>
    </row>
    <row r="42" spans="2:5" ht="15" customHeight="1" x14ac:dyDescent="0.25">
      <c r="B42" s="209"/>
      <c r="C42" s="210"/>
      <c r="D42" s="210"/>
      <c r="E42" s="211"/>
    </row>
    <row r="43" spans="2:5" ht="15" customHeight="1" x14ac:dyDescent="0.25">
      <c r="B43" s="209"/>
      <c r="C43" s="210"/>
      <c r="D43" s="210"/>
      <c r="E43" s="211"/>
    </row>
    <row r="44" spans="2:5" ht="15" customHeight="1" x14ac:dyDescent="0.25">
      <c r="B44" s="209"/>
      <c r="C44" s="210"/>
      <c r="D44" s="210"/>
      <c r="E44" s="211"/>
    </row>
    <row r="45" spans="2:5" ht="15" customHeight="1" x14ac:dyDescent="0.25">
      <c r="B45" s="209"/>
      <c r="C45" s="210"/>
      <c r="D45" s="210"/>
      <c r="E45" s="211"/>
    </row>
    <row r="46" spans="2:5" ht="15" customHeight="1" x14ac:dyDescent="0.25">
      <c r="B46" s="209"/>
      <c r="C46" s="210"/>
      <c r="D46" s="210"/>
      <c r="E46" s="211"/>
    </row>
    <row r="47" spans="2:5" ht="15" customHeight="1" x14ac:dyDescent="0.25">
      <c r="B47" s="209"/>
      <c r="C47" s="210"/>
      <c r="D47" s="210"/>
      <c r="E47" s="211"/>
    </row>
    <row r="48" spans="2:5" ht="15" customHeight="1" x14ac:dyDescent="0.25">
      <c r="B48" s="212"/>
      <c r="C48" s="213"/>
      <c r="D48" s="213"/>
      <c r="E48" s="214"/>
    </row>
    <row r="49" x14ac:dyDescent="0.25"/>
  </sheetData>
  <sheetProtection algorithmName="SHA-512" hashValue="ggwqd2Z2wmNtyjaOqLCofx10tok6lD3/Ed5sf2U34kveMRM20kY7uKDStJ3Qzh5mELWujsfP0veFxqBTY5EMxA==" saltValue="ANAc+kx3VONUaFNYqxag5Q==" spinCount="100000" sheet="1" objects="1" scenarios="1"/>
  <mergeCells count="28">
    <mergeCell ref="B48:E48"/>
    <mergeCell ref="B42:E42"/>
    <mergeCell ref="B43:E43"/>
    <mergeCell ref="B44:E44"/>
    <mergeCell ref="B45:E45"/>
    <mergeCell ref="B46:E46"/>
    <mergeCell ref="B47:E47"/>
    <mergeCell ref="B41:E41"/>
    <mergeCell ref="B30:E30"/>
    <mergeCell ref="B31:E31"/>
    <mergeCell ref="B32:E32"/>
    <mergeCell ref="B33:E33"/>
    <mergeCell ref="B34:E34"/>
    <mergeCell ref="B35:E35"/>
    <mergeCell ref="B36:E36"/>
    <mergeCell ref="B37:E37"/>
    <mergeCell ref="B38:E38"/>
    <mergeCell ref="B39:E39"/>
    <mergeCell ref="B40:E40"/>
    <mergeCell ref="B26:E26"/>
    <mergeCell ref="B27:E27"/>
    <mergeCell ref="B28:E28"/>
    <mergeCell ref="B29:E29"/>
    <mergeCell ref="B21:E21"/>
    <mergeCell ref="B22:E22"/>
    <mergeCell ref="B23:E23"/>
    <mergeCell ref="B24:E24"/>
    <mergeCell ref="B25:E25"/>
  </mergeCells>
  <phoneticPr fontId="3" type="noConversion"/>
  <conditionalFormatting sqref="C10">
    <cfRule type="cellIs" dxfId="19" priority="4" operator="equal">
      <formula>""</formula>
    </cfRule>
    <cfRule type="cellIs" dxfId="18" priority="7" operator="notBetween">
      <formula>subsidiejaar</formula>
      <formula>subsidiejaar+1</formula>
    </cfRule>
  </conditionalFormatting>
  <conditionalFormatting sqref="C11">
    <cfRule type="cellIs" dxfId="17" priority="6" operator="notBetween">
      <formula>subsidiejaar</formula>
      <formula>start_realisatie+4</formula>
    </cfRule>
  </conditionalFormatting>
  <conditionalFormatting sqref="C11:C12">
    <cfRule type="expression" dxfId="16" priority="1">
      <formula>$C$10=""</formula>
    </cfRule>
  </conditionalFormatting>
  <conditionalFormatting sqref="C12">
    <cfRule type="cellIs" dxfId="15" priority="5" operator="lessThan">
      <formula>20</formula>
    </cfRule>
  </conditionalFormatting>
  <pageMargins left="0.7" right="0.7" top="0.75" bottom="0.75" header="0.3" footer="0.3"/>
  <pageSetup paperSize="9" scale="33" orientation="portrait" r:id="rId1"/>
  <headerFooter>
    <oddFooter>&amp;L_x000D_&amp;1#&amp;"Calibri"&amp;10&amp;K000000 Intern gebruik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9EF9A-AD02-4C7D-9FB4-2E6BDA29E8AF}">
  <sheetPr>
    <tabColor rgb="FFFFFF00"/>
    <pageSetUpPr autoPageBreaks="0"/>
  </sheetPr>
  <dimension ref="A1:F208"/>
  <sheetViews>
    <sheetView zoomScaleNormal="100" workbookViewId="0">
      <pane ySplit="9" topLeftCell="A10" activePane="bottomLeft" state="frozen"/>
      <selection pane="bottomLeft" activeCell="A10" sqref="A10"/>
    </sheetView>
  </sheetViews>
  <sheetFormatPr defaultColWidth="0" defaultRowHeight="15" x14ac:dyDescent="0.25"/>
  <cols>
    <col min="1" max="1" width="3.7109375" style="3" customWidth="1"/>
    <col min="2" max="2" width="42" style="3" customWidth="1"/>
    <col min="3" max="3" width="79.28515625" style="3" customWidth="1"/>
    <col min="4" max="4" width="27.42578125" style="3" customWidth="1"/>
    <col min="5" max="5" width="83.28515625" style="3" customWidth="1"/>
    <col min="6" max="6" width="3" style="3" customWidth="1"/>
    <col min="7" max="16384" width="9.28515625" style="3" hidden="1"/>
  </cols>
  <sheetData>
    <row r="1" spans="2:5" ht="28.5" x14ac:dyDescent="0.45">
      <c r="B1" s="59" t="s">
        <v>24</v>
      </c>
    </row>
    <row r="3" spans="2:5" s="146" customFormat="1" ht="16.5" customHeight="1" x14ac:dyDescent="0.25">
      <c r="B3" s="153" t="s">
        <v>241</v>
      </c>
      <c r="C3" s="153"/>
      <c r="D3" s="153"/>
      <c r="E3" s="153"/>
    </row>
    <row r="4" spans="2:5" s="146" customFormat="1" ht="16.5" customHeight="1" x14ac:dyDescent="0.25">
      <c r="B4" s="153" t="s">
        <v>242</v>
      </c>
      <c r="C4" s="153"/>
      <c r="D4" s="153"/>
      <c r="E4" s="153"/>
    </row>
    <row r="5" spans="2:5" s="146" customFormat="1" ht="16.5" customHeight="1" x14ac:dyDescent="0.25">
      <c r="B5" s="215" t="s">
        <v>243</v>
      </c>
      <c r="C5" s="215"/>
      <c r="D5" s="215"/>
      <c r="E5" s="215"/>
    </row>
    <row r="6" spans="2:5" s="146" customFormat="1" ht="16.5" customHeight="1" x14ac:dyDescent="0.25">
      <c r="B6" s="153" t="s">
        <v>296</v>
      </c>
      <c r="C6" s="153"/>
      <c r="D6" s="153"/>
      <c r="E6" s="153"/>
    </row>
    <row r="7" spans="2:5" ht="21.75" customHeight="1" x14ac:dyDescent="0.25">
      <c r="B7" s="81"/>
    </row>
    <row r="8" spans="2:5" ht="39.75" customHeight="1" x14ac:dyDescent="0.25">
      <c r="B8" s="60" t="s">
        <v>11</v>
      </c>
      <c r="C8" s="60" t="s">
        <v>1</v>
      </c>
      <c r="D8" s="60" t="str">
        <f>"Investeringskosten (tussen " &amp; start_realisatie &amp; " en " &amp; start_operatie &amp; ")"</f>
        <v>Investeringskosten (tussen 2027 en 2031)</v>
      </c>
      <c r="E8" s="60" t="s">
        <v>157</v>
      </c>
    </row>
    <row r="9" spans="2:5" x14ac:dyDescent="0.25">
      <c r="B9" s="22" t="s">
        <v>54</v>
      </c>
      <c r="C9" s="136" t="s">
        <v>144</v>
      </c>
      <c r="D9" s="23">
        <f>SUM($D$10:$D$208)</f>
        <v>0</v>
      </c>
      <c r="E9" s="22"/>
    </row>
    <row r="10" spans="2:5" ht="15.75" customHeight="1" x14ac:dyDescent="0.25">
      <c r="B10" s="86"/>
      <c r="C10" s="86"/>
      <c r="D10" s="87"/>
      <c r="E10" s="86"/>
    </row>
    <row r="11" spans="2:5" ht="15.75" customHeight="1" x14ac:dyDescent="0.25">
      <c r="B11" s="86"/>
      <c r="C11" s="86"/>
      <c r="D11" s="87"/>
      <c r="E11" s="86"/>
    </row>
    <row r="12" spans="2:5" ht="15.75" customHeight="1" x14ac:dyDescent="0.25">
      <c r="B12" s="86"/>
      <c r="C12" s="86"/>
      <c r="D12" s="87"/>
      <c r="E12" s="86"/>
    </row>
    <row r="13" spans="2:5" ht="15.75" customHeight="1" x14ac:dyDescent="0.25">
      <c r="B13" s="86"/>
      <c r="C13" s="86"/>
      <c r="D13" s="87"/>
      <c r="E13" s="86"/>
    </row>
    <row r="14" spans="2:5" ht="15.75" customHeight="1" x14ac:dyDescent="0.25">
      <c r="B14" s="86"/>
      <c r="C14" s="86"/>
      <c r="D14" s="87"/>
      <c r="E14" s="86"/>
    </row>
    <row r="15" spans="2:5" ht="15.75" customHeight="1" x14ac:dyDescent="0.25">
      <c r="B15" s="86"/>
      <c r="C15" s="86"/>
      <c r="D15" s="87"/>
      <c r="E15" s="86"/>
    </row>
    <row r="16" spans="2:5" ht="15.75" customHeight="1" x14ac:dyDescent="0.25">
      <c r="B16" s="86"/>
      <c r="C16" s="86"/>
      <c r="D16" s="87"/>
      <c r="E16" s="86"/>
    </row>
    <row r="17" spans="2:5" ht="15.75" customHeight="1" x14ac:dyDescent="0.25">
      <c r="B17" s="86"/>
      <c r="C17" s="86"/>
      <c r="D17" s="87"/>
      <c r="E17" s="86"/>
    </row>
    <row r="18" spans="2:5" ht="15.75" customHeight="1" x14ac:dyDescent="0.25">
      <c r="B18" s="86"/>
      <c r="C18" s="86"/>
      <c r="D18" s="87"/>
      <c r="E18" s="86"/>
    </row>
    <row r="19" spans="2:5" ht="15.75" customHeight="1" x14ac:dyDescent="0.25">
      <c r="B19" s="86"/>
      <c r="C19" s="86"/>
      <c r="D19" s="87"/>
      <c r="E19" s="86"/>
    </row>
    <row r="20" spans="2:5" ht="15.75" customHeight="1" x14ac:dyDescent="0.25">
      <c r="B20" s="86"/>
      <c r="C20" s="86"/>
      <c r="D20" s="87"/>
      <c r="E20" s="86"/>
    </row>
    <row r="21" spans="2:5" ht="15.75" customHeight="1" x14ac:dyDescent="0.25">
      <c r="B21" s="86"/>
      <c r="C21" s="86"/>
      <c r="D21" s="87"/>
      <c r="E21" s="86"/>
    </row>
    <row r="22" spans="2:5" ht="15.75" customHeight="1" x14ac:dyDescent="0.25">
      <c r="B22" s="86"/>
      <c r="C22" s="86"/>
      <c r="D22" s="87"/>
      <c r="E22" s="86"/>
    </row>
    <row r="23" spans="2:5" ht="15.75" customHeight="1" x14ac:dyDescent="0.25">
      <c r="B23" s="86"/>
      <c r="C23" s="86"/>
      <c r="D23" s="87"/>
      <c r="E23" s="86"/>
    </row>
    <row r="24" spans="2:5" ht="15.75" customHeight="1" x14ac:dyDescent="0.25">
      <c r="B24" s="86"/>
      <c r="C24" s="86"/>
      <c r="D24" s="87"/>
      <c r="E24" s="86"/>
    </row>
    <row r="25" spans="2:5" ht="15.75" customHeight="1" x14ac:dyDescent="0.25">
      <c r="B25" s="86"/>
      <c r="C25" s="86"/>
      <c r="D25" s="87"/>
      <c r="E25" s="86"/>
    </row>
    <row r="26" spans="2:5" ht="15.75" customHeight="1" x14ac:dyDescent="0.25">
      <c r="B26" s="86"/>
      <c r="C26" s="86"/>
      <c r="D26" s="87"/>
      <c r="E26" s="86"/>
    </row>
    <row r="27" spans="2:5" ht="15.75" customHeight="1" x14ac:dyDescent="0.25">
      <c r="B27" s="86"/>
      <c r="C27" s="86"/>
      <c r="D27" s="87"/>
      <c r="E27" s="86"/>
    </row>
    <row r="28" spans="2:5" ht="15.75" customHeight="1" x14ac:dyDescent="0.25">
      <c r="B28" s="86"/>
      <c r="C28" s="86"/>
      <c r="D28" s="87"/>
      <c r="E28" s="86"/>
    </row>
    <row r="29" spans="2:5" ht="15.75" customHeight="1" x14ac:dyDescent="0.25">
      <c r="B29" s="86"/>
      <c r="C29" s="86"/>
      <c r="D29" s="87"/>
      <c r="E29" s="86"/>
    </row>
    <row r="30" spans="2:5" ht="15.75" customHeight="1" x14ac:dyDescent="0.25">
      <c r="B30" s="86"/>
      <c r="C30" s="86"/>
      <c r="D30" s="87"/>
      <c r="E30" s="86"/>
    </row>
    <row r="31" spans="2:5" ht="15.75" customHeight="1" x14ac:dyDescent="0.25">
      <c r="B31" s="86"/>
      <c r="C31" s="86"/>
      <c r="D31" s="87"/>
      <c r="E31" s="86"/>
    </row>
    <row r="32" spans="2:5" ht="15.75" customHeight="1" x14ac:dyDescent="0.25">
      <c r="B32" s="86"/>
      <c r="C32" s="86"/>
      <c r="D32" s="87"/>
      <c r="E32" s="86"/>
    </row>
    <row r="33" spans="2:5" ht="15.75" customHeight="1" x14ac:dyDescent="0.25">
      <c r="B33" s="86"/>
      <c r="C33" s="86"/>
      <c r="D33" s="87"/>
      <c r="E33" s="86"/>
    </row>
    <row r="34" spans="2:5" ht="15.75" customHeight="1" x14ac:dyDescent="0.25">
      <c r="B34" s="86"/>
      <c r="C34" s="86"/>
      <c r="D34" s="87"/>
      <c r="E34" s="86"/>
    </row>
    <row r="35" spans="2:5" ht="15.75" customHeight="1" x14ac:dyDescent="0.25">
      <c r="B35" s="86"/>
      <c r="C35" s="86"/>
      <c r="D35" s="87"/>
      <c r="E35" s="86"/>
    </row>
    <row r="36" spans="2:5" ht="15.75" customHeight="1" x14ac:dyDescent="0.25">
      <c r="B36" s="86"/>
      <c r="C36" s="86"/>
      <c r="D36" s="87"/>
      <c r="E36" s="86"/>
    </row>
    <row r="37" spans="2:5" ht="15.75" customHeight="1" x14ac:dyDescent="0.25">
      <c r="B37" s="86"/>
      <c r="C37" s="86"/>
      <c r="D37" s="87"/>
      <c r="E37" s="86"/>
    </row>
    <row r="38" spans="2:5" ht="15.75" customHeight="1" x14ac:dyDescent="0.25">
      <c r="B38" s="86"/>
      <c r="C38" s="86"/>
      <c r="D38" s="87"/>
      <c r="E38" s="86"/>
    </row>
    <row r="39" spans="2:5" ht="15.75" customHeight="1" x14ac:dyDescent="0.25">
      <c r="B39" s="86"/>
      <c r="C39" s="86"/>
      <c r="D39" s="87"/>
      <c r="E39" s="86"/>
    </row>
    <row r="40" spans="2:5" ht="15.75" customHeight="1" x14ac:dyDescent="0.25">
      <c r="B40" s="86"/>
      <c r="C40" s="86"/>
      <c r="D40" s="87"/>
      <c r="E40" s="86"/>
    </row>
    <row r="41" spans="2:5" ht="15.75" customHeight="1" x14ac:dyDescent="0.25">
      <c r="B41" s="86"/>
      <c r="C41" s="86"/>
      <c r="D41" s="87"/>
      <c r="E41" s="86"/>
    </row>
    <row r="42" spans="2:5" ht="15.75" customHeight="1" x14ac:dyDescent="0.25">
      <c r="B42" s="86"/>
      <c r="C42" s="86"/>
      <c r="D42" s="87"/>
      <c r="E42" s="86"/>
    </row>
    <row r="43" spans="2:5" ht="15.75" customHeight="1" x14ac:dyDescent="0.25">
      <c r="B43" s="86"/>
      <c r="C43" s="86"/>
      <c r="D43" s="87"/>
      <c r="E43" s="86"/>
    </row>
    <row r="44" spans="2:5" ht="15.75" customHeight="1" x14ac:dyDescent="0.25">
      <c r="B44" s="86"/>
      <c r="C44" s="86"/>
      <c r="D44" s="87"/>
      <c r="E44" s="86"/>
    </row>
    <row r="45" spans="2:5" ht="15.75" customHeight="1" x14ac:dyDescent="0.25">
      <c r="B45" s="86"/>
      <c r="C45" s="86"/>
      <c r="D45" s="87"/>
      <c r="E45" s="86"/>
    </row>
    <row r="46" spans="2:5" ht="15.75" customHeight="1" x14ac:dyDescent="0.25">
      <c r="B46" s="86"/>
      <c r="C46" s="86"/>
      <c r="D46" s="87"/>
      <c r="E46" s="86"/>
    </row>
    <row r="47" spans="2:5" ht="15.75" customHeight="1" x14ac:dyDescent="0.25">
      <c r="B47" s="86"/>
      <c r="C47" s="86"/>
      <c r="D47" s="87"/>
      <c r="E47" s="86"/>
    </row>
    <row r="48" spans="2:5" ht="15.75" customHeight="1" x14ac:dyDescent="0.25">
      <c r="B48" s="86"/>
      <c r="C48" s="86"/>
      <c r="D48" s="87"/>
      <c r="E48" s="86"/>
    </row>
    <row r="49" spans="2:5" ht="15.75" customHeight="1" x14ac:dyDescent="0.25">
      <c r="B49" s="86"/>
      <c r="C49" s="86"/>
      <c r="D49" s="87"/>
      <c r="E49" s="86"/>
    </row>
    <row r="50" spans="2:5" ht="15.75" customHeight="1" x14ac:dyDescent="0.25">
      <c r="B50" s="86"/>
      <c r="C50" s="86"/>
      <c r="D50" s="87"/>
      <c r="E50" s="86"/>
    </row>
    <row r="51" spans="2:5" ht="15.75" customHeight="1" x14ac:dyDescent="0.25">
      <c r="B51" s="86"/>
      <c r="C51" s="86"/>
      <c r="D51" s="87"/>
      <c r="E51" s="86"/>
    </row>
    <row r="52" spans="2:5" ht="15.75" customHeight="1" x14ac:dyDescent="0.25">
      <c r="B52" s="86"/>
      <c r="C52" s="86"/>
      <c r="D52" s="87"/>
      <c r="E52" s="86"/>
    </row>
    <row r="53" spans="2:5" ht="15.75" customHeight="1" x14ac:dyDescent="0.25">
      <c r="B53" s="86"/>
      <c r="C53" s="86"/>
      <c r="D53" s="87"/>
      <c r="E53" s="86"/>
    </row>
    <row r="54" spans="2:5" ht="15.75" customHeight="1" x14ac:dyDescent="0.25">
      <c r="B54" s="86"/>
      <c r="C54" s="86"/>
      <c r="D54" s="87"/>
      <c r="E54" s="86"/>
    </row>
    <row r="55" spans="2:5" ht="15.75" customHeight="1" x14ac:dyDescent="0.25">
      <c r="B55" s="86"/>
      <c r="C55" s="86"/>
      <c r="D55" s="87"/>
      <c r="E55" s="86"/>
    </row>
    <row r="56" spans="2:5" ht="15.75" customHeight="1" x14ac:dyDescent="0.25">
      <c r="B56" s="86"/>
      <c r="C56" s="86"/>
      <c r="D56" s="87"/>
      <c r="E56" s="86"/>
    </row>
    <row r="57" spans="2:5" ht="15.75" customHeight="1" x14ac:dyDescent="0.25">
      <c r="B57" s="86"/>
      <c r="C57" s="86"/>
      <c r="D57" s="87"/>
      <c r="E57" s="86"/>
    </row>
    <row r="58" spans="2:5" ht="15.75" customHeight="1" x14ac:dyDescent="0.25">
      <c r="B58" s="86"/>
      <c r="C58" s="86"/>
      <c r="D58" s="87"/>
      <c r="E58" s="86"/>
    </row>
    <row r="59" spans="2:5" ht="15.75" customHeight="1" x14ac:dyDescent="0.25">
      <c r="B59" s="86"/>
      <c r="C59" s="86"/>
      <c r="D59" s="87"/>
      <c r="E59" s="86"/>
    </row>
    <row r="60" spans="2:5" ht="15.75" customHeight="1" x14ac:dyDescent="0.25">
      <c r="B60" s="86"/>
      <c r="C60" s="86"/>
      <c r="D60" s="87"/>
      <c r="E60" s="86"/>
    </row>
    <row r="61" spans="2:5" ht="15.75" customHeight="1" x14ac:dyDescent="0.25">
      <c r="B61" s="86"/>
      <c r="C61" s="86"/>
      <c r="D61" s="87"/>
      <c r="E61" s="86"/>
    </row>
    <row r="62" spans="2:5" ht="15.75" customHeight="1" x14ac:dyDescent="0.25">
      <c r="B62" s="86"/>
      <c r="C62" s="86"/>
      <c r="D62" s="87"/>
      <c r="E62" s="86"/>
    </row>
    <row r="63" spans="2:5" ht="15.75" customHeight="1" x14ac:dyDescent="0.25">
      <c r="B63" s="86"/>
      <c r="C63" s="86"/>
      <c r="D63" s="87"/>
      <c r="E63" s="86"/>
    </row>
    <row r="64" spans="2:5" ht="15.75" customHeight="1" x14ac:dyDescent="0.25">
      <c r="B64" s="86"/>
      <c r="C64" s="86"/>
      <c r="D64" s="87"/>
      <c r="E64" s="86"/>
    </row>
    <row r="65" spans="2:5" ht="15.75" customHeight="1" x14ac:dyDescent="0.25">
      <c r="B65" s="86"/>
      <c r="C65" s="86"/>
      <c r="D65" s="87"/>
      <c r="E65" s="86"/>
    </row>
    <row r="66" spans="2:5" ht="15.75" customHeight="1" x14ac:dyDescent="0.25">
      <c r="B66" s="86"/>
      <c r="C66" s="86"/>
      <c r="D66" s="87"/>
      <c r="E66" s="86"/>
    </row>
    <row r="67" spans="2:5" ht="15.75" customHeight="1" x14ac:dyDescent="0.25">
      <c r="B67" s="86"/>
      <c r="C67" s="86"/>
      <c r="D67" s="87"/>
      <c r="E67" s="86"/>
    </row>
    <row r="68" spans="2:5" ht="15.75" customHeight="1" x14ac:dyDescent="0.25">
      <c r="B68" s="86"/>
      <c r="C68" s="86"/>
      <c r="D68" s="87"/>
      <c r="E68" s="86"/>
    </row>
    <row r="69" spans="2:5" ht="15.75" customHeight="1" x14ac:dyDescent="0.25">
      <c r="B69" s="86"/>
      <c r="C69" s="86"/>
      <c r="D69" s="87"/>
      <c r="E69" s="86"/>
    </row>
    <row r="70" spans="2:5" ht="15.75" customHeight="1" x14ac:dyDescent="0.25">
      <c r="B70" s="86"/>
      <c r="C70" s="86"/>
      <c r="D70" s="87"/>
      <c r="E70" s="86"/>
    </row>
    <row r="71" spans="2:5" ht="15.75" customHeight="1" x14ac:dyDescent="0.25">
      <c r="B71" s="86"/>
      <c r="C71" s="86"/>
      <c r="D71" s="87"/>
      <c r="E71" s="86"/>
    </row>
    <row r="72" spans="2:5" ht="15.75" customHeight="1" x14ac:dyDescent="0.25">
      <c r="B72" s="86"/>
      <c r="C72" s="86"/>
      <c r="D72" s="87"/>
      <c r="E72" s="86"/>
    </row>
    <row r="73" spans="2:5" ht="15.75" customHeight="1" x14ac:dyDescent="0.25">
      <c r="B73" s="86"/>
      <c r="C73" s="86"/>
      <c r="D73" s="87"/>
      <c r="E73" s="86"/>
    </row>
    <row r="74" spans="2:5" ht="15.75" customHeight="1" x14ac:dyDescent="0.25">
      <c r="B74" s="86"/>
      <c r="C74" s="86"/>
      <c r="D74" s="87"/>
      <c r="E74" s="86"/>
    </row>
    <row r="75" spans="2:5" ht="15.75" customHeight="1" x14ac:dyDescent="0.25">
      <c r="B75" s="86"/>
      <c r="C75" s="86"/>
      <c r="D75" s="87"/>
      <c r="E75" s="86"/>
    </row>
    <row r="76" spans="2:5" ht="15.75" customHeight="1" x14ac:dyDescent="0.25">
      <c r="B76" s="86"/>
      <c r="C76" s="86"/>
      <c r="D76" s="87"/>
      <c r="E76" s="86"/>
    </row>
    <row r="77" spans="2:5" ht="15.75" customHeight="1" x14ac:dyDescent="0.25">
      <c r="B77" s="86"/>
      <c r="C77" s="86"/>
      <c r="D77" s="87"/>
      <c r="E77" s="86"/>
    </row>
    <row r="78" spans="2:5" ht="15.75" customHeight="1" x14ac:dyDescent="0.25">
      <c r="B78" s="86"/>
      <c r="C78" s="86"/>
      <c r="D78" s="87"/>
      <c r="E78" s="86"/>
    </row>
    <row r="79" spans="2:5" ht="15.75" customHeight="1" x14ac:dyDescent="0.25">
      <c r="B79" s="86"/>
      <c r="C79" s="86"/>
      <c r="D79" s="87"/>
      <c r="E79" s="86"/>
    </row>
    <row r="80" spans="2:5" ht="15.75" customHeight="1" x14ac:dyDescent="0.25">
      <c r="B80" s="86"/>
      <c r="C80" s="86"/>
      <c r="D80" s="87"/>
      <c r="E80" s="86"/>
    </row>
    <row r="81" spans="2:5" ht="15.75" customHeight="1" x14ac:dyDescent="0.25">
      <c r="B81" s="86"/>
      <c r="C81" s="86"/>
      <c r="D81" s="87"/>
      <c r="E81" s="86"/>
    </row>
    <row r="82" spans="2:5" ht="15.75" customHeight="1" x14ac:dyDescent="0.25">
      <c r="B82" s="86"/>
      <c r="C82" s="86"/>
      <c r="D82" s="87"/>
      <c r="E82" s="86"/>
    </row>
    <row r="83" spans="2:5" ht="15.75" customHeight="1" x14ac:dyDescent="0.25">
      <c r="B83" s="86"/>
      <c r="C83" s="86"/>
      <c r="D83" s="87"/>
      <c r="E83" s="86"/>
    </row>
    <row r="84" spans="2:5" ht="15.75" customHeight="1" x14ac:dyDescent="0.25">
      <c r="B84" s="86"/>
      <c r="C84" s="86"/>
      <c r="D84" s="87"/>
      <c r="E84" s="86"/>
    </row>
    <row r="85" spans="2:5" ht="15.75" customHeight="1" x14ac:dyDescent="0.25">
      <c r="B85" s="86"/>
      <c r="C85" s="86"/>
      <c r="D85" s="87"/>
      <c r="E85" s="86"/>
    </row>
    <row r="86" spans="2:5" ht="15.75" customHeight="1" x14ac:dyDescent="0.25">
      <c r="B86" s="86"/>
      <c r="C86" s="86"/>
      <c r="D86" s="87"/>
      <c r="E86" s="86"/>
    </row>
    <row r="87" spans="2:5" ht="15.75" customHeight="1" x14ac:dyDescent="0.25">
      <c r="B87" s="86"/>
      <c r="C87" s="86"/>
      <c r="D87" s="87"/>
      <c r="E87" s="86"/>
    </row>
    <row r="88" spans="2:5" ht="15.75" customHeight="1" x14ac:dyDescent="0.25">
      <c r="B88" s="86"/>
      <c r="C88" s="86"/>
      <c r="D88" s="87"/>
      <c r="E88" s="86"/>
    </row>
    <row r="89" spans="2:5" ht="15.75" customHeight="1" x14ac:dyDescent="0.25">
      <c r="B89" s="86"/>
      <c r="C89" s="86"/>
      <c r="D89" s="87"/>
      <c r="E89" s="86"/>
    </row>
    <row r="90" spans="2:5" ht="15.75" customHeight="1" x14ac:dyDescent="0.25">
      <c r="B90" s="86"/>
      <c r="C90" s="86"/>
      <c r="D90" s="87"/>
      <c r="E90" s="86"/>
    </row>
    <row r="91" spans="2:5" ht="15.75" customHeight="1" x14ac:dyDescent="0.25">
      <c r="B91" s="86"/>
      <c r="C91" s="86"/>
      <c r="D91" s="87"/>
      <c r="E91" s="86"/>
    </row>
    <row r="92" spans="2:5" ht="15.75" customHeight="1" x14ac:dyDescent="0.25">
      <c r="B92" s="86"/>
      <c r="C92" s="86"/>
      <c r="D92" s="87"/>
      <c r="E92" s="86"/>
    </row>
    <row r="93" spans="2:5" ht="15.75" customHeight="1" x14ac:dyDescent="0.25">
      <c r="B93" s="86"/>
      <c r="C93" s="86"/>
      <c r="D93" s="87"/>
      <c r="E93" s="86"/>
    </row>
    <row r="94" spans="2:5" ht="15.75" customHeight="1" x14ac:dyDescent="0.25">
      <c r="B94" s="86"/>
      <c r="C94" s="86"/>
      <c r="D94" s="87"/>
      <c r="E94" s="86"/>
    </row>
    <row r="95" spans="2:5" ht="15.75" customHeight="1" x14ac:dyDescent="0.25">
      <c r="B95" s="86"/>
      <c r="C95" s="86"/>
      <c r="D95" s="87"/>
      <c r="E95" s="86"/>
    </row>
    <row r="96" spans="2:5" ht="15.75" customHeight="1" x14ac:dyDescent="0.25">
      <c r="B96" s="86"/>
      <c r="C96" s="86"/>
      <c r="D96" s="87"/>
      <c r="E96" s="86"/>
    </row>
    <row r="97" spans="2:5" ht="15.75" customHeight="1" x14ac:dyDescent="0.25">
      <c r="B97" s="86"/>
      <c r="C97" s="86"/>
      <c r="D97" s="87"/>
      <c r="E97" s="86"/>
    </row>
    <row r="98" spans="2:5" ht="15.75" customHeight="1" x14ac:dyDescent="0.25">
      <c r="B98" s="86"/>
      <c r="C98" s="86"/>
      <c r="D98" s="87"/>
      <c r="E98" s="86"/>
    </row>
    <row r="99" spans="2:5" ht="15.75" customHeight="1" x14ac:dyDescent="0.25">
      <c r="B99" s="86"/>
      <c r="C99" s="86"/>
      <c r="D99" s="87"/>
      <c r="E99" s="86"/>
    </row>
    <row r="100" spans="2:5" ht="15.75" customHeight="1" x14ac:dyDescent="0.25">
      <c r="B100" s="86"/>
      <c r="C100" s="86"/>
      <c r="D100" s="87"/>
      <c r="E100" s="86"/>
    </row>
    <row r="101" spans="2:5" ht="15.75" customHeight="1" x14ac:dyDescent="0.25">
      <c r="B101" s="86"/>
      <c r="C101" s="86"/>
      <c r="D101" s="87"/>
      <c r="E101" s="86"/>
    </row>
    <row r="102" spans="2:5" ht="15.75" customHeight="1" x14ac:dyDescent="0.25">
      <c r="B102" s="86"/>
      <c r="C102" s="86"/>
      <c r="D102" s="87"/>
      <c r="E102" s="86"/>
    </row>
    <row r="103" spans="2:5" ht="15.75" customHeight="1" x14ac:dyDescent="0.25">
      <c r="B103" s="86"/>
      <c r="C103" s="86"/>
      <c r="D103" s="87"/>
      <c r="E103" s="86"/>
    </row>
    <row r="104" spans="2:5" ht="15.75" customHeight="1" x14ac:dyDescent="0.25">
      <c r="B104" s="86"/>
      <c r="C104" s="86"/>
      <c r="D104" s="87"/>
      <c r="E104" s="86"/>
    </row>
    <row r="105" spans="2:5" ht="15.75" customHeight="1" x14ac:dyDescent="0.25">
      <c r="B105" s="86"/>
      <c r="C105" s="86"/>
      <c r="D105" s="87"/>
      <c r="E105" s="86"/>
    </row>
    <row r="106" spans="2:5" ht="15.75" customHeight="1" x14ac:dyDescent="0.25">
      <c r="B106" s="86"/>
      <c r="C106" s="86"/>
      <c r="D106" s="87"/>
      <c r="E106" s="86"/>
    </row>
    <row r="107" spans="2:5" ht="15.75" customHeight="1" x14ac:dyDescent="0.25">
      <c r="B107" s="86"/>
      <c r="C107" s="86"/>
      <c r="D107" s="87"/>
      <c r="E107" s="86"/>
    </row>
    <row r="108" spans="2:5" ht="15.75" customHeight="1" x14ac:dyDescent="0.25">
      <c r="B108" s="86"/>
      <c r="C108" s="86"/>
      <c r="D108" s="87"/>
      <c r="E108" s="86"/>
    </row>
    <row r="109" spans="2:5" ht="15.75" customHeight="1" x14ac:dyDescent="0.25">
      <c r="B109" s="86"/>
      <c r="C109" s="86"/>
      <c r="D109" s="87"/>
      <c r="E109" s="86"/>
    </row>
    <row r="110" spans="2:5" ht="15.75" customHeight="1" x14ac:dyDescent="0.25">
      <c r="B110" s="86"/>
      <c r="C110" s="86"/>
      <c r="D110" s="87"/>
      <c r="E110" s="86"/>
    </row>
    <row r="111" spans="2:5" ht="15.75" customHeight="1" x14ac:dyDescent="0.25">
      <c r="B111" s="86"/>
      <c r="C111" s="86"/>
      <c r="D111" s="87"/>
      <c r="E111" s="86"/>
    </row>
    <row r="112" spans="2:5" ht="15.75" customHeight="1" x14ac:dyDescent="0.25">
      <c r="B112" s="86"/>
      <c r="C112" s="86"/>
      <c r="D112" s="87"/>
      <c r="E112" s="86"/>
    </row>
    <row r="113" spans="2:5" ht="15.75" customHeight="1" x14ac:dyDescent="0.25">
      <c r="B113" s="86"/>
      <c r="C113" s="86"/>
      <c r="D113" s="87"/>
      <c r="E113" s="86"/>
    </row>
    <row r="114" spans="2:5" ht="15.75" customHeight="1" x14ac:dyDescent="0.25">
      <c r="B114" s="86"/>
      <c r="C114" s="86"/>
      <c r="D114" s="87"/>
      <c r="E114" s="86"/>
    </row>
    <row r="115" spans="2:5" ht="15.75" customHeight="1" x14ac:dyDescent="0.25">
      <c r="B115" s="86"/>
      <c r="C115" s="86"/>
      <c r="D115" s="87"/>
      <c r="E115" s="86"/>
    </row>
    <row r="116" spans="2:5" ht="15.75" customHeight="1" x14ac:dyDescent="0.25">
      <c r="B116" s="86"/>
      <c r="C116" s="86"/>
      <c r="D116" s="87"/>
      <c r="E116" s="86"/>
    </row>
    <row r="117" spans="2:5" ht="15.75" customHeight="1" x14ac:dyDescent="0.25">
      <c r="B117" s="86"/>
      <c r="C117" s="86"/>
      <c r="D117" s="87"/>
      <c r="E117" s="86"/>
    </row>
    <row r="118" spans="2:5" ht="15.75" customHeight="1" x14ac:dyDescent="0.25">
      <c r="B118" s="86"/>
      <c r="C118" s="86"/>
      <c r="D118" s="87"/>
      <c r="E118" s="86"/>
    </row>
    <row r="119" spans="2:5" ht="15.75" customHeight="1" x14ac:dyDescent="0.25">
      <c r="B119" s="86"/>
      <c r="C119" s="86"/>
      <c r="D119" s="87"/>
      <c r="E119" s="86"/>
    </row>
    <row r="120" spans="2:5" ht="15.75" customHeight="1" x14ac:dyDescent="0.25">
      <c r="B120" s="86"/>
      <c r="C120" s="86"/>
      <c r="D120" s="87"/>
      <c r="E120" s="86"/>
    </row>
    <row r="121" spans="2:5" ht="15.75" customHeight="1" x14ac:dyDescent="0.25">
      <c r="B121" s="86"/>
      <c r="C121" s="86"/>
      <c r="D121" s="87"/>
      <c r="E121" s="86"/>
    </row>
    <row r="122" spans="2:5" ht="15.75" customHeight="1" x14ac:dyDescent="0.25">
      <c r="B122" s="86"/>
      <c r="C122" s="86"/>
      <c r="D122" s="87"/>
      <c r="E122" s="86"/>
    </row>
    <row r="123" spans="2:5" ht="15.75" customHeight="1" x14ac:dyDescent="0.25">
      <c r="B123" s="86"/>
      <c r="C123" s="86"/>
      <c r="D123" s="87"/>
      <c r="E123" s="86"/>
    </row>
    <row r="124" spans="2:5" ht="15.75" customHeight="1" x14ac:dyDescent="0.25">
      <c r="B124" s="86"/>
      <c r="C124" s="86"/>
      <c r="D124" s="87"/>
      <c r="E124" s="86"/>
    </row>
    <row r="125" spans="2:5" ht="15.75" customHeight="1" x14ac:dyDescent="0.25">
      <c r="B125" s="86"/>
      <c r="C125" s="86"/>
      <c r="D125" s="87"/>
      <c r="E125" s="86"/>
    </row>
    <row r="126" spans="2:5" ht="15.75" customHeight="1" x14ac:dyDescent="0.25">
      <c r="B126" s="86"/>
      <c r="C126" s="86"/>
      <c r="D126" s="87"/>
      <c r="E126" s="86"/>
    </row>
    <row r="127" spans="2:5" ht="15.75" customHeight="1" x14ac:dyDescent="0.25">
      <c r="B127" s="86"/>
      <c r="C127" s="86"/>
      <c r="D127" s="87"/>
      <c r="E127" s="86"/>
    </row>
    <row r="128" spans="2:5" ht="15.75" customHeight="1" x14ac:dyDescent="0.25">
      <c r="B128" s="86"/>
      <c r="C128" s="86"/>
      <c r="D128" s="87"/>
      <c r="E128" s="86"/>
    </row>
    <row r="129" spans="2:5" ht="15.75" customHeight="1" x14ac:dyDescent="0.25">
      <c r="B129" s="86"/>
      <c r="C129" s="86"/>
      <c r="D129" s="87"/>
      <c r="E129" s="86"/>
    </row>
    <row r="130" spans="2:5" ht="15.75" customHeight="1" x14ac:dyDescent="0.25">
      <c r="B130" s="86"/>
      <c r="C130" s="86"/>
      <c r="D130" s="87"/>
      <c r="E130" s="86"/>
    </row>
    <row r="131" spans="2:5" ht="15.75" customHeight="1" x14ac:dyDescent="0.25">
      <c r="B131" s="86"/>
      <c r="C131" s="86"/>
      <c r="D131" s="87"/>
      <c r="E131" s="86"/>
    </row>
    <row r="132" spans="2:5" ht="15.75" customHeight="1" x14ac:dyDescent="0.25">
      <c r="B132" s="86"/>
      <c r="C132" s="86"/>
      <c r="D132" s="87"/>
      <c r="E132" s="86"/>
    </row>
    <row r="133" spans="2:5" ht="15.75" customHeight="1" x14ac:dyDescent="0.25">
      <c r="B133" s="86"/>
      <c r="C133" s="86"/>
      <c r="D133" s="87"/>
      <c r="E133" s="86"/>
    </row>
    <row r="134" spans="2:5" ht="15.75" customHeight="1" x14ac:dyDescent="0.25">
      <c r="B134" s="86"/>
      <c r="C134" s="86"/>
      <c r="D134" s="87"/>
      <c r="E134" s="86"/>
    </row>
    <row r="135" spans="2:5" ht="15.75" customHeight="1" x14ac:dyDescent="0.25">
      <c r="B135" s="86"/>
      <c r="C135" s="86"/>
      <c r="D135" s="87"/>
      <c r="E135" s="86"/>
    </row>
    <row r="136" spans="2:5" ht="15.75" customHeight="1" x14ac:dyDescent="0.25">
      <c r="B136" s="86"/>
      <c r="C136" s="86"/>
      <c r="D136" s="87"/>
      <c r="E136" s="86"/>
    </row>
    <row r="137" spans="2:5" ht="15.75" customHeight="1" x14ac:dyDescent="0.25">
      <c r="B137" s="86"/>
      <c r="C137" s="86"/>
      <c r="D137" s="87"/>
      <c r="E137" s="86"/>
    </row>
    <row r="138" spans="2:5" ht="15.75" customHeight="1" x14ac:dyDescent="0.25">
      <c r="B138" s="86"/>
      <c r="C138" s="86"/>
      <c r="D138" s="87"/>
      <c r="E138" s="86"/>
    </row>
    <row r="139" spans="2:5" ht="15.75" customHeight="1" x14ac:dyDescent="0.25">
      <c r="B139" s="86"/>
      <c r="C139" s="86"/>
      <c r="D139" s="87"/>
      <c r="E139" s="86"/>
    </row>
    <row r="140" spans="2:5" ht="15.75" customHeight="1" x14ac:dyDescent="0.25">
      <c r="B140" s="86"/>
      <c r="C140" s="86"/>
      <c r="D140" s="87"/>
      <c r="E140" s="86"/>
    </row>
    <row r="141" spans="2:5" ht="15.75" customHeight="1" x14ac:dyDescent="0.25">
      <c r="B141" s="86"/>
      <c r="C141" s="86"/>
      <c r="D141" s="87"/>
      <c r="E141" s="86"/>
    </row>
    <row r="142" spans="2:5" ht="15.75" customHeight="1" x14ac:dyDescent="0.25">
      <c r="B142" s="86"/>
      <c r="C142" s="86"/>
      <c r="D142" s="87"/>
      <c r="E142" s="86"/>
    </row>
    <row r="143" spans="2:5" ht="15.75" customHeight="1" x14ac:dyDescent="0.25">
      <c r="B143" s="86"/>
      <c r="C143" s="86"/>
      <c r="D143" s="87"/>
      <c r="E143" s="86"/>
    </row>
    <row r="144" spans="2:5" ht="15.75" customHeight="1" x14ac:dyDescent="0.25">
      <c r="B144" s="86"/>
      <c r="C144" s="86"/>
      <c r="D144" s="87"/>
      <c r="E144" s="86"/>
    </row>
    <row r="145" spans="2:5" ht="15.75" customHeight="1" x14ac:dyDescent="0.25">
      <c r="B145" s="86"/>
      <c r="C145" s="86"/>
      <c r="D145" s="87"/>
      <c r="E145" s="86"/>
    </row>
    <row r="146" spans="2:5" ht="15.75" customHeight="1" x14ac:dyDescent="0.25">
      <c r="B146" s="86"/>
      <c r="C146" s="86"/>
      <c r="D146" s="87"/>
      <c r="E146" s="86"/>
    </row>
    <row r="147" spans="2:5" ht="15.75" customHeight="1" x14ac:dyDescent="0.25">
      <c r="B147" s="86"/>
      <c r="C147" s="86"/>
      <c r="D147" s="87"/>
      <c r="E147" s="86"/>
    </row>
    <row r="148" spans="2:5" ht="15.75" customHeight="1" x14ac:dyDescent="0.25">
      <c r="B148" s="86"/>
      <c r="C148" s="86"/>
      <c r="D148" s="87"/>
      <c r="E148" s="86"/>
    </row>
    <row r="149" spans="2:5" ht="15.75" customHeight="1" x14ac:dyDescent="0.25">
      <c r="B149" s="86"/>
      <c r="C149" s="86"/>
      <c r="D149" s="87"/>
      <c r="E149" s="86"/>
    </row>
    <row r="150" spans="2:5" ht="15.75" customHeight="1" x14ac:dyDescent="0.25">
      <c r="B150" s="86"/>
      <c r="C150" s="86"/>
      <c r="D150" s="87"/>
      <c r="E150" s="86"/>
    </row>
    <row r="151" spans="2:5" ht="15.75" customHeight="1" x14ac:dyDescent="0.25">
      <c r="B151" s="86"/>
      <c r="C151" s="86"/>
      <c r="D151" s="87"/>
      <c r="E151" s="86"/>
    </row>
    <row r="152" spans="2:5" ht="15.75" customHeight="1" x14ac:dyDescent="0.25">
      <c r="B152" s="86"/>
      <c r="C152" s="86"/>
      <c r="D152" s="87"/>
      <c r="E152" s="86"/>
    </row>
    <row r="153" spans="2:5" ht="15.75" customHeight="1" x14ac:dyDescent="0.25">
      <c r="B153" s="86"/>
      <c r="C153" s="86"/>
      <c r="D153" s="87"/>
      <c r="E153" s="86"/>
    </row>
    <row r="154" spans="2:5" ht="15.75" customHeight="1" x14ac:dyDescent="0.25">
      <c r="B154" s="86"/>
      <c r="C154" s="86"/>
      <c r="D154" s="87"/>
      <c r="E154" s="86"/>
    </row>
    <row r="155" spans="2:5" ht="15.75" customHeight="1" x14ac:dyDescent="0.25">
      <c r="B155" s="86"/>
      <c r="C155" s="86"/>
      <c r="D155" s="87"/>
      <c r="E155" s="86"/>
    </row>
    <row r="156" spans="2:5" ht="15.75" customHeight="1" x14ac:dyDescent="0.25">
      <c r="B156" s="86"/>
      <c r="C156" s="86"/>
      <c r="D156" s="87"/>
      <c r="E156" s="86"/>
    </row>
    <row r="157" spans="2:5" ht="15.75" customHeight="1" x14ac:dyDescent="0.25">
      <c r="B157" s="86"/>
      <c r="C157" s="86"/>
      <c r="D157" s="87"/>
      <c r="E157" s="86"/>
    </row>
    <row r="158" spans="2:5" ht="15.75" customHeight="1" x14ac:dyDescent="0.25">
      <c r="B158" s="86"/>
      <c r="C158" s="86"/>
      <c r="D158" s="87"/>
      <c r="E158" s="86"/>
    </row>
    <row r="159" spans="2:5" ht="15.75" customHeight="1" x14ac:dyDescent="0.25">
      <c r="B159" s="86"/>
      <c r="C159" s="86"/>
      <c r="D159" s="87"/>
      <c r="E159" s="86"/>
    </row>
    <row r="160" spans="2:5" ht="15.75" customHeight="1" x14ac:dyDescent="0.25">
      <c r="B160" s="86"/>
      <c r="C160" s="86"/>
      <c r="D160" s="87"/>
      <c r="E160" s="86"/>
    </row>
    <row r="161" spans="2:5" ht="15.75" customHeight="1" x14ac:dyDescent="0.25">
      <c r="B161" s="86"/>
      <c r="C161" s="86"/>
      <c r="D161" s="87"/>
      <c r="E161" s="86"/>
    </row>
    <row r="162" spans="2:5" ht="15.75" customHeight="1" x14ac:dyDescent="0.25">
      <c r="B162" s="86"/>
      <c r="C162" s="86"/>
      <c r="D162" s="87"/>
      <c r="E162" s="86"/>
    </row>
    <row r="163" spans="2:5" ht="15.75" customHeight="1" x14ac:dyDescent="0.25">
      <c r="B163" s="86"/>
      <c r="C163" s="86"/>
      <c r="D163" s="87"/>
      <c r="E163" s="86"/>
    </row>
    <row r="164" spans="2:5" ht="15.75" customHeight="1" x14ac:dyDescent="0.25">
      <c r="B164" s="86"/>
      <c r="C164" s="86"/>
      <c r="D164" s="87"/>
      <c r="E164" s="86"/>
    </row>
    <row r="165" spans="2:5" ht="15.75" customHeight="1" x14ac:dyDescent="0.25">
      <c r="B165" s="86"/>
      <c r="C165" s="86"/>
      <c r="D165" s="87"/>
      <c r="E165" s="86"/>
    </row>
    <row r="166" spans="2:5" ht="15.75" customHeight="1" x14ac:dyDescent="0.25">
      <c r="B166" s="86"/>
      <c r="C166" s="86"/>
      <c r="D166" s="87"/>
      <c r="E166" s="86"/>
    </row>
    <row r="167" spans="2:5" ht="15.75" customHeight="1" x14ac:dyDescent="0.25">
      <c r="B167" s="86"/>
      <c r="C167" s="86"/>
      <c r="D167" s="87"/>
      <c r="E167" s="86"/>
    </row>
    <row r="168" spans="2:5" ht="15.75" customHeight="1" x14ac:dyDescent="0.25">
      <c r="B168" s="86"/>
      <c r="C168" s="86"/>
      <c r="D168" s="87"/>
      <c r="E168" s="86"/>
    </row>
    <row r="169" spans="2:5" ht="15.75" customHeight="1" x14ac:dyDescent="0.25">
      <c r="B169" s="86"/>
      <c r="C169" s="86"/>
      <c r="D169" s="87"/>
      <c r="E169" s="86"/>
    </row>
    <row r="170" spans="2:5" ht="15.75" customHeight="1" x14ac:dyDescent="0.25">
      <c r="B170" s="86"/>
      <c r="C170" s="86"/>
      <c r="D170" s="87"/>
      <c r="E170" s="86"/>
    </row>
    <row r="171" spans="2:5" ht="15.75" customHeight="1" x14ac:dyDescent="0.25">
      <c r="B171" s="86"/>
      <c r="C171" s="86"/>
      <c r="D171" s="87"/>
      <c r="E171" s="86"/>
    </row>
    <row r="172" spans="2:5" ht="15.75" customHeight="1" x14ac:dyDescent="0.25">
      <c r="B172" s="86"/>
      <c r="C172" s="86"/>
      <c r="D172" s="87"/>
      <c r="E172" s="86"/>
    </row>
    <row r="173" spans="2:5" ht="15.75" customHeight="1" x14ac:dyDescent="0.25">
      <c r="B173" s="86"/>
      <c r="C173" s="86"/>
      <c r="D173" s="87"/>
      <c r="E173" s="86"/>
    </row>
    <row r="174" spans="2:5" ht="15.75" customHeight="1" x14ac:dyDescent="0.25">
      <c r="B174" s="86"/>
      <c r="C174" s="86"/>
      <c r="D174" s="87"/>
      <c r="E174" s="86"/>
    </row>
    <row r="175" spans="2:5" ht="15.75" customHeight="1" x14ac:dyDescent="0.25">
      <c r="B175" s="86"/>
      <c r="C175" s="86"/>
      <c r="D175" s="87"/>
      <c r="E175" s="86"/>
    </row>
    <row r="176" spans="2:5" ht="15.75" customHeight="1" x14ac:dyDescent="0.25">
      <c r="B176" s="86"/>
      <c r="C176" s="86"/>
      <c r="D176" s="87"/>
      <c r="E176" s="86"/>
    </row>
    <row r="177" spans="2:5" ht="15.75" customHeight="1" x14ac:dyDescent="0.25">
      <c r="B177" s="86"/>
      <c r="C177" s="86"/>
      <c r="D177" s="87"/>
      <c r="E177" s="86"/>
    </row>
    <row r="178" spans="2:5" ht="15.75" customHeight="1" x14ac:dyDescent="0.25">
      <c r="B178" s="86"/>
      <c r="C178" s="86"/>
      <c r="D178" s="87"/>
      <c r="E178" s="86"/>
    </row>
    <row r="179" spans="2:5" ht="15.75" customHeight="1" x14ac:dyDescent="0.25">
      <c r="B179" s="86"/>
      <c r="C179" s="86"/>
      <c r="D179" s="87"/>
      <c r="E179" s="86"/>
    </row>
    <row r="180" spans="2:5" ht="15.75" customHeight="1" x14ac:dyDescent="0.25">
      <c r="B180" s="86"/>
      <c r="C180" s="86"/>
      <c r="D180" s="87"/>
      <c r="E180" s="86"/>
    </row>
    <row r="181" spans="2:5" ht="15.75" customHeight="1" x14ac:dyDescent="0.25">
      <c r="B181" s="86"/>
      <c r="C181" s="86"/>
      <c r="D181" s="87"/>
      <c r="E181" s="86"/>
    </row>
    <row r="182" spans="2:5" ht="15.75" customHeight="1" x14ac:dyDescent="0.25">
      <c r="B182" s="86"/>
      <c r="C182" s="86"/>
      <c r="D182" s="87"/>
      <c r="E182" s="86"/>
    </row>
    <row r="183" spans="2:5" ht="15.75" customHeight="1" x14ac:dyDescent="0.25">
      <c r="B183" s="86"/>
      <c r="C183" s="86"/>
      <c r="D183" s="87"/>
      <c r="E183" s="86"/>
    </row>
    <row r="184" spans="2:5" ht="15.75" customHeight="1" x14ac:dyDescent="0.25">
      <c r="B184" s="86"/>
      <c r="C184" s="86"/>
      <c r="D184" s="87"/>
      <c r="E184" s="86"/>
    </row>
    <row r="185" spans="2:5" ht="15.75" customHeight="1" x14ac:dyDescent="0.25">
      <c r="B185" s="86"/>
      <c r="C185" s="86"/>
      <c r="D185" s="87"/>
      <c r="E185" s="86"/>
    </row>
    <row r="186" spans="2:5" ht="15.75" customHeight="1" x14ac:dyDescent="0.25">
      <c r="B186" s="86"/>
      <c r="C186" s="86"/>
      <c r="D186" s="87"/>
      <c r="E186" s="86"/>
    </row>
    <row r="187" spans="2:5" ht="15.75" customHeight="1" x14ac:dyDescent="0.25">
      <c r="B187" s="86"/>
      <c r="C187" s="86"/>
      <c r="D187" s="87"/>
      <c r="E187" s="86"/>
    </row>
    <row r="188" spans="2:5" ht="15.75" customHeight="1" x14ac:dyDescent="0.25">
      <c r="B188" s="86"/>
      <c r="C188" s="86"/>
      <c r="D188" s="87"/>
      <c r="E188" s="86"/>
    </row>
    <row r="189" spans="2:5" ht="15.75" customHeight="1" x14ac:dyDescent="0.25">
      <c r="B189" s="86"/>
      <c r="C189" s="86"/>
      <c r="D189" s="87"/>
      <c r="E189" s="86"/>
    </row>
    <row r="190" spans="2:5" ht="15.75" customHeight="1" x14ac:dyDescent="0.25">
      <c r="B190" s="86"/>
      <c r="C190" s="86"/>
      <c r="D190" s="87"/>
      <c r="E190" s="86"/>
    </row>
    <row r="191" spans="2:5" ht="15.75" customHeight="1" x14ac:dyDescent="0.25">
      <c r="B191" s="86"/>
      <c r="C191" s="86"/>
      <c r="D191" s="87"/>
      <c r="E191" s="86"/>
    </row>
    <row r="192" spans="2:5" ht="15.75" customHeight="1" x14ac:dyDescent="0.25">
      <c r="B192" s="86"/>
      <c r="C192" s="86"/>
      <c r="D192" s="87"/>
      <c r="E192" s="86"/>
    </row>
    <row r="193" spans="2:5" ht="15.75" customHeight="1" x14ac:dyDescent="0.25">
      <c r="B193" s="86"/>
      <c r="C193" s="86"/>
      <c r="D193" s="87"/>
      <c r="E193" s="86"/>
    </row>
    <row r="194" spans="2:5" ht="15.75" customHeight="1" x14ac:dyDescent="0.25">
      <c r="B194" s="86"/>
      <c r="C194" s="86"/>
      <c r="D194" s="87"/>
      <c r="E194" s="86"/>
    </row>
    <row r="195" spans="2:5" ht="15.75" customHeight="1" x14ac:dyDescent="0.25">
      <c r="B195" s="86"/>
      <c r="C195" s="86"/>
      <c r="D195" s="87"/>
      <c r="E195" s="86"/>
    </row>
    <row r="196" spans="2:5" ht="15.75" customHeight="1" x14ac:dyDescent="0.25">
      <c r="B196" s="86"/>
      <c r="C196" s="86"/>
      <c r="D196" s="87"/>
      <c r="E196" s="86"/>
    </row>
    <row r="197" spans="2:5" ht="15.75" customHeight="1" x14ac:dyDescent="0.25">
      <c r="B197" s="86"/>
      <c r="C197" s="86"/>
      <c r="D197" s="87"/>
      <c r="E197" s="86"/>
    </row>
    <row r="198" spans="2:5" ht="15.75" customHeight="1" x14ac:dyDescent="0.25">
      <c r="B198" s="86"/>
      <c r="C198" s="86"/>
      <c r="D198" s="87"/>
      <c r="E198" s="86"/>
    </row>
    <row r="199" spans="2:5" ht="15.75" customHeight="1" x14ac:dyDescent="0.25">
      <c r="B199" s="86"/>
      <c r="C199" s="86"/>
      <c r="D199" s="87"/>
      <c r="E199" s="86"/>
    </row>
    <row r="200" spans="2:5" ht="15.75" customHeight="1" x14ac:dyDescent="0.25">
      <c r="B200" s="86"/>
      <c r="C200" s="86"/>
      <c r="D200" s="87"/>
      <c r="E200" s="86"/>
    </row>
    <row r="201" spans="2:5" ht="15.75" customHeight="1" x14ac:dyDescent="0.25">
      <c r="B201" s="86"/>
      <c r="C201" s="86"/>
      <c r="D201" s="87"/>
      <c r="E201" s="86"/>
    </row>
    <row r="202" spans="2:5" ht="15.75" customHeight="1" x14ac:dyDescent="0.25">
      <c r="B202" s="86"/>
      <c r="C202" s="86"/>
      <c r="D202" s="87"/>
      <c r="E202" s="86"/>
    </row>
    <row r="203" spans="2:5" ht="15.75" customHeight="1" x14ac:dyDescent="0.25">
      <c r="B203" s="86"/>
      <c r="C203" s="86"/>
      <c r="D203" s="87"/>
      <c r="E203" s="86"/>
    </row>
    <row r="204" spans="2:5" ht="15.75" customHeight="1" x14ac:dyDescent="0.25">
      <c r="B204" s="86"/>
      <c r="C204" s="86"/>
      <c r="D204" s="87"/>
      <c r="E204" s="86"/>
    </row>
    <row r="205" spans="2:5" ht="15.75" customHeight="1" x14ac:dyDescent="0.25">
      <c r="B205" s="86"/>
      <c r="C205" s="86"/>
      <c r="D205" s="87"/>
      <c r="E205" s="86"/>
    </row>
    <row r="206" spans="2:5" ht="15.75" customHeight="1" x14ac:dyDescent="0.25">
      <c r="B206" s="86"/>
      <c r="C206" s="86"/>
      <c r="D206" s="87"/>
      <c r="E206" s="86"/>
    </row>
    <row r="207" spans="2:5" ht="15.75" customHeight="1" x14ac:dyDescent="0.25">
      <c r="B207" s="86"/>
      <c r="C207" s="86"/>
      <c r="D207" s="87"/>
      <c r="E207" s="86"/>
    </row>
    <row r="208" spans="2:5" ht="15.75" customHeight="1" x14ac:dyDescent="0.25">
      <c r="B208" s="86"/>
      <c r="C208" s="86"/>
      <c r="D208" s="87"/>
      <c r="E208" s="86"/>
    </row>
  </sheetData>
  <sheetProtection algorithmName="SHA-512" hashValue="HtXBFcRJDktA1w/zZK9J86Z6902X7bWGoVdZ5YUeSE+8WW5JGuRf9lxTMgWFS5GM5L88TUc8nVS8QYmbLDDKzQ==" saltValue="R62pYUTmZiuX73lFcYm2eA==" spinCount="100000" sheet="1" objects="1" scenarios="1"/>
  <mergeCells count="1">
    <mergeCell ref="B5:E5"/>
  </mergeCells>
  <phoneticPr fontId="3" type="noConversion"/>
  <dataValidations count="1">
    <dataValidation type="list" allowBlank="1" showInputMessage="1" showErrorMessage="1" sqref="B10:B208" xr:uid="{B5417BBF-23AA-4275-BC99-B2668CD84303}">
      <formula1>realisatiekosten</formula1>
    </dataValidation>
  </dataValidations>
  <pageMargins left="0.7" right="0.7" top="0.75" bottom="0.75" header="0.3" footer="0.3"/>
  <pageSetup paperSize="9" orientation="portrait" r:id="rId1"/>
  <headerFoot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FD4E0-763C-4D53-8D18-433BA25D4F93}">
  <sheetPr>
    <tabColor rgb="FFFFFF00"/>
    <pageSetUpPr autoPageBreaks="0"/>
  </sheetPr>
  <dimension ref="A1:R134"/>
  <sheetViews>
    <sheetView showGridLines="0" zoomScaleNormal="100" workbookViewId="0"/>
  </sheetViews>
  <sheetFormatPr defaultColWidth="0" defaultRowHeight="15" zeroHeight="1" x14ac:dyDescent="0.25"/>
  <cols>
    <col min="1" max="1" width="2.7109375" style="3" customWidth="1"/>
    <col min="2" max="2" width="20.42578125" style="3" customWidth="1"/>
    <col min="3" max="3" width="26.28515625" style="3" customWidth="1"/>
    <col min="4" max="4" width="31" style="3" customWidth="1"/>
    <col min="5" max="14" width="16.7109375" style="3" customWidth="1"/>
    <col min="15" max="15" width="2.85546875" style="3" customWidth="1"/>
    <col min="16" max="18" width="18.42578125" style="3" hidden="1" customWidth="1"/>
    <col min="19" max="16384" width="9.28515625" style="3" hidden="1"/>
  </cols>
  <sheetData>
    <row r="1" spans="2:14" ht="28.5" x14ac:dyDescent="0.45">
      <c r="B1" s="59" t="s">
        <v>297</v>
      </c>
    </row>
    <row r="2" spans="2:14" x14ac:dyDescent="0.25"/>
    <row r="3" spans="2:14" ht="15.75" x14ac:dyDescent="0.25">
      <c r="B3" s="154" t="s">
        <v>244</v>
      </c>
      <c r="C3" s="2"/>
      <c r="D3" s="2"/>
      <c r="E3" s="2"/>
      <c r="F3" s="2"/>
      <c r="G3" s="2"/>
      <c r="H3" s="2"/>
      <c r="I3" s="2"/>
      <c r="J3" s="2"/>
      <c r="K3" s="2"/>
      <c r="L3" s="2"/>
      <c r="M3" s="2"/>
      <c r="N3" s="2"/>
    </row>
    <row r="4" spans="2:14" ht="32.25" customHeight="1" x14ac:dyDescent="0.25">
      <c r="B4" s="225" t="s">
        <v>298</v>
      </c>
      <c r="C4" s="225"/>
      <c r="D4" s="225"/>
      <c r="E4" s="225"/>
      <c r="F4" s="225"/>
      <c r="G4" s="225"/>
      <c r="H4" s="225"/>
      <c r="I4" s="225"/>
      <c r="J4" s="225"/>
      <c r="K4" s="225"/>
      <c r="L4" s="225"/>
      <c r="M4" s="225"/>
      <c r="N4" s="225"/>
    </row>
    <row r="5" spans="2:14" ht="15.75" x14ac:dyDescent="0.25">
      <c r="B5" s="154" t="s">
        <v>245</v>
      </c>
      <c r="C5" s="2"/>
      <c r="D5" s="2"/>
      <c r="E5" s="2"/>
      <c r="F5" s="2"/>
      <c r="G5" s="2"/>
      <c r="H5" s="2"/>
      <c r="I5" s="2"/>
      <c r="J5" s="2"/>
      <c r="K5" s="2"/>
      <c r="L5" s="2"/>
      <c r="M5" s="2"/>
      <c r="N5" s="2"/>
    </row>
    <row r="6" spans="2:14" ht="15.75" x14ac:dyDescent="0.25">
      <c r="B6" s="154" t="s">
        <v>246</v>
      </c>
      <c r="C6" s="2"/>
      <c r="D6" s="2"/>
      <c r="E6" s="2"/>
      <c r="F6" s="2"/>
      <c r="G6" s="2"/>
      <c r="H6" s="2"/>
      <c r="I6" s="2"/>
      <c r="J6" s="2"/>
      <c r="K6" s="2"/>
      <c r="L6" s="2"/>
      <c r="M6" s="2"/>
      <c r="N6" s="2"/>
    </row>
    <row r="7" spans="2:14" ht="18.75" x14ac:dyDescent="0.35">
      <c r="B7" s="154" t="s">
        <v>299</v>
      </c>
      <c r="C7" s="2"/>
      <c r="D7" s="2"/>
      <c r="E7" s="2"/>
      <c r="F7" s="2"/>
      <c r="G7" s="2"/>
      <c r="H7" s="2"/>
      <c r="I7" s="2"/>
      <c r="J7" s="2"/>
      <c r="K7" s="2"/>
      <c r="L7" s="2"/>
      <c r="M7" s="2"/>
      <c r="N7" s="2"/>
    </row>
    <row r="8" spans="2:14" x14ac:dyDescent="0.25"/>
    <row r="9" spans="2:14" ht="15.75" x14ac:dyDescent="0.25">
      <c r="B9" s="58" t="s">
        <v>209</v>
      </c>
      <c r="H9" s="231"/>
      <c r="I9" s="231"/>
      <c r="J9" s="231"/>
    </row>
    <row r="10" spans="2:14" s="54" customFormat="1" ht="33.75" customHeight="1" x14ac:dyDescent="0.25">
      <c r="B10" s="25" t="s">
        <v>215</v>
      </c>
      <c r="C10" s="25" t="s">
        <v>3</v>
      </c>
      <c r="D10" s="219" t="s">
        <v>4</v>
      </c>
      <c r="E10" s="220"/>
      <c r="F10" s="221"/>
      <c r="G10" s="25" t="s">
        <v>8</v>
      </c>
      <c r="H10" s="222" t="s">
        <v>5</v>
      </c>
      <c r="I10" s="223"/>
      <c r="J10" s="152" t="s">
        <v>180</v>
      </c>
      <c r="K10" s="229" t="s">
        <v>158</v>
      </c>
      <c r="L10" s="230"/>
      <c r="M10" s="230"/>
      <c r="N10" s="230"/>
    </row>
    <row r="11" spans="2:14" x14ac:dyDescent="0.25">
      <c r="B11" s="88"/>
      <c r="C11" s="88"/>
      <c r="D11" s="218"/>
      <c r="E11" s="218"/>
      <c r="F11" s="218"/>
      <c r="G11" s="88"/>
      <c r="H11" s="216"/>
      <c r="I11" s="217"/>
      <c r="J11" s="108"/>
      <c r="K11" s="226"/>
      <c r="L11" s="227"/>
      <c r="M11" s="227"/>
      <c r="N11" s="228"/>
    </row>
    <row r="12" spans="2:14" x14ac:dyDescent="0.25">
      <c r="B12" s="88"/>
      <c r="C12" s="88"/>
      <c r="D12" s="218"/>
      <c r="E12" s="218"/>
      <c r="F12" s="218"/>
      <c r="G12" s="88"/>
      <c r="H12" s="216"/>
      <c r="I12" s="217"/>
      <c r="J12" s="108"/>
      <c r="K12" s="226"/>
      <c r="L12" s="227"/>
      <c r="M12" s="227"/>
      <c r="N12" s="228"/>
    </row>
    <row r="13" spans="2:14" x14ac:dyDescent="0.25">
      <c r="B13" s="88"/>
      <c r="C13" s="88"/>
      <c r="D13" s="218"/>
      <c r="E13" s="218"/>
      <c r="F13" s="218"/>
      <c r="G13" s="88"/>
      <c r="H13" s="216"/>
      <c r="I13" s="217"/>
      <c r="J13" s="108"/>
      <c r="K13" s="226"/>
      <c r="L13" s="227"/>
      <c r="M13" s="227"/>
      <c r="N13" s="228"/>
    </row>
    <row r="14" spans="2:14" x14ac:dyDescent="0.25">
      <c r="B14" s="88"/>
      <c r="C14" s="88"/>
      <c r="D14" s="218"/>
      <c r="E14" s="218"/>
      <c r="F14" s="218"/>
      <c r="G14" s="88"/>
      <c r="H14" s="216"/>
      <c r="I14" s="217"/>
      <c r="J14" s="108"/>
      <c r="K14" s="226"/>
      <c r="L14" s="227"/>
      <c r="M14" s="227"/>
      <c r="N14" s="228"/>
    </row>
    <row r="15" spans="2:14" x14ac:dyDescent="0.25">
      <c r="B15" s="88"/>
      <c r="C15" s="88"/>
      <c r="D15" s="218"/>
      <c r="E15" s="218"/>
      <c r="F15" s="218"/>
      <c r="G15" s="88"/>
      <c r="H15" s="216"/>
      <c r="I15" s="217"/>
      <c r="J15" s="108"/>
      <c r="K15" s="226"/>
      <c r="L15" s="227"/>
      <c r="M15" s="227"/>
      <c r="N15" s="228"/>
    </row>
    <row r="16" spans="2:14" x14ac:dyDescent="0.25">
      <c r="B16" s="88"/>
      <c r="C16" s="88"/>
      <c r="D16" s="218"/>
      <c r="E16" s="218"/>
      <c r="F16" s="218"/>
      <c r="G16" s="88"/>
      <c r="H16" s="216"/>
      <c r="I16" s="217"/>
      <c r="J16" s="108"/>
      <c r="K16" s="226"/>
      <c r="L16" s="227"/>
      <c r="M16" s="227"/>
      <c r="N16" s="228"/>
    </row>
    <row r="17" spans="2:14" x14ac:dyDescent="0.25">
      <c r="B17" s="88"/>
      <c r="C17" s="88"/>
      <c r="D17" s="218"/>
      <c r="E17" s="218"/>
      <c r="F17" s="218"/>
      <c r="G17" s="88"/>
      <c r="H17" s="216"/>
      <c r="I17" s="217"/>
      <c r="J17" s="108"/>
      <c r="K17" s="226"/>
      <c r="L17" s="227"/>
      <c r="M17" s="227"/>
      <c r="N17" s="228"/>
    </row>
    <row r="18" spans="2:14" x14ac:dyDescent="0.25">
      <c r="B18" s="88"/>
      <c r="C18" s="88"/>
      <c r="D18" s="218"/>
      <c r="E18" s="218"/>
      <c r="F18" s="218"/>
      <c r="G18" s="88"/>
      <c r="H18" s="216"/>
      <c r="I18" s="217"/>
      <c r="J18" s="108"/>
      <c r="K18" s="226"/>
      <c r="L18" s="227"/>
      <c r="M18" s="227"/>
      <c r="N18" s="228"/>
    </row>
    <row r="19" spans="2:14" x14ac:dyDescent="0.25">
      <c r="B19" s="88"/>
      <c r="C19" s="88"/>
      <c r="D19" s="218"/>
      <c r="E19" s="218"/>
      <c r="F19" s="218"/>
      <c r="G19" s="88"/>
      <c r="H19" s="216"/>
      <c r="I19" s="217"/>
      <c r="J19" s="108"/>
      <c r="K19" s="226"/>
      <c r="L19" s="227"/>
      <c r="M19" s="227"/>
      <c r="N19" s="228"/>
    </row>
    <row r="20" spans="2:14" x14ac:dyDescent="0.25">
      <c r="B20" s="88"/>
      <c r="C20" s="88"/>
      <c r="D20" s="218"/>
      <c r="E20" s="218"/>
      <c r="F20" s="218"/>
      <c r="G20" s="88"/>
      <c r="H20" s="216"/>
      <c r="I20" s="217"/>
      <c r="J20" s="108"/>
      <c r="K20" s="226"/>
      <c r="L20" s="227"/>
      <c r="M20" s="227"/>
      <c r="N20" s="228"/>
    </row>
    <row r="21" spans="2:14" x14ac:dyDescent="0.25">
      <c r="B21" s="88"/>
      <c r="C21" s="88"/>
      <c r="D21" s="218"/>
      <c r="E21" s="218"/>
      <c r="F21" s="218"/>
      <c r="G21" s="88"/>
      <c r="H21" s="216"/>
      <c r="I21" s="217"/>
      <c r="J21" s="108"/>
      <c r="K21" s="226"/>
      <c r="L21" s="227"/>
      <c r="M21" s="227"/>
      <c r="N21" s="228"/>
    </row>
    <row r="22" spans="2:14" x14ac:dyDescent="0.25">
      <c r="B22" s="88"/>
      <c r="C22" s="88"/>
      <c r="D22" s="218"/>
      <c r="E22" s="218"/>
      <c r="F22" s="218"/>
      <c r="G22" s="88"/>
      <c r="H22" s="216"/>
      <c r="I22" s="217"/>
      <c r="J22" s="108"/>
      <c r="K22" s="226"/>
      <c r="L22" s="227"/>
      <c r="M22" s="227"/>
      <c r="N22" s="228"/>
    </row>
    <row r="23" spans="2:14" x14ac:dyDescent="0.25">
      <c r="B23" s="88"/>
      <c r="C23" s="88"/>
      <c r="D23" s="218"/>
      <c r="E23" s="218"/>
      <c r="F23" s="218"/>
      <c r="G23" s="88"/>
      <c r="H23" s="216"/>
      <c r="I23" s="217"/>
      <c r="J23" s="108"/>
      <c r="K23" s="226"/>
      <c r="L23" s="227"/>
      <c r="M23" s="227"/>
      <c r="N23" s="228"/>
    </row>
    <row r="24" spans="2:14" x14ac:dyDescent="0.25">
      <c r="B24" s="88"/>
      <c r="C24" s="88"/>
      <c r="D24" s="218"/>
      <c r="E24" s="218"/>
      <c r="F24" s="218"/>
      <c r="G24" s="88"/>
      <c r="H24" s="216"/>
      <c r="I24" s="217"/>
      <c r="J24" s="108"/>
      <c r="K24" s="226"/>
      <c r="L24" s="227"/>
      <c r="M24" s="227"/>
      <c r="N24" s="228"/>
    </row>
    <row r="25" spans="2:14" x14ac:dyDescent="0.25">
      <c r="B25" s="88"/>
      <c r="C25" s="88"/>
      <c r="D25" s="218"/>
      <c r="E25" s="218"/>
      <c r="F25" s="218"/>
      <c r="G25" s="88"/>
      <c r="H25" s="216"/>
      <c r="I25" s="217"/>
      <c r="J25" s="108"/>
      <c r="K25" s="226"/>
      <c r="L25" s="227"/>
      <c r="M25" s="227"/>
      <c r="N25" s="228"/>
    </row>
    <row r="26" spans="2:14" x14ac:dyDescent="0.25">
      <c r="B26" s="88"/>
      <c r="C26" s="88"/>
      <c r="D26" s="218"/>
      <c r="E26" s="218"/>
      <c r="F26" s="218"/>
      <c r="G26" s="88"/>
      <c r="H26" s="216"/>
      <c r="I26" s="217"/>
      <c r="J26" s="108"/>
      <c r="K26" s="226"/>
      <c r="L26" s="227"/>
      <c r="M26" s="227"/>
      <c r="N26" s="228"/>
    </row>
    <row r="27" spans="2:14" x14ac:dyDescent="0.25">
      <c r="B27" s="88"/>
      <c r="C27" s="88"/>
      <c r="D27" s="218"/>
      <c r="E27" s="218"/>
      <c r="F27" s="218"/>
      <c r="G27" s="88"/>
      <c r="H27" s="216"/>
      <c r="I27" s="217"/>
      <c r="J27" s="108"/>
      <c r="K27" s="226"/>
      <c r="L27" s="227"/>
      <c r="M27" s="227"/>
      <c r="N27" s="228"/>
    </row>
    <row r="28" spans="2:14" x14ac:dyDescent="0.25">
      <c r="B28" s="88"/>
      <c r="C28" s="88"/>
      <c r="D28" s="218"/>
      <c r="E28" s="218"/>
      <c r="F28" s="218"/>
      <c r="G28" s="88"/>
      <c r="H28" s="216"/>
      <c r="I28" s="217"/>
      <c r="J28" s="108"/>
      <c r="K28" s="226"/>
      <c r="L28" s="227"/>
      <c r="M28" s="227"/>
      <c r="N28" s="228"/>
    </row>
    <row r="29" spans="2:14" x14ac:dyDescent="0.25">
      <c r="B29" s="88"/>
      <c r="C29" s="88"/>
      <c r="D29" s="218"/>
      <c r="E29" s="218"/>
      <c r="F29" s="218"/>
      <c r="G29" s="88"/>
      <c r="H29" s="216"/>
      <c r="I29" s="217"/>
      <c r="J29" s="108"/>
      <c r="K29" s="226"/>
      <c r="L29" s="227"/>
      <c r="M29" s="227"/>
      <c r="N29" s="228"/>
    </row>
    <row r="30" spans="2:14" x14ac:dyDescent="0.25">
      <c r="B30" s="88"/>
      <c r="C30" s="88"/>
      <c r="D30" s="224"/>
      <c r="E30" s="224"/>
      <c r="F30" s="224"/>
      <c r="G30" s="88"/>
      <c r="H30" s="216"/>
      <c r="I30" s="217"/>
      <c r="J30" s="108"/>
      <c r="K30" s="226"/>
      <c r="L30" s="227"/>
      <c r="M30" s="227"/>
      <c r="N30" s="228"/>
    </row>
    <row r="31" spans="2:14" x14ac:dyDescent="0.25"/>
    <row r="32" spans="2:14" x14ac:dyDescent="0.25"/>
    <row r="33" spans="2:14" s="55" customFormat="1" ht="15.75" x14ac:dyDescent="0.25">
      <c r="B33" s="58" t="s">
        <v>7</v>
      </c>
      <c r="C33" s="11"/>
      <c r="D33" s="11"/>
      <c r="E33" s="67" t="s">
        <v>170</v>
      </c>
      <c r="F33" s="67" t="s">
        <v>171</v>
      </c>
      <c r="G33" s="67" t="s">
        <v>172</v>
      </c>
      <c r="H33" s="67" t="s">
        <v>173</v>
      </c>
      <c r="I33" s="67" t="s">
        <v>174</v>
      </c>
      <c r="J33" s="67" t="s">
        <v>175</v>
      </c>
      <c r="K33" s="67" t="s">
        <v>176</v>
      </c>
      <c r="L33" s="67" t="s">
        <v>177</v>
      </c>
      <c r="M33" s="67" t="s">
        <v>178</v>
      </c>
      <c r="N33" s="67" t="s">
        <v>179</v>
      </c>
    </row>
    <row r="34" spans="2:14" s="56" customFormat="1" ht="18.75" x14ac:dyDescent="0.25">
      <c r="B34" s="60" t="s">
        <v>215</v>
      </c>
      <c r="C34" s="60" t="s">
        <v>3</v>
      </c>
      <c r="D34" s="60" t="s">
        <v>8</v>
      </c>
      <c r="E34" s="60">
        <f>start_operatie</f>
        <v>2031</v>
      </c>
      <c r="F34" s="60">
        <f>E34+1</f>
        <v>2032</v>
      </c>
      <c r="G34" s="60">
        <f t="shared" ref="G34:N34" si="0">F34+1</f>
        <v>2033</v>
      </c>
      <c r="H34" s="60">
        <f t="shared" si="0"/>
        <v>2034</v>
      </c>
      <c r="I34" s="60">
        <f t="shared" si="0"/>
        <v>2035</v>
      </c>
      <c r="J34" s="60">
        <f t="shared" si="0"/>
        <v>2036</v>
      </c>
      <c r="K34" s="60">
        <f t="shared" si="0"/>
        <v>2037</v>
      </c>
      <c r="L34" s="60">
        <f t="shared" si="0"/>
        <v>2038</v>
      </c>
      <c r="M34" s="60">
        <f t="shared" si="0"/>
        <v>2039</v>
      </c>
      <c r="N34" s="60">
        <f t="shared" si="0"/>
        <v>2040</v>
      </c>
    </row>
    <row r="35" spans="2:14" x14ac:dyDescent="0.25">
      <c r="B35" s="24" t="str">
        <f>IF(B11&lt;&gt;"",B11,"")</f>
        <v/>
      </c>
      <c r="C35" s="24" t="str">
        <f t="shared" ref="C35" si="1">IF(C11&lt;&gt;"",C11,"")</f>
        <v/>
      </c>
      <c r="D35" s="24" t="str">
        <f>IF(G11&lt;&gt;"",G11,"")</f>
        <v/>
      </c>
      <c r="E35" s="89"/>
      <c r="F35" s="89"/>
      <c r="G35" s="89"/>
      <c r="H35" s="89"/>
      <c r="I35" s="89"/>
      <c r="J35" s="89"/>
      <c r="K35" s="89"/>
      <c r="L35" s="89"/>
      <c r="M35" s="89"/>
      <c r="N35" s="89"/>
    </row>
    <row r="36" spans="2:14" x14ac:dyDescent="0.25">
      <c r="B36" s="24" t="str">
        <f t="shared" ref="B36:C36" si="2">IF(B12&lt;&gt;"",B12,"")</f>
        <v/>
      </c>
      <c r="C36" s="24" t="str">
        <f t="shared" si="2"/>
        <v/>
      </c>
      <c r="D36" s="24" t="str">
        <f t="shared" ref="D36:D54" si="3">IF(G12&lt;&gt;"",G12,"")</f>
        <v/>
      </c>
      <c r="E36" s="89"/>
      <c r="F36" s="89"/>
      <c r="G36" s="89"/>
      <c r="H36" s="89"/>
      <c r="I36" s="89"/>
      <c r="J36" s="89"/>
      <c r="K36" s="89"/>
      <c r="L36" s="89"/>
      <c r="M36" s="89"/>
      <c r="N36" s="89"/>
    </row>
    <row r="37" spans="2:14" x14ac:dyDescent="0.25">
      <c r="B37" s="24" t="str">
        <f t="shared" ref="B37:C37" si="4">IF(B13&lt;&gt;"",B13,"")</f>
        <v/>
      </c>
      <c r="C37" s="24" t="str">
        <f t="shared" si="4"/>
        <v/>
      </c>
      <c r="D37" s="24" t="str">
        <f t="shared" si="3"/>
        <v/>
      </c>
      <c r="E37" s="89"/>
      <c r="F37" s="89"/>
      <c r="G37" s="89"/>
      <c r="H37" s="89"/>
      <c r="I37" s="89"/>
      <c r="J37" s="89"/>
      <c r="K37" s="89"/>
      <c r="L37" s="89"/>
      <c r="M37" s="89"/>
      <c r="N37" s="89"/>
    </row>
    <row r="38" spans="2:14" x14ac:dyDescent="0.25">
      <c r="B38" s="24" t="str">
        <f t="shared" ref="B38:C38" si="5">IF(B14&lt;&gt;"",B14,"")</f>
        <v/>
      </c>
      <c r="C38" s="24" t="str">
        <f t="shared" si="5"/>
        <v/>
      </c>
      <c r="D38" s="24" t="str">
        <f t="shared" si="3"/>
        <v/>
      </c>
      <c r="E38" s="89"/>
      <c r="F38" s="89"/>
      <c r="G38" s="89"/>
      <c r="H38" s="89"/>
      <c r="I38" s="89"/>
      <c r="J38" s="89"/>
      <c r="K38" s="89"/>
      <c r="L38" s="89"/>
      <c r="M38" s="89"/>
      <c r="N38" s="89"/>
    </row>
    <row r="39" spans="2:14" x14ac:dyDescent="0.25">
      <c r="B39" s="24" t="str">
        <f t="shared" ref="B39:C39" si="6">IF(B15&lt;&gt;"",B15,"")</f>
        <v/>
      </c>
      <c r="C39" s="24" t="str">
        <f t="shared" si="6"/>
        <v/>
      </c>
      <c r="D39" s="24" t="str">
        <f t="shared" si="3"/>
        <v/>
      </c>
      <c r="E39" s="89"/>
      <c r="F39" s="89"/>
      <c r="G39" s="89"/>
      <c r="H39" s="89"/>
      <c r="I39" s="89"/>
      <c r="J39" s="89"/>
      <c r="K39" s="89"/>
      <c r="L39" s="89"/>
      <c r="M39" s="89"/>
      <c r="N39" s="89"/>
    </row>
    <row r="40" spans="2:14" x14ac:dyDescent="0.25">
      <c r="B40" s="24" t="str">
        <f t="shared" ref="B40:C40" si="7">IF(B16&lt;&gt;"",B16,"")</f>
        <v/>
      </c>
      <c r="C40" s="24" t="str">
        <f t="shared" si="7"/>
        <v/>
      </c>
      <c r="D40" s="24" t="str">
        <f t="shared" si="3"/>
        <v/>
      </c>
      <c r="E40" s="89"/>
      <c r="F40" s="89"/>
      <c r="G40" s="89"/>
      <c r="H40" s="89"/>
      <c r="I40" s="89"/>
      <c r="J40" s="89"/>
      <c r="K40" s="89"/>
      <c r="L40" s="89"/>
      <c r="M40" s="89"/>
      <c r="N40" s="89"/>
    </row>
    <row r="41" spans="2:14" x14ac:dyDescent="0.25">
      <c r="B41" s="24" t="str">
        <f t="shared" ref="B41:C41" si="8">IF(B17&lt;&gt;"",B17,"")</f>
        <v/>
      </c>
      <c r="C41" s="24" t="str">
        <f t="shared" si="8"/>
        <v/>
      </c>
      <c r="D41" s="24" t="str">
        <f t="shared" si="3"/>
        <v/>
      </c>
      <c r="E41" s="89"/>
      <c r="F41" s="89"/>
      <c r="G41" s="89"/>
      <c r="H41" s="89"/>
      <c r="I41" s="89"/>
      <c r="J41" s="89"/>
      <c r="K41" s="89"/>
      <c r="L41" s="89"/>
      <c r="M41" s="89"/>
      <c r="N41" s="89"/>
    </row>
    <row r="42" spans="2:14" x14ac:dyDescent="0.25">
      <c r="B42" s="24" t="str">
        <f t="shared" ref="B42:C42" si="9">IF(B18&lt;&gt;"",B18,"")</f>
        <v/>
      </c>
      <c r="C42" s="24" t="str">
        <f t="shared" si="9"/>
        <v/>
      </c>
      <c r="D42" s="24" t="str">
        <f t="shared" si="3"/>
        <v/>
      </c>
      <c r="E42" s="89"/>
      <c r="F42" s="89"/>
      <c r="G42" s="89"/>
      <c r="H42" s="89"/>
      <c r="I42" s="89"/>
      <c r="J42" s="89"/>
      <c r="K42" s="89"/>
      <c r="L42" s="89"/>
      <c r="M42" s="89"/>
      <c r="N42" s="89"/>
    </row>
    <row r="43" spans="2:14" x14ac:dyDescent="0.25">
      <c r="B43" s="24" t="str">
        <f t="shared" ref="B43:C43" si="10">IF(B19&lt;&gt;"",B19,"")</f>
        <v/>
      </c>
      <c r="C43" s="24" t="str">
        <f t="shared" si="10"/>
        <v/>
      </c>
      <c r="D43" s="24" t="str">
        <f t="shared" si="3"/>
        <v/>
      </c>
      <c r="E43" s="89"/>
      <c r="F43" s="89"/>
      <c r="G43" s="89"/>
      <c r="H43" s="89"/>
      <c r="I43" s="89"/>
      <c r="J43" s="89"/>
      <c r="K43" s="89"/>
      <c r="L43" s="89"/>
      <c r="M43" s="89"/>
      <c r="N43" s="89"/>
    </row>
    <row r="44" spans="2:14" x14ac:dyDescent="0.25">
      <c r="B44" s="24" t="str">
        <f t="shared" ref="B44:C44" si="11">IF(B20&lt;&gt;"",B20,"")</f>
        <v/>
      </c>
      <c r="C44" s="24" t="str">
        <f t="shared" si="11"/>
        <v/>
      </c>
      <c r="D44" s="24" t="str">
        <f t="shared" si="3"/>
        <v/>
      </c>
      <c r="E44" s="89"/>
      <c r="F44" s="89"/>
      <c r="G44" s="89"/>
      <c r="H44" s="89"/>
      <c r="I44" s="89"/>
      <c r="J44" s="89"/>
      <c r="K44" s="89"/>
      <c r="L44" s="89"/>
      <c r="M44" s="89"/>
      <c r="N44" s="89"/>
    </row>
    <row r="45" spans="2:14" x14ac:dyDescent="0.25">
      <c r="B45" s="24" t="str">
        <f t="shared" ref="B45:C45" si="12">IF(B21&lt;&gt;"",B21,"")</f>
        <v/>
      </c>
      <c r="C45" s="24" t="str">
        <f t="shared" si="12"/>
        <v/>
      </c>
      <c r="D45" s="24" t="str">
        <f t="shared" si="3"/>
        <v/>
      </c>
      <c r="E45" s="89"/>
      <c r="F45" s="89"/>
      <c r="G45" s="89"/>
      <c r="H45" s="89"/>
      <c r="I45" s="89"/>
      <c r="J45" s="89"/>
      <c r="K45" s="89"/>
      <c r="L45" s="89"/>
      <c r="M45" s="89"/>
      <c r="N45" s="89"/>
    </row>
    <row r="46" spans="2:14" x14ac:dyDescent="0.25">
      <c r="B46" s="24" t="str">
        <f t="shared" ref="B46:C46" si="13">IF(B22&lt;&gt;"",B22,"")</f>
        <v/>
      </c>
      <c r="C46" s="24" t="str">
        <f t="shared" si="13"/>
        <v/>
      </c>
      <c r="D46" s="24" t="str">
        <f t="shared" si="3"/>
        <v/>
      </c>
      <c r="E46" s="89"/>
      <c r="F46" s="89"/>
      <c r="G46" s="89"/>
      <c r="H46" s="89"/>
      <c r="I46" s="89"/>
      <c r="J46" s="89"/>
      <c r="K46" s="89"/>
      <c r="L46" s="89"/>
      <c r="M46" s="89"/>
      <c r="N46" s="89"/>
    </row>
    <row r="47" spans="2:14" x14ac:dyDescent="0.25">
      <c r="B47" s="24" t="str">
        <f t="shared" ref="B47:C47" si="14">IF(B23&lt;&gt;"",B23,"")</f>
        <v/>
      </c>
      <c r="C47" s="24" t="str">
        <f t="shared" si="14"/>
        <v/>
      </c>
      <c r="D47" s="24" t="str">
        <f t="shared" si="3"/>
        <v/>
      </c>
      <c r="E47" s="89"/>
      <c r="F47" s="89"/>
      <c r="G47" s="89"/>
      <c r="H47" s="89"/>
      <c r="I47" s="89"/>
      <c r="J47" s="89"/>
      <c r="K47" s="89"/>
      <c r="L47" s="89"/>
      <c r="M47" s="89"/>
      <c r="N47" s="89"/>
    </row>
    <row r="48" spans="2:14" x14ac:dyDescent="0.25">
      <c r="B48" s="24" t="str">
        <f t="shared" ref="B48:C48" si="15">IF(B24&lt;&gt;"",B24,"")</f>
        <v/>
      </c>
      <c r="C48" s="24" t="str">
        <f t="shared" si="15"/>
        <v/>
      </c>
      <c r="D48" s="24" t="str">
        <f t="shared" si="3"/>
        <v/>
      </c>
      <c r="E48" s="89"/>
      <c r="F48" s="89"/>
      <c r="G48" s="89"/>
      <c r="H48" s="89"/>
      <c r="I48" s="89"/>
      <c r="J48" s="89"/>
      <c r="K48" s="89"/>
      <c r="L48" s="89"/>
      <c r="M48" s="89"/>
      <c r="N48" s="89"/>
    </row>
    <row r="49" spans="2:14" x14ac:dyDescent="0.25">
      <c r="B49" s="24" t="str">
        <f t="shared" ref="B49:C49" si="16">IF(B25&lt;&gt;"",B25,"")</f>
        <v/>
      </c>
      <c r="C49" s="24" t="str">
        <f t="shared" si="16"/>
        <v/>
      </c>
      <c r="D49" s="24" t="str">
        <f t="shared" si="3"/>
        <v/>
      </c>
      <c r="E49" s="89"/>
      <c r="F49" s="89"/>
      <c r="G49" s="89"/>
      <c r="H49" s="89"/>
      <c r="I49" s="89"/>
      <c r="J49" s="89"/>
      <c r="K49" s="89"/>
      <c r="L49" s="89"/>
      <c r="M49" s="89"/>
      <c r="N49" s="89"/>
    </row>
    <row r="50" spans="2:14" x14ac:dyDescent="0.25">
      <c r="B50" s="24" t="str">
        <f t="shared" ref="B50:C50" si="17">IF(B26&lt;&gt;"",B26,"")</f>
        <v/>
      </c>
      <c r="C50" s="24" t="str">
        <f t="shared" si="17"/>
        <v/>
      </c>
      <c r="D50" s="24" t="str">
        <f t="shared" si="3"/>
        <v/>
      </c>
      <c r="E50" s="89"/>
      <c r="F50" s="89"/>
      <c r="G50" s="89"/>
      <c r="H50" s="89"/>
      <c r="I50" s="89"/>
      <c r="J50" s="89"/>
      <c r="K50" s="89"/>
      <c r="L50" s="89"/>
      <c r="M50" s="89"/>
      <c r="N50" s="89"/>
    </row>
    <row r="51" spans="2:14" x14ac:dyDescent="0.25">
      <c r="B51" s="24" t="str">
        <f t="shared" ref="B51:C51" si="18">IF(B27&lt;&gt;"",B27,"")</f>
        <v/>
      </c>
      <c r="C51" s="24" t="str">
        <f t="shared" si="18"/>
        <v/>
      </c>
      <c r="D51" s="24" t="str">
        <f t="shared" si="3"/>
        <v/>
      </c>
      <c r="E51" s="89"/>
      <c r="F51" s="89"/>
      <c r="G51" s="89"/>
      <c r="H51" s="89"/>
      <c r="I51" s="89"/>
      <c r="J51" s="89"/>
      <c r="K51" s="89"/>
      <c r="L51" s="89"/>
      <c r="M51" s="89"/>
      <c r="N51" s="89"/>
    </row>
    <row r="52" spans="2:14" x14ac:dyDescent="0.25">
      <c r="B52" s="24" t="str">
        <f t="shared" ref="B52:C52" si="19">IF(B28&lt;&gt;"",B28,"")</f>
        <v/>
      </c>
      <c r="C52" s="24" t="str">
        <f t="shared" si="19"/>
        <v/>
      </c>
      <c r="D52" s="24" t="str">
        <f t="shared" si="3"/>
        <v/>
      </c>
      <c r="E52" s="89"/>
      <c r="F52" s="89"/>
      <c r="G52" s="89"/>
      <c r="H52" s="89"/>
      <c r="I52" s="89"/>
      <c r="J52" s="89"/>
      <c r="K52" s="89"/>
      <c r="L52" s="89"/>
      <c r="M52" s="89"/>
      <c r="N52" s="89"/>
    </row>
    <row r="53" spans="2:14" x14ac:dyDescent="0.25">
      <c r="B53" s="24" t="str">
        <f t="shared" ref="B53:C53" si="20">IF(B29&lt;&gt;"",B29,"")</f>
        <v/>
      </c>
      <c r="C53" s="24" t="str">
        <f t="shared" si="20"/>
        <v/>
      </c>
      <c r="D53" s="24" t="str">
        <f t="shared" si="3"/>
        <v/>
      </c>
      <c r="E53" s="89"/>
      <c r="F53" s="89"/>
      <c r="G53" s="89"/>
      <c r="H53" s="89"/>
      <c r="I53" s="89"/>
      <c r="J53" s="89"/>
      <c r="K53" s="89"/>
      <c r="L53" s="89"/>
      <c r="M53" s="89"/>
      <c r="N53" s="89"/>
    </row>
    <row r="54" spans="2:14" x14ac:dyDescent="0.25">
      <c r="B54" s="24" t="str">
        <f t="shared" ref="B54:C54" si="21">IF(B30&lt;&gt;"",B30,"")</f>
        <v/>
      </c>
      <c r="C54" s="24" t="str">
        <f t="shared" si="21"/>
        <v/>
      </c>
      <c r="D54" s="24" t="str">
        <f t="shared" si="3"/>
        <v/>
      </c>
      <c r="E54" s="89"/>
      <c r="F54" s="89"/>
      <c r="G54" s="89"/>
      <c r="H54" s="89"/>
      <c r="I54" s="89"/>
      <c r="J54" s="89"/>
      <c r="K54" s="89"/>
      <c r="L54" s="89"/>
      <c r="M54" s="89"/>
      <c r="N54" s="89"/>
    </row>
    <row r="55" spans="2:14" x14ac:dyDescent="0.25">
      <c r="E55" s="57"/>
      <c r="F55" s="57"/>
      <c r="G55" s="57"/>
      <c r="H55" s="57"/>
      <c r="I55" s="57"/>
      <c r="J55" s="57"/>
      <c r="K55" s="57"/>
      <c r="L55" s="57"/>
      <c r="M55" s="57"/>
      <c r="N55" s="57"/>
    </row>
    <row r="56" spans="2:14" x14ac:dyDescent="0.25"/>
    <row r="57" spans="2:14" ht="15.75" customHeight="1" x14ac:dyDescent="0.25">
      <c r="B57" s="58" t="s">
        <v>216</v>
      </c>
      <c r="C57" s="11"/>
      <c r="D57" s="11"/>
      <c r="E57" s="67" t="s">
        <v>13</v>
      </c>
      <c r="F57" s="67" t="s">
        <v>14</v>
      </c>
      <c r="G57" s="67" t="s">
        <v>15</v>
      </c>
      <c r="H57" s="67" t="s">
        <v>16</v>
      </c>
      <c r="I57" s="67" t="s">
        <v>17</v>
      </c>
      <c r="J57" s="67" t="s">
        <v>18</v>
      </c>
      <c r="K57" s="67" t="s">
        <v>19</v>
      </c>
      <c r="L57" s="67" t="s">
        <v>20</v>
      </c>
      <c r="M57" s="67" t="s">
        <v>21</v>
      </c>
      <c r="N57" s="67" t="s">
        <v>22</v>
      </c>
    </row>
    <row r="58" spans="2:14" ht="15.75" x14ac:dyDescent="0.25">
      <c r="B58" s="60" t="s">
        <v>215</v>
      </c>
      <c r="C58" s="60" t="s">
        <v>3</v>
      </c>
      <c r="D58" s="60" t="s">
        <v>8</v>
      </c>
      <c r="E58" s="60">
        <f>start_operatie</f>
        <v>2031</v>
      </c>
      <c r="F58" s="60">
        <f t="shared" ref="F58:N58" si="22">E58+1</f>
        <v>2032</v>
      </c>
      <c r="G58" s="60">
        <f t="shared" si="22"/>
        <v>2033</v>
      </c>
      <c r="H58" s="60">
        <f t="shared" si="22"/>
        <v>2034</v>
      </c>
      <c r="I58" s="60">
        <f t="shared" si="22"/>
        <v>2035</v>
      </c>
      <c r="J58" s="60">
        <f t="shared" si="22"/>
        <v>2036</v>
      </c>
      <c r="K58" s="60">
        <f t="shared" si="22"/>
        <v>2037</v>
      </c>
      <c r="L58" s="60">
        <f t="shared" si="22"/>
        <v>2038</v>
      </c>
      <c r="M58" s="60">
        <f t="shared" si="22"/>
        <v>2039</v>
      </c>
      <c r="N58" s="60">
        <f t="shared" si="22"/>
        <v>2040</v>
      </c>
    </row>
    <row r="59" spans="2:14" x14ac:dyDescent="0.25">
      <c r="B59" s="133" t="str">
        <f>IF(B11&lt;&gt;"",B11,"")</f>
        <v/>
      </c>
      <c r="C59" s="133" t="str">
        <f t="shared" ref="C59" si="23">IF(C11&lt;&gt;"",C11,"")</f>
        <v/>
      </c>
      <c r="D59" s="133" t="str">
        <f>IF(G11&lt;&gt;"",G11,"")</f>
        <v/>
      </c>
      <c r="E59" s="90"/>
      <c r="F59" s="90"/>
      <c r="G59" s="90"/>
      <c r="H59" s="90"/>
      <c r="I59" s="90"/>
      <c r="J59" s="90"/>
      <c r="K59" s="90"/>
      <c r="L59" s="90"/>
      <c r="M59" s="90"/>
      <c r="N59" s="90"/>
    </row>
    <row r="60" spans="2:14" x14ac:dyDescent="0.25">
      <c r="B60" s="133" t="str">
        <f t="shared" ref="B60:C60" si="24">IF(B12&lt;&gt;"",B12,"")</f>
        <v/>
      </c>
      <c r="C60" s="133" t="str">
        <f t="shared" si="24"/>
        <v/>
      </c>
      <c r="D60" s="133" t="str">
        <f t="shared" ref="D60:D78" si="25">IF(G12&lt;&gt;"",G12,"")</f>
        <v/>
      </c>
      <c r="E60" s="90"/>
      <c r="F60" s="90"/>
      <c r="G60" s="90"/>
      <c r="H60" s="90"/>
      <c r="I60" s="90"/>
      <c r="J60" s="90"/>
      <c r="K60" s="90"/>
      <c r="L60" s="90"/>
      <c r="M60" s="90"/>
      <c r="N60" s="90"/>
    </row>
    <row r="61" spans="2:14" x14ac:dyDescent="0.25">
      <c r="B61" s="133" t="str">
        <f t="shared" ref="B61:C61" si="26">IF(B13&lt;&gt;"",B13,"")</f>
        <v/>
      </c>
      <c r="C61" s="133" t="str">
        <f t="shared" si="26"/>
        <v/>
      </c>
      <c r="D61" s="133" t="str">
        <f t="shared" si="25"/>
        <v/>
      </c>
      <c r="E61" s="90"/>
      <c r="F61" s="90"/>
      <c r="G61" s="90"/>
      <c r="H61" s="90"/>
      <c r="I61" s="90"/>
      <c r="J61" s="90"/>
      <c r="K61" s="90"/>
      <c r="L61" s="90"/>
      <c r="M61" s="90"/>
      <c r="N61" s="90"/>
    </row>
    <row r="62" spans="2:14" x14ac:dyDescent="0.25">
      <c r="B62" s="133" t="str">
        <f t="shared" ref="B62:C62" si="27">IF(B14&lt;&gt;"",B14,"")</f>
        <v/>
      </c>
      <c r="C62" s="133" t="str">
        <f t="shared" si="27"/>
        <v/>
      </c>
      <c r="D62" s="133" t="str">
        <f t="shared" si="25"/>
        <v/>
      </c>
      <c r="E62" s="90"/>
      <c r="F62" s="90"/>
      <c r="G62" s="90"/>
      <c r="H62" s="90"/>
      <c r="I62" s="90"/>
      <c r="J62" s="90"/>
      <c r="K62" s="90"/>
      <c r="L62" s="90"/>
      <c r="M62" s="90"/>
      <c r="N62" s="90"/>
    </row>
    <row r="63" spans="2:14" x14ac:dyDescent="0.25">
      <c r="B63" s="133" t="str">
        <f t="shared" ref="B63:C63" si="28">IF(B15&lt;&gt;"",B15,"")</f>
        <v/>
      </c>
      <c r="C63" s="133" t="str">
        <f t="shared" si="28"/>
        <v/>
      </c>
      <c r="D63" s="133" t="str">
        <f t="shared" si="25"/>
        <v/>
      </c>
      <c r="E63" s="90"/>
      <c r="F63" s="90"/>
      <c r="G63" s="90"/>
      <c r="H63" s="90"/>
      <c r="I63" s="90"/>
      <c r="J63" s="90"/>
      <c r="K63" s="90"/>
      <c r="L63" s="90"/>
      <c r="M63" s="90"/>
      <c r="N63" s="90"/>
    </row>
    <row r="64" spans="2:14" x14ac:dyDescent="0.25">
      <c r="B64" s="133" t="str">
        <f t="shared" ref="B64:C64" si="29">IF(B16&lt;&gt;"",B16,"")</f>
        <v/>
      </c>
      <c r="C64" s="133" t="str">
        <f t="shared" si="29"/>
        <v/>
      </c>
      <c r="D64" s="133" t="str">
        <f t="shared" si="25"/>
        <v/>
      </c>
      <c r="E64" s="90"/>
      <c r="F64" s="90"/>
      <c r="G64" s="90"/>
      <c r="H64" s="90"/>
      <c r="I64" s="90"/>
      <c r="J64" s="90"/>
      <c r="K64" s="90"/>
      <c r="L64" s="90"/>
      <c r="M64" s="90"/>
      <c r="N64" s="90"/>
    </row>
    <row r="65" spans="2:14" x14ac:dyDescent="0.25">
      <c r="B65" s="133" t="str">
        <f t="shared" ref="B65:C65" si="30">IF(B17&lt;&gt;"",B17,"")</f>
        <v/>
      </c>
      <c r="C65" s="133" t="str">
        <f t="shared" si="30"/>
        <v/>
      </c>
      <c r="D65" s="133" t="str">
        <f t="shared" si="25"/>
        <v/>
      </c>
      <c r="E65" s="90"/>
      <c r="F65" s="90"/>
      <c r="G65" s="90"/>
      <c r="H65" s="90"/>
      <c r="I65" s="90"/>
      <c r="J65" s="90"/>
      <c r="K65" s="90"/>
      <c r="L65" s="90"/>
      <c r="M65" s="90"/>
      <c r="N65" s="90"/>
    </row>
    <row r="66" spans="2:14" x14ac:dyDescent="0.25">
      <c r="B66" s="133" t="str">
        <f t="shared" ref="B66:C66" si="31">IF(B18&lt;&gt;"",B18,"")</f>
        <v/>
      </c>
      <c r="C66" s="133" t="str">
        <f t="shared" si="31"/>
        <v/>
      </c>
      <c r="D66" s="133" t="str">
        <f t="shared" si="25"/>
        <v/>
      </c>
      <c r="E66" s="90"/>
      <c r="F66" s="90"/>
      <c r="G66" s="90"/>
      <c r="H66" s="90"/>
      <c r="I66" s="90"/>
      <c r="J66" s="90"/>
      <c r="K66" s="90"/>
      <c r="L66" s="90"/>
      <c r="M66" s="90"/>
      <c r="N66" s="90"/>
    </row>
    <row r="67" spans="2:14" x14ac:dyDescent="0.25">
      <c r="B67" s="133" t="str">
        <f t="shared" ref="B67:C67" si="32">IF(B19&lt;&gt;"",B19,"")</f>
        <v/>
      </c>
      <c r="C67" s="133" t="str">
        <f t="shared" si="32"/>
        <v/>
      </c>
      <c r="D67" s="133" t="str">
        <f t="shared" si="25"/>
        <v/>
      </c>
      <c r="E67" s="90"/>
      <c r="F67" s="90"/>
      <c r="G67" s="90"/>
      <c r="H67" s="90"/>
      <c r="I67" s="90"/>
      <c r="J67" s="90"/>
      <c r="K67" s="90"/>
      <c r="L67" s="90"/>
      <c r="M67" s="90"/>
      <c r="N67" s="90"/>
    </row>
    <row r="68" spans="2:14" x14ac:dyDescent="0.25">
      <c r="B68" s="133" t="str">
        <f t="shared" ref="B68:C68" si="33">IF(B20&lt;&gt;"",B20,"")</f>
        <v/>
      </c>
      <c r="C68" s="133" t="str">
        <f t="shared" si="33"/>
        <v/>
      </c>
      <c r="D68" s="133" t="str">
        <f t="shared" si="25"/>
        <v/>
      </c>
      <c r="E68" s="90"/>
      <c r="F68" s="90"/>
      <c r="G68" s="90"/>
      <c r="H68" s="90"/>
      <c r="I68" s="90"/>
      <c r="J68" s="90"/>
      <c r="K68" s="90"/>
      <c r="L68" s="90"/>
      <c r="M68" s="90"/>
      <c r="N68" s="90"/>
    </row>
    <row r="69" spans="2:14" x14ac:dyDescent="0.25">
      <c r="B69" s="133" t="str">
        <f t="shared" ref="B69:C69" si="34">IF(B21&lt;&gt;"",B21,"")</f>
        <v/>
      </c>
      <c r="C69" s="133" t="str">
        <f t="shared" si="34"/>
        <v/>
      </c>
      <c r="D69" s="133" t="str">
        <f t="shared" si="25"/>
        <v/>
      </c>
      <c r="E69" s="90"/>
      <c r="F69" s="90"/>
      <c r="G69" s="90"/>
      <c r="H69" s="90"/>
      <c r="I69" s="90"/>
      <c r="J69" s="90"/>
      <c r="K69" s="90"/>
      <c r="L69" s="90"/>
      <c r="M69" s="90"/>
      <c r="N69" s="90"/>
    </row>
    <row r="70" spans="2:14" x14ac:dyDescent="0.25">
      <c r="B70" s="133" t="str">
        <f t="shared" ref="B70:C70" si="35">IF(B22&lt;&gt;"",B22,"")</f>
        <v/>
      </c>
      <c r="C70" s="133" t="str">
        <f t="shared" si="35"/>
        <v/>
      </c>
      <c r="D70" s="133" t="str">
        <f t="shared" si="25"/>
        <v/>
      </c>
      <c r="E70" s="90"/>
      <c r="F70" s="90"/>
      <c r="G70" s="90"/>
      <c r="H70" s="90"/>
      <c r="I70" s="90"/>
      <c r="J70" s="90"/>
      <c r="K70" s="90"/>
      <c r="L70" s="90"/>
      <c r="M70" s="90"/>
      <c r="N70" s="90"/>
    </row>
    <row r="71" spans="2:14" x14ac:dyDescent="0.25">
      <c r="B71" s="133" t="str">
        <f t="shared" ref="B71:C71" si="36">IF(B23&lt;&gt;"",B23,"")</f>
        <v/>
      </c>
      <c r="C71" s="133" t="str">
        <f t="shared" si="36"/>
        <v/>
      </c>
      <c r="D71" s="133" t="str">
        <f t="shared" si="25"/>
        <v/>
      </c>
      <c r="E71" s="90"/>
      <c r="F71" s="90"/>
      <c r="G71" s="90"/>
      <c r="H71" s="90"/>
      <c r="I71" s="90"/>
      <c r="J71" s="90"/>
      <c r="K71" s="90"/>
      <c r="L71" s="90"/>
      <c r="M71" s="90"/>
      <c r="N71" s="90"/>
    </row>
    <row r="72" spans="2:14" x14ac:dyDescent="0.25">
      <c r="B72" s="133" t="str">
        <f t="shared" ref="B72:C72" si="37">IF(B24&lt;&gt;"",B24,"")</f>
        <v/>
      </c>
      <c r="C72" s="133" t="str">
        <f t="shared" si="37"/>
        <v/>
      </c>
      <c r="D72" s="133" t="str">
        <f t="shared" si="25"/>
        <v/>
      </c>
      <c r="E72" s="90"/>
      <c r="F72" s="90"/>
      <c r="G72" s="90"/>
      <c r="H72" s="90"/>
      <c r="I72" s="90"/>
      <c r="J72" s="90"/>
      <c r="K72" s="90"/>
      <c r="L72" s="90"/>
      <c r="M72" s="90"/>
      <c r="N72" s="90"/>
    </row>
    <row r="73" spans="2:14" x14ac:dyDescent="0.25">
      <c r="B73" s="133" t="str">
        <f t="shared" ref="B73:C73" si="38">IF(B25&lt;&gt;"",B25,"")</f>
        <v/>
      </c>
      <c r="C73" s="133" t="str">
        <f t="shared" si="38"/>
        <v/>
      </c>
      <c r="D73" s="133" t="str">
        <f t="shared" si="25"/>
        <v/>
      </c>
      <c r="E73" s="90"/>
      <c r="F73" s="90"/>
      <c r="G73" s="90"/>
      <c r="H73" s="90"/>
      <c r="I73" s="90"/>
      <c r="J73" s="90"/>
      <c r="K73" s="90"/>
      <c r="L73" s="90"/>
      <c r="M73" s="90"/>
      <c r="N73" s="90"/>
    </row>
    <row r="74" spans="2:14" x14ac:dyDescent="0.25">
      <c r="B74" s="133" t="str">
        <f t="shared" ref="B74:C74" si="39">IF(B26&lt;&gt;"",B26,"")</f>
        <v/>
      </c>
      <c r="C74" s="133" t="str">
        <f t="shared" si="39"/>
        <v/>
      </c>
      <c r="D74" s="133" t="str">
        <f t="shared" si="25"/>
        <v/>
      </c>
      <c r="E74" s="90"/>
      <c r="F74" s="90"/>
      <c r="G74" s="90"/>
      <c r="H74" s="90"/>
      <c r="I74" s="90"/>
      <c r="J74" s="90"/>
      <c r="K74" s="90"/>
      <c r="L74" s="90"/>
      <c r="M74" s="90"/>
      <c r="N74" s="90"/>
    </row>
    <row r="75" spans="2:14" x14ac:dyDescent="0.25">
      <c r="B75" s="133" t="str">
        <f t="shared" ref="B75:C75" si="40">IF(B27&lt;&gt;"",B27,"")</f>
        <v/>
      </c>
      <c r="C75" s="133" t="str">
        <f t="shared" si="40"/>
        <v/>
      </c>
      <c r="D75" s="133" t="str">
        <f t="shared" si="25"/>
        <v/>
      </c>
      <c r="E75" s="90"/>
      <c r="F75" s="90"/>
      <c r="G75" s="90"/>
      <c r="H75" s="90"/>
      <c r="I75" s="90"/>
      <c r="J75" s="90"/>
      <c r="K75" s="90"/>
      <c r="L75" s="90"/>
      <c r="M75" s="90"/>
      <c r="N75" s="90"/>
    </row>
    <row r="76" spans="2:14" x14ac:dyDescent="0.25">
      <c r="B76" s="133" t="str">
        <f t="shared" ref="B76:C76" si="41">IF(B28&lt;&gt;"",B28,"")</f>
        <v/>
      </c>
      <c r="C76" s="133" t="str">
        <f t="shared" si="41"/>
        <v/>
      </c>
      <c r="D76" s="133" t="str">
        <f t="shared" si="25"/>
        <v/>
      </c>
      <c r="E76" s="90"/>
      <c r="F76" s="90"/>
      <c r="G76" s="90"/>
      <c r="H76" s="90"/>
      <c r="I76" s="90"/>
      <c r="J76" s="90"/>
      <c r="K76" s="90"/>
      <c r="L76" s="90"/>
      <c r="M76" s="90"/>
      <c r="N76" s="90"/>
    </row>
    <row r="77" spans="2:14" x14ac:dyDescent="0.25">
      <c r="B77" s="133" t="str">
        <f t="shared" ref="B77:C77" si="42">IF(B29&lt;&gt;"",B29,"")</f>
        <v/>
      </c>
      <c r="C77" s="133" t="str">
        <f t="shared" si="42"/>
        <v/>
      </c>
      <c r="D77" s="133" t="str">
        <f t="shared" si="25"/>
        <v/>
      </c>
      <c r="E77" s="90"/>
      <c r="F77" s="90"/>
      <c r="G77" s="90"/>
      <c r="H77" s="90"/>
      <c r="I77" s="90"/>
      <c r="J77" s="90"/>
      <c r="K77" s="90"/>
      <c r="L77" s="90"/>
      <c r="M77" s="90"/>
      <c r="N77" s="90"/>
    </row>
    <row r="78" spans="2:14" x14ac:dyDescent="0.25">
      <c r="B78" s="133" t="str">
        <f t="shared" ref="B78:C78" si="43">IF(B30&lt;&gt;"",B30,"")</f>
        <v/>
      </c>
      <c r="C78" s="133" t="str">
        <f t="shared" si="43"/>
        <v/>
      </c>
      <c r="D78" s="133" t="str">
        <f t="shared" si="25"/>
        <v/>
      </c>
      <c r="E78" s="90"/>
      <c r="F78" s="90"/>
      <c r="G78" s="90"/>
      <c r="H78" s="90"/>
      <c r="I78" s="90"/>
      <c r="J78" s="90"/>
      <c r="K78" s="90"/>
      <c r="L78" s="90"/>
      <c r="M78" s="90"/>
      <c r="N78" s="90"/>
    </row>
    <row r="79" spans="2:14" x14ac:dyDescent="0.25"/>
    <row r="80" spans="2:14" x14ac:dyDescent="0.25"/>
    <row r="81" spans="2:14" ht="15.75" x14ac:dyDescent="0.25">
      <c r="B81" s="58" t="s">
        <v>153</v>
      </c>
      <c r="C81" s="11"/>
      <c r="D81" s="11"/>
      <c r="E81" s="67" t="s">
        <v>13</v>
      </c>
      <c r="F81" s="67" t="s">
        <v>14</v>
      </c>
      <c r="G81" s="67" t="s">
        <v>15</v>
      </c>
      <c r="H81" s="67" t="s">
        <v>16</v>
      </c>
      <c r="I81" s="67" t="s">
        <v>17</v>
      </c>
      <c r="J81" s="67" t="s">
        <v>18</v>
      </c>
      <c r="K81" s="67" t="s">
        <v>19</v>
      </c>
      <c r="L81" s="67" t="s">
        <v>20</v>
      </c>
      <c r="M81" s="67" t="s">
        <v>21</v>
      </c>
      <c r="N81" s="67" t="s">
        <v>22</v>
      </c>
    </row>
    <row r="82" spans="2:14" ht="15.75" x14ac:dyDescent="0.25">
      <c r="B82" s="60" t="s">
        <v>215</v>
      </c>
      <c r="C82" s="60" t="s">
        <v>3</v>
      </c>
      <c r="D82" s="60" t="s">
        <v>8</v>
      </c>
      <c r="E82" s="60">
        <f>start_operatie</f>
        <v>2031</v>
      </c>
      <c r="F82" s="60">
        <f t="shared" ref="F82:N82" si="44">E82+1</f>
        <v>2032</v>
      </c>
      <c r="G82" s="60">
        <f t="shared" si="44"/>
        <v>2033</v>
      </c>
      <c r="H82" s="60">
        <f t="shared" si="44"/>
        <v>2034</v>
      </c>
      <c r="I82" s="60">
        <f t="shared" si="44"/>
        <v>2035</v>
      </c>
      <c r="J82" s="60">
        <f t="shared" si="44"/>
        <v>2036</v>
      </c>
      <c r="K82" s="60">
        <f t="shared" si="44"/>
        <v>2037</v>
      </c>
      <c r="L82" s="60">
        <f t="shared" si="44"/>
        <v>2038</v>
      </c>
      <c r="M82" s="60">
        <f t="shared" si="44"/>
        <v>2039</v>
      </c>
      <c r="N82" s="60">
        <f t="shared" si="44"/>
        <v>2040</v>
      </c>
    </row>
    <row r="83" spans="2:14" x14ac:dyDescent="0.25">
      <c r="B83" s="24" t="str">
        <f>IF(B11&lt;&gt;"",B11,"")</f>
        <v/>
      </c>
      <c r="C83" s="24" t="str">
        <f t="shared" ref="C83" si="45">IF(C11&lt;&gt;"",C11,"")</f>
        <v/>
      </c>
      <c r="D83" s="24" t="str">
        <f>IF(G11&lt;&gt;"",G11,"")</f>
        <v/>
      </c>
      <c r="E83" s="26">
        <f>+'3 Omzet'!E35*'3 Omzet'!E59</f>
        <v>0</v>
      </c>
      <c r="F83" s="26">
        <f>+'3 Omzet'!F35*'3 Omzet'!F59</f>
        <v>0</v>
      </c>
      <c r="G83" s="26">
        <f>+'3 Omzet'!G35*'3 Omzet'!G59</f>
        <v>0</v>
      </c>
      <c r="H83" s="26">
        <f>+'3 Omzet'!H35*'3 Omzet'!H59</f>
        <v>0</v>
      </c>
      <c r="I83" s="26">
        <f>+'3 Omzet'!I35*'3 Omzet'!I59</f>
        <v>0</v>
      </c>
      <c r="J83" s="27">
        <f>+'3 Omzet'!J35*'3 Omzet'!J59</f>
        <v>0</v>
      </c>
      <c r="K83" s="26">
        <f>+'3 Omzet'!K35*'3 Omzet'!K59</f>
        <v>0</v>
      </c>
      <c r="L83" s="26">
        <f>+'3 Omzet'!L35*'3 Omzet'!L59</f>
        <v>0</v>
      </c>
      <c r="M83" s="26">
        <f>+'3 Omzet'!M35*'3 Omzet'!M59</f>
        <v>0</v>
      </c>
      <c r="N83" s="26">
        <f>+'3 Omzet'!N35*'3 Omzet'!N59</f>
        <v>0</v>
      </c>
    </row>
    <row r="84" spans="2:14" x14ac:dyDescent="0.25">
      <c r="B84" s="24" t="str">
        <f t="shared" ref="B84:C84" si="46">IF(B12&lt;&gt;"",B12,"")</f>
        <v/>
      </c>
      <c r="C84" s="24" t="str">
        <f t="shared" si="46"/>
        <v/>
      </c>
      <c r="D84" s="24" t="str">
        <f t="shared" ref="D84:D102" si="47">IF(G12&lt;&gt;"",G12,"")</f>
        <v/>
      </c>
      <c r="E84" s="26">
        <f>+'3 Omzet'!E36*'3 Omzet'!E60</f>
        <v>0</v>
      </c>
      <c r="F84" s="26">
        <f>+'3 Omzet'!F36*'3 Omzet'!F60</f>
        <v>0</v>
      </c>
      <c r="G84" s="26">
        <f>+'3 Omzet'!G36*'3 Omzet'!G60</f>
        <v>0</v>
      </c>
      <c r="H84" s="26">
        <f>+'3 Omzet'!H36*'3 Omzet'!H60</f>
        <v>0</v>
      </c>
      <c r="I84" s="26">
        <f>+'3 Omzet'!I36*'3 Omzet'!I60</f>
        <v>0</v>
      </c>
      <c r="J84" s="27">
        <f>+'3 Omzet'!J36*'3 Omzet'!J60</f>
        <v>0</v>
      </c>
      <c r="K84" s="26">
        <f>+'3 Omzet'!K36*'3 Omzet'!K60</f>
        <v>0</v>
      </c>
      <c r="L84" s="26">
        <f>+'3 Omzet'!L36*'3 Omzet'!L60</f>
        <v>0</v>
      </c>
      <c r="M84" s="26">
        <f>+'3 Omzet'!M36*'3 Omzet'!M60</f>
        <v>0</v>
      </c>
      <c r="N84" s="26">
        <f>+'3 Omzet'!N36*'3 Omzet'!N60</f>
        <v>0</v>
      </c>
    </row>
    <row r="85" spans="2:14" x14ac:dyDescent="0.25">
      <c r="B85" s="24" t="str">
        <f t="shared" ref="B85:C85" si="48">IF(B13&lt;&gt;"",B13,"")</f>
        <v/>
      </c>
      <c r="C85" s="24" t="str">
        <f t="shared" si="48"/>
        <v/>
      </c>
      <c r="D85" s="24" t="str">
        <f t="shared" si="47"/>
        <v/>
      </c>
      <c r="E85" s="26">
        <f>+'3 Omzet'!E37*'3 Omzet'!E61</f>
        <v>0</v>
      </c>
      <c r="F85" s="26">
        <f>+'3 Omzet'!F37*'3 Omzet'!F61</f>
        <v>0</v>
      </c>
      <c r="G85" s="26">
        <f>+'3 Omzet'!G37*'3 Omzet'!G61</f>
        <v>0</v>
      </c>
      <c r="H85" s="26">
        <f>+'3 Omzet'!H37*'3 Omzet'!H61</f>
        <v>0</v>
      </c>
      <c r="I85" s="26">
        <f>+'3 Omzet'!I37*'3 Omzet'!I61</f>
        <v>0</v>
      </c>
      <c r="J85" s="27">
        <f>+'3 Omzet'!J37*'3 Omzet'!J61</f>
        <v>0</v>
      </c>
      <c r="K85" s="26">
        <f>+'3 Omzet'!K37*'3 Omzet'!K61</f>
        <v>0</v>
      </c>
      <c r="L85" s="26">
        <f>+'3 Omzet'!L37*'3 Omzet'!L61</f>
        <v>0</v>
      </c>
      <c r="M85" s="26">
        <f>+'3 Omzet'!M37*'3 Omzet'!M61</f>
        <v>0</v>
      </c>
      <c r="N85" s="26">
        <f>+'3 Omzet'!N37*'3 Omzet'!N61</f>
        <v>0</v>
      </c>
    </row>
    <row r="86" spans="2:14" x14ac:dyDescent="0.25">
      <c r="B86" s="24" t="str">
        <f t="shared" ref="B86:C86" si="49">IF(B14&lt;&gt;"",B14,"")</f>
        <v/>
      </c>
      <c r="C86" s="24" t="str">
        <f t="shared" si="49"/>
        <v/>
      </c>
      <c r="D86" s="24" t="str">
        <f t="shared" si="47"/>
        <v/>
      </c>
      <c r="E86" s="26">
        <f>+'3 Omzet'!E38*'3 Omzet'!E62</f>
        <v>0</v>
      </c>
      <c r="F86" s="26">
        <f>+'3 Omzet'!F38*'3 Omzet'!F62</f>
        <v>0</v>
      </c>
      <c r="G86" s="26">
        <f>+'3 Omzet'!G38*'3 Omzet'!G62</f>
        <v>0</v>
      </c>
      <c r="H86" s="26">
        <f>+'3 Omzet'!H38*'3 Omzet'!H62</f>
        <v>0</v>
      </c>
      <c r="I86" s="26">
        <f>+'3 Omzet'!I38*'3 Omzet'!I62</f>
        <v>0</v>
      </c>
      <c r="J86" s="27">
        <f>+'3 Omzet'!J38*'3 Omzet'!J62</f>
        <v>0</v>
      </c>
      <c r="K86" s="26">
        <f>+'3 Omzet'!K38*'3 Omzet'!K62</f>
        <v>0</v>
      </c>
      <c r="L86" s="26">
        <f>+'3 Omzet'!L38*'3 Omzet'!L62</f>
        <v>0</v>
      </c>
      <c r="M86" s="26">
        <f>+'3 Omzet'!M38*'3 Omzet'!M62</f>
        <v>0</v>
      </c>
      <c r="N86" s="26">
        <f>+'3 Omzet'!N38*'3 Omzet'!N62</f>
        <v>0</v>
      </c>
    </row>
    <row r="87" spans="2:14" x14ac:dyDescent="0.25">
      <c r="B87" s="24" t="str">
        <f t="shared" ref="B87:C87" si="50">IF(B15&lt;&gt;"",B15,"")</f>
        <v/>
      </c>
      <c r="C87" s="24" t="str">
        <f t="shared" si="50"/>
        <v/>
      </c>
      <c r="D87" s="24" t="str">
        <f t="shared" si="47"/>
        <v/>
      </c>
      <c r="E87" s="26">
        <f>+'3 Omzet'!E39*'3 Omzet'!E63</f>
        <v>0</v>
      </c>
      <c r="F87" s="26">
        <f>+'3 Omzet'!F39*'3 Omzet'!F63</f>
        <v>0</v>
      </c>
      <c r="G87" s="26">
        <f>+'3 Omzet'!G39*'3 Omzet'!G63</f>
        <v>0</v>
      </c>
      <c r="H87" s="26">
        <f>+'3 Omzet'!H39*'3 Omzet'!H63</f>
        <v>0</v>
      </c>
      <c r="I87" s="26">
        <f>+'3 Omzet'!I39*'3 Omzet'!I63</f>
        <v>0</v>
      </c>
      <c r="J87" s="27">
        <f>+'3 Omzet'!J39*'3 Omzet'!J63</f>
        <v>0</v>
      </c>
      <c r="K87" s="26">
        <f>+'3 Omzet'!K39*'3 Omzet'!K63</f>
        <v>0</v>
      </c>
      <c r="L87" s="26">
        <f>+'3 Omzet'!L39*'3 Omzet'!L63</f>
        <v>0</v>
      </c>
      <c r="M87" s="26">
        <f>+'3 Omzet'!M39*'3 Omzet'!M63</f>
        <v>0</v>
      </c>
      <c r="N87" s="26">
        <f>+'3 Omzet'!N39*'3 Omzet'!N63</f>
        <v>0</v>
      </c>
    </row>
    <row r="88" spans="2:14" x14ac:dyDescent="0.25">
      <c r="B88" s="24" t="str">
        <f t="shared" ref="B88:C88" si="51">IF(B16&lt;&gt;"",B16,"")</f>
        <v/>
      </c>
      <c r="C88" s="24" t="str">
        <f t="shared" si="51"/>
        <v/>
      </c>
      <c r="D88" s="24" t="str">
        <f t="shared" si="47"/>
        <v/>
      </c>
      <c r="E88" s="26">
        <f>+'3 Omzet'!E40*'3 Omzet'!E64</f>
        <v>0</v>
      </c>
      <c r="F88" s="26">
        <f>+'3 Omzet'!F40*'3 Omzet'!F64</f>
        <v>0</v>
      </c>
      <c r="G88" s="26">
        <f>+'3 Omzet'!G40*'3 Omzet'!G64</f>
        <v>0</v>
      </c>
      <c r="H88" s="26">
        <f>+'3 Omzet'!H40*'3 Omzet'!H64</f>
        <v>0</v>
      </c>
      <c r="I88" s="26">
        <f>+'3 Omzet'!I40*'3 Omzet'!I64</f>
        <v>0</v>
      </c>
      <c r="J88" s="27">
        <f>+'3 Omzet'!J40*'3 Omzet'!J64</f>
        <v>0</v>
      </c>
      <c r="K88" s="26">
        <f>+'3 Omzet'!K40*'3 Omzet'!K64</f>
        <v>0</v>
      </c>
      <c r="L88" s="26">
        <f>+'3 Omzet'!L40*'3 Omzet'!L64</f>
        <v>0</v>
      </c>
      <c r="M88" s="26">
        <f>+'3 Omzet'!M40*'3 Omzet'!M64</f>
        <v>0</v>
      </c>
      <c r="N88" s="26">
        <f>+'3 Omzet'!N40*'3 Omzet'!N64</f>
        <v>0</v>
      </c>
    </row>
    <row r="89" spans="2:14" x14ac:dyDescent="0.25">
      <c r="B89" s="24" t="str">
        <f t="shared" ref="B89:C89" si="52">IF(B17&lt;&gt;"",B17,"")</f>
        <v/>
      </c>
      <c r="C89" s="24" t="str">
        <f t="shared" si="52"/>
        <v/>
      </c>
      <c r="D89" s="24" t="str">
        <f t="shared" si="47"/>
        <v/>
      </c>
      <c r="E89" s="26">
        <f>+'3 Omzet'!E41*'3 Omzet'!E65</f>
        <v>0</v>
      </c>
      <c r="F89" s="26">
        <f>+'3 Omzet'!F41*'3 Omzet'!F65</f>
        <v>0</v>
      </c>
      <c r="G89" s="26">
        <f>+'3 Omzet'!G41*'3 Omzet'!G65</f>
        <v>0</v>
      </c>
      <c r="H89" s="26">
        <f>+'3 Omzet'!H41*'3 Omzet'!H65</f>
        <v>0</v>
      </c>
      <c r="I89" s="26">
        <f>+'3 Omzet'!I41*'3 Omzet'!I65</f>
        <v>0</v>
      </c>
      <c r="J89" s="27">
        <f>+'3 Omzet'!J41*'3 Omzet'!J65</f>
        <v>0</v>
      </c>
      <c r="K89" s="26">
        <f>+'3 Omzet'!K41*'3 Omzet'!K65</f>
        <v>0</v>
      </c>
      <c r="L89" s="26">
        <f>+'3 Omzet'!L41*'3 Omzet'!L65</f>
        <v>0</v>
      </c>
      <c r="M89" s="26">
        <f>+'3 Omzet'!M41*'3 Omzet'!M65</f>
        <v>0</v>
      </c>
      <c r="N89" s="26">
        <f>+'3 Omzet'!N41*'3 Omzet'!N65</f>
        <v>0</v>
      </c>
    </row>
    <row r="90" spans="2:14" x14ac:dyDescent="0.25">
      <c r="B90" s="24" t="str">
        <f t="shared" ref="B90:C90" si="53">IF(B18&lt;&gt;"",B18,"")</f>
        <v/>
      </c>
      <c r="C90" s="24" t="str">
        <f t="shared" si="53"/>
        <v/>
      </c>
      <c r="D90" s="24" t="str">
        <f t="shared" si="47"/>
        <v/>
      </c>
      <c r="E90" s="26">
        <f>+'3 Omzet'!E42*'3 Omzet'!E66</f>
        <v>0</v>
      </c>
      <c r="F90" s="26">
        <f>+'3 Omzet'!F42*'3 Omzet'!F66</f>
        <v>0</v>
      </c>
      <c r="G90" s="26">
        <f>+'3 Omzet'!G42*'3 Omzet'!G66</f>
        <v>0</v>
      </c>
      <c r="H90" s="26">
        <f>+'3 Omzet'!H42*'3 Omzet'!H66</f>
        <v>0</v>
      </c>
      <c r="I90" s="26">
        <f>+'3 Omzet'!I42*'3 Omzet'!I66</f>
        <v>0</v>
      </c>
      <c r="J90" s="27">
        <f>+'3 Omzet'!J42*'3 Omzet'!J66</f>
        <v>0</v>
      </c>
      <c r="K90" s="26">
        <f>+'3 Omzet'!K42*'3 Omzet'!K66</f>
        <v>0</v>
      </c>
      <c r="L90" s="26">
        <f>+'3 Omzet'!L42*'3 Omzet'!L66</f>
        <v>0</v>
      </c>
      <c r="M90" s="26">
        <f>+'3 Omzet'!M42*'3 Omzet'!M66</f>
        <v>0</v>
      </c>
      <c r="N90" s="26">
        <f>+'3 Omzet'!N42*'3 Omzet'!N66</f>
        <v>0</v>
      </c>
    </row>
    <row r="91" spans="2:14" x14ac:dyDescent="0.25">
      <c r="B91" s="24" t="str">
        <f t="shared" ref="B91:C91" si="54">IF(B19&lt;&gt;"",B19,"")</f>
        <v/>
      </c>
      <c r="C91" s="24" t="str">
        <f t="shared" si="54"/>
        <v/>
      </c>
      <c r="D91" s="24" t="str">
        <f t="shared" si="47"/>
        <v/>
      </c>
      <c r="E91" s="26">
        <f>+'3 Omzet'!E43*'3 Omzet'!E67</f>
        <v>0</v>
      </c>
      <c r="F91" s="26">
        <f>+'3 Omzet'!F43*'3 Omzet'!F67</f>
        <v>0</v>
      </c>
      <c r="G91" s="26">
        <f>+'3 Omzet'!G43*'3 Omzet'!G67</f>
        <v>0</v>
      </c>
      <c r="H91" s="26">
        <f>+'3 Omzet'!H43*'3 Omzet'!H67</f>
        <v>0</v>
      </c>
      <c r="I91" s="26">
        <f>+'3 Omzet'!I43*'3 Omzet'!I67</f>
        <v>0</v>
      </c>
      <c r="J91" s="27">
        <f>+'3 Omzet'!J43*'3 Omzet'!J67</f>
        <v>0</v>
      </c>
      <c r="K91" s="26">
        <f>+'3 Omzet'!K43*'3 Omzet'!K67</f>
        <v>0</v>
      </c>
      <c r="L91" s="26">
        <f>+'3 Omzet'!L43*'3 Omzet'!L67</f>
        <v>0</v>
      </c>
      <c r="M91" s="26">
        <f>+'3 Omzet'!M43*'3 Omzet'!M67</f>
        <v>0</v>
      </c>
      <c r="N91" s="26">
        <f>+'3 Omzet'!N43*'3 Omzet'!N67</f>
        <v>0</v>
      </c>
    </row>
    <row r="92" spans="2:14" x14ac:dyDescent="0.25">
      <c r="B92" s="24" t="str">
        <f t="shared" ref="B92:C92" si="55">IF(B20&lt;&gt;"",B20,"")</f>
        <v/>
      </c>
      <c r="C92" s="24" t="str">
        <f t="shared" si="55"/>
        <v/>
      </c>
      <c r="D92" s="24" t="str">
        <f t="shared" si="47"/>
        <v/>
      </c>
      <c r="E92" s="26">
        <f>+'3 Omzet'!E44*'3 Omzet'!E68</f>
        <v>0</v>
      </c>
      <c r="F92" s="26">
        <f>+'3 Omzet'!F44*'3 Omzet'!F68</f>
        <v>0</v>
      </c>
      <c r="G92" s="26">
        <f>+'3 Omzet'!G44*'3 Omzet'!G68</f>
        <v>0</v>
      </c>
      <c r="H92" s="26">
        <f>+'3 Omzet'!H44*'3 Omzet'!H68</f>
        <v>0</v>
      </c>
      <c r="I92" s="26">
        <f>+'3 Omzet'!I44*'3 Omzet'!I68</f>
        <v>0</v>
      </c>
      <c r="J92" s="27">
        <f>+'3 Omzet'!J44*'3 Omzet'!J68</f>
        <v>0</v>
      </c>
      <c r="K92" s="26">
        <f>+'3 Omzet'!K44*'3 Omzet'!K68</f>
        <v>0</v>
      </c>
      <c r="L92" s="26">
        <f>+'3 Omzet'!L44*'3 Omzet'!L68</f>
        <v>0</v>
      </c>
      <c r="M92" s="26">
        <f>+'3 Omzet'!M44*'3 Omzet'!M68</f>
        <v>0</v>
      </c>
      <c r="N92" s="26">
        <f>+'3 Omzet'!N44*'3 Omzet'!N68</f>
        <v>0</v>
      </c>
    </row>
    <row r="93" spans="2:14" x14ac:dyDescent="0.25">
      <c r="B93" s="24" t="str">
        <f t="shared" ref="B93:C93" si="56">IF(B21&lt;&gt;"",B21,"")</f>
        <v/>
      </c>
      <c r="C93" s="24" t="str">
        <f t="shared" si="56"/>
        <v/>
      </c>
      <c r="D93" s="24" t="str">
        <f t="shared" si="47"/>
        <v/>
      </c>
      <c r="E93" s="26">
        <f>+'3 Omzet'!E45*'3 Omzet'!E69</f>
        <v>0</v>
      </c>
      <c r="F93" s="26">
        <f>+'3 Omzet'!F45*'3 Omzet'!F69</f>
        <v>0</v>
      </c>
      <c r="G93" s="26">
        <f>+'3 Omzet'!G45*'3 Omzet'!G69</f>
        <v>0</v>
      </c>
      <c r="H93" s="26">
        <f>+'3 Omzet'!H45*'3 Omzet'!H69</f>
        <v>0</v>
      </c>
      <c r="I93" s="26">
        <f>+'3 Omzet'!I45*'3 Omzet'!I69</f>
        <v>0</v>
      </c>
      <c r="J93" s="27">
        <f>+'3 Omzet'!J45*'3 Omzet'!J69</f>
        <v>0</v>
      </c>
      <c r="K93" s="26">
        <f>+'3 Omzet'!K45*'3 Omzet'!K69</f>
        <v>0</v>
      </c>
      <c r="L93" s="26">
        <f>+'3 Omzet'!L45*'3 Omzet'!L69</f>
        <v>0</v>
      </c>
      <c r="M93" s="26">
        <f>+'3 Omzet'!M45*'3 Omzet'!M69</f>
        <v>0</v>
      </c>
      <c r="N93" s="26">
        <f>+'3 Omzet'!N45*'3 Omzet'!N69</f>
        <v>0</v>
      </c>
    </row>
    <row r="94" spans="2:14" x14ac:dyDescent="0.25">
      <c r="B94" s="24" t="str">
        <f t="shared" ref="B94:C94" si="57">IF(B22&lt;&gt;"",B22,"")</f>
        <v/>
      </c>
      <c r="C94" s="24" t="str">
        <f t="shared" si="57"/>
        <v/>
      </c>
      <c r="D94" s="24" t="str">
        <f t="shared" si="47"/>
        <v/>
      </c>
      <c r="E94" s="26">
        <f>+'3 Omzet'!E46*'3 Omzet'!E70</f>
        <v>0</v>
      </c>
      <c r="F94" s="26">
        <f>+'3 Omzet'!F46*'3 Omzet'!F70</f>
        <v>0</v>
      </c>
      <c r="G94" s="26">
        <f>+'3 Omzet'!G46*'3 Omzet'!G70</f>
        <v>0</v>
      </c>
      <c r="H94" s="26">
        <f>+'3 Omzet'!H46*'3 Omzet'!H70</f>
        <v>0</v>
      </c>
      <c r="I94" s="26">
        <f>+'3 Omzet'!I46*'3 Omzet'!I70</f>
        <v>0</v>
      </c>
      <c r="J94" s="27">
        <f>+'3 Omzet'!J46*'3 Omzet'!J70</f>
        <v>0</v>
      </c>
      <c r="K94" s="26">
        <f>+'3 Omzet'!K46*'3 Omzet'!K70</f>
        <v>0</v>
      </c>
      <c r="L94" s="26">
        <f>+'3 Omzet'!L46*'3 Omzet'!L70</f>
        <v>0</v>
      </c>
      <c r="M94" s="26">
        <f>+'3 Omzet'!M46*'3 Omzet'!M70</f>
        <v>0</v>
      </c>
      <c r="N94" s="26">
        <f>+'3 Omzet'!N46*'3 Omzet'!N70</f>
        <v>0</v>
      </c>
    </row>
    <row r="95" spans="2:14" x14ac:dyDescent="0.25">
      <c r="B95" s="24" t="str">
        <f t="shared" ref="B95:C95" si="58">IF(B23&lt;&gt;"",B23,"")</f>
        <v/>
      </c>
      <c r="C95" s="24" t="str">
        <f t="shared" si="58"/>
        <v/>
      </c>
      <c r="D95" s="24" t="str">
        <f t="shared" si="47"/>
        <v/>
      </c>
      <c r="E95" s="26">
        <f>+'3 Omzet'!E47*'3 Omzet'!E71</f>
        <v>0</v>
      </c>
      <c r="F95" s="26">
        <f>+'3 Omzet'!F47*'3 Omzet'!F71</f>
        <v>0</v>
      </c>
      <c r="G95" s="26">
        <f>+'3 Omzet'!G47*'3 Omzet'!G71</f>
        <v>0</v>
      </c>
      <c r="H95" s="26">
        <f>+'3 Omzet'!H47*'3 Omzet'!H71</f>
        <v>0</v>
      </c>
      <c r="I95" s="26">
        <f>+'3 Omzet'!I47*'3 Omzet'!I71</f>
        <v>0</v>
      </c>
      <c r="J95" s="27">
        <f>+'3 Omzet'!J47*'3 Omzet'!J71</f>
        <v>0</v>
      </c>
      <c r="K95" s="26">
        <f>+'3 Omzet'!K47*'3 Omzet'!K71</f>
        <v>0</v>
      </c>
      <c r="L95" s="26">
        <f>+'3 Omzet'!L47*'3 Omzet'!L71</f>
        <v>0</v>
      </c>
      <c r="M95" s="26">
        <f>+'3 Omzet'!M47*'3 Omzet'!M71</f>
        <v>0</v>
      </c>
      <c r="N95" s="26">
        <f>+'3 Omzet'!N47*'3 Omzet'!N71</f>
        <v>0</v>
      </c>
    </row>
    <row r="96" spans="2:14" x14ac:dyDescent="0.25">
      <c r="B96" s="24" t="str">
        <f t="shared" ref="B96:C96" si="59">IF(B24&lt;&gt;"",B24,"")</f>
        <v/>
      </c>
      <c r="C96" s="24" t="str">
        <f t="shared" si="59"/>
        <v/>
      </c>
      <c r="D96" s="24" t="str">
        <f t="shared" si="47"/>
        <v/>
      </c>
      <c r="E96" s="26">
        <f>+'3 Omzet'!E48*'3 Omzet'!E72</f>
        <v>0</v>
      </c>
      <c r="F96" s="26">
        <f>+'3 Omzet'!F48*'3 Omzet'!F72</f>
        <v>0</v>
      </c>
      <c r="G96" s="26">
        <f>+'3 Omzet'!G48*'3 Omzet'!G72</f>
        <v>0</v>
      </c>
      <c r="H96" s="26">
        <f>+'3 Omzet'!H48*'3 Omzet'!H72</f>
        <v>0</v>
      </c>
      <c r="I96" s="26">
        <f>+'3 Omzet'!I48*'3 Omzet'!I72</f>
        <v>0</v>
      </c>
      <c r="J96" s="27">
        <f>+'3 Omzet'!J48*'3 Omzet'!J72</f>
        <v>0</v>
      </c>
      <c r="K96" s="26">
        <f>+'3 Omzet'!K48*'3 Omzet'!K72</f>
        <v>0</v>
      </c>
      <c r="L96" s="26">
        <f>+'3 Omzet'!L48*'3 Omzet'!L72</f>
        <v>0</v>
      </c>
      <c r="M96" s="26">
        <f>+'3 Omzet'!M48*'3 Omzet'!M72</f>
        <v>0</v>
      </c>
      <c r="N96" s="26">
        <f>+'3 Omzet'!N48*'3 Omzet'!N72</f>
        <v>0</v>
      </c>
    </row>
    <row r="97" spans="2:14" x14ac:dyDescent="0.25">
      <c r="B97" s="24" t="str">
        <f t="shared" ref="B97:C97" si="60">IF(B25&lt;&gt;"",B25,"")</f>
        <v/>
      </c>
      <c r="C97" s="24" t="str">
        <f t="shared" si="60"/>
        <v/>
      </c>
      <c r="D97" s="24" t="str">
        <f t="shared" si="47"/>
        <v/>
      </c>
      <c r="E97" s="26">
        <f>+'3 Omzet'!E49*'3 Omzet'!E73</f>
        <v>0</v>
      </c>
      <c r="F97" s="26">
        <f>+'3 Omzet'!F49*'3 Omzet'!F73</f>
        <v>0</v>
      </c>
      <c r="G97" s="26">
        <f>+'3 Omzet'!G49*'3 Omzet'!G73</f>
        <v>0</v>
      </c>
      <c r="H97" s="26">
        <f>+'3 Omzet'!H49*'3 Omzet'!H73</f>
        <v>0</v>
      </c>
      <c r="I97" s="26">
        <f>+'3 Omzet'!I49*'3 Omzet'!I73</f>
        <v>0</v>
      </c>
      <c r="J97" s="27">
        <f>+'3 Omzet'!J49*'3 Omzet'!J73</f>
        <v>0</v>
      </c>
      <c r="K97" s="26">
        <f>+'3 Omzet'!K49*'3 Omzet'!K73</f>
        <v>0</v>
      </c>
      <c r="L97" s="26">
        <f>+'3 Omzet'!L49*'3 Omzet'!L73</f>
        <v>0</v>
      </c>
      <c r="M97" s="26">
        <f>+'3 Omzet'!M49*'3 Omzet'!M73</f>
        <v>0</v>
      </c>
      <c r="N97" s="26">
        <f>+'3 Omzet'!N49*'3 Omzet'!N73</f>
        <v>0</v>
      </c>
    </row>
    <row r="98" spans="2:14" x14ac:dyDescent="0.25">
      <c r="B98" s="24" t="str">
        <f t="shared" ref="B98:C98" si="61">IF(B26&lt;&gt;"",B26,"")</f>
        <v/>
      </c>
      <c r="C98" s="24" t="str">
        <f t="shared" si="61"/>
        <v/>
      </c>
      <c r="D98" s="24" t="str">
        <f t="shared" si="47"/>
        <v/>
      </c>
      <c r="E98" s="26">
        <f>+'3 Omzet'!E50*'3 Omzet'!E74</f>
        <v>0</v>
      </c>
      <c r="F98" s="26">
        <f>+'3 Omzet'!F50*'3 Omzet'!F74</f>
        <v>0</v>
      </c>
      <c r="G98" s="26">
        <f>+'3 Omzet'!G50*'3 Omzet'!G74</f>
        <v>0</v>
      </c>
      <c r="H98" s="26">
        <f>+'3 Omzet'!H50*'3 Omzet'!H74</f>
        <v>0</v>
      </c>
      <c r="I98" s="26">
        <f>+'3 Omzet'!I50*'3 Omzet'!I74</f>
        <v>0</v>
      </c>
      <c r="J98" s="27">
        <f>+'3 Omzet'!J50*'3 Omzet'!J74</f>
        <v>0</v>
      </c>
      <c r="K98" s="26">
        <f>+'3 Omzet'!K50*'3 Omzet'!K74</f>
        <v>0</v>
      </c>
      <c r="L98" s="26">
        <f>+'3 Omzet'!L50*'3 Omzet'!L74</f>
        <v>0</v>
      </c>
      <c r="M98" s="26">
        <f>+'3 Omzet'!M50*'3 Omzet'!M74</f>
        <v>0</v>
      </c>
      <c r="N98" s="26">
        <f>+'3 Omzet'!N50*'3 Omzet'!N74</f>
        <v>0</v>
      </c>
    </row>
    <row r="99" spans="2:14" x14ac:dyDescent="0.25">
      <c r="B99" s="24" t="str">
        <f t="shared" ref="B99:C99" si="62">IF(B27&lt;&gt;"",B27,"")</f>
        <v/>
      </c>
      <c r="C99" s="24" t="str">
        <f t="shared" si="62"/>
        <v/>
      </c>
      <c r="D99" s="24" t="str">
        <f t="shared" si="47"/>
        <v/>
      </c>
      <c r="E99" s="26">
        <f>+'3 Omzet'!E51*'3 Omzet'!E75</f>
        <v>0</v>
      </c>
      <c r="F99" s="26">
        <f>+'3 Omzet'!F51*'3 Omzet'!F75</f>
        <v>0</v>
      </c>
      <c r="G99" s="26">
        <f>+'3 Omzet'!G51*'3 Omzet'!G75</f>
        <v>0</v>
      </c>
      <c r="H99" s="26">
        <f>+'3 Omzet'!H51*'3 Omzet'!H75</f>
        <v>0</v>
      </c>
      <c r="I99" s="26">
        <f>+'3 Omzet'!I51*'3 Omzet'!I75</f>
        <v>0</v>
      </c>
      <c r="J99" s="27">
        <f>+'3 Omzet'!J51*'3 Omzet'!J75</f>
        <v>0</v>
      </c>
      <c r="K99" s="26">
        <f>+'3 Omzet'!K51*'3 Omzet'!K75</f>
        <v>0</v>
      </c>
      <c r="L99" s="26">
        <f>+'3 Omzet'!L51*'3 Omzet'!L75</f>
        <v>0</v>
      </c>
      <c r="M99" s="26">
        <f>+'3 Omzet'!M51*'3 Omzet'!M75</f>
        <v>0</v>
      </c>
      <c r="N99" s="26">
        <f>+'3 Omzet'!N51*'3 Omzet'!N75</f>
        <v>0</v>
      </c>
    </row>
    <row r="100" spans="2:14" x14ac:dyDescent="0.25">
      <c r="B100" s="24" t="str">
        <f t="shared" ref="B100:C100" si="63">IF(B28&lt;&gt;"",B28,"")</f>
        <v/>
      </c>
      <c r="C100" s="24" t="str">
        <f t="shared" si="63"/>
        <v/>
      </c>
      <c r="D100" s="24" t="str">
        <f t="shared" si="47"/>
        <v/>
      </c>
      <c r="E100" s="26">
        <f>+'3 Omzet'!E52*'3 Omzet'!E76</f>
        <v>0</v>
      </c>
      <c r="F100" s="26">
        <f>+'3 Omzet'!F52*'3 Omzet'!F76</f>
        <v>0</v>
      </c>
      <c r="G100" s="26">
        <f>+'3 Omzet'!G52*'3 Omzet'!G76</f>
        <v>0</v>
      </c>
      <c r="H100" s="26">
        <f>+'3 Omzet'!H52*'3 Omzet'!H76</f>
        <v>0</v>
      </c>
      <c r="I100" s="26">
        <f>+'3 Omzet'!I52*'3 Omzet'!I76</f>
        <v>0</v>
      </c>
      <c r="J100" s="27">
        <f>+'3 Omzet'!J52*'3 Omzet'!J76</f>
        <v>0</v>
      </c>
      <c r="K100" s="26">
        <f>+'3 Omzet'!K52*'3 Omzet'!K76</f>
        <v>0</v>
      </c>
      <c r="L100" s="26">
        <f>+'3 Omzet'!L52*'3 Omzet'!L76</f>
        <v>0</v>
      </c>
      <c r="M100" s="26">
        <f>+'3 Omzet'!M52*'3 Omzet'!M76</f>
        <v>0</v>
      </c>
      <c r="N100" s="26">
        <f>+'3 Omzet'!N52*'3 Omzet'!N76</f>
        <v>0</v>
      </c>
    </row>
    <row r="101" spans="2:14" x14ac:dyDescent="0.25">
      <c r="B101" s="24" t="str">
        <f t="shared" ref="B101:C101" si="64">IF(B29&lt;&gt;"",B29,"")</f>
        <v/>
      </c>
      <c r="C101" s="24" t="str">
        <f t="shared" si="64"/>
        <v/>
      </c>
      <c r="D101" s="24" t="str">
        <f t="shared" si="47"/>
        <v/>
      </c>
      <c r="E101" s="26">
        <f>+'3 Omzet'!E53*'3 Omzet'!E77</f>
        <v>0</v>
      </c>
      <c r="F101" s="26">
        <f>+'3 Omzet'!F53*'3 Omzet'!F77</f>
        <v>0</v>
      </c>
      <c r="G101" s="26">
        <f>+'3 Omzet'!G53*'3 Omzet'!G77</f>
        <v>0</v>
      </c>
      <c r="H101" s="26">
        <f>+'3 Omzet'!H53*'3 Omzet'!H77</f>
        <v>0</v>
      </c>
      <c r="I101" s="26">
        <f>+'3 Omzet'!I53*'3 Omzet'!I77</f>
        <v>0</v>
      </c>
      <c r="J101" s="27">
        <f>+'3 Omzet'!J53*'3 Omzet'!J77</f>
        <v>0</v>
      </c>
      <c r="K101" s="26">
        <f>+'3 Omzet'!K53*'3 Omzet'!K77</f>
        <v>0</v>
      </c>
      <c r="L101" s="26">
        <f>+'3 Omzet'!L53*'3 Omzet'!L77</f>
        <v>0</v>
      </c>
      <c r="M101" s="26">
        <f>+'3 Omzet'!M53*'3 Omzet'!M77</f>
        <v>0</v>
      </c>
      <c r="N101" s="26">
        <f>+'3 Omzet'!N53*'3 Omzet'!N77</f>
        <v>0</v>
      </c>
    </row>
    <row r="102" spans="2:14" ht="15.75" thickBot="1" x14ac:dyDescent="0.3">
      <c r="B102" s="24" t="str">
        <f t="shared" ref="B102:C102" si="65">IF(B30&lt;&gt;"",B30,"")</f>
        <v/>
      </c>
      <c r="C102" s="24" t="str">
        <f t="shared" si="65"/>
        <v/>
      </c>
      <c r="D102" s="24" t="str">
        <f t="shared" si="47"/>
        <v/>
      </c>
      <c r="E102" s="32">
        <f>+'3 Omzet'!E54*'3 Omzet'!E78</f>
        <v>0</v>
      </c>
      <c r="F102" s="32">
        <f>+'3 Omzet'!F54*'3 Omzet'!F78</f>
        <v>0</v>
      </c>
      <c r="G102" s="32">
        <f>+'3 Omzet'!G54*'3 Omzet'!G78</f>
        <v>0</v>
      </c>
      <c r="H102" s="32">
        <f>+'3 Omzet'!H54*'3 Omzet'!H78</f>
        <v>0</v>
      </c>
      <c r="I102" s="32">
        <f>+'3 Omzet'!I54*'3 Omzet'!I78</f>
        <v>0</v>
      </c>
      <c r="J102" s="33">
        <f>+'3 Omzet'!J54*'3 Omzet'!J78</f>
        <v>0</v>
      </c>
      <c r="K102" s="32">
        <f>+'3 Omzet'!K54*'3 Omzet'!K78</f>
        <v>0</v>
      </c>
      <c r="L102" s="32">
        <f>+'3 Omzet'!L54*'3 Omzet'!L78</f>
        <v>0</v>
      </c>
      <c r="M102" s="32">
        <f>+'3 Omzet'!M54*'3 Omzet'!M78</f>
        <v>0</v>
      </c>
      <c r="N102" s="32">
        <f>+'3 Omzet'!N54*'3 Omzet'!N78</f>
        <v>0</v>
      </c>
    </row>
    <row r="103" spans="2:14" ht="15.75" thickTop="1" x14ac:dyDescent="0.25">
      <c r="B103" s="28" t="s">
        <v>50</v>
      </c>
      <c r="C103" s="28"/>
      <c r="D103" s="24"/>
      <c r="E103" s="30">
        <f t="shared" ref="E103:N103" si="66">SUM(E83:E102)</f>
        <v>0</v>
      </c>
      <c r="F103" s="30">
        <f t="shared" si="66"/>
        <v>0</v>
      </c>
      <c r="G103" s="30">
        <f t="shared" si="66"/>
        <v>0</v>
      </c>
      <c r="H103" s="30">
        <f t="shared" si="66"/>
        <v>0</v>
      </c>
      <c r="I103" s="30">
        <f t="shared" si="66"/>
        <v>0</v>
      </c>
      <c r="J103" s="31">
        <f t="shared" si="66"/>
        <v>0</v>
      </c>
      <c r="K103" s="30">
        <f t="shared" si="66"/>
        <v>0</v>
      </c>
      <c r="L103" s="30">
        <f t="shared" si="66"/>
        <v>0</v>
      </c>
      <c r="M103" s="30">
        <f t="shared" si="66"/>
        <v>0</v>
      </c>
      <c r="N103" s="30">
        <f t="shared" si="66"/>
        <v>0</v>
      </c>
    </row>
    <row r="104" spans="2:14" x14ac:dyDescent="0.25"/>
    <row r="105" spans="2:14" ht="18.75" customHeight="1" x14ac:dyDescent="0.25">
      <c r="B105" s="180" t="s">
        <v>203</v>
      </c>
      <c r="C105" s="132"/>
      <c r="D105" s="132"/>
      <c r="E105" s="132"/>
      <c r="F105" s="132"/>
      <c r="G105" s="132"/>
      <c r="H105" s="132"/>
      <c r="I105" s="132"/>
      <c r="J105" s="132"/>
      <c r="K105" s="132"/>
      <c r="L105" s="132"/>
      <c r="M105" s="132"/>
      <c r="N105" s="138"/>
    </row>
    <row r="106" spans="2:14" ht="15" customHeight="1" x14ac:dyDescent="0.25">
      <c r="B106" s="232"/>
      <c r="C106" s="233"/>
      <c r="D106" s="233"/>
      <c r="E106" s="233"/>
      <c r="F106" s="233"/>
      <c r="G106" s="233"/>
      <c r="H106" s="233"/>
      <c r="I106" s="233"/>
      <c r="J106" s="233"/>
      <c r="K106" s="233"/>
      <c r="L106" s="233"/>
      <c r="M106" s="233"/>
      <c r="N106" s="234"/>
    </row>
    <row r="107" spans="2:14" ht="15" customHeight="1" x14ac:dyDescent="0.25">
      <c r="B107" s="232"/>
      <c r="C107" s="233"/>
      <c r="D107" s="233"/>
      <c r="E107" s="233"/>
      <c r="F107" s="233"/>
      <c r="G107" s="233"/>
      <c r="H107" s="233"/>
      <c r="I107" s="233"/>
      <c r="J107" s="233"/>
      <c r="K107" s="233"/>
      <c r="L107" s="233"/>
      <c r="M107" s="233"/>
      <c r="N107" s="234"/>
    </row>
    <row r="108" spans="2:14" ht="15" customHeight="1" x14ac:dyDescent="0.25">
      <c r="B108" s="232"/>
      <c r="C108" s="233"/>
      <c r="D108" s="233"/>
      <c r="E108" s="233"/>
      <c r="F108" s="233"/>
      <c r="G108" s="233"/>
      <c r="H108" s="233"/>
      <c r="I108" s="233"/>
      <c r="J108" s="233"/>
      <c r="K108" s="233"/>
      <c r="L108" s="233"/>
      <c r="M108" s="233"/>
      <c r="N108" s="234"/>
    </row>
    <row r="109" spans="2:14" ht="15" customHeight="1" x14ac:dyDescent="0.25">
      <c r="B109" s="232"/>
      <c r="C109" s="233"/>
      <c r="D109" s="233"/>
      <c r="E109" s="233"/>
      <c r="F109" s="233"/>
      <c r="G109" s="233"/>
      <c r="H109" s="233"/>
      <c r="I109" s="233"/>
      <c r="J109" s="233"/>
      <c r="K109" s="233"/>
      <c r="L109" s="233"/>
      <c r="M109" s="233"/>
      <c r="N109" s="234"/>
    </row>
    <row r="110" spans="2:14" ht="15" customHeight="1" x14ac:dyDescent="0.25">
      <c r="B110" s="232"/>
      <c r="C110" s="233"/>
      <c r="D110" s="233"/>
      <c r="E110" s="233"/>
      <c r="F110" s="233"/>
      <c r="G110" s="233"/>
      <c r="H110" s="233"/>
      <c r="I110" s="233"/>
      <c r="J110" s="233"/>
      <c r="K110" s="233"/>
      <c r="L110" s="233"/>
      <c r="M110" s="233"/>
      <c r="N110" s="234"/>
    </row>
    <row r="111" spans="2:14" ht="15" customHeight="1" x14ac:dyDescent="0.25">
      <c r="B111" s="232"/>
      <c r="C111" s="233"/>
      <c r="D111" s="233"/>
      <c r="E111" s="233"/>
      <c r="F111" s="233"/>
      <c r="G111" s="233"/>
      <c r="H111" s="233"/>
      <c r="I111" s="233"/>
      <c r="J111" s="233"/>
      <c r="K111" s="233"/>
      <c r="L111" s="233"/>
      <c r="M111" s="233"/>
      <c r="N111" s="234"/>
    </row>
    <row r="112" spans="2:14" ht="15" customHeight="1" x14ac:dyDescent="0.25">
      <c r="B112" s="232"/>
      <c r="C112" s="233"/>
      <c r="D112" s="233"/>
      <c r="E112" s="233"/>
      <c r="F112" s="233"/>
      <c r="G112" s="233"/>
      <c r="H112" s="233"/>
      <c r="I112" s="233"/>
      <c r="J112" s="233"/>
      <c r="K112" s="233"/>
      <c r="L112" s="233"/>
      <c r="M112" s="233"/>
      <c r="N112" s="234"/>
    </row>
    <row r="113" spans="2:14" ht="15" customHeight="1" x14ac:dyDescent="0.25">
      <c r="B113" s="232"/>
      <c r="C113" s="233"/>
      <c r="D113" s="233"/>
      <c r="E113" s="233"/>
      <c r="F113" s="233"/>
      <c r="G113" s="233"/>
      <c r="H113" s="233"/>
      <c r="I113" s="233"/>
      <c r="J113" s="233"/>
      <c r="K113" s="233"/>
      <c r="L113" s="233"/>
      <c r="M113" s="233"/>
      <c r="N113" s="234"/>
    </row>
    <row r="114" spans="2:14" ht="15" customHeight="1" x14ac:dyDescent="0.25">
      <c r="B114" s="232"/>
      <c r="C114" s="233"/>
      <c r="D114" s="233"/>
      <c r="E114" s="233"/>
      <c r="F114" s="233"/>
      <c r="G114" s="233"/>
      <c r="H114" s="233"/>
      <c r="I114" s="233"/>
      <c r="J114" s="233"/>
      <c r="K114" s="233"/>
      <c r="L114" s="233"/>
      <c r="M114" s="233"/>
      <c r="N114" s="234"/>
    </row>
    <row r="115" spans="2:14" ht="15" customHeight="1" x14ac:dyDescent="0.25">
      <c r="B115" s="232"/>
      <c r="C115" s="233"/>
      <c r="D115" s="233"/>
      <c r="E115" s="233"/>
      <c r="F115" s="233"/>
      <c r="G115" s="233"/>
      <c r="H115" s="233"/>
      <c r="I115" s="233"/>
      <c r="J115" s="233"/>
      <c r="K115" s="233"/>
      <c r="L115" s="233"/>
      <c r="M115" s="233"/>
      <c r="N115" s="234"/>
    </row>
    <row r="116" spans="2:14" ht="15" customHeight="1" x14ac:dyDescent="0.25">
      <c r="B116" s="232"/>
      <c r="C116" s="233"/>
      <c r="D116" s="233"/>
      <c r="E116" s="233"/>
      <c r="F116" s="233"/>
      <c r="G116" s="233"/>
      <c r="H116" s="233"/>
      <c r="I116" s="233"/>
      <c r="J116" s="233"/>
      <c r="K116" s="233"/>
      <c r="L116" s="233"/>
      <c r="M116" s="233"/>
      <c r="N116" s="234"/>
    </row>
    <row r="117" spans="2:14" ht="15" customHeight="1" x14ac:dyDescent="0.25">
      <c r="B117" s="232"/>
      <c r="C117" s="233"/>
      <c r="D117" s="233"/>
      <c r="E117" s="233"/>
      <c r="F117" s="233"/>
      <c r="G117" s="233"/>
      <c r="H117" s="233"/>
      <c r="I117" s="233"/>
      <c r="J117" s="233"/>
      <c r="K117" s="233"/>
      <c r="L117" s="233"/>
      <c r="M117" s="233"/>
      <c r="N117" s="234"/>
    </row>
    <row r="118" spans="2:14" ht="15" customHeight="1" x14ac:dyDescent="0.25">
      <c r="B118" s="232"/>
      <c r="C118" s="233"/>
      <c r="D118" s="233"/>
      <c r="E118" s="233"/>
      <c r="F118" s="233"/>
      <c r="G118" s="233"/>
      <c r="H118" s="233"/>
      <c r="I118" s="233"/>
      <c r="J118" s="233"/>
      <c r="K118" s="233"/>
      <c r="L118" s="233"/>
      <c r="M118" s="233"/>
      <c r="N118" s="234"/>
    </row>
    <row r="119" spans="2:14" ht="15" customHeight="1" x14ac:dyDescent="0.25">
      <c r="B119" s="232"/>
      <c r="C119" s="233"/>
      <c r="D119" s="233"/>
      <c r="E119" s="233"/>
      <c r="F119" s="233"/>
      <c r="G119" s="233"/>
      <c r="H119" s="233"/>
      <c r="I119" s="233"/>
      <c r="J119" s="233"/>
      <c r="K119" s="233"/>
      <c r="L119" s="233"/>
      <c r="M119" s="233"/>
      <c r="N119" s="234"/>
    </row>
    <row r="120" spans="2:14" ht="15" customHeight="1" x14ac:dyDescent="0.25">
      <c r="B120" s="232"/>
      <c r="C120" s="233"/>
      <c r="D120" s="233"/>
      <c r="E120" s="233"/>
      <c r="F120" s="233"/>
      <c r="G120" s="233"/>
      <c r="H120" s="233"/>
      <c r="I120" s="233"/>
      <c r="J120" s="233"/>
      <c r="K120" s="233"/>
      <c r="L120" s="233"/>
      <c r="M120" s="233"/>
      <c r="N120" s="234"/>
    </row>
    <row r="121" spans="2:14" ht="15" customHeight="1" x14ac:dyDescent="0.25">
      <c r="B121" s="232"/>
      <c r="C121" s="233"/>
      <c r="D121" s="233"/>
      <c r="E121" s="233"/>
      <c r="F121" s="233"/>
      <c r="G121" s="233"/>
      <c r="H121" s="233"/>
      <c r="I121" s="233"/>
      <c r="J121" s="233"/>
      <c r="K121" s="233"/>
      <c r="L121" s="233"/>
      <c r="M121" s="233"/>
      <c r="N121" s="234"/>
    </row>
    <row r="122" spans="2:14" ht="15" customHeight="1" x14ac:dyDescent="0.25">
      <c r="B122" s="232"/>
      <c r="C122" s="233"/>
      <c r="D122" s="233"/>
      <c r="E122" s="233"/>
      <c r="F122" s="233"/>
      <c r="G122" s="233"/>
      <c r="H122" s="233"/>
      <c r="I122" s="233"/>
      <c r="J122" s="233"/>
      <c r="K122" s="233"/>
      <c r="L122" s="233"/>
      <c r="M122" s="233"/>
      <c r="N122" s="234"/>
    </row>
    <row r="123" spans="2:14" ht="15" customHeight="1" x14ac:dyDescent="0.25">
      <c r="B123" s="232"/>
      <c r="C123" s="233"/>
      <c r="D123" s="233"/>
      <c r="E123" s="233"/>
      <c r="F123" s="233"/>
      <c r="G123" s="233"/>
      <c r="H123" s="233"/>
      <c r="I123" s="233"/>
      <c r="J123" s="233"/>
      <c r="K123" s="233"/>
      <c r="L123" s="233"/>
      <c r="M123" s="233"/>
      <c r="N123" s="234"/>
    </row>
    <row r="124" spans="2:14" ht="15" customHeight="1" x14ac:dyDescent="0.25">
      <c r="B124" s="232"/>
      <c r="C124" s="233"/>
      <c r="D124" s="233"/>
      <c r="E124" s="233"/>
      <c r="F124" s="233"/>
      <c r="G124" s="233"/>
      <c r="H124" s="233"/>
      <c r="I124" s="233"/>
      <c r="J124" s="233"/>
      <c r="K124" s="233"/>
      <c r="L124" s="233"/>
      <c r="M124" s="233"/>
      <c r="N124" s="234"/>
    </row>
    <row r="125" spans="2:14" ht="15" customHeight="1" x14ac:dyDescent="0.25">
      <c r="B125" s="232"/>
      <c r="C125" s="233"/>
      <c r="D125" s="233"/>
      <c r="E125" s="233"/>
      <c r="F125" s="233"/>
      <c r="G125" s="233"/>
      <c r="H125" s="233"/>
      <c r="I125" s="233"/>
      <c r="J125" s="233"/>
      <c r="K125" s="233"/>
      <c r="L125" s="233"/>
      <c r="M125" s="233"/>
      <c r="N125" s="234"/>
    </row>
    <row r="126" spans="2:14" ht="15" customHeight="1" x14ac:dyDescent="0.25">
      <c r="B126" s="232"/>
      <c r="C126" s="233"/>
      <c r="D126" s="233"/>
      <c r="E126" s="233"/>
      <c r="F126" s="233"/>
      <c r="G126" s="233"/>
      <c r="H126" s="233"/>
      <c r="I126" s="233"/>
      <c r="J126" s="233"/>
      <c r="K126" s="233"/>
      <c r="L126" s="233"/>
      <c r="M126" s="233"/>
      <c r="N126" s="234"/>
    </row>
    <row r="127" spans="2:14" ht="15" customHeight="1" x14ac:dyDescent="0.25">
      <c r="B127" s="232"/>
      <c r="C127" s="233"/>
      <c r="D127" s="233"/>
      <c r="E127" s="233"/>
      <c r="F127" s="233"/>
      <c r="G127" s="233"/>
      <c r="H127" s="233"/>
      <c r="I127" s="233"/>
      <c r="J127" s="233"/>
      <c r="K127" s="233"/>
      <c r="L127" s="233"/>
      <c r="M127" s="233"/>
      <c r="N127" s="234"/>
    </row>
    <row r="128" spans="2:14" ht="15" customHeight="1" x14ac:dyDescent="0.25">
      <c r="B128" s="232"/>
      <c r="C128" s="233"/>
      <c r="D128" s="233"/>
      <c r="E128" s="233"/>
      <c r="F128" s="233"/>
      <c r="G128" s="233"/>
      <c r="H128" s="233"/>
      <c r="I128" s="233"/>
      <c r="J128" s="233"/>
      <c r="K128" s="233"/>
      <c r="L128" s="233"/>
      <c r="M128" s="233"/>
      <c r="N128" s="234"/>
    </row>
    <row r="129" spans="2:14" ht="15" customHeight="1" x14ac:dyDescent="0.25">
      <c r="B129" s="232"/>
      <c r="C129" s="233"/>
      <c r="D129" s="233"/>
      <c r="E129" s="233"/>
      <c r="F129" s="233"/>
      <c r="G129" s="233"/>
      <c r="H129" s="233"/>
      <c r="I129" s="233"/>
      <c r="J129" s="233"/>
      <c r="K129" s="233"/>
      <c r="L129" s="233"/>
      <c r="M129" s="233"/>
      <c r="N129" s="234"/>
    </row>
    <row r="130" spans="2:14" ht="15" customHeight="1" x14ac:dyDescent="0.25">
      <c r="B130" s="232"/>
      <c r="C130" s="233"/>
      <c r="D130" s="233"/>
      <c r="E130" s="233"/>
      <c r="F130" s="233"/>
      <c r="G130" s="233"/>
      <c r="H130" s="233"/>
      <c r="I130" s="233"/>
      <c r="J130" s="233"/>
      <c r="K130" s="233"/>
      <c r="L130" s="233"/>
      <c r="M130" s="233"/>
      <c r="N130" s="234"/>
    </row>
    <row r="131" spans="2:14" ht="15" customHeight="1" x14ac:dyDescent="0.25">
      <c r="B131" s="232"/>
      <c r="C131" s="233"/>
      <c r="D131" s="233"/>
      <c r="E131" s="233"/>
      <c r="F131" s="233"/>
      <c r="G131" s="233"/>
      <c r="H131" s="233"/>
      <c r="I131" s="233"/>
      <c r="J131" s="233"/>
      <c r="K131" s="233"/>
      <c r="L131" s="233"/>
      <c r="M131" s="233"/>
      <c r="N131" s="234"/>
    </row>
    <row r="132" spans="2:14" ht="15" customHeight="1" x14ac:dyDescent="0.25">
      <c r="B132" s="232"/>
      <c r="C132" s="233"/>
      <c r="D132" s="233"/>
      <c r="E132" s="233"/>
      <c r="F132" s="233"/>
      <c r="G132" s="233"/>
      <c r="H132" s="233"/>
      <c r="I132" s="233"/>
      <c r="J132" s="233"/>
      <c r="K132" s="233"/>
      <c r="L132" s="233"/>
      <c r="M132" s="233"/>
      <c r="N132" s="234"/>
    </row>
    <row r="133" spans="2:14" ht="15" customHeight="1" x14ac:dyDescent="0.25">
      <c r="B133" s="235"/>
      <c r="C133" s="236"/>
      <c r="D133" s="236"/>
      <c r="E133" s="236"/>
      <c r="F133" s="236"/>
      <c r="G133" s="236"/>
      <c r="H133" s="236"/>
      <c r="I133" s="236"/>
      <c r="J133" s="236"/>
      <c r="K133" s="236"/>
      <c r="L133" s="236"/>
      <c r="M133" s="236"/>
      <c r="N133" s="237"/>
    </row>
    <row r="134" spans="2:14" x14ac:dyDescent="0.25"/>
  </sheetData>
  <sheetProtection algorithmName="SHA-512" hashValue="fZbRXAvlxAY4hUCzdce8eOcS3IwKrAszkS2xSxdUKhBVCqUoAS/hHTVqtUkbuM76r0NZJBM16rKUtjUPUb8NLQ==" saltValue="yvWZCDPSxTaCD18QFOAvag==" spinCount="100000" sheet="1" objects="1" scenarios="1"/>
  <mergeCells count="93">
    <mergeCell ref="B131:N131"/>
    <mergeCell ref="B132:N132"/>
    <mergeCell ref="B133:N133"/>
    <mergeCell ref="B126:N126"/>
    <mergeCell ref="B127:N127"/>
    <mergeCell ref="B128:N128"/>
    <mergeCell ref="B129:N129"/>
    <mergeCell ref="B130:N130"/>
    <mergeCell ref="B121:N121"/>
    <mergeCell ref="B122:N122"/>
    <mergeCell ref="B123:N123"/>
    <mergeCell ref="B124:N124"/>
    <mergeCell ref="B125:N12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K30:N30"/>
    <mergeCell ref="K20:N20"/>
    <mergeCell ref="K21:N21"/>
    <mergeCell ref="K22:N22"/>
    <mergeCell ref="K23:N23"/>
    <mergeCell ref="K24:N24"/>
    <mergeCell ref="K25:N25"/>
    <mergeCell ref="K26:N26"/>
    <mergeCell ref="K27:N27"/>
    <mergeCell ref="K28:N28"/>
    <mergeCell ref="K29:N29"/>
    <mergeCell ref="B4:N4"/>
    <mergeCell ref="K17:N17"/>
    <mergeCell ref="K18:N18"/>
    <mergeCell ref="K19:N19"/>
    <mergeCell ref="K10:N10"/>
    <mergeCell ref="K11:N11"/>
    <mergeCell ref="K12:N12"/>
    <mergeCell ref="K13:N13"/>
    <mergeCell ref="K14:N14"/>
    <mergeCell ref="K16:N16"/>
    <mergeCell ref="K15:N15"/>
    <mergeCell ref="D11:F11"/>
    <mergeCell ref="D12:F12"/>
    <mergeCell ref="D15:F15"/>
    <mergeCell ref="H9:J9"/>
    <mergeCell ref="D16:F16"/>
    <mergeCell ref="H30:I30"/>
    <mergeCell ref="H21:I21"/>
    <mergeCell ref="H22:I22"/>
    <mergeCell ref="H26:I26"/>
    <mergeCell ref="H27:I27"/>
    <mergeCell ref="H23:I23"/>
    <mergeCell ref="H24:I24"/>
    <mergeCell ref="H25:I25"/>
    <mergeCell ref="H28:I28"/>
    <mergeCell ref="H29:I29"/>
    <mergeCell ref="D30:F30"/>
    <mergeCell ref="D22:F22"/>
    <mergeCell ref="D23:F23"/>
    <mergeCell ref="D24:F24"/>
    <mergeCell ref="D25:F25"/>
    <mergeCell ref="D26:F26"/>
    <mergeCell ref="D27:F27"/>
    <mergeCell ref="D28:F28"/>
    <mergeCell ref="D29:F29"/>
    <mergeCell ref="H20:I20"/>
    <mergeCell ref="D21:F21"/>
    <mergeCell ref="D20:F20"/>
    <mergeCell ref="D17:F17"/>
    <mergeCell ref="D18:F18"/>
    <mergeCell ref="D19:F19"/>
    <mergeCell ref="H19:I19"/>
    <mergeCell ref="D10:F10"/>
    <mergeCell ref="H11:I11"/>
    <mergeCell ref="H12:I12"/>
    <mergeCell ref="H13:I13"/>
    <mergeCell ref="H14:I14"/>
    <mergeCell ref="H10:I10"/>
    <mergeCell ref="H15:I15"/>
    <mergeCell ref="H16:I16"/>
    <mergeCell ref="H17:I17"/>
    <mergeCell ref="H18:I18"/>
    <mergeCell ref="D13:F13"/>
    <mergeCell ref="D14:F14"/>
  </mergeCells>
  <phoneticPr fontId="3" type="noConversion"/>
  <dataValidations xWindow="1152" yWindow="507" count="1">
    <dataValidation type="list" allowBlank="1" showInputMessage="1" showErrorMessage="1" sqref="J11:J30" xr:uid="{EED7F7CF-E502-4113-BC0A-CAA50A0D087C}">
      <formula1>"Ja,Nee"</formula1>
    </dataValidation>
  </dataValidations>
  <pageMargins left="0.7" right="0.7" top="0.75" bottom="0.75" header="0.3" footer="0.3"/>
  <pageSetup paperSize="9" scale="23" orientation="portrait" r:id="rId1"/>
  <extLst>
    <ext xmlns:x14="http://schemas.microsoft.com/office/spreadsheetml/2009/9/main" uri="{78C0D931-6437-407d-A8EE-F0AAD7539E65}">
      <x14:conditionalFormattings>
        <x14:conditionalFormatting xmlns:xm="http://schemas.microsoft.com/office/excel/2006/main">
          <x14:cfRule type="expression" priority="2" id="{633FD0CE-DAB5-4AB6-843C-73B34CB02961}">
            <xm:f>#REF!&gt;=('1 Econ. levensduur'!$C$11+MAX('1 Econ. levensduur'!$C$12:$C$12))</xm:f>
            <x14:dxf>
              <font>
                <b/>
                <i val="0"/>
                <color rgb="FFFF0000"/>
              </font>
              <fill>
                <patternFill>
                  <bgColor theme="6"/>
                </patternFill>
              </fill>
            </x14:dxf>
          </x14:cfRule>
          <xm:sqref>F60:N78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5A3B8-3E26-4CEF-A081-16DDD8EB9CAA}">
  <sheetPr>
    <tabColor rgb="FFFFFF00"/>
    <pageSetUpPr autoPageBreaks="0"/>
  </sheetPr>
  <dimension ref="A1:U212"/>
  <sheetViews>
    <sheetView zoomScaleNormal="100" workbookViewId="0">
      <pane ySplit="12" topLeftCell="A13" activePane="bottomLeft" state="frozen"/>
      <selection activeCell="C54" sqref="C54"/>
      <selection pane="bottomLeft" activeCell="A13" sqref="A13"/>
    </sheetView>
  </sheetViews>
  <sheetFormatPr defaultColWidth="0" defaultRowHeight="15" x14ac:dyDescent="0.25"/>
  <cols>
    <col min="1" max="1" width="3" style="3" customWidth="1"/>
    <col min="2" max="2" width="33" style="3" customWidth="1"/>
    <col min="3" max="3" width="43.7109375" style="3" customWidth="1"/>
    <col min="4" max="13" width="14.42578125" style="123" customWidth="1"/>
    <col min="14" max="14" width="49.7109375" style="3" customWidth="1"/>
    <col min="15" max="15" width="3" style="3" customWidth="1"/>
    <col min="16" max="21" width="20" style="3" hidden="1" customWidth="1"/>
    <col min="22" max="16384" width="9.28515625" style="3" hidden="1"/>
  </cols>
  <sheetData>
    <row r="1" spans="2:14" ht="28.5" x14ac:dyDescent="0.45">
      <c r="B1" s="59" t="s">
        <v>207</v>
      </c>
      <c r="D1" s="3"/>
      <c r="E1" s="3"/>
      <c r="F1" s="3"/>
      <c r="G1" s="3"/>
      <c r="H1" s="3"/>
      <c r="I1" s="3"/>
      <c r="J1" s="3"/>
      <c r="K1" s="3"/>
      <c r="L1" s="3"/>
      <c r="M1" s="3"/>
    </row>
    <row r="2" spans="2:14" x14ac:dyDescent="0.25">
      <c r="D2" s="3"/>
      <c r="E2" s="3"/>
      <c r="F2" s="3"/>
      <c r="G2" s="3"/>
      <c r="H2" s="3"/>
      <c r="I2" s="3"/>
      <c r="J2" s="3"/>
      <c r="K2" s="3"/>
      <c r="L2" s="3"/>
      <c r="M2" s="3"/>
    </row>
    <row r="3" spans="2:14" ht="15.75" x14ac:dyDescent="0.25">
      <c r="B3" s="154" t="s">
        <v>247</v>
      </c>
      <c r="C3" s="2"/>
      <c r="D3" s="2"/>
      <c r="E3" s="2"/>
      <c r="F3" s="2"/>
      <c r="G3" s="2"/>
      <c r="H3" s="2"/>
      <c r="I3" s="2"/>
      <c r="J3" s="2"/>
      <c r="K3" s="2"/>
      <c r="L3" s="2"/>
      <c r="M3" s="2"/>
      <c r="N3" s="2"/>
    </row>
    <row r="4" spans="2:14" ht="15.75" x14ac:dyDescent="0.25">
      <c r="B4" s="154" t="s">
        <v>300</v>
      </c>
      <c r="C4" s="2"/>
      <c r="D4" s="2"/>
      <c r="E4" s="2"/>
      <c r="F4" s="2"/>
      <c r="G4" s="2"/>
      <c r="H4" s="2"/>
      <c r="I4" s="2"/>
      <c r="J4" s="2"/>
      <c r="K4" s="2"/>
      <c r="L4" s="2"/>
      <c r="M4" s="2"/>
      <c r="N4" s="2"/>
    </row>
    <row r="5" spans="2:14" ht="15.75" x14ac:dyDescent="0.25">
      <c r="B5" s="154" t="s">
        <v>340</v>
      </c>
      <c r="C5" s="2"/>
      <c r="D5" s="2"/>
      <c r="E5" s="2"/>
      <c r="F5" s="2"/>
      <c r="G5" s="2"/>
      <c r="H5" s="2"/>
      <c r="I5" s="2"/>
      <c r="J5" s="2"/>
      <c r="K5" s="2"/>
      <c r="L5" s="2"/>
      <c r="M5" s="2"/>
      <c r="N5" s="2"/>
    </row>
    <row r="6" spans="2:14" ht="15.75" x14ac:dyDescent="0.25">
      <c r="B6" s="154" t="s">
        <v>301</v>
      </c>
      <c r="C6" s="2"/>
      <c r="D6" s="2"/>
      <c r="E6" s="2"/>
      <c r="F6" s="2"/>
      <c r="G6" s="2"/>
      <c r="H6" s="2"/>
      <c r="I6" s="2"/>
      <c r="J6" s="2"/>
      <c r="K6" s="2"/>
      <c r="L6" s="2"/>
      <c r="M6" s="2"/>
      <c r="N6" s="2"/>
    </row>
    <row r="7" spans="2:14" ht="15.75" x14ac:dyDescent="0.25">
      <c r="B7" s="154" t="s">
        <v>248</v>
      </c>
      <c r="C7" s="1"/>
      <c r="D7" s="1"/>
      <c r="E7" s="1"/>
      <c r="F7" s="1"/>
      <c r="G7" s="1"/>
      <c r="H7" s="1"/>
      <c r="I7" s="1"/>
      <c r="J7" s="1"/>
      <c r="K7" s="1"/>
      <c r="L7" s="1"/>
      <c r="M7" s="1"/>
      <c r="N7" s="1"/>
    </row>
    <row r="8" spans="2:14" ht="18.75" x14ac:dyDescent="0.35">
      <c r="B8" s="154" t="s">
        <v>302</v>
      </c>
      <c r="C8" s="1"/>
      <c r="D8" s="1"/>
      <c r="E8" s="1"/>
      <c r="F8" s="1"/>
      <c r="G8" s="1"/>
      <c r="H8" s="1"/>
      <c r="I8" s="1"/>
      <c r="J8" s="1"/>
      <c r="K8" s="1"/>
      <c r="L8" s="1"/>
      <c r="M8" s="1"/>
      <c r="N8" s="1"/>
    </row>
    <row r="9" spans="2:14" x14ac:dyDescent="0.25">
      <c r="D9" s="3"/>
      <c r="E9" s="3"/>
      <c r="F9" s="3"/>
      <c r="G9" s="3"/>
      <c r="H9" s="3"/>
      <c r="I9" s="3"/>
      <c r="J9" s="3"/>
      <c r="K9" s="3"/>
      <c r="L9" s="3"/>
      <c r="M9" s="3"/>
    </row>
    <row r="10" spans="2:14" ht="25.5" x14ac:dyDescent="0.25">
      <c r="B10" s="11" t="s">
        <v>63</v>
      </c>
      <c r="D10" s="118" t="s">
        <v>170</v>
      </c>
      <c r="E10" s="118" t="s">
        <v>171</v>
      </c>
      <c r="F10" s="118" t="s">
        <v>172</v>
      </c>
      <c r="G10" s="118" t="s">
        <v>173</v>
      </c>
      <c r="H10" s="118" t="s">
        <v>174</v>
      </c>
      <c r="I10" s="118" t="s">
        <v>175</v>
      </c>
      <c r="J10" s="118" t="s">
        <v>176</v>
      </c>
      <c r="K10" s="118" t="s">
        <v>177</v>
      </c>
      <c r="L10" s="118" t="s">
        <v>178</v>
      </c>
      <c r="M10" s="118" t="s">
        <v>179</v>
      </c>
    </row>
    <row r="11" spans="2:14" s="96" customFormat="1" ht="18.75" x14ac:dyDescent="0.25">
      <c r="B11" s="34" t="s">
        <v>11</v>
      </c>
      <c r="C11" s="34" t="s">
        <v>25</v>
      </c>
      <c r="D11" s="34">
        <f>start_operatie</f>
        <v>2031</v>
      </c>
      <c r="E11" s="34">
        <f>D11+1</f>
        <v>2032</v>
      </c>
      <c r="F11" s="34">
        <f t="shared" ref="F11:M11" si="0">E11+1</f>
        <v>2033</v>
      </c>
      <c r="G11" s="34">
        <f t="shared" si="0"/>
        <v>2034</v>
      </c>
      <c r="H11" s="34">
        <f t="shared" si="0"/>
        <v>2035</v>
      </c>
      <c r="I11" s="34">
        <f t="shared" si="0"/>
        <v>2036</v>
      </c>
      <c r="J11" s="34">
        <f t="shared" si="0"/>
        <v>2037</v>
      </c>
      <c r="K11" s="34">
        <f t="shared" si="0"/>
        <v>2038</v>
      </c>
      <c r="L11" s="34">
        <f t="shared" si="0"/>
        <v>2039</v>
      </c>
      <c r="M11" s="34">
        <f t="shared" si="0"/>
        <v>2040</v>
      </c>
      <c r="N11" s="34" t="s">
        <v>157</v>
      </c>
    </row>
    <row r="12" spans="2:14" x14ac:dyDescent="0.25">
      <c r="B12" s="47" t="s">
        <v>50</v>
      </c>
      <c r="C12" s="47"/>
      <c r="D12" s="29">
        <f t="shared" ref="D12:M12" si="1">SUM(D13:D212)</f>
        <v>0</v>
      </c>
      <c r="E12" s="29">
        <f t="shared" si="1"/>
        <v>0</v>
      </c>
      <c r="F12" s="29">
        <f t="shared" si="1"/>
        <v>0</v>
      </c>
      <c r="G12" s="29">
        <f t="shared" si="1"/>
        <v>0</v>
      </c>
      <c r="H12" s="29">
        <f t="shared" si="1"/>
        <v>0</v>
      </c>
      <c r="I12" s="29">
        <f t="shared" si="1"/>
        <v>0</v>
      </c>
      <c r="J12" s="29">
        <f t="shared" si="1"/>
        <v>0</v>
      </c>
      <c r="K12" s="29">
        <f t="shared" si="1"/>
        <v>0</v>
      </c>
      <c r="L12" s="29">
        <f t="shared" si="1"/>
        <v>0</v>
      </c>
      <c r="M12" s="29">
        <f t="shared" si="1"/>
        <v>0</v>
      </c>
      <c r="N12" s="47"/>
    </row>
    <row r="13" spans="2:14" x14ac:dyDescent="0.25">
      <c r="B13" s="95"/>
      <c r="C13" s="122"/>
      <c r="D13" s="103"/>
      <c r="E13" s="103"/>
      <c r="F13" s="103"/>
      <c r="G13" s="103"/>
      <c r="H13" s="103"/>
      <c r="I13" s="103"/>
      <c r="J13" s="103"/>
      <c r="K13" s="103"/>
      <c r="L13" s="103"/>
      <c r="M13" s="103"/>
      <c r="N13" s="122"/>
    </row>
    <row r="14" spans="2:14" x14ac:dyDescent="0.25">
      <c r="B14" s="95"/>
      <c r="C14" s="122"/>
      <c r="D14" s="103"/>
      <c r="E14" s="103"/>
      <c r="F14" s="103"/>
      <c r="G14" s="103"/>
      <c r="H14" s="103"/>
      <c r="I14" s="103"/>
      <c r="J14" s="103"/>
      <c r="K14" s="103"/>
      <c r="L14" s="103"/>
      <c r="M14" s="103"/>
      <c r="N14" s="122"/>
    </row>
    <row r="15" spans="2:14" x14ac:dyDescent="0.25">
      <c r="B15" s="95"/>
      <c r="C15" s="122"/>
      <c r="D15" s="103"/>
      <c r="E15" s="103"/>
      <c r="F15" s="103"/>
      <c r="G15" s="103"/>
      <c r="H15" s="103"/>
      <c r="I15" s="103"/>
      <c r="J15" s="103"/>
      <c r="K15" s="103"/>
      <c r="L15" s="103"/>
      <c r="M15" s="103"/>
      <c r="N15" s="122"/>
    </row>
    <row r="16" spans="2:14" x14ac:dyDescent="0.25">
      <c r="B16" s="95"/>
      <c r="C16" s="122"/>
      <c r="D16" s="103"/>
      <c r="E16" s="103"/>
      <c r="F16" s="103"/>
      <c r="G16" s="103"/>
      <c r="H16" s="103"/>
      <c r="I16" s="103"/>
      <c r="J16" s="103"/>
      <c r="K16" s="103"/>
      <c r="L16" s="103"/>
      <c r="M16" s="103"/>
      <c r="N16" s="122"/>
    </row>
    <row r="17" spans="2:14" x14ac:dyDescent="0.25">
      <c r="B17" s="95"/>
      <c r="C17" s="122"/>
      <c r="D17" s="103"/>
      <c r="E17" s="103"/>
      <c r="F17" s="103"/>
      <c r="G17" s="103"/>
      <c r="H17" s="103"/>
      <c r="I17" s="103"/>
      <c r="J17" s="103"/>
      <c r="K17" s="103"/>
      <c r="L17" s="103"/>
      <c r="M17" s="103"/>
      <c r="N17" s="122"/>
    </row>
    <row r="18" spans="2:14" x14ac:dyDescent="0.25">
      <c r="B18" s="95"/>
      <c r="C18" s="122"/>
      <c r="D18" s="103"/>
      <c r="E18" s="103"/>
      <c r="F18" s="103"/>
      <c r="G18" s="103"/>
      <c r="H18" s="103"/>
      <c r="I18" s="103"/>
      <c r="J18" s="103"/>
      <c r="K18" s="103"/>
      <c r="L18" s="103"/>
      <c r="M18" s="103"/>
      <c r="N18" s="122"/>
    </row>
    <row r="19" spans="2:14" x14ac:dyDescent="0.25">
      <c r="B19" s="95"/>
      <c r="C19" s="122"/>
      <c r="D19" s="103"/>
      <c r="E19" s="103"/>
      <c r="F19" s="103"/>
      <c r="G19" s="103"/>
      <c r="H19" s="103"/>
      <c r="I19" s="103"/>
      <c r="J19" s="103"/>
      <c r="K19" s="103"/>
      <c r="L19" s="103"/>
      <c r="M19" s="103"/>
      <c r="N19" s="122"/>
    </row>
    <row r="20" spans="2:14" x14ac:dyDescent="0.25">
      <c r="B20" s="95"/>
      <c r="C20" s="122"/>
      <c r="D20" s="103"/>
      <c r="E20" s="103"/>
      <c r="F20" s="103"/>
      <c r="G20" s="103"/>
      <c r="H20" s="103"/>
      <c r="I20" s="103"/>
      <c r="J20" s="103"/>
      <c r="K20" s="103"/>
      <c r="L20" s="103"/>
      <c r="M20" s="103"/>
      <c r="N20" s="122"/>
    </row>
    <row r="21" spans="2:14" x14ac:dyDescent="0.25">
      <c r="B21" s="95"/>
      <c r="C21" s="122"/>
      <c r="D21" s="103"/>
      <c r="E21" s="103"/>
      <c r="F21" s="103"/>
      <c r="G21" s="103"/>
      <c r="H21" s="103"/>
      <c r="I21" s="103"/>
      <c r="J21" s="103"/>
      <c r="K21" s="103"/>
      <c r="L21" s="103"/>
      <c r="M21" s="103"/>
      <c r="N21" s="122"/>
    </row>
    <row r="22" spans="2:14" x14ac:dyDescent="0.25">
      <c r="B22" s="95"/>
      <c r="C22" s="122"/>
      <c r="D22" s="103"/>
      <c r="E22" s="103"/>
      <c r="F22" s="103"/>
      <c r="G22" s="103"/>
      <c r="H22" s="103"/>
      <c r="I22" s="103"/>
      <c r="J22" s="103"/>
      <c r="K22" s="103"/>
      <c r="L22" s="103"/>
      <c r="M22" s="103"/>
      <c r="N22" s="122"/>
    </row>
    <row r="23" spans="2:14" x14ac:dyDescent="0.25">
      <c r="B23" s="95"/>
      <c r="C23" s="122"/>
      <c r="D23" s="103"/>
      <c r="E23" s="103"/>
      <c r="F23" s="103"/>
      <c r="G23" s="103"/>
      <c r="H23" s="103"/>
      <c r="I23" s="103"/>
      <c r="J23" s="103"/>
      <c r="K23" s="103"/>
      <c r="L23" s="103"/>
      <c r="M23" s="103"/>
      <c r="N23" s="122"/>
    </row>
    <row r="24" spans="2:14" x14ac:dyDescent="0.25">
      <c r="B24" s="95"/>
      <c r="C24" s="122"/>
      <c r="D24" s="103"/>
      <c r="E24" s="103"/>
      <c r="F24" s="103"/>
      <c r="G24" s="103"/>
      <c r="H24" s="103"/>
      <c r="I24" s="103"/>
      <c r="J24" s="103"/>
      <c r="K24" s="103"/>
      <c r="L24" s="103"/>
      <c r="M24" s="103"/>
      <c r="N24" s="122"/>
    </row>
    <row r="25" spans="2:14" x14ac:dyDescent="0.25">
      <c r="B25" s="95"/>
      <c r="C25" s="122"/>
      <c r="D25" s="103"/>
      <c r="E25" s="103"/>
      <c r="F25" s="103"/>
      <c r="G25" s="103"/>
      <c r="H25" s="103"/>
      <c r="I25" s="103"/>
      <c r="J25" s="103"/>
      <c r="K25" s="103"/>
      <c r="L25" s="103"/>
      <c r="M25" s="103"/>
      <c r="N25" s="122"/>
    </row>
    <row r="26" spans="2:14" x14ac:dyDescent="0.25">
      <c r="B26" s="95"/>
      <c r="C26" s="122"/>
      <c r="D26" s="103"/>
      <c r="E26" s="103"/>
      <c r="F26" s="103"/>
      <c r="G26" s="103"/>
      <c r="H26" s="103"/>
      <c r="I26" s="103"/>
      <c r="J26" s="103"/>
      <c r="K26" s="103"/>
      <c r="L26" s="103"/>
      <c r="M26" s="103"/>
      <c r="N26" s="122"/>
    </row>
    <row r="27" spans="2:14" x14ac:dyDescent="0.25">
      <c r="B27" s="95"/>
      <c r="C27" s="122"/>
      <c r="D27" s="103"/>
      <c r="E27" s="103"/>
      <c r="F27" s="103"/>
      <c r="G27" s="103"/>
      <c r="H27" s="103"/>
      <c r="I27" s="103"/>
      <c r="J27" s="103"/>
      <c r="K27" s="103"/>
      <c r="L27" s="103"/>
      <c r="M27" s="103"/>
      <c r="N27" s="122"/>
    </row>
    <row r="28" spans="2:14" x14ac:dyDescent="0.25">
      <c r="B28" s="95"/>
      <c r="C28" s="122"/>
      <c r="D28" s="103"/>
      <c r="E28" s="103"/>
      <c r="F28" s="103"/>
      <c r="G28" s="103"/>
      <c r="H28" s="103"/>
      <c r="I28" s="103"/>
      <c r="J28" s="103"/>
      <c r="K28" s="103"/>
      <c r="L28" s="103"/>
      <c r="M28" s="103"/>
      <c r="N28" s="122"/>
    </row>
    <row r="29" spans="2:14" x14ac:dyDescent="0.25">
      <c r="B29" s="95"/>
      <c r="C29" s="122"/>
      <c r="D29" s="103"/>
      <c r="E29" s="103"/>
      <c r="F29" s="103"/>
      <c r="G29" s="103"/>
      <c r="H29" s="103"/>
      <c r="I29" s="103"/>
      <c r="J29" s="103"/>
      <c r="K29" s="103"/>
      <c r="L29" s="103"/>
      <c r="M29" s="103"/>
      <c r="N29" s="122"/>
    </row>
    <row r="30" spans="2:14" x14ac:dyDescent="0.25">
      <c r="B30" s="95"/>
      <c r="C30" s="122"/>
      <c r="D30" s="103"/>
      <c r="E30" s="103"/>
      <c r="F30" s="103"/>
      <c r="G30" s="103"/>
      <c r="H30" s="103"/>
      <c r="I30" s="103"/>
      <c r="J30" s="103"/>
      <c r="K30" s="103"/>
      <c r="L30" s="103"/>
      <c r="M30" s="103"/>
      <c r="N30" s="122"/>
    </row>
    <row r="31" spans="2:14" x14ac:dyDescent="0.25">
      <c r="B31" s="95"/>
      <c r="C31" s="122"/>
      <c r="D31" s="103"/>
      <c r="E31" s="103"/>
      <c r="F31" s="103"/>
      <c r="G31" s="103"/>
      <c r="H31" s="103"/>
      <c r="I31" s="103"/>
      <c r="J31" s="103"/>
      <c r="K31" s="103"/>
      <c r="L31" s="103"/>
      <c r="M31" s="103"/>
      <c r="N31" s="122"/>
    </row>
    <row r="32" spans="2:14" x14ac:dyDescent="0.25">
      <c r="B32" s="95"/>
      <c r="C32" s="122"/>
      <c r="D32" s="103"/>
      <c r="E32" s="103"/>
      <c r="F32" s="103"/>
      <c r="G32" s="103"/>
      <c r="H32" s="103"/>
      <c r="I32" s="103"/>
      <c r="J32" s="103"/>
      <c r="K32" s="103"/>
      <c r="L32" s="103"/>
      <c r="M32" s="103"/>
      <c r="N32" s="122"/>
    </row>
    <row r="33" spans="2:14" x14ac:dyDescent="0.25">
      <c r="B33" s="95"/>
      <c r="C33" s="122"/>
      <c r="D33" s="103"/>
      <c r="E33" s="103"/>
      <c r="F33" s="103"/>
      <c r="G33" s="103"/>
      <c r="H33" s="103"/>
      <c r="I33" s="103"/>
      <c r="J33" s="103"/>
      <c r="K33" s="103"/>
      <c r="L33" s="103"/>
      <c r="M33" s="103"/>
      <c r="N33" s="122"/>
    </row>
    <row r="34" spans="2:14" x14ac:dyDescent="0.25">
      <c r="B34" s="95"/>
      <c r="C34" s="122"/>
      <c r="D34" s="103"/>
      <c r="E34" s="103"/>
      <c r="F34" s="103"/>
      <c r="G34" s="103"/>
      <c r="H34" s="103"/>
      <c r="I34" s="103"/>
      <c r="J34" s="103"/>
      <c r="K34" s="103"/>
      <c r="L34" s="103"/>
      <c r="M34" s="103"/>
      <c r="N34" s="122"/>
    </row>
    <row r="35" spans="2:14" x14ac:dyDescent="0.25">
      <c r="B35" s="95"/>
      <c r="C35" s="122"/>
      <c r="D35" s="103"/>
      <c r="E35" s="103"/>
      <c r="F35" s="103"/>
      <c r="G35" s="103"/>
      <c r="H35" s="103"/>
      <c r="I35" s="103"/>
      <c r="J35" s="103"/>
      <c r="K35" s="103"/>
      <c r="L35" s="103"/>
      <c r="M35" s="103"/>
      <c r="N35" s="122"/>
    </row>
    <row r="36" spans="2:14" x14ac:dyDescent="0.25">
      <c r="B36" s="95"/>
      <c r="C36" s="122"/>
      <c r="D36" s="103"/>
      <c r="E36" s="103"/>
      <c r="F36" s="103"/>
      <c r="G36" s="103"/>
      <c r="H36" s="103"/>
      <c r="I36" s="103"/>
      <c r="J36" s="103"/>
      <c r="K36" s="103"/>
      <c r="L36" s="103"/>
      <c r="M36" s="103"/>
      <c r="N36" s="122"/>
    </row>
    <row r="37" spans="2:14" x14ac:dyDescent="0.25">
      <c r="B37" s="95"/>
      <c r="C37" s="122"/>
      <c r="D37" s="103"/>
      <c r="E37" s="103"/>
      <c r="F37" s="103"/>
      <c r="G37" s="103"/>
      <c r="H37" s="103"/>
      <c r="I37" s="103"/>
      <c r="J37" s="103"/>
      <c r="K37" s="103"/>
      <c r="L37" s="103"/>
      <c r="M37" s="103"/>
      <c r="N37" s="122"/>
    </row>
    <row r="38" spans="2:14" x14ac:dyDescent="0.25">
      <c r="B38" s="95"/>
      <c r="C38" s="122"/>
      <c r="D38" s="103"/>
      <c r="E38" s="103"/>
      <c r="F38" s="103"/>
      <c r="G38" s="103"/>
      <c r="H38" s="103"/>
      <c r="I38" s="103"/>
      <c r="J38" s="103"/>
      <c r="K38" s="103"/>
      <c r="L38" s="103"/>
      <c r="M38" s="103"/>
      <c r="N38" s="122"/>
    </row>
    <row r="39" spans="2:14" x14ac:dyDescent="0.25">
      <c r="B39" s="95"/>
      <c r="C39" s="122"/>
      <c r="D39" s="103"/>
      <c r="E39" s="103"/>
      <c r="F39" s="103"/>
      <c r="G39" s="103"/>
      <c r="H39" s="103"/>
      <c r="I39" s="103"/>
      <c r="J39" s="103"/>
      <c r="K39" s="103"/>
      <c r="L39" s="103"/>
      <c r="M39" s="103"/>
      <c r="N39" s="122"/>
    </row>
    <row r="40" spans="2:14" x14ac:dyDescent="0.25">
      <c r="B40" s="95"/>
      <c r="C40" s="122"/>
      <c r="D40" s="103"/>
      <c r="E40" s="103"/>
      <c r="F40" s="103"/>
      <c r="G40" s="103"/>
      <c r="H40" s="103"/>
      <c r="I40" s="103"/>
      <c r="J40" s="103"/>
      <c r="K40" s="103"/>
      <c r="L40" s="103"/>
      <c r="M40" s="103"/>
      <c r="N40" s="122"/>
    </row>
    <row r="41" spans="2:14" x14ac:dyDescent="0.25">
      <c r="B41" s="95"/>
      <c r="C41" s="122"/>
      <c r="D41" s="103"/>
      <c r="E41" s="103"/>
      <c r="F41" s="103"/>
      <c r="G41" s="103"/>
      <c r="H41" s="103"/>
      <c r="I41" s="103"/>
      <c r="J41" s="103"/>
      <c r="K41" s="103"/>
      <c r="L41" s="103"/>
      <c r="M41" s="103"/>
      <c r="N41" s="122"/>
    </row>
    <row r="42" spans="2:14" x14ac:dyDescent="0.25">
      <c r="B42" s="95"/>
      <c r="C42" s="122"/>
      <c r="D42" s="103"/>
      <c r="E42" s="103"/>
      <c r="F42" s="103"/>
      <c r="G42" s="103"/>
      <c r="H42" s="103"/>
      <c r="I42" s="103"/>
      <c r="J42" s="103"/>
      <c r="K42" s="103"/>
      <c r="L42" s="103"/>
      <c r="M42" s="103"/>
      <c r="N42" s="122"/>
    </row>
    <row r="43" spans="2:14" x14ac:dyDescent="0.25">
      <c r="B43" s="95"/>
      <c r="C43" s="122"/>
      <c r="D43" s="103"/>
      <c r="E43" s="103"/>
      <c r="F43" s="103"/>
      <c r="G43" s="103"/>
      <c r="H43" s="103"/>
      <c r="I43" s="103"/>
      <c r="J43" s="103"/>
      <c r="K43" s="103"/>
      <c r="L43" s="103"/>
      <c r="M43" s="103"/>
      <c r="N43" s="122"/>
    </row>
    <row r="44" spans="2:14" x14ac:dyDescent="0.25">
      <c r="B44" s="95"/>
      <c r="C44" s="122"/>
      <c r="D44" s="103"/>
      <c r="E44" s="103"/>
      <c r="F44" s="103"/>
      <c r="G44" s="103"/>
      <c r="H44" s="103"/>
      <c r="I44" s="103"/>
      <c r="J44" s="103"/>
      <c r="K44" s="103"/>
      <c r="L44" s="103"/>
      <c r="M44" s="103"/>
      <c r="N44" s="122"/>
    </row>
    <row r="45" spans="2:14" x14ac:dyDescent="0.25">
      <c r="B45" s="95"/>
      <c r="C45" s="122"/>
      <c r="D45" s="103"/>
      <c r="E45" s="103"/>
      <c r="F45" s="103"/>
      <c r="G45" s="103"/>
      <c r="H45" s="103"/>
      <c r="I45" s="103"/>
      <c r="J45" s="103"/>
      <c r="K45" s="103"/>
      <c r="L45" s="103"/>
      <c r="M45" s="103"/>
      <c r="N45" s="122"/>
    </row>
    <row r="46" spans="2:14" x14ac:dyDescent="0.25">
      <c r="B46" s="95"/>
      <c r="C46" s="122"/>
      <c r="D46" s="103"/>
      <c r="E46" s="103"/>
      <c r="F46" s="103"/>
      <c r="G46" s="103"/>
      <c r="H46" s="103"/>
      <c r="I46" s="103"/>
      <c r="J46" s="103"/>
      <c r="K46" s="103"/>
      <c r="L46" s="103"/>
      <c r="M46" s="103"/>
      <c r="N46" s="122"/>
    </row>
    <row r="47" spans="2:14" x14ac:dyDescent="0.25">
      <c r="B47" s="95"/>
      <c r="C47" s="122"/>
      <c r="D47" s="103"/>
      <c r="E47" s="103"/>
      <c r="F47" s="103"/>
      <c r="G47" s="103"/>
      <c r="H47" s="103"/>
      <c r="I47" s="103"/>
      <c r="J47" s="103"/>
      <c r="K47" s="103"/>
      <c r="L47" s="103"/>
      <c r="M47" s="103"/>
      <c r="N47" s="122"/>
    </row>
    <row r="48" spans="2:14" x14ac:dyDescent="0.25">
      <c r="B48" s="95"/>
      <c r="C48" s="122"/>
      <c r="D48" s="103"/>
      <c r="E48" s="103"/>
      <c r="F48" s="103"/>
      <c r="G48" s="103"/>
      <c r="H48" s="103"/>
      <c r="I48" s="103"/>
      <c r="J48" s="103"/>
      <c r="K48" s="103"/>
      <c r="L48" s="103"/>
      <c r="M48" s="103"/>
      <c r="N48" s="122"/>
    </row>
    <row r="49" spans="2:14" x14ac:dyDescent="0.25">
      <c r="B49" s="95"/>
      <c r="C49" s="122"/>
      <c r="D49" s="103"/>
      <c r="E49" s="103"/>
      <c r="F49" s="103"/>
      <c r="G49" s="103"/>
      <c r="H49" s="103"/>
      <c r="I49" s="103"/>
      <c r="J49" s="103"/>
      <c r="K49" s="103"/>
      <c r="L49" s="103"/>
      <c r="M49" s="103"/>
      <c r="N49" s="122"/>
    </row>
    <row r="50" spans="2:14" x14ac:dyDescent="0.25">
      <c r="B50" s="95"/>
      <c r="C50" s="122"/>
      <c r="D50" s="103"/>
      <c r="E50" s="103"/>
      <c r="F50" s="103"/>
      <c r="G50" s="103"/>
      <c r="H50" s="103"/>
      <c r="I50" s="103"/>
      <c r="J50" s="103"/>
      <c r="K50" s="103"/>
      <c r="L50" s="103"/>
      <c r="M50" s="103"/>
      <c r="N50" s="122"/>
    </row>
    <row r="51" spans="2:14" x14ac:dyDescent="0.25">
      <c r="B51" s="95"/>
      <c r="C51" s="122"/>
      <c r="D51" s="103"/>
      <c r="E51" s="103"/>
      <c r="F51" s="103"/>
      <c r="G51" s="103"/>
      <c r="H51" s="103"/>
      <c r="I51" s="103"/>
      <c r="J51" s="103"/>
      <c r="K51" s="103"/>
      <c r="L51" s="103"/>
      <c r="M51" s="103"/>
      <c r="N51" s="122"/>
    </row>
    <row r="52" spans="2:14" x14ac:dyDescent="0.25">
      <c r="B52" s="95"/>
      <c r="C52" s="122"/>
      <c r="D52" s="103"/>
      <c r="E52" s="103"/>
      <c r="F52" s="103"/>
      <c r="G52" s="103"/>
      <c r="H52" s="103"/>
      <c r="I52" s="103"/>
      <c r="J52" s="103"/>
      <c r="K52" s="103"/>
      <c r="L52" s="103"/>
      <c r="M52" s="103"/>
      <c r="N52" s="122"/>
    </row>
    <row r="53" spans="2:14" x14ac:dyDescent="0.25">
      <c r="B53" s="95"/>
      <c r="C53" s="122"/>
      <c r="D53" s="103"/>
      <c r="E53" s="103"/>
      <c r="F53" s="103"/>
      <c r="G53" s="103"/>
      <c r="H53" s="103"/>
      <c r="I53" s="103"/>
      <c r="J53" s="103"/>
      <c r="K53" s="103"/>
      <c r="L53" s="103"/>
      <c r="M53" s="103"/>
      <c r="N53" s="122"/>
    </row>
    <row r="54" spans="2:14" x14ac:dyDescent="0.25">
      <c r="B54" s="95"/>
      <c r="C54" s="122"/>
      <c r="D54" s="103"/>
      <c r="E54" s="103"/>
      <c r="F54" s="103"/>
      <c r="G54" s="103"/>
      <c r="H54" s="103"/>
      <c r="I54" s="103"/>
      <c r="J54" s="103"/>
      <c r="K54" s="103"/>
      <c r="L54" s="103"/>
      <c r="M54" s="103"/>
      <c r="N54" s="122"/>
    </row>
    <row r="55" spans="2:14" x14ac:dyDescent="0.25">
      <c r="B55" s="95"/>
      <c r="C55" s="122"/>
      <c r="D55" s="103"/>
      <c r="E55" s="103"/>
      <c r="F55" s="103"/>
      <c r="G55" s="103"/>
      <c r="H55" s="103"/>
      <c r="I55" s="103"/>
      <c r="J55" s="103"/>
      <c r="K55" s="103"/>
      <c r="L55" s="103"/>
      <c r="M55" s="103"/>
      <c r="N55" s="122"/>
    </row>
    <row r="56" spans="2:14" x14ac:dyDescent="0.25">
      <c r="B56" s="95"/>
      <c r="C56" s="122"/>
      <c r="D56" s="103"/>
      <c r="E56" s="103"/>
      <c r="F56" s="103"/>
      <c r="G56" s="103"/>
      <c r="H56" s="103"/>
      <c r="I56" s="103"/>
      <c r="J56" s="103"/>
      <c r="K56" s="103"/>
      <c r="L56" s="103"/>
      <c r="M56" s="103"/>
      <c r="N56" s="122"/>
    </row>
    <row r="57" spans="2:14" x14ac:dyDescent="0.25">
      <c r="B57" s="95"/>
      <c r="C57" s="122"/>
      <c r="D57" s="103"/>
      <c r="E57" s="103"/>
      <c r="F57" s="103"/>
      <c r="G57" s="103"/>
      <c r="H57" s="103"/>
      <c r="I57" s="103"/>
      <c r="J57" s="103"/>
      <c r="K57" s="103"/>
      <c r="L57" s="103"/>
      <c r="M57" s="103"/>
      <c r="N57" s="122"/>
    </row>
    <row r="58" spans="2:14" x14ac:dyDescent="0.25">
      <c r="B58" s="95"/>
      <c r="C58" s="122"/>
      <c r="D58" s="103"/>
      <c r="E58" s="103"/>
      <c r="F58" s="103"/>
      <c r="G58" s="103"/>
      <c r="H58" s="103"/>
      <c r="I58" s="103"/>
      <c r="J58" s="103"/>
      <c r="K58" s="103"/>
      <c r="L58" s="103"/>
      <c r="M58" s="103"/>
      <c r="N58" s="122"/>
    </row>
    <row r="59" spans="2:14" x14ac:dyDescent="0.25">
      <c r="B59" s="95"/>
      <c r="C59" s="122"/>
      <c r="D59" s="103"/>
      <c r="E59" s="103"/>
      <c r="F59" s="103"/>
      <c r="G59" s="103"/>
      <c r="H59" s="103"/>
      <c r="I59" s="103"/>
      <c r="J59" s="103"/>
      <c r="K59" s="103"/>
      <c r="L59" s="103"/>
      <c r="M59" s="103"/>
      <c r="N59" s="122"/>
    </row>
    <row r="60" spans="2:14" x14ac:dyDescent="0.25">
      <c r="B60" s="95"/>
      <c r="C60" s="122"/>
      <c r="D60" s="103"/>
      <c r="E60" s="103"/>
      <c r="F60" s="103"/>
      <c r="G60" s="103"/>
      <c r="H60" s="103"/>
      <c r="I60" s="103"/>
      <c r="J60" s="103"/>
      <c r="K60" s="103"/>
      <c r="L60" s="103"/>
      <c r="M60" s="103"/>
      <c r="N60" s="122"/>
    </row>
    <row r="61" spans="2:14" x14ac:dyDescent="0.25">
      <c r="B61" s="95"/>
      <c r="C61" s="122"/>
      <c r="D61" s="103"/>
      <c r="E61" s="103"/>
      <c r="F61" s="103"/>
      <c r="G61" s="103"/>
      <c r="H61" s="103"/>
      <c r="I61" s="103"/>
      <c r="J61" s="103"/>
      <c r="K61" s="103"/>
      <c r="L61" s="103"/>
      <c r="M61" s="103"/>
      <c r="N61" s="122"/>
    </row>
    <row r="62" spans="2:14" x14ac:dyDescent="0.25">
      <c r="B62" s="95"/>
      <c r="C62" s="122"/>
      <c r="D62" s="103"/>
      <c r="E62" s="103"/>
      <c r="F62" s="103"/>
      <c r="G62" s="103"/>
      <c r="H62" s="103"/>
      <c r="I62" s="103"/>
      <c r="J62" s="103"/>
      <c r="K62" s="103"/>
      <c r="L62" s="103"/>
      <c r="M62" s="103"/>
      <c r="N62" s="122"/>
    </row>
    <row r="63" spans="2:14" x14ac:dyDescent="0.25">
      <c r="B63" s="95"/>
      <c r="C63" s="122"/>
      <c r="D63" s="103"/>
      <c r="E63" s="103"/>
      <c r="F63" s="103"/>
      <c r="G63" s="103"/>
      <c r="H63" s="103"/>
      <c r="I63" s="103"/>
      <c r="J63" s="103"/>
      <c r="K63" s="103"/>
      <c r="L63" s="103"/>
      <c r="M63" s="103"/>
      <c r="N63" s="122"/>
    </row>
    <row r="64" spans="2:14" x14ac:dyDescent="0.25">
      <c r="B64" s="95"/>
      <c r="C64" s="122"/>
      <c r="D64" s="103"/>
      <c r="E64" s="103"/>
      <c r="F64" s="103"/>
      <c r="G64" s="103"/>
      <c r="H64" s="103"/>
      <c r="I64" s="103"/>
      <c r="J64" s="103"/>
      <c r="K64" s="103"/>
      <c r="L64" s="103"/>
      <c r="M64" s="103"/>
      <c r="N64" s="122"/>
    </row>
    <row r="65" spans="2:14" x14ac:dyDescent="0.25">
      <c r="B65" s="95"/>
      <c r="C65" s="122"/>
      <c r="D65" s="103"/>
      <c r="E65" s="103"/>
      <c r="F65" s="103"/>
      <c r="G65" s="103"/>
      <c r="H65" s="103"/>
      <c r="I65" s="103"/>
      <c r="J65" s="103"/>
      <c r="K65" s="103"/>
      <c r="L65" s="103"/>
      <c r="M65" s="103"/>
      <c r="N65" s="122"/>
    </row>
    <row r="66" spans="2:14" ht="18.75" customHeight="1" x14ac:dyDescent="0.25">
      <c r="B66" s="95"/>
      <c r="C66" s="122"/>
      <c r="D66" s="103"/>
      <c r="E66" s="103"/>
      <c r="F66" s="103"/>
      <c r="G66" s="103"/>
      <c r="H66" s="103"/>
      <c r="I66" s="103"/>
      <c r="J66" s="103"/>
      <c r="K66" s="103"/>
      <c r="L66" s="103"/>
      <c r="M66" s="103"/>
      <c r="N66" s="122"/>
    </row>
    <row r="67" spans="2:14" x14ac:dyDescent="0.25">
      <c r="B67" s="95"/>
      <c r="C67" s="122"/>
      <c r="D67" s="103"/>
      <c r="E67" s="103"/>
      <c r="F67" s="103"/>
      <c r="G67" s="103"/>
      <c r="H67" s="103"/>
      <c r="I67" s="103"/>
      <c r="J67" s="103"/>
      <c r="K67" s="103"/>
      <c r="L67" s="103"/>
      <c r="M67" s="103"/>
      <c r="N67" s="122"/>
    </row>
    <row r="68" spans="2:14" x14ac:dyDescent="0.25">
      <c r="B68" s="95"/>
      <c r="C68" s="122"/>
      <c r="D68" s="103"/>
      <c r="E68" s="103"/>
      <c r="F68" s="103"/>
      <c r="G68" s="103"/>
      <c r="H68" s="103"/>
      <c r="I68" s="103"/>
      <c r="J68" s="103"/>
      <c r="K68" s="103"/>
      <c r="L68" s="103"/>
      <c r="M68" s="103"/>
      <c r="N68" s="122"/>
    </row>
    <row r="69" spans="2:14" x14ac:dyDescent="0.25">
      <c r="B69" s="95"/>
      <c r="C69" s="122"/>
      <c r="D69" s="103"/>
      <c r="E69" s="103"/>
      <c r="F69" s="103"/>
      <c r="G69" s="103"/>
      <c r="H69" s="103"/>
      <c r="I69" s="103"/>
      <c r="J69" s="103"/>
      <c r="K69" s="103"/>
      <c r="L69" s="103"/>
      <c r="M69" s="103"/>
      <c r="N69" s="122"/>
    </row>
    <row r="70" spans="2:14" x14ac:dyDescent="0.25">
      <c r="B70" s="95"/>
      <c r="C70" s="122"/>
      <c r="D70" s="103"/>
      <c r="E70" s="103"/>
      <c r="F70" s="103"/>
      <c r="G70" s="103"/>
      <c r="H70" s="103"/>
      <c r="I70" s="103"/>
      <c r="J70" s="103"/>
      <c r="K70" s="103"/>
      <c r="L70" s="103"/>
      <c r="M70" s="103"/>
      <c r="N70" s="122"/>
    </row>
    <row r="71" spans="2:14" x14ac:dyDescent="0.25">
      <c r="B71" s="95"/>
      <c r="C71" s="122"/>
      <c r="D71" s="103"/>
      <c r="E71" s="103"/>
      <c r="F71" s="103"/>
      <c r="G71" s="103"/>
      <c r="H71" s="103"/>
      <c r="I71" s="103"/>
      <c r="J71" s="103"/>
      <c r="K71" s="103"/>
      <c r="L71" s="103"/>
      <c r="M71" s="103"/>
      <c r="N71" s="122"/>
    </row>
    <row r="72" spans="2:14" x14ac:dyDescent="0.25">
      <c r="B72" s="95"/>
      <c r="C72" s="122"/>
      <c r="D72" s="103"/>
      <c r="E72" s="103"/>
      <c r="F72" s="103"/>
      <c r="G72" s="103"/>
      <c r="H72" s="103"/>
      <c r="I72" s="103"/>
      <c r="J72" s="103"/>
      <c r="K72" s="103"/>
      <c r="L72" s="103"/>
      <c r="M72" s="103"/>
      <c r="N72" s="122"/>
    </row>
    <row r="73" spans="2:14" x14ac:dyDescent="0.25">
      <c r="B73" s="95"/>
      <c r="C73" s="122"/>
      <c r="D73" s="103"/>
      <c r="E73" s="103"/>
      <c r="F73" s="103"/>
      <c r="G73" s="103"/>
      <c r="H73" s="103"/>
      <c r="I73" s="103"/>
      <c r="J73" s="103"/>
      <c r="K73" s="103"/>
      <c r="L73" s="103"/>
      <c r="M73" s="103"/>
      <c r="N73" s="122"/>
    </row>
    <row r="74" spans="2:14" x14ac:dyDescent="0.25">
      <c r="B74" s="95"/>
      <c r="C74" s="122"/>
      <c r="D74" s="103"/>
      <c r="E74" s="103"/>
      <c r="F74" s="103"/>
      <c r="G74" s="103"/>
      <c r="H74" s="103"/>
      <c r="I74" s="103"/>
      <c r="J74" s="103"/>
      <c r="K74" s="103"/>
      <c r="L74" s="103"/>
      <c r="M74" s="103"/>
      <c r="N74" s="122"/>
    </row>
    <row r="75" spans="2:14" x14ac:dyDescent="0.25">
      <c r="B75" s="95"/>
      <c r="C75" s="122"/>
      <c r="D75" s="103"/>
      <c r="E75" s="103"/>
      <c r="F75" s="103"/>
      <c r="G75" s="103"/>
      <c r="H75" s="103"/>
      <c r="I75" s="103"/>
      <c r="J75" s="103"/>
      <c r="K75" s="103"/>
      <c r="L75" s="103"/>
      <c r="M75" s="103"/>
      <c r="N75" s="122"/>
    </row>
    <row r="76" spans="2:14" x14ac:dyDescent="0.25">
      <c r="B76" s="95"/>
      <c r="C76" s="122"/>
      <c r="D76" s="103"/>
      <c r="E76" s="103"/>
      <c r="F76" s="103"/>
      <c r="G76" s="103"/>
      <c r="H76" s="103"/>
      <c r="I76" s="103"/>
      <c r="J76" s="103"/>
      <c r="K76" s="103"/>
      <c r="L76" s="103"/>
      <c r="M76" s="103"/>
      <c r="N76" s="122"/>
    </row>
    <row r="77" spans="2:14" x14ac:dyDescent="0.25">
      <c r="B77" s="95"/>
      <c r="C77" s="122"/>
      <c r="D77" s="103"/>
      <c r="E77" s="103"/>
      <c r="F77" s="103"/>
      <c r="G77" s="103"/>
      <c r="H77" s="103"/>
      <c r="I77" s="103"/>
      <c r="J77" s="103"/>
      <c r="K77" s="103"/>
      <c r="L77" s="103"/>
      <c r="M77" s="103"/>
      <c r="N77" s="122"/>
    </row>
    <row r="78" spans="2:14" x14ac:dyDescent="0.25">
      <c r="B78" s="95"/>
      <c r="C78" s="122"/>
      <c r="D78" s="103"/>
      <c r="E78" s="103"/>
      <c r="F78" s="103"/>
      <c r="G78" s="103"/>
      <c r="H78" s="103"/>
      <c r="I78" s="103"/>
      <c r="J78" s="103"/>
      <c r="K78" s="103"/>
      <c r="L78" s="103"/>
      <c r="M78" s="103"/>
      <c r="N78" s="122"/>
    </row>
    <row r="79" spans="2:14" x14ac:dyDescent="0.25">
      <c r="B79" s="95"/>
      <c r="C79" s="122"/>
      <c r="D79" s="103"/>
      <c r="E79" s="103"/>
      <c r="F79" s="103"/>
      <c r="G79" s="103"/>
      <c r="H79" s="103"/>
      <c r="I79" s="103"/>
      <c r="J79" s="103"/>
      <c r="K79" s="103"/>
      <c r="L79" s="103"/>
      <c r="M79" s="103"/>
      <c r="N79" s="122"/>
    </row>
    <row r="80" spans="2:14" x14ac:dyDescent="0.25">
      <c r="B80" s="95"/>
      <c r="C80" s="122"/>
      <c r="D80" s="103"/>
      <c r="E80" s="103"/>
      <c r="F80" s="103"/>
      <c r="G80" s="103"/>
      <c r="H80" s="103"/>
      <c r="I80" s="103"/>
      <c r="J80" s="103"/>
      <c r="K80" s="103"/>
      <c r="L80" s="103"/>
      <c r="M80" s="103"/>
      <c r="N80" s="122"/>
    </row>
    <row r="81" spans="2:14" x14ac:dyDescent="0.25">
      <c r="B81" s="95"/>
      <c r="C81" s="122"/>
      <c r="D81" s="103"/>
      <c r="E81" s="103"/>
      <c r="F81" s="103"/>
      <c r="G81" s="103"/>
      <c r="H81" s="103"/>
      <c r="I81" s="103"/>
      <c r="J81" s="103"/>
      <c r="K81" s="103"/>
      <c r="L81" s="103"/>
      <c r="M81" s="103"/>
      <c r="N81" s="122"/>
    </row>
    <row r="82" spans="2:14" x14ac:dyDescent="0.25">
      <c r="B82" s="95"/>
      <c r="C82" s="122"/>
      <c r="D82" s="103"/>
      <c r="E82" s="103"/>
      <c r="F82" s="103"/>
      <c r="G82" s="103"/>
      <c r="H82" s="103"/>
      <c r="I82" s="103"/>
      <c r="J82" s="103"/>
      <c r="K82" s="103"/>
      <c r="L82" s="103"/>
      <c r="M82" s="103"/>
      <c r="N82" s="122"/>
    </row>
    <row r="83" spans="2:14" x14ac:dyDescent="0.25">
      <c r="B83" s="95"/>
      <c r="C83" s="122"/>
      <c r="D83" s="103"/>
      <c r="E83" s="103"/>
      <c r="F83" s="103"/>
      <c r="G83" s="103"/>
      <c r="H83" s="103"/>
      <c r="I83" s="103"/>
      <c r="J83" s="103"/>
      <c r="K83" s="103"/>
      <c r="L83" s="103"/>
      <c r="M83" s="103"/>
      <c r="N83" s="122"/>
    </row>
    <row r="84" spans="2:14" x14ac:dyDescent="0.25">
      <c r="B84" s="95"/>
      <c r="C84" s="122"/>
      <c r="D84" s="103"/>
      <c r="E84" s="103"/>
      <c r="F84" s="103"/>
      <c r="G84" s="103"/>
      <c r="H84" s="103"/>
      <c r="I84" s="103"/>
      <c r="J84" s="103"/>
      <c r="K84" s="103"/>
      <c r="L84" s="103"/>
      <c r="M84" s="103"/>
      <c r="N84" s="122"/>
    </row>
    <row r="85" spans="2:14" x14ac:dyDescent="0.25">
      <c r="B85" s="95"/>
      <c r="C85" s="122"/>
      <c r="D85" s="103"/>
      <c r="E85" s="103"/>
      <c r="F85" s="103"/>
      <c r="G85" s="103"/>
      <c r="H85" s="103"/>
      <c r="I85" s="103"/>
      <c r="J85" s="103"/>
      <c r="K85" s="103"/>
      <c r="L85" s="103"/>
      <c r="M85" s="103"/>
      <c r="N85" s="122"/>
    </row>
    <row r="86" spans="2:14" x14ac:dyDescent="0.25">
      <c r="B86" s="95"/>
      <c r="C86" s="122"/>
      <c r="D86" s="103"/>
      <c r="E86" s="103"/>
      <c r="F86" s="103"/>
      <c r="G86" s="103"/>
      <c r="H86" s="103"/>
      <c r="I86" s="103"/>
      <c r="J86" s="103"/>
      <c r="K86" s="103"/>
      <c r="L86" s="103"/>
      <c r="M86" s="103"/>
      <c r="N86" s="122"/>
    </row>
    <row r="87" spans="2:14" x14ac:dyDescent="0.25">
      <c r="B87" s="95"/>
      <c r="C87" s="122"/>
      <c r="D87" s="103"/>
      <c r="E87" s="103"/>
      <c r="F87" s="103"/>
      <c r="G87" s="103"/>
      <c r="H87" s="103"/>
      <c r="I87" s="103"/>
      <c r="J87" s="103"/>
      <c r="K87" s="103"/>
      <c r="L87" s="103"/>
      <c r="M87" s="103"/>
      <c r="N87" s="122"/>
    </row>
    <row r="88" spans="2:14" x14ac:dyDescent="0.25">
      <c r="B88" s="95"/>
      <c r="C88" s="122"/>
      <c r="D88" s="103"/>
      <c r="E88" s="103"/>
      <c r="F88" s="103"/>
      <c r="G88" s="103"/>
      <c r="H88" s="103"/>
      <c r="I88" s="103"/>
      <c r="J88" s="103"/>
      <c r="K88" s="103"/>
      <c r="L88" s="103"/>
      <c r="M88" s="103"/>
      <c r="N88" s="122"/>
    </row>
    <row r="89" spans="2:14" x14ac:dyDescent="0.25">
      <c r="B89" s="95"/>
      <c r="C89" s="122"/>
      <c r="D89" s="103"/>
      <c r="E89" s="103"/>
      <c r="F89" s="103"/>
      <c r="G89" s="103"/>
      <c r="H89" s="103"/>
      <c r="I89" s="103"/>
      <c r="J89" s="103"/>
      <c r="K89" s="103"/>
      <c r="L89" s="103"/>
      <c r="M89" s="103"/>
      <c r="N89" s="122"/>
    </row>
    <row r="90" spans="2:14" x14ac:dyDescent="0.25">
      <c r="B90" s="95"/>
      <c r="C90" s="122"/>
      <c r="D90" s="103"/>
      <c r="E90" s="103"/>
      <c r="F90" s="103"/>
      <c r="G90" s="103"/>
      <c r="H90" s="103"/>
      <c r="I90" s="103"/>
      <c r="J90" s="103"/>
      <c r="K90" s="103"/>
      <c r="L90" s="103"/>
      <c r="M90" s="103"/>
      <c r="N90" s="122"/>
    </row>
    <row r="91" spans="2:14" x14ac:dyDescent="0.25">
      <c r="B91" s="95"/>
      <c r="C91" s="122"/>
      <c r="D91" s="103"/>
      <c r="E91" s="103"/>
      <c r="F91" s="103"/>
      <c r="G91" s="103"/>
      <c r="H91" s="103"/>
      <c r="I91" s="103"/>
      <c r="J91" s="103"/>
      <c r="K91" s="103"/>
      <c r="L91" s="103"/>
      <c r="M91" s="103"/>
      <c r="N91" s="122"/>
    </row>
    <row r="92" spans="2:14" x14ac:dyDescent="0.25">
      <c r="B92" s="95"/>
      <c r="C92" s="122"/>
      <c r="D92" s="103"/>
      <c r="E92" s="103"/>
      <c r="F92" s="103"/>
      <c r="G92" s="103"/>
      <c r="H92" s="103"/>
      <c r="I92" s="103"/>
      <c r="J92" s="103"/>
      <c r="K92" s="103"/>
      <c r="L92" s="103"/>
      <c r="M92" s="103"/>
      <c r="N92" s="122"/>
    </row>
    <row r="93" spans="2:14" x14ac:dyDescent="0.25">
      <c r="B93" s="95"/>
      <c r="C93" s="122"/>
      <c r="D93" s="103"/>
      <c r="E93" s="103"/>
      <c r="F93" s="103"/>
      <c r="G93" s="103"/>
      <c r="H93" s="103"/>
      <c r="I93" s="103"/>
      <c r="J93" s="103"/>
      <c r="K93" s="103"/>
      <c r="L93" s="103"/>
      <c r="M93" s="103"/>
      <c r="N93" s="122"/>
    </row>
    <row r="94" spans="2:14" x14ac:dyDescent="0.25">
      <c r="B94" s="95"/>
      <c r="C94" s="122"/>
      <c r="D94" s="103"/>
      <c r="E94" s="103"/>
      <c r="F94" s="103"/>
      <c r="G94" s="103"/>
      <c r="H94" s="103"/>
      <c r="I94" s="103"/>
      <c r="J94" s="103"/>
      <c r="K94" s="103"/>
      <c r="L94" s="103"/>
      <c r="M94" s="103"/>
      <c r="N94" s="122"/>
    </row>
    <row r="95" spans="2:14" x14ac:dyDescent="0.25">
      <c r="B95" s="95"/>
      <c r="C95" s="122"/>
      <c r="D95" s="103"/>
      <c r="E95" s="103"/>
      <c r="F95" s="103"/>
      <c r="G95" s="103"/>
      <c r="H95" s="103"/>
      <c r="I95" s="103"/>
      <c r="J95" s="103"/>
      <c r="K95" s="103"/>
      <c r="L95" s="103"/>
      <c r="M95" s="103"/>
      <c r="N95" s="122"/>
    </row>
    <row r="96" spans="2:14" x14ac:dyDescent="0.25">
      <c r="B96" s="95"/>
      <c r="C96" s="122"/>
      <c r="D96" s="103"/>
      <c r="E96" s="103"/>
      <c r="F96" s="103"/>
      <c r="G96" s="103"/>
      <c r="H96" s="103"/>
      <c r="I96" s="103"/>
      <c r="J96" s="103"/>
      <c r="K96" s="103"/>
      <c r="L96" s="103"/>
      <c r="M96" s="103"/>
      <c r="N96" s="122"/>
    </row>
    <row r="97" spans="2:14" x14ac:dyDescent="0.25">
      <c r="B97" s="95"/>
      <c r="C97" s="122"/>
      <c r="D97" s="103"/>
      <c r="E97" s="103"/>
      <c r="F97" s="103"/>
      <c r="G97" s="103"/>
      <c r="H97" s="103"/>
      <c r="I97" s="103"/>
      <c r="J97" s="103"/>
      <c r="K97" s="103"/>
      <c r="L97" s="103"/>
      <c r="M97" s="103"/>
      <c r="N97" s="122"/>
    </row>
    <row r="98" spans="2:14" x14ac:dyDescent="0.25">
      <c r="B98" s="95"/>
      <c r="C98" s="122"/>
      <c r="D98" s="103"/>
      <c r="E98" s="103"/>
      <c r="F98" s="103"/>
      <c r="G98" s="103"/>
      <c r="H98" s="103"/>
      <c r="I98" s="103"/>
      <c r="J98" s="103"/>
      <c r="K98" s="103"/>
      <c r="L98" s="103"/>
      <c r="M98" s="103"/>
      <c r="N98" s="122"/>
    </row>
    <row r="99" spans="2:14" x14ac:dyDescent="0.25">
      <c r="B99" s="95"/>
      <c r="C99" s="122"/>
      <c r="D99" s="103"/>
      <c r="E99" s="103"/>
      <c r="F99" s="103"/>
      <c r="G99" s="103"/>
      <c r="H99" s="103"/>
      <c r="I99" s="103"/>
      <c r="J99" s="103"/>
      <c r="K99" s="103"/>
      <c r="L99" s="103"/>
      <c r="M99" s="103"/>
      <c r="N99" s="122"/>
    </row>
    <row r="100" spans="2:14" x14ac:dyDescent="0.25">
      <c r="B100" s="95"/>
      <c r="C100" s="122"/>
      <c r="D100" s="103"/>
      <c r="E100" s="103"/>
      <c r="F100" s="103"/>
      <c r="G100" s="103"/>
      <c r="H100" s="103"/>
      <c r="I100" s="103"/>
      <c r="J100" s="103"/>
      <c r="K100" s="103"/>
      <c r="L100" s="103"/>
      <c r="M100" s="103"/>
      <c r="N100" s="122"/>
    </row>
    <row r="101" spans="2:14" x14ac:dyDescent="0.25">
      <c r="B101" s="95"/>
      <c r="C101" s="122"/>
      <c r="D101" s="103"/>
      <c r="E101" s="103"/>
      <c r="F101" s="103"/>
      <c r="G101" s="103"/>
      <c r="H101" s="103"/>
      <c r="I101" s="103"/>
      <c r="J101" s="103"/>
      <c r="K101" s="103"/>
      <c r="L101" s="103"/>
      <c r="M101" s="103"/>
      <c r="N101" s="122"/>
    </row>
    <row r="102" spans="2:14" x14ac:dyDescent="0.25">
      <c r="B102" s="95"/>
      <c r="C102" s="122"/>
      <c r="D102" s="103"/>
      <c r="E102" s="103"/>
      <c r="F102" s="103"/>
      <c r="G102" s="103"/>
      <c r="H102" s="103"/>
      <c r="I102" s="103"/>
      <c r="J102" s="103"/>
      <c r="K102" s="103"/>
      <c r="L102" s="103"/>
      <c r="M102" s="103"/>
      <c r="N102" s="122"/>
    </row>
    <row r="103" spans="2:14" x14ac:dyDescent="0.25">
      <c r="B103" s="95"/>
      <c r="C103" s="122"/>
      <c r="D103" s="103"/>
      <c r="E103" s="103"/>
      <c r="F103" s="103"/>
      <c r="G103" s="103"/>
      <c r="H103" s="103"/>
      <c r="I103" s="103"/>
      <c r="J103" s="103"/>
      <c r="K103" s="103"/>
      <c r="L103" s="103"/>
      <c r="M103" s="103"/>
      <c r="N103" s="122"/>
    </row>
    <row r="104" spans="2:14" x14ac:dyDescent="0.25">
      <c r="B104" s="95"/>
      <c r="C104" s="122"/>
      <c r="D104" s="103"/>
      <c r="E104" s="103"/>
      <c r="F104" s="103"/>
      <c r="G104" s="103"/>
      <c r="H104" s="103"/>
      <c r="I104" s="103"/>
      <c r="J104" s="103"/>
      <c r="K104" s="103"/>
      <c r="L104" s="103"/>
      <c r="M104" s="103"/>
      <c r="N104" s="122"/>
    </row>
    <row r="105" spans="2:14" x14ac:dyDescent="0.25">
      <c r="B105" s="95"/>
      <c r="C105" s="122"/>
      <c r="D105" s="103"/>
      <c r="E105" s="103"/>
      <c r="F105" s="103"/>
      <c r="G105" s="103"/>
      <c r="H105" s="103"/>
      <c r="I105" s="103"/>
      <c r="J105" s="103"/>
      <c r="K105" s="103"/>
      <c r="L105" s="103"/>
      <c r="M105" s="103"/>
      <c r="N105" s="122"/>
    </row>
    <row r="106" spans="2:14" x14ac:dyDescent="0.25">
      <c r="B106" s="95"/>
      <c r="C106" s="122"/>
      <c r="D106" s="103"/>
      <c r="E106" s="103"/>
      <c r="F106" s="103"/>
      <c r="G106" s="103"/>
      <c r="H106" s="103"/>
      <c r="I106" s="103"/>
      <c r="J106" s="103"/>
      <c r="K106" s="103"/>
      <c r="L106" s="103"/>
      <c r="M106" s="103"/>
      <c r="N106" s="122"/>
    </row>
    <row r="107" spans="2:14" x14ac:dyDescent="0.25">
      <c r="B107" s="95"/>
      <c r="C107" s="122"/>
      <c r="D107" s="103"/>
      <c r="E107" s="103"/>
      <c r="F107" s="103"/>
      <c r="G107" s="103"/>
      <c r="H107" s="103"/>
      <c r="I107" s="103"/>
      <c r="J107" s="103"/>
      <c r="K107" s="103"/>
      <c r="L107" s="103"/>
      <c r="M107" s="103"/>
      <c r="N107" s="122"/>
    </row>
    <row r="108" spans="2:14" x14ac:dyDescent="0.25">
      <c r="B108" s="95"/>
      <c r="C108" s="122"/>
      <c r="D108" s="103"/>
      <c r="E108" s="103"/>
      <c r="F108" s="103"/>
      <c r="G108" s="103"/>
      <c r="H108" s="103"/>
      <c r="I108" s="103"/>
      <c r="J108" s="103"/>
      <c r="K108" s="103"/>
      <c r="L108" s="103"/>
      <c r="M108" s="103"/>
      <c r="N108" s="122"/>
    </row>
    <row r="109" spans="2:14" x14ac:dyDescent="0.25">
      <c r="B109" s="95"/>
      <c r="C109" s="122"/>
      <c r="D109" s="103"/>
      <c r="E109" s="103"/>
      <c r="F109" s="103"/>
      <c r="G109" s="103"/>
      <c r="H109" s="103"/>
      <c r="I109" s="103"/>
      <c r="J109" s="103"/>
      <c r="K109" s="103"/>
      <c r="L109" s="103"/>
      <c r="M109" s="103"/>
      <c r="N109" s="122"/>
    </row>
    <row r="110" spans="2:14" x14ac:dyDescent="0.25">
      <c r="B110" s="95"/>
      <c r="C110" s="122"/>
      <c r="D110" s="103"/>
      <c r="E110" s="103"/>
      <c r="F110" s="103"/>
      <c r="G110" s="103"/>
      <c r="H110" s="103"/>
      <c r="I110" s="103"/>
      <c r="J110" s="103"/>
      <c r="K110" s="103"/>
      <c r="L110" s="103"/>
      <c r="M110" s="103"/>
      <c r="N110" s="122"/>
    </row>
    <row r="111" spans="2:14" x14ac:dyDescent="0.25">
      <c r="B111" s="95"/>
      <c r="C111" s="122"/>
      <c r="D111" s="103"/>
      <c r="E111" s="103"/>
      <c r="F111" s="103"/>
      <c r="G111" s="103"/>
      <c r="H111" s="103"/>
      <c r="I111" s="103"/>
      <c r="J111" s="103"/>
      <c r="K111" s="103"/>
      <c r="L111" s="103"/>
      <c r="M111" s="103"/>
      <c r="N111" s="122"/>
    </row>
    <row r="112" spans="2:14" x14ac:dyDescent="0.25">
      <c r="B112" s="95"/>
      <c r="C112" s="122"/>
      <c r="D112" s="103"/>
      <c r="E112" s="103"/>
      <c r="F112" s="103"/>
      <c r="G112" s="103"/>
      <c r="H112" s="103"/>
      <c r="I112" s="103"/>
      <c r="J112" s="103"/>
      <c r="K112" s="103"/>
      <c r="L112" s="103"/>
      <c r="M112" s="103"/>
      <c r="N112" s="122"/>
    </row>
    <row r="113" spans="2:14" x14ac:dyDescent="0.25">
      <c r="B113" s="95"/>
      <c r="C113" s="122"/>
      <c r="D113" s="103"/>
      <c r="E113" s="103"/>
      <c r="F113" s="103"/>
      <c r="G113" s="103"/>
      <c r="H113" s="103"/>
      <c r="I113" s="103"/>
      <c r="J113" s="103"/>
      <c r="K113" s="103"/>
      <c r="L113" s="103"/>
      <c r="M113" s="103"/>
      <c r="N113" s="122"/>
    </row>
    <row r="114" spans="2:14" x14ac:dyDescent="0.25">
      <c r="B114" s="95"/>
      <c r="C114" s="122"/>
      <c r="D114" s="103"/>
      <c r="E114" s="103"/>
      <c r="F114" s="103"/>
      <c r="G114" s="103"/>
      <c r="H114" s="103"/>
      <c r="I114" s="103"/>
      <c r="J114" s="103"/>
      <c r="K114" s="103"/>
      <c r="L114" s="103"/>
      <c r="M114" s="103"/>
      <c r="N114" s="122"/>
    </row>
    <row r="115" spans="2:14" x14ac:dyDescent="0.25">
      <c r="B115" s="95"/>
      <c r="C115" s="122"/>
      <c r="D115" s="103"/>
      <c r="E115" s="103"/>
      <c r="F115" s="103"/>
      <c r="G115" s="103"/>
      <c r="H115" s="103"/>
      <c r="I115" s="103"/>
      <c r="J115" s="103"/>
      <c r="K115" s="103"/>
      <c r="L115" s="103"/>
      <c r="M115" s="103"/>
      <c r="N115" s="122"/>
    </row>
    <row r="116" spans="2:14" x14ac:dyDescent="0.25">
      <c r="B116" s="95"/>
      <c r="C116" s="122"/>
      <c r="D116" s="103"/>
      <c r="E116" s="103"/>
      <c r="F116" s="103"/>
      <c r="G116" s="103"/>
      <c r="H116" s="103"/>
      <c r="I116" s="103"/>
      <c r="J116" s="103"/>
      <c r="K116" s="103"/>
      <c r="L116" s="103"/>
      <c r="M116" s="103"/>
      <c r="N116" s="122"/>
    </row>
    <row r="117" spans="2:14" x14ac:dyDescent="0.25">
      <c r="B117" s="95"/>
      <c r="C117" s="122"/>
      <c r="D117" s="103"/>
      <c r="E117" s="103"/>
      <c r="F117" s="103"/>
      <c r="G117" s="103"/>
      <c r="H117" s="103"/>
      <c r="I117" s="103"/>
      <c r="J117" s="103"/>
      <c r="K117" s="103"/>
      <c r="L117" s="103"/>
      <c r="M117" s="103"/>
      <c r="N117" s="122"/>
    </row>
    <row r="118" spans="2:14" x14ac:dyDescent="0.25">
      <c r="B118" s="95"/>
      <c r="C118" s="122"/>
      <c r="D118" s="103"/>
      <c r="E118" s="103"/>
      <c r="F118" s="103"/>
      <c r="G118" s="103"/>
      <c r="H118" s="103"/>
      <c r="I118" s="103"/>
      <c r="J118" s="103"/>
      <c r="K118" s="103"/>
      <c r="L118" s="103"/>
      <c r="M118" s="103"/>
      <c r="N118" s="122"/>
    </row>
    <row r="119" spans="2:14" x14ac:dyDescent="0.25">
      <c r="B119" s="95"/>
      <c r="C119" s="122"/>
      <c r="D119" s="103"/>
      <c r="E119" s="103"/>
      <c r="F119" s="103"/>
      <c r="G119" s="103"/>
      <c r="H119" s="103"/>
      <c r="I119" s="103"/>
      <c r="J119" s="103"/>
      <c r="K119" s="103"/>
      <c r="L119" s="103"/>
      <c r="M119" s="103"/>
      <c r="N119" s="122"/>
    </row>
    <row r="120" spans="2:14" x14ac:dyDescent="0.25">
      <c r="B120" s="95"/>
      <c r="C120" s="122"/>
      <c r="D120" s="103"/>
      <c r="E120" s="103"/>
      <c r="F120" s="103"/>
      <c r="G120" s="103"/>
      <c r="H120" s="103"/>
      <c r="I120" s="103"/>
      <c r="J120" s="103"/>
      <c r="K120" s="103"/>
      <c r="L120" s="103"/>
      <c r="M120" s="103"/>
      <c r="N120" s="122"/>
    </row>
    <row r="121" spans="2:14" x14ac:dyDescent="0.25">
      <c r="B121" s="95"/>
      <c r="C121" s="122"/>
      <c r="D121" s="103"/>
      <c r="E121" s="103"/>
      <c r="F121" s="103"/>
      <c r="G121" s="103"/>
      <c r="H121" s="103"/>
      <c r="I121" s="103"/>
      <c r="J121" s="103"/>
      <c r="K121" s="103"/>
      <c r="L121" s="103"/>
      <c r="M121" s="103"/>
      <c r="N121" s="122"/>
    </row>
    <row r="122" spans="2:14" x14ac:dyDescent="0.25">
      <c r="B122" s="95"/>
      <c r="C122" s="122"/>
      <c r="D122" s="103"/>
      <c r="E122" s="103"/>
      <c r="F122" s="103"/>
      <c r="G122" s="103"/>
      <c r="H122" s="103"/>
      <c r="I122" s="103"/>
      <c r="J122" s="103"/>
      <c r="K122" s="103"/>
      <c r="L122" s="103"/>
      <c r="M122" s="103"/>
      <c r="N122" s="122"/>
    </row>
    <row r="123" spans="2:14" x14ac:dyDescent="0.25">
      <c r="B123" s="95"/>
      <c r="C123" s="122"/>
      <c r="D123" s="103"/>
      <c r="E123" s="103"/>
      <c r="F123" s="103"/>
      <c r="G123" s="103"/>
      <c r="H123" s="103"/>
      <c r="I123" s="103"/>
      <c r="J123" s="103"/>
      <c r="K123" s="103"/>
      <c r="L123" s="103"/>
      <c r="M123" s="103"/>
      <c r="N123" s="122"/>
    </row>
    <row r="124" spans="2:14" x14ac:dyDescent="0.25">
      <c r="B124" s="95"/>
      <c r="C124" s="122"/>
      <c r="D124" s="103"/>
      <c r="E124" s="103"/>
      <c r="F124" s="103"/>
      <c r="G124" s="103"/>
      <c r="H124" s="103"/>
      <c r="I124" s="103"/>
      <c r="J124" s="103"/>
      <c r="K124" s="103"/>
      <c r="L124" s="103"/>
      <c r="M124" s="103"/>
      <c r="N124" s="122"/>
    </row>
    <row r="125" spans="2:14" x14ac:dyDescent="0.25">
      <c r="B125" s="95"/>
      <c r="C125" s="122"/>
      <c r="D125" s="103"/>
      <c r="E125" s="103"/>
      <c r="F125" s="103"/>
      <c r="G125" s="103"/>
      <c r="H125" s="103"/>
      <c r="I125" s="103"/>
      <c r="J125" s="103"/>
      <c r="K125" s="103"/>
      <c r="L125" s="103"/>
      <c r="M125" s="103"/>
      <c r="N125" s="122"/>
    </row>
    <row r="126" spans="2:14" x14ac:dyDescent="0.25">
      <c r="B126" s="95"/>
      <c r="C126" s="122"/>
      <c r="D126" s="103"/>
      <c r="E126" s="103"/>
      <c r="F126" s="103"/>
      <c r="G126" s="103"/>
      <c r="H126" s="103"/>
      <c r="I126" s="103"/>
      <c r="J126" s="103"/>
      <c r="K126" s="103"/>
      <c r="L126" s="103"/>
      <c r="M126" s="103"/>
      <c r="N126" s="122"/>
    </row>
    <row r="127" spans="2:14" x14ac:dyDescent="0.25">
      <c r="B127" s="95"/>
      <c r="C127" s="122"/>
      <c r="D127" s="103"/>
      <c r="E127" s="103"/>
      <c r="F127" s="103"/>
      <c r="G127" s="103"/>
      <c r="H127" s="103"/>
      <c r="I127" s="103"/>
      <c r="J127" s="103"/>
      <c r="K127" s="103"/>
      <c r="L127" s="103"/>
      <c r="M127" s="103"/>
      <c r="N127" s="122"/>
    </row>
    <row r="128" spans="2:14" x14ac:dyDescent="0.25">
      <c r="B128" s="95"/>
      <c r="C128" s="122"/>
      <c r="D128" s="103"/>
      <c r="E128" s="103"/>
      <c r="F128" s="103"/>
      <c r="G128" s="103"/>
      <c r="H128" s="103"/>
      <c r="I128" s="103"/>
      <c r="J128" s="103"/>
      <c r="K128" s="103"/>
      <c r="L128" s="103"/>
      <c r="M128" s="103"/>
      <c r="N128" s="122"/>
    </row>
    <row r="129" spans="2:14" x14ac:dyDescent="0.25">
      <c r="B129" s="95"/>
      <c r="C129" s="122"/>
      <c r="D129" s="103"/>
      <c r="E129" s="103"/>
      <c r="F129" s="103"/>
      <c r="G129" s="103"/>
      <c r="H129" s="103"/>
      <c r="I129" s="103"/>
      <c r="J129" s="103"/>
      <c r="K129" s="103"/>
      <c r="L129" s="103"/>
      <c r="M129" s="103"/>
      <c r="N129" s="122"/>
    </row>
    <row r="130" spans="2:14" x14ac:dyDescent="0.25">
      <c r="B130" s="95"/>
      <c r="C130" s="122"/>
      <c r="D130" s="103"/>
      <c r="E130" s="103"/>
      <c r="F130" s="103"/>
      <c r="G130" s="103"/>
      <c r="H130" s="103"/>
      <c r="I130" s="103"/>
      <c r="J130" s="103"/>
      <c r="K130" s="103"/>
      <c r="L130" s="103"/>
      <c r="M130" s="103"/>
      <c r="N130" s="122"/>
    </row>
    <row r="131" spans="2:14" x14ac:dyDescent="0.25">
      <c r="B131" s="95"/>
      <c r="C131" s="122"/>
      <c r="D131" s="103"/>
      <c r="E131" s="103"/>
      <c r="F131" s="103"/>
      <c r="G131" s="103"/>
      <c r="H131" s="103"/>
      <c r="I131" s="103"/>
      <c r="J131" s="103"/>
      <c r="K131" s="103"/>
      <c r="L131" s="103"/>
      <c r="M131" s="103"/>
      <c r="N131" s="122"/>
    </row>
    <row r="132" spans="2:14" x14ac:dyDescent="0.25">
      <c r="B132" s="95"/>
      <c r="C132" s="122"/>
      <c r="D132" s="103"/>
      <c r="E132" s="103"/>
      <c r="F132" s="103"/>
      <c r="G132" s="103"/>
      <c r="H132" s="103"/>
      <c r="I132" s="103"/>
      <c r="J132" s="103"/>
      <c r="K132" s="103"/>
      <c r="L132" s="103"/>
      <c r="M132" s="103"/>
      <c r="N132" s="122"/>
    </row>
    <row r="133" spans="2:14" x14ac:dyDescent="0.25">
      <c r="B133" s="95"/>
      <c r="C133" s="122"/>
      <c r="D133" s="103"/>
      <c r="E133" s="103"/>
      <c r="F133" s="103"/>
      <c r="G133" s="103"/>
      <c r="H133" s="103"/>
      <c r="I133" s="103"/>
      <c r="J133" s="103"/>
      <c r="K133" s="103"/>
      <c r="L133" s="103"/>
      <c r="M133" s="103"/>
      <c r="N133" s="122"/>
    </row>
    <row r="134" spans="2:14" x14ac:dyDescent="0.25">
      <c r="B134" s="95"/>
      <c r="C134" s="122"/>
      <c r="D134" s="103"/>
      <c r="E134" s="103"/>
      <c r="F134" s="103"/>
      <c r="G134" s="103"/>
      <c r="H134" s="103"/>
      <c r="I134" s="103"/>
      <c r="J134" s="103"/>
      <c r="K134" s="103"/>
      <c r="L134" s="103"/>
      <c r="M134" s="103"/>
      <c r="N134" s="122"/>
    </row>
    <row r="135" spans="2:14" x14ac:dyDescent="0.25">
      <c r="B135" s="95"/>
      <c r="C135" s="122"/>
      <c r="D135" s="103"/>
      <c r="E135" s="103"/>
      <c r="F135" s="103"/>
      <c r="G135" s="103"/>
      <c r="H135" s="103"/>
      <c r="I135" s="103"/>
      <c r="J135" s="103"/>
      <c r="K135" s="103"/>
      <c r="L135" s="103"/>
      <c r="M135" s="103"/>
      <c r="N135" s="122"/>
    </row>
    <row r="136" spans="2:14" x14ac:dyDescent="0.25">
      <c r="B136" s="95"/>
      <c r="C136" s="122"/>
      <c r="D136" s="103"/>
      <c r="E136" s="103"/>
      <c r="F136" s="103"/>
      <c r="G136" s="103"/>
      <c r="H136" s="103"/>
      <c r="I136" s="103"/>
      <c r="J136" s="103"/>
      <c r="K136" s="103"/>
      <c r="L136" s="103"/>
      <c r="M136" s="103"/>
      <c r="N136" s="122"/>
    </row>
    <row r="137" spans="2:14" x14ac:dyDescent="0.25">
      <c r="B137" s="95"/>
      <c r="C137" s="122"/>
      <c r="D137" s="103"/>
      <c r="E137" s="103"/>
      <c r="F137" s="103"/>
      <c r="G137" s="103"/>
      <c r="H137" s="103"/>
      <c r="I137" s="103"/>
      <c r="J137" s="103"/>
      <c r="K137" s="103"/>
      <c r="L137" s="103"/>
      <c r="M137" s="103"/>
      <c r="N137" s="122"/>
    </row>
    <row r="138" spans="2:14" x14ac:dyDescent="0.25">
      <c r="B138" s="95"/>
      <c r="C138" s="122"/>
      <c r="D138" s="103"/>
      <c r="E138" s="103"/>
      <c r="F138" s="103"/>
      <c r="G138" s="103"/>
      <c r="H138" s="103"/>
      <c r="I138" s="103"/>
      <c r="J138" s="103"/>
      <c r="K138" s="103"/>
      <c r="L138" s="103"/>
      <c r="M138" s="103"/>
      <c r="N138" s="122"/>
    </row>
    <row r="139" spans="2:14" x14ac:dyDescent="0.25">
      <c r="B139" s="95"/>
      <c r="C139" s="122"/>
      <c r="D139" s="103"/>
      <c r="E139" s="103"/>
      <c r="F139" s="103"/>
      <c r="G139" s="103"/>
      <c r="H139" s="103"/>
      <c r="I139" s="103"/>
      <c r="J139" s="103"/>
      <c r="K139" s="103"/>
      <c r="L139" s="103"/>
      <c r="M139" s="103"/>
      <c r="N139" s="122"/>
    </row>
    <row r="140" spans="2:14" x14ac:dyDescent="0.25">
      <c r="B140" s="95"/>
      <c r="C140" s="122"/>
      <c r="D140" s="103"/>
      <c r="E140" s="103"/>
      <c r="F140" s="103"/>
      <c r="G140" s="103"/>
      <c r="H140" s="103"/>
      <c r="I140" s="103"/>
      <c r="J140" s="103"/>
      <c r="K140" s="103"/>
      <c r="L140" s="103"/>
      <c r="M140" s="103"/>
      <c r="N140" s="122"/>
    </row>
    <row r="141" spans="2:14" x14ac:dyDescent="0.25">
      <c r="B141" s="95"/>
      <c r="C141" s="122"/>
      <c r="D141" s="103"/>
      <c r="E141" s="103"/>
      <c r="F141" s="103"/>
      <c r="G141" s="103"/>
      <c r="H141" s="103"/>
      <c r="I141" s="103"/>
      <c r="J141" s="103"/>
      <c r="K141" s="103"/>
      <c r="L141" s="103"/>
      <c r="M141" s="103"/>
      <c r="N141" s="122"/>
    </row>
    <row r="142" spans="2:14" x14ac:dyDescent="0.25">
      <c r="B142" s="95"/>
      <c r="C142" s="122"/>
      <c r="D142" s="103"/>
      <c r="E142" s="103"/>
      <c r="F142" s="103"/>
      <c r="G142" s="103"/>
      <c r="H142" s="103"/>
      <c r="I142" s="103"/>
      <c r="J142" s="103"/>
      <c r="K142" s="103"/>
      <c r="L142" s="103"/>
      <c r="M142" s="103"/>
      <c r="N142" s="122"/>
    </row>
    <row r="143" spans="2:14" x14ac:dyDescent="0.25">
      <c r="B143" s="95"/>
      <c r="C143" s="122"/>
      <c r="D143" s="103"/>
      <c r="E143" s="103"/>
      <c r="F143" s="103"/>
      <c r="G143" s="103"/>
      <c r="H143" s="103"/>
      <c r="I143" s="103"/>
      <c r="J143" s="103"/>
      <c r="K143" s="103"/>
      <c r="L143" s="103"/>
      <c r="M143" s="103"/>
      <c r="N143" s="122"/>
    </row>
    <row r="144" spans="2:14" x14ac:dyDescent="0.25">
      <c r="B144" s="95"/>
      <c r="C144" s="122"/>
      <c r="D144" s="103"/>
      <c r="E144" s="103"/>
      <c r="F144" s="103"/>
      <c r="G144" s="103"/>
      <c r="H144" s="103"/>
      <c r="I144" s="103"/>
      <c r="J144" s="103"/>
      <c r="K144" s="103"/>
      <c r="L144" s="103"/>
      <c r="M144" s="103"/>
      <c r="N144" s="122"/>
    </row>
    <row r="145" spans="2:14" x14ac:dyDescent="0.25">
      <c r="B145" s="95"/>
      <c r="C145" s="122"/>
      <c r="D145" s="103"/>
      <c r="E145" s="103"/>
      <c r="F145" s="103"/>
      <c r="G145" s="103"/>
      <c r="H145" s="103"/>
      <c r="I145" s="103"/>
      <c r="J145" s="103"/>
      <c r="K145" s="103"/>
      <c r="L145" s="103"/>
      <c r="M145" s="103"/>
      <c r="N145" s="122"/>
    </row>
    <row r="146" spans="2:14" x14ac:dyDescent="0.25">
      <c r="B146" s="95"/>
      <c r="C146" s="122"/>
      <c r="D146" s="103"/>
      <c r="E146" s="103"/>
      <c r="F146" s="103"/>
      <c r="G146" s="103"/>
      <c r="H146" s="103"/>
      <c r="I146" s="103"/>
      <c r="J146" s="103"/>
      <c r="K146" s="103"/>
      <c r="L146" s="103"/>
      <c r="M146" s="103"/>
      <c r="N146" s="122"/>
    </row>
    <row r="147" spans="2:14" x14ac:dyDescent="0.25">
      <c r="B147" s="95"/>
      <c r="C147" s="122"/>
      <c r="D147" s="103"/>
      <c r="E147" s="103"/>
      <c r="F147" s="103"/>
      <c r="G147" s="103"/>
      <c r="H147" s="103"/>
      <c r="I147" s="103"/>
      <c r="J147" s="103"/>
      <c r="K147" s="103"/>
      <c r="L147" s="103"/>
      <c r="M147" s="103"/>
      <c r="N147" s="122"/>
    </row>
    <row r="148" spans="2:14" x14ac:dyDescent="0.25">
      <c r="B148" s="95"/>
      <c r="C148" s="122"/>
      <c r="D148" s="103"/>
      <c r="E148" s="103"/>
      <c r="F148" s="103"/>
      <c r="G148" s="103"/>
      <c r="H148" s="103"/>
      <c r="I148" s="103"/>
      <c r="J148" s="103"/>
      <c r="K148" s="103"/>
      <c r="L148" s="103"/>
      <c r="M148" s="103"/>
      <c r="N148" s="122"/>
    </row>
    <row r="149" spans="2:14" x14ac:dyDescent="0.25">
      <c r="B149" s="95"/>
      <c r="C149" s="122"/>
      <c r="D149" s="103"/>
      <c r="E149" s="103"/>
      <c r="F149" s="103"/>
      <c r="G149" s="103"/>
      <c r="H149" s="103"/>
      <c r="I149" s="103"/>
      <c r="J149" s="103"/>
      <c r="K149" s="103"/>
      <c r="L149" s="103"/>
      <c r="M149" s="103"/>
      <c r="N149" s="122"/>
    </row>
    <row r="150" spans="2:14" x14ac:dyDescent="0.25">
      <c r="B150" s="95"/>
      <c r="C150" s="122"/>
      <c r="D150" s="103"/>
      <c r="E150" s="103"/>
      <c r="F150" s="103"/>
      <c r="G150" s="103"/>
      <c r="H150" s="103"/>
      <c r="I150" s="103"/>
      <c r="J150" s="103"/>
      <c r="K150" s="103"/>
      <c r="L150" s="103"/>
      <c r="M150" s="103"/>
      <c r="N150" s="122"/>
    </row>
    <row r="151" spans="2:14" x14ac:dyDescent="0.25">
      <c r="B151" s="95"/>
      <c r="C151" s="122"/>
      <c r="D151" s="103"/>
      <c r="E151" s="103"/>
      <c r="F151" s="103"/>
      <c r="G151" s="103"/>
      <c r="H151" s="103"/>
      <c r="I151" s="103"/>
      <c r="J151" s="103"/>
      <c r="K151" s="103"/>
      <c r="L151" s="103"/>
      <c r="M151" s="103"/>
      <c r="N151" s="122"/>
    </row>
    <row r="152" spans="2:14" x14ac:dyDescent="0.25">
      <c r="B152" s="95"/>
      <c r="C152" s="122"/>
      <c r="D152" s="103"/>
      <c r="E152" s="103"/>
      <c r="F152" s="103"/>
      <c r="G152" s="103"/>
      <c r="H152" s="103"/>
      <c r="I152" s="103"/>
      <c r="J152" s="103"/>
      <c r="K152" s="103"/>
      <c r="L152" s="103"/>
      <c r="M152" s="103"/>
      <c r="N152" s="122"/>
    </row>
    <row r="153" spans="2:14" x14ac:dyDescent="0.25">
      <c r="B153" s="95"/>
      <c r="C153" s="122"/>
      <c r="D153" s="103"/>
      <c r="E153" s="103"/>
      <c r="F153" s="103"/>
      <c r="G153" s="103"/>
      <c r="H153" s="103"/>
      <c r="I153" s="103"/>
      <c r="J153" s="103"/>
      <c r="K153" s="103"/>
      <c r="L153" s="103"/>
      <c r="M153" s="103"/>
      <c r="N153" s="122"/>
    </row>
    <row r="154" spans="2:14" x14ac:dyDescent="0.25">
      <c r="B154" s="95"/>
      <c r="C154" s="122"/>
      <c r="D154" s="103"/>
      <c r="E154" s="103"/>
      <c r="F154" s="103"/>
      <c r="G154" s="103"/>
      <c r="H154" s="103"/>
      <c r="I154" s="103"/>
      <c r="J154" s="103"/>
      <c r="K154" s="103"/>
      <c r="L154" s="103"/>
      <c r="M154" s="103"/>
      <c r="N154" s="122"/>
    </row>
    <row r="155" spans="2:14" x14ac:dyDescent="0.25">
      <c r="B155" s="95"/>
      <c r="C155" s="122"/>
      <c r="D155" s="103"/>
      <c r="E155" s="103"/>
      <c r="F155" s="103"/>
      <c r="G155" s="103"/>
      <c r="H155" s="103"/>
      <c r="I155" s="103"/>
      <c r="J155" s="103"/>
      <c r="K155" s="103"/>
      <c r="L155" s="103"/>
      <c r="M155" s="103"/>
      <c r="N155" s="122"/>
    </row>
    <row r="156" spans="2:14" x14ac:dyDescent="0.25">
      <c r="B156" s="95"/>
      <c r="C156" s="122"/>
      <c r="D156" s="103"/>
      <c r="E156" s="103"/>
      <c r="F156" s="103"/>
      <c r="G156" s="103"/>
      <c r="H156" s="103"/>
      <c r="I156" s="103"/>
      <c r="J156" s="103"/>
      <c r="K156" s="103"/>
      <c r="L156" s="103"/>
      <c r="M156" s="103"/>
      <c r="N156" s="122"/>
    </row>
    <row r="157" spans="2:14" x14ac:dyDescent="0.25">
      <c r="B157" s="95"/>
      <c r="C157" s="122"/>
      <c r="D157" s="103"/>
      <c r="E157" s="103"/>
      <c r="F157" s="103"/>
      <c r="G157" s="103"/>
      <c r="H157" s="103"/>
      <c r="I157" s="103"/>
      <c r="J157" s="103"/>
      <c r="K157" s="103"/>
      <c r="L157" s="103"/>
      <c r="M157" s="103"/>
      <c r="N157" s="122"/>
    </row>
    <row r="158" spans="2:14" x14ac:dyDescent="0.25">
      <c r="B158" s="95"/>
      <c r="C158" s="122"/>
      <c r="D158" s="103"/>
      <c r="E158" s="103"/>
      <c r="F158" s="103"/>
      <c r="G158" s="103"/>
      <c r="H158" s="103"/>
      <c r="I158" s="103"/>
      <c r="J158" s="103"/>
      <c r="K158" s="103"/>
      <c r="L158" s="103"/>
      <c r="M158" s="103"/>
      <c r="N158" s="122"/>
    </row>
    <row r="159" spans="2:14" x14ac:dyDescent="0.25">
      <c r="B159" s="95"/>
      <c r="C159" s="122"/>
      <c r="D159" s="103"/>
      <c r="E159" s="103"/>
      <c r="F159" s="103"/>
      <c r="G159" s="103"/>
      <c r="H159" s="103"/>
      <c r="I159" s="103"/>
      <c r="J159" s="103"/>
      <c r="K159" s="103"/>
      <c r="L159" s="103"/>
      <c r="M159" s="103"/>
      <c r="N159" s="122"/>
    </row>
    <row r="160" spans="2:14" x14ac:dyDescent="0.25">
      <c r="B160" s="95"/>
      <c r="C160" s="122"/>
      <c r="D160" s="103"/>
      <c r="E160" s="103"/>
      <c r="F160" s="103"/>
      <c r="G160" s="103"/>
      <c r="H160" s="103"/>
      <c r="I160" s="103"/>
      <c r="J160" s="103"/>
      <c r="K160" s="103"/>
      <c r="L160" s="103"/>
      <c r="M160" s="103"/>
      <c r="N160" s="122"/>
    </row>
    <row r="161" spans="2:14" x14ac:dyDescent="0.25">
      <c r="B161" s="95"/>
      <c r="C161" s="122"/>
      <c r="D161" s="103"/>
      <c r="E161" s="103"/>
      <c r="F161" s="103"/>
      <c r="G161" s="103"/>
      <c r="H161" s="103"/>
      <c r="I161" s="103"/>
      <c r="J161" s="103"/>
      <c r="K161" s="103"/>
      <c r="L161" s="103"/>
      <c r="M161" s="103"/>
      <c r="N161" s="122"/>
    </row>
    <row r="162" spans="2:14" x14ac:dyDescent="0.25">
      <c r="B162" s="95"/>
      <c r="C162" s="122"/>
      <c r="D162" s="103"/>
      <c r="E162" s="103"/>
      <c r="F162" s="103"/>
      <c r="G162" s="103"/>
      <c r="H162" s="103"/>
      <c r="I162" s="103"/>
      <c r="J162" s="103"/>
      <c r="K162" s="103"/>
      <c r="L162" s="103"/>
      <c r="M162" s="103"/>
      <c r="N162" s="122"/>
    </row>
    <row r="163" spans="2:14" x14ac:dyDescent="0.25">
      <c r="B163" s="95"/>
      <c r="C163" s="122"/>
      <c r="D163" s="103"/>
      <c r="E163" s="103"/>
      <c r="F163" s="103"/>
      <c r="G163" s="103"/>
      <c r="H163" s="103"/>
      <c r="I163" s="103"/>
      <c r="J163" s="103"/>
      <c r="K163" s="103"/>
      <c r="L163" s="103"/>
      <c r="M163" s="103"/>
      <c r="N163" s="122"/>
    </row>
    <row r="164" spans="2:14" x14ac:dyDescent="0.25">
      <c r="B164" s="95"/>
      <c r="C164" s="122"/>
      <c r="D164" s="103"/>
      <c r="E164" s="103"/>
      <c r="F164" s="103"/>
      <c r="G164" s="103"/>
      <c r="H164" s="103"/>
      <c r="I164" s="103"/>
      <c r="J164" s="103"/>
      <c r="K164" s="103"/>
      <c r="L164" s="103"/>
      <c r="M164" s="103"/>
      <c r="N164" s="122"/>
    </row>
    <row r="165" spans="2:14" x14ac:dyDescent="0.25">
      <c r="B165" s="95"/>
      <c r="C165" s="122"/>
      <c r="D165" s="103"/>
      <c r="E165" s="103"/>
      <c r="F165" s="103"/>
      <c r="G165" s="103"/>
      <c r="H165" s="103"/>
      <c r="I165" s="103"/>
      <c r="J165" s="103"/>
      <c r="K165" s="103"/>
      <c r="L165" s="103"/>
      <c r="M165" s="103"/>
      <c r="N165" s="122"/>
    </row>
    <row r="166" spans="2:14" x14ac:dyDescent="0.25">
      <c r="B166" s="95"/>
      <c r="C166" s="122"/>
      <c r="D166" s="103"/>
      <c r="E166" s="103"/>
      <c r="F166" s="103"/>
      <c r="G166" s="103"/>
      <c r="H166" s="103"/>
      <c r="I166" s="103"/>
      <c r="J166" s="103"/>
      <c r="K166" s="103"/>
      <c r="L166" s="103"/>
      <c r="M166" s="103"/>
      <c r="N166" s="122"/>
    </row>
    <row r="167" spans="2:14" x14ac:dyDescent="0.25">
      <c r="B167" s="95"/>
      <c r="C167" s="122"/>
      <c r="D167" s="103"/>
      <c r="E167" s="103"/>
      <c r="F167" s="103"/>
      <c r="G167" s="103"/>
      <c r="H167" s="103"/>
      <c r="I167" s="103"/>
      <c r="J167" s="103"/>
      <c r="K167" s="103"/>
      <c r="L167" s="103"/>
      <c r="M167" s="103"/>
      <c r="N167" s="122"/>
    </row>
    <row r="168" spans="2:14" x14ac:dyDescent="0.25">
      <c r="B168" s="95"/>
      <c r="C168" s="122"/>
      <c r="D168" s="103"/>
      <c r="E168" s="103"/>
      <c r="F168" s="103"/>
      <c r="G168" s="103"/>
      <c r="H168" s="103"/>
      <c r="I168" s="103"/>
      <c r="J168" s="103"/>
      <c r="K168" s="103"/>
      <c r="L168" s="103"/>
      <c r="M168" s="103"/>
      <c r="N168" s="122"/>
    </row>
    <row r="169" spans="2:14" x14ac:dyDescent="0.25">
      <c r="B169" s="95"/>
      <c r="C169" s="122"/>
      <c r="D169" s="103"/>
      <c r="E169" s="103"/>
      <c r="F169" s="103"/>
      <c r="G169" s="103"/>
      <c r="H169" s="103"/>
      <c r="I169" s="103"/>
      <c r="J169" s="103"/>
      <c r="K169" s="103"/>
      <c r="L169" s="103"/>
      <c r="M169" s="103"/>
      <c r="N169" s="122"/>
    </row>
    <row r="170" spans="2:14" x14ac:dyDescent="0.25">
      <c r="B170" s="95"/>
      <c r="C170" s="122"/>
      <c r="D170" s="103"/>
      <c r="E170" s="103"/>
      <c r="F170" s="103"/>
      <c r="G170" s="103"/>
      <c r="H170" s="103"/>
      <c r="I170" s="103"/>
      <c r="J170" s="103"/>
      <c r="K170" s="103"/>
      <c r="L170" s="103"/>
      <c r="M170" s="103"/>
      <c r="N170" s="122"/>
    </row>
    <row r="171" spans="2:14" x14ac:dyDescent="0.25">
      <c r="B171" s="95"/>
      <c r="C171" s="122"/>
      <c r="D171" s="103"/>
      <c r="E171" s="103"/>
      <c r="F171" s="103"/>
      <c r="G171" s="103"/>
      <c r="H171" s="103"/>
      <c r="I171" s="103"/>
      <c r="J171" s="103"/>
      <c r="K171" s="103"/>
      <c r="L171" s="103"/>
      <c r="M171" s="103"/>
      <c r="N171" s="122"/>
    </row>
    <row r="172" spans="2:14" x14ac:dyDescent="0.25">
      <c r="B172" s="95"/>
      <c r="C172" s="122"/>
      <c r="D172" s="103"/>
      <c r="E172" s="103"/>
      <c r="F172" s="103"/>
      <c r="G172" s="103"/>
      <c r="H172" s="103"/>
      <c r="I172" s="103"/>
      <c r="J172" s="103"/>
      <c r="K172" s="103"/>
      <c r="L172" s="103"/>
      <c r="M172" s="103"/>
      <c r="N172" s="122"/>
    </row>
    <row r="173" spans="2:14" x14ac:dyDescent="0.25">
      <c r="B173" s="95"/>
      <c r="C173" s="122"/>
      <c r="D173" s="103"/>
      <c r="E173" s="103"/>
      <c r="F173" s="103"/>
      <c r="G173" s="103"/>
      <c r="H173" s="103"/>
      <c r="I173" s="103"/>
      <c r="J173" s="103"/>
      <c r="K173" s="103"/>
      <c r="L173" s="103"/>
      <c r="M173" s="103"/>
      <c r="N173" s="122"/>
    </row>
    <row r="174" spans="2:14" x14ac:dyDescent="0.25">
      <c r="B174" s="95"/>
      <c r="C174" s="122"/>
      <c r="D174" s="103"/>
      <c r="E174" s="103"/>
      <c r="F174" s="103"/>
      <c r="G174" s="103"/>
      <c r="H174" s="103"/>
      <c r="I174" s="103"/>
      <c r="J174" s="103"/>
      <c r="K174" s="103"/>
      <c r="L174" s="103"/>
      <c r="M174" s="103"/>
      <c r="N174" s="122"/>
    </row>
    <row r="175" spans="2:14" x14ac:dyDescent="0.25">
      <c r="B175" s="95"/>
      <c r="C175" s="122"/>
      <c r="D175" s="103"/>
      <c r="E175" s="103"/>
      <c r="F175" s="103"/>
      <c r="G175" s="103"/>
      <c r="H175" s="103"/>
      <c r="I175" s="103"/>
      <c r="J175" s="103"/>
      <c r="K175" s="103"/>
      <c r="L175" s="103"/>
      <c r="M175" s="103"/>
      <c r="N175" s="122"/>
    </row>
    <row r="176" spans="2:14" x14ac:dyDescent="0.25">
      <c r="B176" s="95"/>
      <c r="C176" s="122"/>
      <c r="D176" s="103"/>
      <c r="E176" s="103"/>
      <c r="F176" s="103"/>
      <c r="G176" s="103"/>
      <c r="H176" s="103"/>
      <c r="I176" s="103"/>
      <c r="J176" s="103"/>
      <c r="K176" s="103"/>
      <c r="L176" s="103"/>
      <c r="M176" s="103"/>
      <c r="N176" s="122"/>
    </row>
    <row r="177" spans="2:14" x14ac:dyDescent="0.25">
      <c r="B177" s="95"/>
      <c r="C177" s="122"/>
      <c r="D177" s="103"/>
      <c r="E177" s="103"/>
      <c r="F177" s="103"/>
      <c r="G177" s="103"/>
      <c r="H177" s="103"/>
      <c r="I177" s="103"/>
      <c r="J177" s="103"/>
      <c r="K177" s="103"/>
      <c r="L177" s="103"/>
      <c r="M177" s="103"/>
      <c r="N177" s="122"/>
    </row>
    <row r="178" spans="2:14" x14ac:dyDescent="0.25">
      <c r="B178" s="95"/>
      <c r="C178" s="122"/>
      <c r="D178" s="103"/>
      <c r="E178" s="103"/>
      <c r="F178" s="103"/>
      <c r="G178" s="103"/>
      <c r="H178" s="103"/>
      <c r="I178" s="103"/>
      <c r="J178" s="103"/>
      <c r="K178" s="103"/>
      <c r="L178" s="103"/>
      <c r="M178" s="103"/>
      <c r="N178" s="122"/>
    </row>
    <row r="179" spans="2:14" x14ac:dyDescent="0.25">
      <c r="B179" s="95"/>
      <c r="C179" s="122"/>
      <c r="D179" s="103"/>
      <c r="E179" s="103"/>
      <c r="F179" s="103"/>
      <c r="G179" s="103"/>
      <c r="H179" s="103"/>
      <c r="I179" s="103"/>
      <c r="J179" s="103"/>
      <c r="K179" s="103"/>
      <c r="L179" s="103"/>
      <c r="M179" s="103"/>
      <c r="N179" s="122"/>
    </row>
    <row r="180" spans="2:14" x14ac:dyDescent="0.25">
      <c r="B180" s="95"/>
      <c r="C180" s="122"/>
      <c r="D180" s="103"/>
      <c r="E180" s="103"/>
      <c r="F180" s="103"/>
      <c r="G180" s="103"/>
      <c r="H180" s="103"/>
      <c r="I180" s="103"/>
      <c r="J180" s="103"/>
      <c r="K180" s="103"/>
      <c r="L180" s="103"/>
      <c r="M180" s="103"/>
      <c r="N180" s="122"/>
    </row>
    <row r="181" spans="2:14" x14ac:dyDescent="0.25">
      <c r="B181" s="95"/>
      <c r="C181" s="122"/>
      <c r="D181" s="103"/>
      <c r="E181" s="103"/>
      <c r="F181" s="103"/>
      <c r="G181" s="103"/>
      <c r="H181" s="103"/>
      <c r="I181" s="103"/>
      <c r="J181" s="103"/>
      <c r="K181" s="103"/>
      <c r="L181" s="103"/>
      <c r="M181" s="103"/>
      <c r="N181" s="122"/>
    </row>
    <row r="182" spans="2:14" x14ac:dyDescent="0.25">
      <c r="B182" s="95"/>
      <c r="C182" s="122"/>
      <c r="D182" s="103"/>
      <c r="E182" s="103"/>
      <c r="F182" s="103"/>
      <c r="G182" s="103"/>
      <c r="H182" s="103"/>
      <c r="I182" s="103"/>
      <c r="J182" s="103"/>
      <c r="K182" s="103"/>
      <c r="L182" s="103"/>
      <c r="M182" s="103"/>
      <c r="N182" s="122"/>
    </row>
    <row r="183" spans="2:14" x14ac:dyDescent="0.25">
      <c r="B183" s="95"/>
      <c r="C183" s="122"/>
      <c r="D183" s="103"/>
      <c r="E183" s="103"/>
      <c r="F183" s="103"/>
      <c r="G183" s="103"/>
      <c r="H183" s="103"/>
      <c r="I183" s="103"/>
      <c r="J183" s="103"/>
      <c r="K183" s="103"/>
      <c r="L183" s="103"/>
      <c r="M183" s="103"/>
      <c r="N183" s="122"/>
    </row>
    <row r="184" spans="2:14" x14ac:dyDescent="0.25">
      <c r="B184" s="95"/>
      <c r="C184" s="122"/>
      <c r="D184" s="103"/>
      <c r="E184" s="103"/>
      <c r="F184" s="103"/>
      <c r="G184" s="103"/>
      <c r="H184" s="103"/>
      <c r="I184" s="103"/>
      <c r="J184" s="103"/>
      <c r="K184" s="103"/>
      <c r="L184" s="103"/>
      <c r="M184" s="103"/>
      <c r="N184" s="122"/>
    </row>
    <row r="185" spans="2:14" x14ac:dyDescent="0.25">
      <c r="B185" s="95"/>
      <c r="C185" s="122"/>
      <c r="D185" s="103"/>
      <c r="E185" s="103"/>
      <c r="F185" s="103"/>
      <c r="G185" s="103"/>
      <c r="H185" s="103"/>
      <c r="I185" s="103"/>
      <c r="J185" s="103"/>
      <c r="K185" s="103"/>
      <c r="L185" s="103"/>
      <c r="M185" s="103"/>
      <c r="N185" s="122"/>
    </row>
    <row r="186" spans="2:14" x14ac:dyDescent="0.25">
      <c r="B186" s="95"/>
      <c r="C186" s="122"/>
      <c r="D186" s="103"/>
      <c r="E186" s="103"/>
      <c r="F186" s="103"/>
      <c r="G186" s="103"/>
      <c r="H186" s="103"/>
      <c r="I186" s="103"/>
      <c r="J186" s="103"/>
      <c r="K186" s="103"/>
      <c r="L186" s="103"/>
      <c r="M186" s="103"/>
      <c r="N186" s="122"/>
    </row>
    <row r="187" spans="2:14" x14ac:dyDescent="0.25">
      <c r="B187" s="95"/>
      <c r="C187" s="122"/>
      <c r="D187" s="103"/>
      <c r="E187" s="103"/>
      <c r="F187" s="103"/>
      <c r="G187" s="103"/>
      <c r="H187" s="103"/>
      <c r="I187" s="103"/>
      <c r="J187" s="103"/>
      <c r="K187" s="103"/>
      <c r="L187" s="103"/>
      <c r="M187" s="103"/>
      <c r="N187" s="122"/>
    </row>
    <row r="188" spans="2:14" x14ac:dyDescent="0.25">
      <c r="B188" s="95"/>
      <c r="C188" s="122"/>
      <c r="D188" s="103"/>
      <c r="E188" s="103"/>
      <c r="F188" s="103"/>
      <c r="G188" s="103"/>
      <c r="H188" s="103"/>
      <c r="I188" s="103"/>
      <c r="J188" s="103"/>
      <c r="K188" s="103"/>
      <c r="L188" s="103"/>
      <c r="M188" s="103"/>
      <c r="N188" s="122"/>
    </row>
    <row r="189" spans="2:14" x14ac:dyDescent="0.25">
      <c r="B189" s="95"/>
      <c r="C189" s="122"/>
      <c r="D189" s="103"/>
      <c r="E189" s="103"/>
      <c r="F189" s="103"/>
      <c r="G189" s="103"/>
      <c r="H189" s="103"/>
      <c r="I189" s="103"/>
      <c r="J189" s="103"/>
      <c r="K189" s="103"/>
      <c r="L189" s="103"/>
      <c r="M189" s="103"/>
      <c r="N189" s="122"/>
    </row>
    <row r="190" spans="2:14" x14ac:dyDescent="0.25">
      <c r="B190" s="95"/>
      <c r="C190" s="122"/>
      <c r="D190" s="103"/>
      <c r="E190" s="103"/>
      <c r="F190" s="103"/>
      <c r="G190" s="103"/>
      <c r="H190" s="103"/>
      <c r="I190" s="103"/>
      <c r="J190" s="103"/>
      <c r="K190" s="103"/>
      <c r="L190" s="103"/>
      <c r="M190" s="103"/>
      <c r="N190" s="122"/>
    </row>
    <row r="191" spans="2:14" x14ac:dyDescent="0.25">
      <c r="B191" s="95"/>
      <c r="C191" s="122"/>
      <c r="D191" s="103"/>
      <c r="E191" s="103"/>
      <c r="F191" s="103"/>
      <c r="G191" s="103"/>
      <c r="H191" s="103"/>
      <c r="I191" s="103"/>
      <c r="J191" s="103"/>
      <c r="K191" s="103"/>
      <c r="L191" s="103"/>
      <c r="M191" s="103"/>
      <c r="N191" s="122"/>
    </row>
    <row r="192" spans="2:14" x14ac:dyDescent="0.25">
      <c r="B192" s="95"/>
      <c r="C192" s="122"/>
      <c r="D192" s="103"/>
      <c r="E192" s="103"/>
      <c r="F192" s="103"/>
      <c r="G192" s="103"/>
      <c r="H192" s="103"/>
      <c r="I192" s="103"/>
      <c r="J192" s="103"/>
      <c r="K192" s="103"/>
      <c r="L192" s="103"/>
      <c r="M192" s="103"/>
      <c r="N192" s="122"/>
    </row>
    <row r="193" spans="2:14" x14ac:dyDescent="0.25">
      <c r="B193" s="95"/>
      <c r="C193" s="122"/>
      <c r="D193" s="103"/>
      <c r="E193" s="103"/>
      <c r="F193" s="103"/>
      <c r="G193" s="103"/>
      <c r="H193" s="103"/>
      <c r="I193" s="103"/>
      <c r="J193" s="103"/>
      <c r="K193" s="103"/>
      <c r="L193" s="103"/>
      <c r="M193" s="103"/>
      <c r="N193" s="122"/>
    </row>
    <row r="194" spans="2:14" x14ac:dyDescent="0.25">
      <c r="B194" s="95"/>
      <c r="C194" s="122"/>
      <c r="D194" s="103"/>
      <c r="E194" s="103"/>
      <c r="F194" s="103"/>
      <c r="G194" s="103"/>
      <c r="H194" s="103"/>
      <c r="I194" s="103"/>
      <c r="J194" s="103"/>
      <c r="K194" s="103"/>
      <c r="L194" s="103"/>
      <c r="M194" s="103"/>
      <c r="N194" s="122"/>
    </row>
    <row r="195" spans="2:14" x14ac:dyDescent="0.25">
      <c r="B195" s="95"/>
      <c r="C195" s="122"/>
      <c r="D195" s="103"/>
      <c r="E195" s="103"/>
      <c r="F195" s="103"/>
      <c r="G195" s="103"/>
      <c r="H195" s="103"/>
      <c r="I195" s="103"/>
      <c r="J195" s="103"/>
      <c r="K195" s="103"/>
      <c r="L195" s="103"/>
      <c r="M195" s="103"/>
      <c r="N195" s="122"/>
    </row>
    <row r="196" spans="2:14" x14ac:dyDescent="0.25">
      <c r="B196" s="95"/>
      <c r="C196" s="122"/>
      <c r="D196" s="103"/>
      <c r="E196" s="103"/>
      <c r="F196" s="103"/>
      <c r="G196" s="103"/>
      <c r="H196" s="103"/>
      <c r="I196" s="103"/>
      <c r="J196" s="103"/>
      <c r="K196" s="103"/>
      <c r="L196" s="103"/>
      <c r="M196" s="103"/>
      <c r="N196" s="122"/>
    </row>
    <row r="197" spans="2:14" x14ac:dyDescent="0.25">
      <c r="B197" s="95"/>
      <c r="C197" s="122"/>
      <c r="D197" s="103"/>
      <c r="E197" s="103"/>
      <c r="F197" s="103"/>
      <c r="G197" s="103"/>
      <c r="H197" s="103"/>
      <c r="I197" s="103"/>
      <c r="J197" s="103"/>
      <c r="K197" s="103"/>
      <c r="L197" s="103"/>
      <c r="M197" s="103"/>
      <c r="N197" s="122"/>
    </row>
    <row r="198" spans="2:14" x14ac:dyDescent="0.25">
      <c r="B198" s="95"/>
      <c r="C198" s="122"/>
      <c r="D198" s="103"/>
      <c r="E198" s="103"/>
      <c r="F198" s="103"/>
      <c r="G198" s="103"/>
      <c r="H198" s="103"/>
      <c r="I198" s="103"/>
      <c r="J198" s="103"/>
      <c r="K198" s="103"/>
      <c r="L198" s="103"/>
      <c r="M198" s="103"/>
      <c r="N198" s="122"/>
    </row>
    <row r="199" spans="2:14" x14ac:dyDescent="0.25">
      <c r="B199" s="95"/>
      <c r="C199" s="122"/>
      <c r="D199" s="103"/>
      <c r="E199" s="103"/>
      <c r="F199" s="103"/>
      <c r="G199" s="103"/>
      <c r="H199" s="103"/>
      <c r="I199" s="103"/>
      <c r="J199" s="103"/>
      <c r="K199" s="103"/>
      <c r="L199" s="103"/>
      <c r="M199" s="103"/>
      <c r="N199" s="122"/>
    </row>
    <row r="200" spans="2:14" x14ac:dyDescent="0.25">
      <c r="B200" s="95"/>
      <c r="C200" s="122"/>
      <c r="D200" s="103"/>
      <c r="E200" s="103"/>
      <c r="F200" s="103"/>
      <c r="G200" s="103"/>
      <c r="H200" s="103"/>
      <c r="I200" s="103"/>
      <c r="J200" s="103"/>
      <c r="K200" s="103"/>
      <c r="L200" s="103"/>
      <c r="M200" s="103"/>
      <c r="N200" s="122"/>
    </row>
    <row r="201" spans="2:14" x14ac:dyDescent="0.25">
      <c r="B201" s="95"/>
      <c r="C201" s="122"/>
      <c r="D201" s="103"/>
      <c r="E201" s="103"/>
      <c r="F201" s="103"/>
      <c r="G201" s="103"/>
      <c r="H201" s="103"/>
      <c r="I201" s="103"/>
      <c r="J201" s="103"/>
      <c r="K201" s="103"/>
      <c r="L201" s="103"/>
      <c r="M201" s="103"/>
      <c r="N201" s="122"/>
    </row>
    <row r="202" spans="2:14" x14ac:dyDescent="0.25">
      <c r="B202" s="95"/>
      <c r="C202" s="122"/>
      <c r="D202" s="103"/>
      <c r="E202" s="103"/>
      <c r="F202" s="103"/>
      <c r="G202" s="103"/>
      <c r="H202" s="103"/>
      <c r="I202" s="103"/>
      <c r="J202" s="103"/>
      <c r="K202" s="103"/>
      <c r="L202" s="103"/>
      <c r="M202" s="103"/>
      <c r="N202" s="122"/>
    </row>
    <row r="203" spans="2:14" x14ac:dyDescent="0.25">
      <c r="B203" s="95"/>
      <c r="C203" s="122"/>
      <c r="D203" s="103"/>
      <c r="E203" s="103"/>
      <c r="F203" s="103"/>
      <c r="G203" s="103"/>
      <c r="H203" s="103"/>
      <c r="I203" s="103"/>
      <c r="J203" s="103"/>
      <c r="K203" s="103"/>
      <c r="L203" s="103"/>
      <c r="M203" s="103"/>
      <c r="N203" s="122"/>
    </row>
    <row r="204" spans="2:14" x14ac:dyDescent="0.25">
      <c r="B204" s="95"/>
      <c r="C204" s="122"/>
      <c r="D204" s="103"/>
      <c r="E204" s="103"/>
      <c r="F204" s="103"/>
      <c r="G204" s="103"/>
      <c r="H204" s="103"/>
      <c r="I204" s="103"/>
      <c r="J204" s="103"/>
      <c r="K204" s="103"/>
      <c r="L204" s="103"/>
      <c r="M204" s="103"/>
      <c r="N204" s="122"/>
    </row>
    <row r="205" spans="2:14" x14ac:dyDescent="0.25">
      <c r="B205" s="95"/>
      <c r="C205" s="122"/>
      <c r="D205" s="103"/>
      <c r="E205" s="103"/>
      <c r="F205" s="103"/>
      <c r="G205" s="103"/>
      <c r="H205" s="103"/>
      <c r="I205" s="103"/>
      <c r="J205" s="103"/>
      <c r="K205" s="103"/>
      <c r="L205" s="103"/>
      <c r="M205" s="103"/>
      <c r="N205" s="122"/>
    </row>
    <row r="206" spans="2:14" x14ac:dyDescent="0.25">
      <c r="B206" s="95"/>
      <c r="C206" s="122"/>
      <c r="D206" s="103"/>
      <c r="E206" s="103"/>
      <c r="F206" s="103"/>
      <c r="G206" s="103"/>
      <c r="H206" s="103"/>
      <c r="I206" s="103"/>
      <c r="J206" s="103"/>
      <c r="K206" s="103"/>
      <c r="L206" s="103"/>
      <c r="M206" s="103"/>
      <c r="N206" s="122"/>
    </row>
    <row r="207" spans="2:14" x14ac:dyDescent="0.25">
      <c r="B207" s="95"/>
      <c r="C207" s="122"/>
      <c r="D207" s="103"/>
      <c r="E207" s="103"/>
      <c r="F207" s="103"/>
      <c r="G207" s="103"/>
      <c r="H207" s="103"/>
      <c r="I207" s="103"/>
      <c r="J207" s="103"/>
      <c r="K207" s="103"/>
      <c r="L207" s="103"/>
      <c r="M207" s="103"/>
      <c r="N207" s="122"/>
    </row>
    <row r="208" spans="2:14" x14ac:dyDescent="0.25">
      <c r="B208" s="95"/>
      <c r="C208" s="122"/>
      <c r="D208" s="103"/>
      <c r="E208" s="103"/>
      <c r="F208" s="103"/>
      <c r="G208" s="103"/>
      <c r="H208" s="103"/>
      <c r="I208" s="103"/>
      <c r="J208" s="103"/>
      <c r="K208" s="103"/>
      <c r="L208" s="103"/>
      <c r="M208" s="103"/>
      <c r="N208" s="122"/>
    </row>
    <row r="209" spans="2:14" x14ac:dyDescent="0.25">
      <c r="B209" s="95"/>
      <c r="C209" s="122"/>
      <c r="D209" s="103"/>
      <c r="E209" s="103"/>
      <c r="F209" s="103"/>
      <c r="G209" s="103"/>
      <c r="H209" s="103"/>
      <c r="I209" s="103"/>
      <c r="J209" s="103"/>
      <c r="K209" s="103"/>
      <c r="L209" s="103"/>
      <c r="M209" s="103"/>
      <c r="N209" s="122"/>
    </row>
    <row r="210" spans="2:14" x14ac:dyDescent="0.25">
      <c r="B210" s="95"/>
      <c r="C210" s="122"/>
      <c r="D210" s="103"/>
      <c r="E210" s="103"/>
      <c r="F210" s="103"/>
      <c r="G210" s="103"/>
      <c r="H210" s="103"/>
      <c r="I210" s="103"/>
      <c r="J210" s="103"/>
      <c r="K210" s="103"/>
      <c r="L210" s="103"/>
      <c r="M210" s="103"/>
      <c r="N210" s="122"/>
    </row>
    <row r="211" spans="2:14" x14ac:dyDescent="0.25">
      <c r="B211" s="95"/>
      <c r="C211" s="122"/>
      <c r="D211" s="103"/>
      <c r="E211" s="103"/>
      <c r="F211" s="103"/>
      <c r="G211" s="103"/>
      <c r="H211" s="103"/>
      <c r="I211" s="103"/>
      <c r="J211" s="103"/>
      <c r="K211" s="103"/>
      <c r="L211" s="103"/>
      <c r="M211" s="103"/>
      <c r="N211" s="122"/>
    </row>
    <row r="212" spans="2:14" x14ac:dyDescent="0.25">
      <c r="B212" s="95"/>
      <c r="C212" s="122"/>
      <c r="D212" s="103"/>
      <c r="E212" s="103"/>
      <c r="F212" s="103"/>
      <c r="G212" s="103"/>
      <c r="H212" s="103"/>
      <c r="I212" s="103"/>
      <c r="J212" s="103"/>
      <c r="K212" s="103"/>
      <c r="L212" s="103"/>
      <c r="M212" s="103"/>
      <c r="N212" s="122"/>
    </row>
  </sheetData>
  <sheetProtection algorithmName="SHA-512" hashValue="a9ehsZTQNodqzTimXctL4Q3VWjqC9t4R2A7PxxfWIfULYy7ApCf/6RCTdb3P6DbFqhLbKAGdWmNvDFusbfRs4g==" saltValue="w6rQQN7k1aRpFpTCIV06bw==" spinCount="100000" sheet="1" objects="1" scenarios="1"/>
  <phoneticPr fontId="3" type="noConversion"/>
  <pageMargins left="0.7" right="0.7" top="0.75" bottom="0.75" header="0.3" footer="0.3"/>
  <pageSetup paperSize="9" orientation="portrait" r:id="rId1"/>
  <headerFooter>
    <oddFooter>&amp;L_x000D_&amp;1#&amp;"Calibri"&amp;10&amp;K000000 Intern gebruik</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8D1D6CB-114C-4B3B-8629-7B4125CEA308}">
          <x14:formula1>
            <xm:f>Opzoekblad!$B$15:$B$20</xm:f>
          </x14:formula1>
          <xm:sqref>B13:B212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8F105-6D22-42FB-9A07-764B73A9B905}">
  <sheetPr>
    <tabColor rgb="FFFFFF00"/>
    <pageSetUpPr autoPageBreaks="0"/>
  </sheetPr>
  <dimension ref="A1:Y130"/>
  <sheetViews>
    <sheetView zoomScaleNormal="100" workbookViewId="0"/>
  </sheetViews>
  <sheetFormatPr defaultColWidth="0" defaultRowHeight="15" zeroHeight="1" x14ac:dyDescent="0.25"/>
  <cols>
    <col min="1" max="1" width="2.85546875" style="3" customWidth="1"/>
    <col min="2" max="2" width="34.42578125" style="3" customWidth="1"/>
    <col min="3" max="3" width="37.28515625" style="3" customWidth="1"/>
    <col min="4" max="4" width="10.42578125" style="3" customWidth="1"/>
    <col min="5" max="14" width="13.7109375" style="3" customWidth="1"/>
    <col min="15" max="15" width="45.7109375" style="3" customWidth="1"/>
    <col min="16" max="16" width="2.85546875" style="3" customWidth="1"/>
    <col min="17" max="16384" width="9.28515625" style="3" hidden="1"/>
  </cols>
  <sheetData>
    <row r="1" spans="2:15" ht="28.5" x14ac:dyDescent="0.45">
      <c r="B1" s="59" t="s">
        <v>206</v>
      </c>
    </row>
    <row r="2" spans="2:15" x14ac:dyDescent="0.25"/>
    <row r="3" spans="2:15" ht="17.25" customHeight="1" x14ac:dyDescent="0.25">
      <c r="B3" s="162" t="s">
        <v>303</v>
      </c>
      <c r="C3" s="163"/>
      <c r="D3" s="163"/>
      <c r="E3" s="163"/>
      <c r="F3" s="163"/>
      <c r="G3" s="163"/>
      <c r="H3" s="163"/>
      <c r="I3" s="163"/>
      <c r="J3" s="163"/>
      <c r="K3" s="163"/>
      <c r="L3" s="163"/>
      <c r="M3" s="163"/>
      <c r="N3" s="163"/>
      <c r="O3" s="143"/>
    </row>
    <row r="4" spans="2:15" ht="17.25" customHeight="1" x14ac:dyDescent="0.25">
      <c r="B4" s="164" t="s">
        <v>312</v>
      </c>
      <c r="C4" s="165"/>
      <c r="D4" s="166"/>
      <c r="E4" s="166"/>
      <c r="F4" s="166"/>
      <c r="G4" s="166"/>
      <c r="H4" s="166"/>
      <c r="I4" s="166"/>
      <c r="J4" s="166"/>
      <c r="K4" s="166"/>
      <c r="L4" s="166"/>
      <c r="M4" s="166"/>
      <c r="N4" s="166"/>
      <c r="O4" s="139"/>
    </row>
    <row r="5" spans="2:15" ht="17.25" customHeight="1" x14ac:dyDescent="0.25">
      <c r="B5" s="164" t="s">
        <v>220</v>
      </c>
      <c r="C5" s="167"/>
      <c r="D5" s="167"/>
      <c r="E5" s="167"/>
      <c r="F5" s="167"/>
      <c r="G5" s="167"/>
      <c r="H5" s="167"/>
      <c r="I5" s="167"/>
      <c r="J5" s="167"/>
      <c r="K5" s="167"/>
      <c r="L5" s="167"/>
      <c r="M5" s="167"/>
      <c r="N5" s="167"/>
      <c r="O5" s="140"/>
    </row>
    <row r="6" spans="2:15" ht="67.5" customHeight="1" x14ac:dyDescent="0.25">
      <c r="B6" s="239" t="s">
        <v>313</v>
      </c>
      <c r="C6" s="239"/>
      <c r="D6" s="239"/>
      <c r="E6" s="239"/>
      <c r="F6" s="239"/>
      <c r="G6" s="239"/>
      <c r="H6" s="239"/>
      <c r="I6" s="239"/>
      <c r="J6" s="239"/>
      <c r="K6" s="239"/>
      <c r="L6" s="239"/>
      <c r="M6" s="239"/>
      <c r="N6" s="239"/>
      <c r="O6" s="141"/>
    </row>
    <row r="7" spans="2:15" ht="41.25" customHeight="1" x14ac:dyDescent="0.25">
      <c r="B7" s="239" t="s">
        <v>267</v>
      </c>
      <c r="C7" s="239"/>
      <c r="D7" s="239"/>
      <c r="E7" s="239"/>
      <c r="F7" s="239"/>
      <c r="G7" s="239"/>
      <c r="H7" s="239"/>
      <c r="I7" s="239"/>
      <c r="J7" s="239"/>
      <c r="K7" s="239"/>
      <c r="L7" s="239"/>
      <c r="M7" s="239"/>
      <c r="N7" s="239"/>
      <c r="O7" s="140"/>
    </row>
    <row r="8" spans="2:15" ht="48" customHeight="1" x14ac:dyDescent="0.25">
      <c r="B8" s="239" t="s">
        <v>252</v>
      </c>
      <c r="C8" s="239"/>
      <c r="D8" s="239"/>
      <c r="E8" s="239"/>
      <c r="F8" s="239"/>
      <c r="G8" s="239"/>
      <c r="H8" s="239"/>
      <c r="I8" s="239"/>
      <c r="J8" s="239"/>
      <c r="K8" s="239"/>
      <c r="L8" s="239"/>
      <c r="M8" s="239"/>
      <c r="N8" s="239"/>
      <c r="O8" s="140"/>
    </row>
    <row r="9" spans="2:15" ht="17.25" customHeight="1" x14ac:dyDescent="0.25">
      <c r="B9" s="164" t="s">
        <v>314</v>
      </c>
      <c r="C9" s="167"/>
      <c r="D9" s="167"/>
      <c r="E9" s="167"/>
      <c r="F9" s="167"/>
      <c r="G9" s="167"/>
      <c r="H9" s="167"/>
      <c r="I9" s="167"/>
      <c r="J9" s="167"/>
      <c r="K9" s="167"/>
      <c r="L9" s="167"/>
      <c r="M9" s="167"/>
      <c r="N9" s="167"/>
      <c r="O9" s="140"/>
    </row>
    <row r="10" spans="2:15" x14ac:dyDescent="0.25"/>
    <row r="11" spans="2:15" ht="25.5" x14ac:dyDescent="0.25">
      <c r="B11" s="11" t="s">
        <v>124</v>
      </c>
      <c r="E11" s="118" t="s">
        <v>170</v>
      </c>
      <c r="F11" s="118" t="s">
        <v>171</v>
      </c>
      <c r="G11" s="118" t="s">
        <v>172</v>
      </c>
      <c r="H11" s="118" t="s">
        <v>173</v>
      </c>
      <c r="I11" s="118" t="s">
        <v>174</v>
      </c>
      <c r="J11" s="118" t="s">
        <v>175</v>
      </c>
      <c r="K11" s="118" t="s">
        <v>176</v>
      </c>
      <c r="L11" s="118" t="s">
        <v>177</v>
      </c>
      <c r="M11" s="118" t="s">
        <v>178</v>
      </c>
      <c r="N11" s="118" t="s">
        <v>179</v>
      </c>
    </row>
    <row r="12" spans="2:15" ht="15.75" x14ac:dyDescent="0.25">
      <c r="B12" s="34" t="s">
        <v>11</v>
      </c>
      <c r="C12" s="34" t="s">
        <v>76</v>
      </c>
      <c r="D12" s="34" t="s">
        <v>23</v>
      </c>
      <c r="E12" s="34">
        <f>start_operatie</f>
        <v>2031</v>
      </c>
      <c r="F12" s="34">
        <f>E12+1</f>
        <v>2032</v>
      </c>
      <c r="G12" s="34">
        <f t="shared" ref="G12:N12" si="0">F12+1</f>
        <v>2033</v>
      </c>
      <c r="H12" s="34">
        <f t="shared" si="0"/>
        <v>2034</v>
      </c>
      <c r="I12" s="34">
        <f t="shared" si="0"/>
        <v>2035</v>
      </c>
      <c r="J12" s="34">
        <f t="shared" si="0"/>
        <v>2036</v>
      </c>
      <c r="K12" s="34">
        <f t="shared" si="0"/>
        <v>2037</v>
      </c>
      <c r="L12" s="34">
        <f t="shared" si="0"/>
        <v>2038</v>
      </c>
      <c r="M12" s="34">
        <f t="shared" si="0"/>
        <v>2039</v>
      </c>
      <c r="N12" s="34">
        <f t="shared" si="0"/>
        <v>2040</v>
      </c>
      <c r="O12" s="34" t="s">
        <v>157</v>
      </c>
    </row>
    <row r="13" spans="2:15" x14ac:dyDescent="0.25">
      <c r="B13" s="35" t="s">
        <v>68</v>
      </c>
      <c r="C13" s="35" t="s">
        <v>104</v>
      </c>
      <c r="D13" s="36" t="s">
        <v>105</v>
      </c>
      <c r="E13" s="90"/>
      <c r="F13" s="90"/>
      <c r="G13" s="90"/>
      <c r="H13" s="90"/>
      <c r="I13" s="90"/>
      <c r="J13" s="90"/>
      <c r="K13" s="90"/>
      <c r="L13" s="90"/>
      <c r="M13" s="90"/>
      <c r="N13" s="90"/>
      <c r="O13" s="89"/>
    </row>
    <row r="14" spans="2:15" x14ac:dyDescent="0.25">
      <c r="B14" s="35" t="s">
        <v>67</v>
      </c>
      <c r="C14" s="35" t="s">
        <v>106</v>
      </c>
      <c r="D14" s="36" t="s">
        <v>107</v>
      </c>
      <c r="E14" s="90"/>
      <c r="F14" s="90"/>
      <c r="G14" s="90"/>
      <c r="H14" s="90"/>
      <c r="I14" s="90"/>
      <c r="J14" s="90"/>
      <c r="K14" s="90"/>
      <c r="L14" s="90"/>
      <c r="M14" s="90"/>
      <c r="N14" s="90"/>
      <c r="O14" s="89"/>
    </row>
    <row r="15" spans="2:15" x14ac:dyDescent="0.25">
      <c r="B15" s="35" t="s">
        <v>69</v>
      </c>
      <c r="C15" s="35" t="s">
        <v>108</v>
      </c>
      <c r="D15" s="36" t="s">
        <v>109</v>
      </c>
      <c r="E15" s="90"/>
      <c r="F15" s="90"/>
      <c r="G15" s="90"/>
      <c r="H15" s="90"/>
      <c r="I15" s="90"/>
      <c r="J15" s="90"/>
      <c r="K15" s="90"/>
      <c r="L15" s="90"/>
      <c r="M15" s="90"/>
      <c r="N15" s="90"/>
      <c r="O15" s="89"/>
    </row>
    <row r="16" spans="2:15" x14ac:dyDescent="0.25">
      <c r="B16" s="35" t="s">
        <v>95</v>
      </c>
      <c r="C16" s="35" t="s">
        <v>110</v>
      </c>
      <c r="D16" s="36" t="s">
        <v>111</v>
      </c>
      <c r="E16" s="90"/>
      <c r="F16" s="90"/>
      <c r="G16" s="90"/>
      <c r="H16" s="90"/>
      <c r="I16" s="90"/>
      <c r="J16" s="90"/>
      <c r="K16" s="90"/>
      <c r="L16" s="90"/>
      <c r="M16" s="90"/>
      <c r="N16" s="90"/>
      <c r="O16" s="89"/>
    </row>
    <row r="17" spans="2:15" x14ac:dyDescent="0.25">
      <c r="B17" s="35" t="s">
        <v>98</v>
      </c>
      <c r="C17" s="35" t="s">
        <v>112</v>
      </c>
      <c r="D17" s="36" t="s">
        <v>122</v>
      </c>
      <c r="E17" s="90"/>
      <c r="F17" s="90"/>
      <c r="G17" s="90"/>
      <c r="H17" s="90"/>
      <c r="I17" s="90"/>
      <c r="J17" s="90"/>
      <c r="K17" s="90"/>
      <c r="L17" s="90"/>
      <c r="M17" s="90"/>
      <c r="N17" s="90"/>
      <c r="O17" s="89"/>
    </row>
    <row r="18" spans="2:15" x14ac:dyDescent="0.25"/>
    <row r="19" spans="2:15" ht="25.5" x14ac:dyDescent="0.25">
      <c r="B19" s="11" t="s">
        <v>125</v>
      </c>
      <c r="E19" s="118" t="s">
        <v>170</v>
      </c>
      <c r="F19" s="118" t="s">
        <v>171</v>
      </c>
      <c r="G19" s="118" t="s">
        <v>172</v>
      </c>
      <c r="H19" s="118" t="s">
        <v>173</v>
      </c>
      <c r="I19" s="118" t="s">
        <v>174</v>
      </c>
      <c r="J19" s="118" t="s">
        <v>175</v>
      </c>
      <c r="K19" s="118" t="s">
        <v>176</v>
      </c>
      <c r="L19" s="118" t="s">
        <v>177</v>
      </c>
      <c r="M19" s="118" t="s">
        <v>178</v>
      </c>
      <c r="N19" s="118" t="s">
        <v>179</v>
      </c>
    </row>
    <row r="20" spans="2:15" ht="15.75" x14ac:dyDescent="0.25">
      <c r="B20" s="34" t="s">
        <v>11</v>
      </c>
      <c r="C20" s="34" t="s">
        <v>76</v>
      </c>
      <c r="D20" s="34" t="s">
        <v>23</v>
      </c>
      <c r="E20" s="34">
        <f>start_operatie</f>
        <v>2031</v>
      </c>
      <c r="F20" s="34">
        <f>E20+1</f>
        <v>2032</v>
      </c>
      <c r="G20" s="34">
        <f t="shared" ref="G20:N20" si="1">F20+1</f>
        <v>2033</v>
      </c>
      <c r="H20" s="34">
        <f t="shared" si="1"/>
        <v>2034</v>
      </c>
      <c r="I20" s="34">
        <f t="shared" si="1"/>
        <v>2035</v>
      </c>
      <c r="J20" s="34">
        <f t="shared" si="1"/>
        <v>2036</v>
      </c>
      <c r="K20" s="34">
        <f t="shared" si="1"/>
        <v>2037</v>
      </c>
      <c r="L20" s="34">
        <f t="shared" si="1"/>
        <v>2038</v>
      </c>
      <c r="M20" s="34">
        <f t="shared" si="1"/>
        <v>2039</v>
      </c>
      <c r="N20" s="34">
        <f t="shared" si="1"/>
        <v>2040</v>
      </c>
      <c r="O20" s="34" t="s">
        <v>157</v>
      </c>
    </row>
    <row r="21" spans="2:15" x14ac:dyDescent="0.25">
      <c r="B21" s="35" t="s">
        <v>92</v>
      </c>
      <c r="C21" s="35" t="s">
        <v>78</v>
      </c>
      <c r="D21" s="36" t="s">
        <v>105</v>
      </c>
      <c r="E21" s="90"/>
      <c r="F21" s="90"/>
      <c r="G21" s="90"/>
      <c r="H21" s="90"/>
      <c r="I21" s="90"/>
      <c r="J21" s="90"/>
      <c r="K21" s="90"/>
      <c r="L21" s="90"/>
      <c r="M21" s="90"/>
      <c r="N21" s="90"/>
      <c r="O21" s="90"/>
    </row>
    <row r="22" spans="2:15" x14ac:dyDescent="0.25">
      <c r="B22" s="35" t="s">
        <v>92</v>
      </c>
      <c r="C22" s="35" t="s">
        <v>79</v>
      </c>
      <c r="D22" s="36" t="s">
        <v>105</v>
      </c>
      <c r="E22" s="90"/>
      <c r="F22" s="90"/>
      <c r="G22" s="90"/>
      <c r="H22" s="90"/>
      <c r="I22" s="90"/>
      <c r="J22" s="90"/>
      <c r="K22" s="90"/>
      <c r="L22" s="90"/>
      <c r="M22" s="90"/>
      <c r="N22" s="90"/>
      <c r="O22" s="90"/>
    </row>
    <row r="23" spans="2:15" x14ac:dyDescent="0.25">
      <c r="B23" s="35" t="s">
        <v>92</v>
      </c>
      <c r="C23" s="35" t="s">
        <v>80</v>
      </c>
      <c r="D23" s="36" t="s">
        <v>105</v>
      </c>
      <c r="E23" s="90"/>
      <c r="F23" s="90"/>
      <c r="G23" s="90"/>
      <c r="H23" s="90"/>
      <c r="I23" s="90"/>
      <c r="J23" s="90"/>
      <c r="K23" s="90"/>
      <c r="L23" s="90"/>
      <c r="M23" s="90"/>
      <c r="N23" s="90"/>
      <c r="O23" s="90"/>
    </row>
    <row r="24" spans="2:15" x14ac:dyDescent="0.25">
      <c r="B24" s="35" t="s">
        <v>92</v>
      </c>
      <c r="C24" s="35" t="s">
        <v>81</v>
      </c>
      <c r="D24" s="36" t="s">
        <v>105</v>
      </c>
      <c r="E24" s="90"/>
      <c r="F24" s="90"/>
      <c r="G24" s="90"/>
      <c r="H24" s="90"/>
      <c r="I24" s="90"/>
      <c r="J24" s="90"/>
      <c r="K24" s="90"/>
      <c r="L24" s="90"/>
      <c r="M24" s="90"/>
      <c r="N24" s="90"/>
      <c r="O24" s="90"/>
    </row>
    <row r="25" spans="2:15" ht="15.75" thickBot="1" x14ac:dyDescent="0.3">
      <c r="B25" s="39" t="s">
        <v>92</v>
      </c>
      <c r="C25" s="39" t="s">
        <v>82</v>
      </c>
      <c r="D25" s="40" t="s">
        <v>105</v>
      </c>
      <c r="E25" s="91"/>
      <c r="F25" s="91"/>
      <c r="G25" s="91"/>
      <c r="H25" s="91"/>
      <c r="I25" s="91"/>
      <c r="J25" s="91"/>
      <c r="K25" s="91"/>
      <c r="L25" s="91"/>
      <c r="M25" s="91"/>
      <c r="N25" s="91"/>
      <c r="O25" s="91"/>
    </row>
    <row r="26" spans="2:15" x14ac:dyDescent="0.25">
      <c r="B26" s="37" t="s">
        <v>93</v>
      </c>
      <c r="C26" s="37" t="s">
        <v>84</v>
      </c>
      <c r="D26" s="38" t="s">
        <v>107</v>
      </c>
      <c r="E26" s="90"/>
      <c r="F26" s="90"/>
      <c r="G26" s="90"/>
      <c r="H26" s="90"/>
      <c r="I26" s="90"/>
      <c r="J26" s="90"/>
      <c r="K26" s="90"/>
      <c r="L26" s="90"/>
      <c r="M26" s="90"/>
      <c r="N26" s="90"/>
      <c r="O26" s="92"/>
    </row>
    <row r="27" spans="2:15" x14ac:dyDescent="0.25">
      <c r="B27" s="35" t="s">
        <v>93</v>
      </c>
      <c r="C27" s="35" t="s">
        <v>85</v>
      </c>
      <c r="D27" s="36" t="s">
        <v>107</v>
      </c>
      <c r="E27" s="90"/>
      <c r="F27" s="90"/>
      <c r="G27" s="90"/>
      <c r="H27" s="90"/>
      <c r="I27" s="90"/>
      <c r="J27" s="90"/>
      <c r="K27" s="90"/>
      <c r="L27" s="90"/>
      <c r="M27" s="90"/>
      <c r="N27" s="90"/>
      <c r="O27" s="90"/>
    </row>
    <row r="28" spans="2:15" x14ac:dyDescent="0.25">
      <c r="B28" s="35" t="s">
        <v>93</v>
      </c>
      <c r="C28" s="35" t="s">
        <v>86</v>
      </c>
      <c r="D28" s="36" t="s">
        <v>107</v>
      </c>
      <c r="E28" s="90"/>
      <c r="F28" s="90"/>
      <c r="G28" s="90"/>
      <c r="H28" s="90"/>
      <c r="I28" s="90"/>
      <c r="J28" s="90"/>
      <c r="K28" s="90"/>
      <c r="L28" s="90"/>
      <c r="M28" s="90"/>
      <c r="N28" s="90"/>
      <c r="O28" s="90"/>
    </row>
    <row r="29" spans="2:15" x14ac:dyDescent="0.25">
      <c r="B29" s="35" t="s">
        <v>93</v>
      </c>
      <c r="C29" s="35" t="s">
        <v>87</v>
      </c>
      <c r="D29" s="36" t="s">
        <v>107</v>
      </c>
      <c r="E29" s="90"/>
      <c r="F29" s="90"/>
      <c r="G29" s="90"/>
      <c r="H29" s="90"/>
      <c r="I29" s="90"/>
      <c r="J29" s="90"/>
      <c r="K29" s="90"/>
      <c r="L29" s="90"/>
      <c r="M29" s="90"/>
      <c r="N29" s="90"/>
      <c r="O29" s="90"/>
    </row>
    <row r="30" spans="2:15" x14ac:dyDescent="0.25">
      <c r="B30" s="35" t="s">
        <v>93</v>
      </c>
      <c r="C30" s="35" t="s">
        <v>88</v>
      </c>
      <c r="D30" s="36" t="s">
        <v>107</v>
      </c>
      <c r="E30" s="90"/>
      <c r="F30" s="90"/>
      <c r="G30" s="90"/>
      <c r="H30" s="90"/>
      <c r="I30" s="90"/>
      <c r="J30" s="90"/>
      <c r="K30" s="90"/>
      <c r="L30" s="90"/>
      <c r="M30" s="90"/>
      <c r="N30" s="90"/>
      <c r="O30" s="90"/>
    </row>
    <row r="31" spans="2:15" x14ac:dyDescent="0.25">
      <c r="B31" s="238" t="str">
        <f>IF(SUM(E13:N13)&lt;&gt;SUM(E21:N25),"Maak de som van de belastingen gelijk aan de som van het gasverbruik","") &amp;
IF(AND(SUM(E13:N13)&lt;&gt;SUM(E21:N25), SUM(E14:N14)&lt;&gt;SUM(E26:N30)),CHAR(10),"") &amp;
IF(SUM(E14:N14)&lt;&gt;SUM(E26:N30),"Maak de som van de belastingen gelijk aan de som van het elektriciteitsverbruik","")</f>
        <v/>
      </c>
      <c r="C31" s="238"/>
      <c r="D31" s="238"/>
    </row>
    <row r="32" spans="2:15" x14ac:dyDescent="0.25">
      <c r="B32" s="117"/>
      <c r="C32" s="117"/>
      <c r="D32" s="117"/>
    </row>
    <row r="33" spans="2:15" x14ac:dyDescent="0.25">
      <c r="B33" s="131" t="s">
        <v>202</v>
      </c>
      <c r="C33" s="117"/>
      <c r="D33" s="117"/>
    </row>
    <row r="34" spans="2:15" ht="27" customHeight="1" x14ac:dyDescent="0.25">
      <c r="B34" s="34" t="s">
        <v>11</v>
      </c>
      <c r="C34" s="34" t="s">
        <v>76</v>
      </c>
      <c r="D34" s="34" t="s">
        <v>23</v>
      </c>
      <c r="E34" s="34">
        <f>start_operatie</f>
        <v>2031</v>
      </c>
      <c r="F34" s="34">
        <f>E34+1</f>
        <v>2032</v>
      </c>
      <c r="G34" s="34">
        <f t="shared" ref="G34" si="2">F34+1</f>
        <v>2033</v>
      </c>
      <c r="H34" s="34">
        <f t="shared" ref="H34" si="3">G34+1</f>
        <v>2034</v>
      </c>
      <c r="I34" s="34">
        <f t="shared" ref="I34" si="4">H34+1</f>
        <v>2035</v>
      </c>
      <c r="J34" s="34">
        <f t="shared" ref="J34" si="5">I34+1</f>
        <v>2036</v>
      </c>
      <c r="K34" s="34">
        <f t="shared" ref="K34" si="6">J34+1</f>
        <v>2037</v>
      </c>
      <c r="L34" s="34">
        <f t="shared" ref="L34" si="7">K34+1</f>
        <v>2038</v>
      </c>
      <c r="M34" s="34">
        <f t="shared" ref="M34" si="8">L34+1</f>
        <v>2039</v>
      </c>
      <c r="N34" s="34">
        <f t="shared" ref="N34" si="9">M34+1</f>
        <v>2040</v>
      </c>
      <c r="O34" s="129" t="s">
        <v>157</v>
      </c>
    </row>
    <row r="35" spans="2:15" x14ac:dyDescent="0.25">
      <c r="B35" s="35" t="s">
        <v>221</v>
      </c>
      <c r="C35" s="35" t="s">
        <v>201</v>
      </c>
      <c r="D35" s="36" t="s">
        <v>114</v>
      </c>
      <c r="E35" s="90"/>
      <c r="F35" s="90"/>
      <c r="G35" s="90"/>
      <c r="H35" s="90"/>
      <c r="I35" s="90"/>
      <c r="J35" s="90"/>
      <c r="K35" s="90"/>
      <c r="L35" s="90"/>
      <c r="M35" s="90"/>
      <c r="N35" s="90"/>
      <c r="O35" s="130"/>
    </row>
    <row r="36" spans="2:15" ht="24" customHeight="1" x14ac:dyDescent="0.25"/>
    <row r="37" spans="2:15" ht="25.5" x14ac:dyDescent="0.25">
      <c r="B37" s="11" t="s">
        <v>126</v>
      </c>
      <c r="E37" s="118" t="s">
        <v>170</v>
      </c>
      <c r="F37" s="118" t="s">
        <v>171</v>
      </c>
      <c r="G37" s="118" t="s">
        <v>172</v>
      </c>
      <c r="H37" s="118" t="s">
        <v>173</v>
      </c>
      <c r="I37" s="118" t="s">
        <v>174</v>
      </c>
      <c r="J37" s="118" t="s">
        <v>175</v>
      </c>
      <c r="K37" s="118" t="s">
        <v>176</v>
      </c>
      <c r="L37" s="118" t="s">
        <v>177</v>
      </c>
      <c r="M37" s="118" t="s">
        <v>178</v>
      </c>
      <c r="N37" s="118" t="s">
        <v>179</v>
      </c>
    </row>
    <row r="38" spans="2:15" ht="15.75" x14ac:dyDescent="0.25">
      <c r="B38" s="34" t="s">
        <v>11</v>
      </c>
      <c r="C38" s="34" t="s">
        <v>76</v>
      </c>
      <c r="D38" s="34" t="s">
        <v>23</v>
      </c>
      <c r="E38" s="34">
        <f>start_operatie</f>
        <v>2031</v>
      </c>
      <c r="F38" s="34">
        <f>E38+1</f>
        <v>2032</v>
      </c>
      <c r="G38" s="34">
        <f t="shared" ref="G38:N38" si="10">F38+1</f>
        <v>2033</v>
      </c>
      <c r="H38" s="34">
        <f t="shared" si="10"/>
        <v>2034</v>
      </c>
      <c r="I38" s="34">
        <f t="shared" si="10"/>
        <v>2035</v>
      </c>
      <c r="J38" s="34">
        <f t="shared" si="10"/>
        <v>2036</v>
      </c>
      <c r="K38" s="34">
        <f t="shared" si="10"/>
        <v>2037</v>
      </c>
      <c r="L38" s="34">
        <f t="shared" si="10"/>
        <v>2038</v>
      </c>
      <c r="M38" s="34">
        <f t="shared" si="10"/>
        <v>2039</v>
      </c>
      <c r="N38" s="34">
        <f t="shared" si="10"/>
        <v>2040</v>
      </c>
      <c r="O38" s="34" t="s">
        <v>157</v>
      </c>
    </row>
    <row r="39" spans="2:15" ht="18" x14ac:dyDescent="0.35">
      <c r="B39" s="35" t="s">
        <v>304</v>
      </c>
      <c r="C39" s="35" t="s">
        <v>307</v>
      </c>
      <c r="D39" s="36" t="s">
        <v>308</v>
      </c>
      <c r="E39" s="90"/>
      <c r="F39" s="90"/>
      <c r="G39" s="90"/>
      <c r="H39" s="90"/>
      <c r="I39" s="90"/>
      <c r="J39" s="90"/>
      <c r="K39" s="90"/>
      <c r="L39" s="90"/>
      <c r="M39" s="90"/>
      <c r="N39" s="90"/>
      <c r="O39" s="89"/>
    </row>
    <row r="40" spans="2:15" ht="18" x14ac:dyDescent="0.35">
      <c r="B40" s="35" t="s">
        <v>305</v>
      </c>
      <c r="C40" s="35" t="s">
        <v>307</v>
      </c>
      <c r="D40" s="36" t="s">
        <v>308</v>
      </c>
      <c r="E40" s="90"/>
      <c r="F40" s="90"/>
      <c r="G40" s="90"/>
      <c r="H40" s="90"/>
      <c r="I40" s="90"/>
      <c r="J40" s="90"/>
      <c r="K40" s="90"/>
      <c r="L40" s="90"/>
      <c r="M40" s="90"/>
      <c r="N40" s="90"/>
      <c r="O40" s="89"/>
    </row>
    <row r="41" spans="2:15" ht="18" x14ac:dyDescent="0.35">
      <c r="B41" s="35" t="s">
        <v>306</v>
      </c>
      <c r="C41" s="35" t="s">
        <v>307</v>
      </c>
      <c r="D41" s="36" t="s">
        <v>308</v>
      </c>
      <c r="E41" s="90"/>
      <c r="F41" s="90"/>
      <c r="G41" s="90"/>
      <c r="H41" s="90"/>
      <c r="I41" s="90"/>
      <c r="J41" s="90"/>
      <c r="K41" s="90"/>
      <c r="L41" s="90"/>
      <c r="M41" s="90"/>
      <c r="N41" s="90"/>
      <c r="O41" s="89"/>
    </row>
    <row r="42" spans="2:15" ht="19.5" customHeight="1" x14ac:dyDescent="0.25"/>
    <row r="43" spans="2:15" ht="25.5" x14ac:dyDescent="0.25">
      <c r="B43" s="11" t="s">
        <v>159</v>
      </c>
      <c r="E43" s="118" t="s">
        <v>13</v>
      </c>
      <c r="F43" s="118" t="s">
        <v>14</v>
      </c>
      <c r="G43" s="118" t="s">
        <v>15</v>
      </c>
      <c r="H43" s="118" t="s">
        <v>16</v>
      </c>
      <c r="I43" s="118" t="s">
        <v>17</v>
      </c>
      <c r="J43" s="118" t="s">
        <v>18</v>
      </c>
      <c r="K43" s="118" t="s">
        <v>19</v>
      </c>
      <c r="L43" s="118" t="s">
        <v>20</v>
      </c>
      <c r="M43" s="118" t="s">
        <v>21</v>
      </c>
      <c r="N43" s="118" t="s">
        <v>22</v>
      </c>
    </row>
    <row r="44" spans="2:15" ht="15.75" x14ac:dyDescent="0.25">
      <c r="B44" s="34" t="s">
        <v>11</v>
      </c>
      <c r="C44" s="34" t="s">
        <v>76</v>
      </c>
      <c r="D44" s="34" t="s">
        <v>23</v>
      </c>
      <c r="E44" s="34">
        <f>start_operatie</f>
        <v>2031</v>
      </c>
      <c r="F44" s="34">
        <f>E44+1</f>
        <v>2032</v>
      </c>
      <c r="G44" s="34">
        <f t="shared" ref="G44:N44" si="11">F44+1</f>
        <v>2033</v>
      </c>
      <c r="H44" s="34">
        <f t="shared" si="11"/>
        <v>2034</v>
      </c>
      <c r="I44" s="34">
        <f t="shared" si="11"/>
        <v>2035</v>
      </c>
      <c r="J44" s="34">
        <f t="shared" si="11"/>
        <v>2036</v>
      </c>
      <c r="K44" s="34">
        <f t="shared" si="11"/>
        <v>2037</v>
      </c>
      <c r="L44" s="34">
        <f t="shared" si="11"/>
        <v>2038</v>
      </c>
      <c r="M44" s="34">
        <f t="shared" si="11"/>
        <v>2039</v>
      </c>
      <c r="N44" s="34">
        <f t="shared" si="11"/>
        <v>2040</v>
      </c>
      <c r="O44" s="34" t="s">
        <v>157</v>
      </c>
    </row>
    <row r="45" spans="2:15" x14ac:dyDescent="0.25">
      <c r="B45" s="35" t="s">
        <v>159</v>
      </c>
      <c r="C45" s="88"/>
      <c r="D45" s="93" t="s">
        <v>227</v>
      </c>
      <c r="E45" s="90"/>
      <c r="F45" s="90"/>
      <c r="G45" s="90"/>
      <c r="H45" s="90"/>
      <c r="I45" s="90"/>
      <c r="J45" s="90"/>
      <c r="K45" s="90"/>
      <c r="L45" s="90"/>
      <c r="M45" s="90"/>
      <c r="N45" s="90"/>
      <c r="O45" s="89"/>
    </row>
    <row r="46" spans="2:15" x14ac:dyDescent="0.25">
      <c r="B46" s="35" t="s">
        <v>159</v>
      </c>
      <c r="C46" s="88"/>
      <c r="D46" s="93" t="s">
        <v>227</v>
      </c>
      <c r="E46" s="90"/>
      <c r="F46" s="90"/>
      <c r="G46" s="90"/>
      <c r="H46" s="90"/>
      <c r="I46" s="90"/>
      <c r="J46" s="90"/>
      <c r="K46" s="90"/>
      <c r="L46" s="90"/>
      <c r="M46" s="90"/>
      <c r="N46" s="90"/>
      <c r="O46" s="89"/>
    </row>
    <row r="47" spans="2:15" x14ac:dyDescent="0.25">
      <c r="B47" s="35" t="s">
        <v>159</v>
      </c>
      <c r="C47" s="88"/>
      <c r="D47" s="93" t="s">
        <v>227</v>
      </c>
      <c r="E47" s="90"/>
      <c r="F47" s="90"/>
      <c r="G47" s="90"/>
      <c r="H47" s="90"/>
      <c r="I47" s="90"/>
      <c r="J47" s="90"/>
      <c r="K47" s="90"/>
      <c r="L47" s="90"/>
      <c r="M47" s="90"/>
      <c r="N47" s="90"/>
      <c r="O47" s="89"/>
    </row>
    <row r="48" spans="2:15" x14ac:dyDescent="0.25">
      <c r="B48" s="35" t="s">
        <v>159</v>
      </c>
      <c r="C48" s="88"/>
      <c r="D48" s="93" t="s">
        <v>227</v>
      </c>
      <c r="E48" s="90"/>
      <c r="F48" s="90"/>
      <c r="G48" s="90"/>
      <c r="H48" s="90"/>
      <c r="I48" s="90"/>
      <c r="J48" s="90"/>
      <c r="K48" s="90"/>
      <c r="L48" s="90"/>
      <c r="M48" s="90"/>
      <c r="N48" s="90"/>
      <c r="O48" s="89"/>
    </row>
    <row r="49" spans="2:15" ht="27" customHeight="1" x14ac:dyDescent="0.25"/>
    <row r="50" spans="2:15" ht="25.5" x14ac:dyDescent="0.25">
      <c r="B50" s="11" t="s">
        <v>127</v>
      </c>
      <c r="E50" s="118" t="s">
        <v>170</v>
      </c>
      <c r="F50" s="118" t="s">
        <v>171</v>
      </c>
      <c r="G50" s="118" t="s">
        <v>172</v>
      </c>
      <c r="H50" s="118" t="s">
        <v>173</v>
      </c>
      <c r="I50" s="118" t="s">
        <v>174</v>
      </c>
      <c r="J50" s="118" t="s">
        <v>175</v>
      </c>
      <c r="K50" s="118" t="s">
        <v>176</v>
      </c>
      <c r="L50" s="118" t="s">
        <v>177</v>
      </c>
      <c r="M50" s="118" t="s">
        <v>178</v>
      </c>
      <c r="N50" s="118" t="s">
        <v>179</v>
      </c>
    </row>
    <row r="51" spans="2:15" ht="15.75" x14ac:dyDescent="0.25">
      <c r="B51" s="34" t="s">
        <v>11</v>
      </c>
      <c r="C51" s="34" t="s">
        <v>76</v>
      </c>
      <c r="D51" s="34" t="s">
        <v>23</v>
      </c>
      <c r="E51" s="34">
        <f>start_operatie</f>
        <v>2031</v>
      </c>
      <c r="F51" s="34">
        <f>E51+1</f>
        <v>2032</v>
      </c>
      <c r="G51" s="34">
        <f t="shared" ref="G51:N51" si="12">F51+1</f>
        <v>2033</v>
      </c>
      <c r="H51" s="34">
        <f t="shared" si="12"/>
        <v>2034</v>
      </c>
      <c r="I51" s="34">
        <f t="shared" si="12"/>
        <v>2035</v>
      </c>
      <c r="J51" s="34">
        <f t="shared" si="12"/>
        <v>2036</v>
      </c>
      <c r="K51" s="34">
        <f t="shared" si="12"/>
        <v>2037</v>
      </c>
      <c r="L51" s="34">
        <f t="shared" si="12"/>
        <v>2038</v>
      </c>
      <c r="M51" s="34">
        <f t="shared" si="12"/>
        <v>2039</v>
      </c>
      <c r="N51" s="34">
        <f t="shared" si="12"/>
        <v>2040</v>
      </c>
      <c r="O51" s="34" t="s">
        <v>157</v>
      </c>
    </row>
    <row r="52" spans="2:15" ht="15.75" thickBot="1" x14ac:dyDescent="0.3">
      <c r="B52" s="39" t="s">
        <v>68</v>
      </c>
      <c r="C52" s="39" t="s">
        <v>77</v>
      </c>
      <c r="D52" s="40" t="s">
        <v>90</v>
      </c>
      <c r="E52" s="109">
        <f>_xlfn.XLOOKUP(E$51,'Vastgestelde parameters'!$F$4:$Z$4,'Vastgestelde parameters'!$F$5:$Z$5,,0)</f>
        <v>0.249</v>
      </c>
      <c r="F52" s="109">
        <f>_xlfn.XLOOKUP(F$51,'Vastgestelde parameters'!$F$4:$Z$4,'Vastgestelde parameters'!$F$5:$Z$5,,0)</f>
        <v>0.249</v>
      </c>
      <c r="G52" s="109">
        <f>_xlfn.XLOOKUP(G$51,'Vastgestelde parameters'!$F$4:$Z$4,'Vastgestelde parameters'!$F$5:$Z$5,,0)</f>
        <v>0.25</v>
      </c>
      <c r="H52" s="109">
        <f>_xlfn.XLOOKUP(H$51,'Vastgestelde parameters'!$F$4:$Z$4,'Vastgestelde parameters'!$F$5:$Z$5,,0)</f>
        <v>0.25</v>
      </c>
      <c r="I52" s="109">
        <f>_xlfn.XLOOKUP(I$51,'Vastgestelde parameters'!$F$4:$Z$4,'Vastgestelde parameters'!$F$5:$Z$5,,0)</f>
        <v>0.251</v>
      </c>
      <c r="J52" s="109">
        <f>_xlfn.XLOOKUP(J$51,'Vastgestelde parameters'!$F$4:$Z$4,'Vastgestelde parameters'!$F$5:$Z$5,,0)</f>
        <v>0.251</v>
      </c>
      <c r="K52" s="109">
        <f>_xlfn.XLOOKUP(K$51,'Vastgestelde parameters'!$F$4:$Z$4,'Vastgestelde parameters'!$F$5:$Z$5,,0)</f>
        <v>0.251</v>
      </c>
      <c r="L52" s="109">
        <f>_xlfn.XLOOKUP(L$51,'Vastgestelde parameters'!$F$4:$Z$4,'Vastgestelde parameters'!$F$5:$Z$5,,0)</f>
        <v>0.252</v>
      </c>
      <c r="M52" s="109">
        <f>_xlfn.XLOOKUP(M$51,'Vastgestelde parameters'!$F$4:$Z$4,'Vastgestelde parameters'!$F$5:$Z$5,,0)</f>
        <v>0.252</v>
      </c>
      <c r="N52" s="109">
        <f>_xlfn.XLOOKUP(N$51,'Vastgestelde parameters'!$F$4:$Z$4,'Vastgestelde parameters'!$F$5:$Z$5,,0)</f>
        <v>0.252</v>
      </c>
      <c r="O52" s="109"/>
    </row>
    <row r="53" spans="2:15" x14ac:dyDescent="0.25">
      <c r="B53" s="37" t="s">
        <v>92</v>
      </c>
      <c r="C53" s="37" t="s">
        <v>78</v>
      </c>
      <c r="D53" s="38" t="s">
        <v>90</v>
      </c>
      <c r="E53" s="110">
        <f>_xlfn.XLOOKUP(E$51,'Vastgestelde parameters'!$F$4:$Z$4,'Vastgestelde parameters'!$F$6:$Z$6,,0)</f>
        <v>0.57816000000000001</v>
      </c>
      <c r="F53" s="110">
        <f>_xlfn.XLOOKUP(F$51,'Vastgestelde parameters'!$F$4:$Z$4,'Vastgestelde parameters'!$F$6:$Z$6,,0)</f>
        <v>0.57816000000000001</v>
      </c>
      <c r="G53" s="110">
        <f>_xlfn.XLOOKUP(G$51,'Vastgestelde parameters'!$F$4:$Z$4,'Vastgestelde parameters'!$F$6:$Z$6,,0)</f>
        <v>0.57816000000000001</v>
      </c>
      <c r="H53" s="110">
        <f>_xlfn.XLOOKUP(H$51,'Vastgestelde parameters'!$F$4:$Z$4,'Vastgestelde parameters'!$F$6:$Z$6,,0)</f>
        <v>0.57816000000000001</v>
      </c>
      <c r="I53" s="110">
        <f>_xlfn.XLOOKUP(I$51,'Vastgestelde parameters'!$F$4:$Z$4,'Vastgestelde parameters'!$F$6:$Z$6,,0)</f>
        <v>0.57816000000000001</v>
      </c>
      <c r="J53" s="110">
        <f>_xlfn.XLOOKUP(J$51,'Vastgestelde parameters'!$F$4:$Z$4,'Vastgestelde parameters'!$F$6:$Z$6,,0)</f>
        <v>0.57816000000000001</v>
      </c>
      <c r="K53" s="110">
        <f>_xlfn.XLOOKUP(K$51,'Vastgestelde parameters'!$F$4:$Z$4,'Vastgestelde parameters'!$F$6:$Z$6,,0)</f>
        <v>0.57816000000000001</v>
      </c>
      <c r="L53" s="110">
        <f>_xlfn.XLOOKUP(L$51,'Vastgestelde parameters'!$F$4:$Z$4,'Vastgestelde parameters'!$F$6:$Z$6,,0)</f>
        <v>0.57816000000000001</v>
      </c>
      <c r="M53" s="110">
        <f>_xlfn.XLOOKUP(M$51,'Vastgestelde parameters'!$F$4:$Z$4,'Vastgestelde parameters'!$F$6:$Z$6,,0)</f>
        <v>0.57816000000000001</v>
      </c>
      <c r="N53" s="110">
        <f>_xlfn.XLOOKUP(N$51,'Vastgestelde parameters'!$F$4:$Z$4,'Vastgestelde parameters'!$F$6:$Z$6,,0)</f>
        <v>0.57816000000000001</v>
      </c>
      <c r="O53" s="110"/>
    </row>
    <row r="54" spans="2:15" x14ac:dyDescent="0.25">
      <c r="B54" s="35" t="s">
        <v>92</v>
      </c>
      <c r="C54" s="35" t="s">
        <v>79</v>
      </c>
      <c r="D54" s="36" t="s">
        <v>90</v>
      </c>
      <c r="E54" s="111">
        <f>_xlfn.XLOOKUP(E$51,'Vastgestelde parameters'!$F$4:$Z$4,'Vastgestelde parameters'!$F$7:$Z$7,,0)</f>
        <v>0.57816000000000001</v>
      </c>
      <c r="F54" s="111">
        <f>_xlfn.XLOOKUP(F$51,'Vastgestelde parameters'!$F$4:$Z$4,'Vastgestelde parameters'!$F$7:$Z$7,,0)</f>
        <v>0.57816000000000001</v>
      </c>
      <c r="G54" s="111">
        <f>_xlfn.XLOOKUP(G$51,'Vastgestelde parameters'!$F$4:$Z$4,'Vastgestelde parameters'!$F$7:$Z$7,,0)</f>
        <v>0.57816000000000001</v>
      </c>
      <c r="H54" s="111">
        <f>_xlfn.XLOOKUP(H$51,'Vastgestelde parameters'!$F$4:$Z$4,'Vastgestelde parameters'!$F$7:$Z$7,,0)</f>
        <v>0.57816000000000001</v>
      </c>
      <c r="I54" s="111">
        <f>_xlfn.XLOOKUP(I$51,'Vastgestelde parameters'!$F$4:$Z$4,'Vastgestelde parameters'!$F$7:$Z$7,,0)</f>
        <v>0.57816000000000001</v>
      </c>
      <c r="J54" s="111">
        <f>_xlfn.XLOOKUP(J$51,'Vastgestelde parameters'!$F$4:$Z$4,'Vastgestelde parameters'!$F$7:$Z$7,,0)</f>
        <v>0.57816000000000001</v>
      </c>
      <c r="K54" s="111">
        <f>_xlfn.XLOOKUP(K$51,'Vastgestelde parameters'!$F$4:$Z$4,'Vastgestelde parameters'!$F$7:$Z$7,,0)</f>
        <v>0.57816000000000001</v>
      </c>
      <c r="L54" s="111">
        <f>_xlfn.XLOOKUP(L$51,'Vastgestelde parameters'!$F$4:$Z$4,'Vastgestelde parameters'!$F$7:$Z$7,,0)</f>
        <v>0.57816000000000001</v>
      </c>
      <c r="M54" s="111">
        <f>_xlfn.XLOOKUP(M$51,'Vastgestelde parameters'!$F$4:$Z$4,'Vastgestelde parameters'!$F$7:$Z$7,,0)</f>
        <v>0.57816000000000001</v>
      </c>
      <c r="N54" s="111">
        <f>_xlfn.XLOOKUP(N$51,'Vastgestelde parameters'!$F$4:$Z$4,'Vastgestelde parameters'!$F$7:$Z$7,,0)</f>
        <v>0.57816000000000001</v>
      </c>
      <c r="O54" s="111"/>
    </row>
    <row r="55" spans="2:15" x14ac:dyDescent="0.25">
      <c r="B55" s="35" t="s">
        <v>92</v>
      </c>
      <c r="C55" s="35" t="s">
        <v>80</v>
      </c>
      <c r="D55" s="36" t="s">
        <v>90</v>
      </c>
      <c r="E55" s="111">
        <f>_xlfn.XLOOKUP(E$51,'Vastgestelde parameters'!$F$4:$Z$4,'Vastgestelde parameters'!$F$8:$Z$8,,0)</f>
        <v>0.31573000000000001</v>
      </c>
      <c r="F55" s="111">
        <f>_xlfn.XLOOKUP(F$51,'Vastgestelde parameters'!$F$4:$Z$4,'Vastgestelde parameters'!$F$8:$Z$8,,0)</f>
        <v>0.31573000000000001</v>
      </c>
      <c r="G55" s="111">
        <f>_xlfn.XLOOKUP(G$51,'Vastgestelde parameters'!$F$4:$Z$4,'Vastgestelde parameters'!$F$8:$Z$8,,0)</f>
        <v>0.31573000000000001</v>
      </c>
      <c r="H55" s="111">
        <f>_xlfn.XLOOKUP(H$51,'Vastgestelde parameters'!$F$4:$Z$4,'Vastgestelde parameters'!$F$8:$Z$8,,0)</f>
        <v>0.31573000000000001</v>
      </c>
      <c r="I55" s="111">
        <f>_xlfn.XLOOKUP(I$51,'Vastgestelde parameters'!$F$4:$Z$4,'Vastgestelde parameters'!$F$8:$Z$8,,0)</f>
        <v>0.31573000000000001</v>
      </c>
      <c r="J55" s="111">
        <f>_xlfn.XLOOKUP(J$51,'Vastgestelde parameters'!$F$4:$Z$4,'Vastgestelde parameters'!$F$8:$Z$8,,0)</f>
        <v>0.31573000000000001</v>
      </c>
      <c r="K55" s="111">
        <f>_xlfn.XLOOKUP(K$51,'Vastgestelde parameters'!$F$4:$Z$4,'Vastgestelde parameters'!$F$8:$Z$8,,0)</f>
        <v>0.31573000000000001</v>
      </c>
      <c r="L55" s="111">
        <f>_xlfn.XLOOKUP(L$51,'Vastgestelde parameters'!$F$4:$Z$4,'Vastgestelde parameters'!$F$8:$Z$8,,0)</f>
        <v>0.31573000000000001</v>
      </c>
      <c r="M55" s="111">
        <f>_xlfn.XLOOKUP(M$51,'Vastgestelde parameters'!$F$4:$Z$4,'Vastgestelde parameters'!$F$8:$Z$8,,0)</f>
        <v>0.31573000000000001</v>
      </c>
      <c r="N55" s="111">
        <f>_xlfn.XLOOKUP(N$51,'Vastgestelde parameters'!$F$4:$Z$4,'Vastgestelde parameters'!$F$8:$Z$8,,0)</f>
        <v>0.31573000000000001</v>
      </c>
      <c r="O55" s="111"/>
    </row>
    <row r="56" spans="2:15" x14ac:dyDescent="0.25">
      <c r="B56" s="35" t="s">
        <v>92</v>
      </c>
      <c r="C56" s="35" t="s">
        <v>81</v>
      </c>
      <c r="D56" s="36" t="s">
        <v>90</v>
      </c>
      <c r="E56" s="111">
        <f>_xlfn.XLOOKUP(E$51,'Vastgestelde parameters'!$F$4:$Z$4,'Vastgestelde parameters'!$F$9:$Z$9,,0)</f>
        <v>0.20347000000000001</v>
      </c>
      <c r="F56" s="111">
        <f>_xlfn.XLOOKUP(F$51,'Vastgestelde parameters'!$F$4:$Z$4,'Vastgestelde parameters'!$F$9:$Z$9,,0)</f>
        <v>0.20347000000000001</v>
      </c>
      <c r="G56" s="111">
        <f>_xlfn.XLOOKUP(G$51,'Vastgestelde parameters'!$F$4:$Z$4,'Vastgestelde parameters'!$F$9:$Z$9,,0)</f>
        <v>0.20347000000000001</v>
      </c>
      <c r="H56" s="111">
        <f>_xlfn.XLOOKUP(H$51,'Vastgestelde parameters'!$F$4:$Z$4,'Vastgestelde parameters'!$F$9:$Z$9,,0)</f>
        <v>0.20347000000000001</v>
      </c>
      <c r="I56" s="111">
        <f>_xlfn.XLOOKUP(I$51,'Vastgestelde parameters'!$F$4:$Z$4,'Vastgestelde parameters'!$F$9:$Z$9,,0)</f>
        <v>0.20347000000000001</v>
      </c>
      <c r="J56" s="111">
        <f>_xlfn.XLOOKUP(J$51,'Vastgestelde parameters'!$F$4:$Z$4,'Vastgestelde parameters'!$F$9:$Z$9,,0)</f>
        <v>0.20347000000000001</v>
      </c>
      <c r="K56" s="111">
        <f>_xlfn.XLOOKUP(K$51,'Vastgestelde parameters'!$F$4:$Z$4,'Vastgestelde parameters'!$F$9:$Z$9,,0)</f>
        <v>0.20347000000000001</v>
      </c>
      <c r="L56" s="111">
        <f>_xlfn.XLOOKUP(L$51,'Vastgestelde parameters'!$F$4:$Z$4,'Vastgestelde parameters'!$F$9:$Z$9,,0)</f>
        <v>0.20347000000000001</v>
      </c>
      <c r="M56" s="111">
        <f>_xlfn.XLOOKUP(M$51,'Vastgestelde parameters'!$F$4:$Z$4,'Vastgestelde parameters'!$F$9:$Z$9,,0)</f>
        <v>0.20347000000000001</v>
      </c>
      <c r="N56" s="111">
        <f>_xlfn.XLOOKUP(N$51,'Vastgestelde parameters'!$F$4:$Z$4,'Vastgestelde parameters'!$F$9:$Z$9,,0)</f>
        <v>0.20347000000000001</v>
      </c>
      <c r="O56" s="111"/>
    </row>
    <row r="57" spans="2:15" ht="15.75" thickBot="1" x14ac:dyDescent="0.3">
      <c r="B57" s="39" t="s">
        <v>92</v>
      </c>
      <c r="C57" s="39" t="s">
        <v>82</v>
      </c>
      <c r="D57" s="40" t="s">
        <v>90</v>
      </c>
      <c r="E57" s="109">
        <f>_xlfn.XLOOKUP(E$51,'Vastgestelde parameters'!$F$4:$Z$4,'Vastgestelde parameters'!$F$10:$Z$10,,0)</f>
        <v>5.3850000000000002E-2</v>
      </c>
      <c r="F57" s="109">
        <f>_xlfn.XLOOKUP(F$51,'Vastgestelde parameters'!$F$4:$Z$4,'Vastgestelde parameters'!$F$10:$Z$10,,0)</f>
        <v>5.3850000000000002E-2</v>
      </c>
      <c r="G57" s="109">
        <f>_xlfn.XLOOKUP(G$51,'Vastgestelde parameters'!$F$4:$Z$4,'Vastgestelde parameters'!$F$10:$Z$10,,0)</f>
        <v>5.3850000000000002E-2</v>
      </c>
      <c r="H57" s="109">
        <f>_xlfn.XLOOKUP(H$51,'Vastgestelde parameters'!$F$4:$Z$4,'Vastgestelde parameters'!$F$10:$Z$10,,0)</f>
        <v>5.3850000000000002E-2</v>
      </c>
      <c r="I57" s="109">
        <f>_xlfn.XLOOKUP(I$51,'Vastgestelde parameters'!$F$4:$Z$4,'Vastgestelde parameters'!$F$10:$Z$10,,0)</f>
        <v>5.3850000000000002E-2</v>
      </c>
      <c r="J57" s="109">
        <f>_xlfn.XLOOKUP(J$51,'Vastgestelde parameters'!$F$4:$Z$4,'Vastgestelde parameters'!$F$10:$Z$10,,0)</f>
        <v>5.3850000000000002E-2</v>
      </c>
      <c r="K57" s="109">
        <f>_xlfn.XLOOKUP(K$51,'Vastgestelde parameters'!$F$4:$Z$4,'Vastgestelde parameters'!$F$10:$Z$10,,0)</f>
        <v>5.3850000000000002E-2</v>
      </c>
      <c r="L57" s="109">
        <f>_xlfn.XLOOKUP(L$51,'Vastgestelde parameters'!$F$4:$Z$4,'Vastgestelde parameters'!$F$10:$Z$10,,0)</f>
        <v>5.3850000000000002E-2</v>
      </c>
      <c r="M57" s="109">
        <f>_xlfn.XLOOKUP(M$51,'Vastgestelde parameters'!$F$4:$Z$4,'Vastgestelde parameters'!$F$10:$Z$10,,0)</f>
        <v>5.3850000000000002E-2</v>
      </c>
      <c r="N57" s="109">
        <f>_xlfn.XLOOKUP(N$51,'Vastgestelde parameters'!$F$4:$Z$4,'Vastgestelde parameters'!$F$10:$Z$10,,0)</f>
        <v>5.3850000000000002E-2</v>
      </c>
      <c r="O57" s="109"/>
    </row>
    <row r="58" spans="2:15" ht="15.75" thickBot="1" x14ac:dyDescent="0.3">
      <c r="B58" s="39" t="s">
        <v>67</v>
      </c>
      <c r="C58" s="39" t="s">
        <v>83</v>
      </c>
      <c r="D58" s="40" t="s">
        <v>91</v>
      </c>
      <c r="E58" s="109">
        <f>_xlfn.XLOOKUP(E$51,'Vastgestelde parameters'!$F$4:$Z$4,'Vastgestelde parameters'!$F$11:$Z$11,,0)</f>
        <v>7.0999999999999994E-2</v>
      </c>
      <c r="F58" s="109">
        <f>_xlfn.XLOOKUP(F$51,'Vastgestelde parameters'!$F$4:$Z$4,'Vastgestelde parameters'!$F$11:$Z$11,,0)</f>
        <v>6.8000000000000005E-2</v>
      </c>
      <c r="G58" s="109">
        <f>_xlfn.XLOOKUP(G$51,'Vastgestelde parameters'!$F$4:$Z$4,'Vastgestelde parameters'!$F$11:$Z$11,,0)</f>
        <v>6.8000000000000005E-2</v>
      </c>
      <c r="H58" s="109">
        <f>_xlfn.XLOOKUP(H$51,'Vastgestelde parameters'!$F$4:$Z$4,'Vastgestelde parameters'!$F$11:$Z$11,,0)</f>
        <v>6.9000000000000006E-2</v>
      </c>
      <c r="I58" s="109">
        <f>_xlfn.XLOOKUP(I$51,'Vastgestelde parameters'!$F$4:$Z$4,'Vastgestelde parameters'!$F$11:$Z$11,,0)</f>
        <v>6.9000000000000006E-2</v>
      </c>
      <c r="J58" s="109">
        <f>_xlfn.XLOOKUP(J$51,'Vastgestelde parameters'!$F$4:$Z$4,'Vastgestelde parameters'!$F$11:$Z$11,,0)</f>
        <v>6.9000000000000006E-2</v>
      </c>
      <c r="K58" s="109">
        <f>_xlfn.XLOOKUP(K$51,'Vastgestelde parameters'!$F$4:$Z$4,'Vastgestelde parameters'!$F$11:$Z$11,,0)</f>
        <v>7.0000000000000007E-2</v>
      </c>
      <c r="L58" s="109">
        <f>_xlfn.XLOOKUP(L$51,'Vastgestelde parameters'!$F$4:$Z$4,'Vastgestelde parameters'!$F$11:$Z$11,,0)</f>
        <v>7.0000000000000007E-2</v>
      </c>
      <c r="M58" s="109">
        <f>_xlfn.XLOOKUP(M$51,'Vastgestelde parameters'!$F$4:$Z$4,'Vastgestelde parameters'!$F$11:$Z$11,,0)</f>
        <v>6.9000000000000006E-2</v>
      </c>
      <c r="N58" s="109">
        <f>_xlfn.XLOOKUP(N$51,'Vastgestelde parameters'!$F$4:$Z$4,'Vastgestelde parameters'!$F$11:$Z$11,,0)</f>
        <v>6.9000000000000006E-2</v>
      </c>
      <c r="O58" s="109"/>
    </row>
    <row r="59" spans="2:15" x14ac:dyDescent="0.25">
      <c r="B59" s="35" t="s">
        <v>93</v>
      </c>
      <c r="C59" s="35" t="s">
        <v>84</v>
      </c>
      <c r="D59" s="36" t="s">
        <v>91</v>
      </c>
      <c r="E59" s="111">
        <f>_xlfn.XLOOKUP(E$51,'Vastgestelde parameters'!$F$4:$Z$4,'Vastgestelde parameters'!$F$12:$Z$12,,0)</f>
        <v>9.1609999999999997E-2</v>
      </c>
      <c r="F59" s="111">
        <f>_xlfn.XLOOKUP(F$51,'Vastgestelde parameters'!$F$4:$Z$4,'Vastgestelde parameters'!$F$12:$Z$12,,0)</f>
        <v>9.1609999999999997E-2</v>
      </c>
      <c r="G59" s="111">
        <f>_xlfn.XLOOKUP(G$51,'Vastgestelde parameters'!$F$4:$Z$4,'Vastgestelde parameters'!$F$12:$Z$12,,0)</f>
        <v>9.1609999999999997E-2</v>
      </c>
      <c r="H59" s="111">
        <f>_xlfn.XLOOKUP(H$51,'Vastgestelde parameters'!$F$4:$Z$4,'Vastgestelde parameters'!$F$12:$Z$12,,0)</f>
        <v>9.1609999999999997E-2</v>
      </c>
      <c r="I59" s="111">
        <f>_xlfn.XLOOKUP(I$51,'Vastgestelde parameters'!$F$4:$Z$4,'Vastgestelde parameters'!$F$12:$Z$12,,0)</f>
        <v>9.1609999999999997E-2</v>
      </c>
      <c r="J59" s="111">
        <f>_xlfn.XLOOKUP(J$51,'Vastgestelde parameters'!$F$4:$Z$4,'Vastgestelde parameters'!$F$12:$Z$12,,0)</f>
        <v>9.1609999999999997E-2</v>
      </c>
      <c r="K59" s="111">
        <f>_xlfn.XLOOKUP(K$51,'Vastgestelde parameters'!$F$4:$Z$4,'Vastgestelde parameters'!$F$12:$Z$12,,0)</f>
        <v>9.1609999999999997E-2</v>
      </c>
      <c r="L59" s="111">
        <f>_xlfn.XLOOKUP(L$51,'Vastgestelde parameters'!$F$4:$Z$4,'Vastgestelde parameters'!$F$12:$Z$12,,0)</f>
        <v>9.1609999999999997E-2</v>
      </c>
      <c r="M59" s="111">
        <f>_xlfn.XLOOKUP(M$51,'Vastgestelde parameters'!$F$4:$Z$4,'Vastgestelde parameters'!$F$12:$Z$12,,0)</f>
        <v>9.1609999999999997E-2</v>
      </c>
      <c r="N59" s="111">
        <f>_xlfn.XLOOKUP(N$51,'Vastgestelde parameters'!$F$4:$Z$4,'Vastgestelde parameters'!$F$12:$Z$12,,0)</f>
        <v>9.1609999999999997E-2</v>
      </c>
      <c r="O59" s="111"/>
    </row>
    <row r="60" spans="2:15" x14ac:dyDescent="0.25">
      <c r="B60" s="35" t="s">
        <v>93</v>
      </c>
      <c r="C60" s="35" t="s">
        <v>85</v>
      </c>
      <c r="D60" s="36" t="s">
        <v>91</v>
      </c>
      <c r="E60" s="111">
        <f>_xlfn.XLOOKUP(E$51,'Vastgestelde parameters'!$F$4:$Z$4,'Vastgestelde parameters'!$F$13:$Z$13,,0)</f>
        <v>9.1609999999999997E-2</v>
      </c>
      <c r="F60" s="111">
        <f>_xlfn.XLOOKUP(F$51,'Vastgestelde parameters'!$F$4:$Z$4,'Vastgestelde parameters'!$F$13:$Z$13,,0)</f>
        <v>9.1609999999999997E-2</v>
      </c>
      <c r="G60" s="111">
        <f>_xlfn.XLOOKUP(G$51,'Vastgestelde parameters'!$F$4:$Z$4,'Vastgestelde parameters'!$F$13:$Z$13,,0)</f>
        <v>9.1609999999999997E-2</v>
      </c>
      <c r="H60" s="111">
        <f>_xlfn.XLOOKUP(H$51,'Vastgestelde parameters'!$F$4:$Z$4,'Vastgestelde parameters'!$F$13:$Z$13,,0)</f>
        <v>9.1609999999999997E-2</v>
      </c>
      <c r="I60" s="111">
        <f>_xlfn.XLOOKUP(I$51,'Vastgestelde parameters'!$F$4:$Z$4,'Vastgestelde parameters'!$F$13:$Z$13,,0)</f>
        <v>9.1609999999999997E-2</v>
      </c>
      <c r="J60" s="111">
        <f>_xlfn.XLOOKUP(J$51,'Vastgestelde parameters'!$F$4:$Z$4,'Vastgestelde parameters'!$F$13:$Z$13,,0)</f>
        <v>9.1609999999999997E-2</v>
      </c>
      <c r="K60" s="111">
        <f>_xlfn.XLOOKUP(K$51,'Vastgestelde parameters'!$F$4:$Z$4,'Vastgestelde parameters'!$F$13:$Z$13,,0)</f>
        <v>9.1609999999999997E-2</v>
      </c>
      <c r="L60" s="111">
        <f>_xlfn.XLOOKUP(L$51,'Vastgestelde parameters'!$F$4:$Z$4,'Vastgestelde parameters'!$F$13:$Z$13,,0)</f>
        <v>9.1609999999999997E-2</v>
      </c>
      <c r="M60" s="111">
        <f>_xlfn.XLOOKUP(M$51,'Vastgestelde parameters'!$F$4:$Z$4,'Vastgestelde parameters'!$F$13:$Z$13,,0)</f>
        <v>9.1609999999999997E-2</v>
      </c>
      <c r="N60" s="111">
        <f>_xlfn.XLOOKUP(N$51,'Vastgestelde parameters'!$F$4:$Z$4,'Vastgestelde parameters'!$F$13:$Z$13,,0)</f>
        <v>9.1609999999999997E-2</v>
      </c>
      <c r="O60" s="111"/>
    </row>
    <row r="61" spans="2:15" x14ac:dyDescent="0.25">
      <c r="B61" s="35" t="s">
        <v>93</v>
      </c>
      <c r="C61" s="35" t="s">
        <v>86</v>
      </c>
      <c r="D61" s="36" t="s">
        <v>91</v>
      </c>
      <c r="E61" s="111">
        <f>_xlfn.XLOOKUP(E$51,'Vastgestelde parameters'!$F$4:$Z$4,'Vastgestelde parameters'!$F$14:$Z$14,,0)</f>
        <v>6.6710000000000005E-2</v>
      </c>
      <c r="F61" s="111">
        <f>_xlfn.XLOOKUP(F$51,'Vastgestelde parameters'!$F$4:$Z$4,'Vastgestelde parameters'!$F$14:$Z$14,,0)</f>
        <v>6.6710000000000005E-2</v>
      </c>
      <c r="G61" s="111">
        <f>_xlfn.XLOOKUP(G$51,'Vastgestelde parameters'!$F$4:$Z$4,'Vastgestelde parameters'!$F$14:$Z$14,,0)</f>
        <v>6.6710000000000005E-2</v>
      </c>
      <c r="H61" s="111">
        <f>_xlfn.XLOOKUP(H$51,'Vastgestelde parameters'!$F$4:$Z$4,'Vastgestelde parameters'!$F$14:$Z$14,,0)</f>
        <v>6.6710000000000005E-2</v>
      </c>
      <c r="I61" s="111">
        <f>_xlfn.XLOOKUP(I$51,'Vastgestelde parameters'!$F$4:$Z$4,'Vastgestelde parameters'!$F$14:$Z$14,,0)</f>
        <v>6.6710000000000005E-2</v>
      </c>
      <c r="J61" s="111">
        <f>_xlfn.XLOOKUP(J$51,'Vastgestelde parameters'!$F$4:$Z$4,'Vastgestelde parameters'!$F$14:$Z$14,,0)</f>
        <v>6.6710000000000005E-2</v>
      </c>
      <c r="K61" s="111">
        <f>_xlfn.XLOOKUP(K$51,'Vastgestelde parameters'!$F$4:$Z$4,'Vastgestelde parameters'!$F$14:$Z$14,,0)</f>
        <v>6.6710000000000005E-2</v>
      </c>
      <c r="L61" s="111">
        <f>_xlfn.XLOOKUP(L$51,'Vastgestelde parameters'!$F$4:$Z$4,'Vastgestelde parameters'!$F$14:$Z$14,,0)</f>
        <v>6.6710000000000005E-2</v>
      </c>
      <c r="M61" s="111">
        <f>_xlfn.XLOOKUP(M$51,'Vastgestelde parameters'!$F$4:$Z$4,'Vastgestelde parameters'!$F$14:$Z$14,,0)</f>
        <v>6.6710000000000005E-2</v>
      </c>
      <c r="N61" s="111">
        <f>_xlfn.XLOOKUP(N$51,'Vastgestelde parameters'!$F$4:$Z$4,'Vastgestelde parameters'!$F$14:$Z$14,,0)</f>
        <v>6.6710000000000005E-2</v>
      </c>
      <c r="O61" s="111"/>
    </row>
    <row r="62" spans="2:15" x14ac:dyDescent="0.25">
      <c r="B62" s="35" t="s">
        <v>93</v>
      </c>
      <c r="C62" s="35" t="s">
        <v>87</v>
      </c>
      <c r="D62" s="36" t="s">
        <v>91</v>
      </c>
      <c r="E62" s="111">
        <f>_xlfn.XLOOKUP(E$51,'Vastgestelde parameters'!$F$4:$Z$4,'Vastgestelde parameters'!$F$15:$Z$15,,0)</f>
        <v>3.7350000000000001E-2</v>
      </c>
      <c r="F62" s="111">
        <f>_xlfn.XLOOKUP(F$51,'Vastgestelde parameters'!$F$4:$Z$4,'Vastgestelde parameters'!$F$15:$Z$15,,0)</f>
        <v>3.7350000000000001E-2</v>
      </c>
      <c r="G62" s="111">
        <f>_xlfn.XLOOKUP(G$51,'Vastgestelde parameters'!$F$4:$Z$4,'Vastgestelde parameters'!$F$15:$Z$15,,0)</f>
        <v>3.7350000000000001E-2</v>
      </c>
      <c r="H62" s="111">
        <f>_xlfn.XLOOKUP(H$51,'Vastgestelde parameters'!$F$4:$Z$4,'Vastgestelde parameters'!$F$15:$Z$15,,0)</f>
        <v>3.7350000000000001E-2</v>
      </c>
      <c r="I62" s="111">
        <f>_xlfn.XLOOKUP(I$51,'Vastgestelde parameters'!$F$4:$Z$4,'Vastgestelde parameters'!$F$15:$Z$15,,0)</f>
        <v>3.7350000000000001E-2</v>
      </c>
      <c r="J62" s="111">
        <f>_xlfn.XLOOKUP(J$51,'Vastgestelde parameters'!$F$4:$Z$4,'Vastgestelde parameters'!$F$15:$Z$15,,0)</f>
        <v>3.7350000000000001E-2</v>
      </c>
      <c r="K62" s="111">
        <f>_xlfn.XLOOKUP(K$51,'Vastgestelde parameters'!$F$4:$Z$4,'Vastgestelde parameters'!$F$15:$Z$15,,0)</f>
        <v>3.7350000000000001E-2</v>
      </c>
      <c r="L62" s="111">
        <f>_xlfn.XLOOKUP(L$51,'Vastgestelde parameters'!$F$4:$Z$4,'Vastgestelde parameters'!$F$15:$Z$15,,0)</f>
        <v>3.7350000000000001E-2</v>
      </c>
      <c r="M62" s="111">
        <f>_xlfn.XLOOKUP(M$51,'Vastgestelde parameters'!$F$4:$Z$4,'Vastgestelde parameters'!$F$15:$Z$15,,0)</f>
        <v>3.7350000000000001E-2</v>
      </c>
      <c r="N62" s="111">
        <f>_xlfn.XLOOKUP(N$51,'Vastgestelde parameters'!$F$4:$Z$4,'Vastgestelde parameters'!$F$15:$Z$15,,0)</f>
        <v>3.7350000000000001E-2</v>
      </c>
      <c r="O62" s="111"/>
    </row>
    <row r="63" spans="2:15" ht="15.75" thickBot="1" x14ac:dyDescent="0.3">
      <c r="B63" s="39" t="s">
        <v>93</v>
      </c>
      <c r="C63" s="39" t="s">
        <v>88</v>
      </c>
      <c r="D63" s="40" t="s">
        <v>91</v>
      </c>
      <c r="E63" s="109">
        <f>_xlfn.XLOOKUP(E$51,'Vastgestelde parameters'!$F$4:$Z$4,'Vastgestelde parameters'!$F$16:$Z$16,,0)</f>
        <v>3.0999999999999999E-3</v>
      </c>
      <c r="F63" s="109">
        <f>_xlfn.XLOOKUP(F$51,'Vastgestelde parameters'!$F$4:$Z$4,'Vastgestelde parameters'!$F$16:$Z$16,,0)</f>
        <v>3.0999999999999999E-3</v>
      </c>
      <c r="G63" s="109">
        <f>_xlfn.XLOOKUP(G$51,'Vastgestelde parameters'!$F$4:$Z$4,'Vastgestelde parameters'!$F$16:$Z$16,,0)</f>
        <v>3.0999999999999999E-3</v>
      </c>
      <c r="H63" s="109">
        <f>_xlfn.XLOOKUP(H$51,'Vastgestelde parameters'!$F$4:$Z$4,'Vastgestelde parameters'!$F$16:$Z$16,,0)</f>
        <v>3.0999999999999999E-3</v>
      </c>
      <c r="I63" s="109">
        <f>_xlfn.XLOOKUP(I$51,'Vastgestelde parameters'!$F$4:$Z$4,'Vastgestelde parameters'!$F$16:$Z$16,,0)</f>
        <v>3.0999999999999999E-3</v>
      </c>
      <c r="J63" s="109">
        <f>_xlfn.XLOOKUP(J$51,'Vastgestelde parameters'!$F$4:$Z$4,'Vastgestelde parameters'!$F$16:$Z$16,,0)</f>
        <v>3.0999999999999999E-3</v>
      </c>
      <c r="K63" s="109">
        <f>_xlfn.XLOOKUP(K$51,'Vastgestelde parameters'!$F$4:$Z$4,'Vastgestelde parameters'!$F$16:$Z$16,,0)</f>
        <v>3.0999999999999999E-3</v>
      </c>
      <c r="L63" s="109">
        <f>_xlfn.XLOOKUP(L$51,'Vastgestelde parameters'!$F$4:$Z$4,'Vastgestelde parameters'!$F$16:$Z$16,,0)</f>
        <v>3.0999999999999999E-3</v>
      </c>
      <c r="M63" s="109">
        <f>_xlfn.XLOOKUP(M$51,'Vastgestelde parameters'!$F$4:$Z$4,'Vastgestelde parameters'!$F$16:$Z$16,,0)</f>
        <v>3.0999999999999999E-3</v>
      </c>
      <c r="N63" s="109">
        <f>_xlfn.XLOOKUP(N$51,'Vastgestelde parameters'!$F$4:$Z$4,'Vastgestelde parameters'!$F$16:$Z$16,,0)</f>
        <v>3.0999999999999999E-3</v>
      </c>
      <c r="O63" s="109"/>
    </row>
    <row r="64" spans="2:15" ht="15.75" thickBot="1" x14ac:dyDescent="0.3">
      <c r="B64" s="41" t="s">
        <v>94</v>
      </c>
      <c r="C64" s="41" t="s">
        <v>160</v>
      </c>
      <c r="D64" s="42" t="s">
        <v>41</v>
      </c>
      <c r="E64" s="116">
        <f>_xlfn.XLOOKUP(E$51,'Vastgestelde parameters'!$F$4:$Z$4,'Vastgestelde parameters'!$F$17:$Z$17,,0)</f>
        <v>1.3382255776000005</v>
      </c>
      <c r="F64" s="116">
        <f>_xlfn.XLOOKUP(F$51,'Vastgestelde parameters'!$F$4:$Z$4,'Vastgestelde parameters'!$F$17:$Z$17,,0)</f>
        <v>1.4185191122560006</v>
      </c>
      <c r="G64" s="116">
        <f>_xlfn.XLOOKUP(G$51,'Vastgestelde parameters'!$F$4:$Z$4,'Vastgestelde parameters'!$F$17:$Z$17,,0)</f>
        <v>1.5036302589913606</v>
      </c>
      <c r="H64" s="116">
        <f>_xlfn.XLOOKUP(H$51,'Vastgestelde parameters'!$F$4:$Z$4,'Vastgestelde parameters'!$F$17:$Z$17,,0)</f>
        <v>1.5938480745308423</v>
      </c>
      <c r="I64" s="116">
        <f>_xlfn.XLOOKUP(I$51,'Vastgestelde parameters'!$F$4:$Z$4,'Vastgestelde parameters'!$F$17:$Z$17,,0)</f>
        <v>1.6894789590026928</v>
      </c>
      <c r="J64" s="116">
        <f>_xlfn.XLOOKUP(J$51,'Vastgestelde parameters'!$F$4:$Z$4,'Vastgestelde parameters'!$F$17:$Z$17,,0)</f>
        <v>1.7908476965428546</v>
      </c>
      <c r="K64" s="116">
        <f>_xlfn.XLOOKUP(K$51,'Vastgestelde parameters'!$F$4:$Z$4,'Vastgestelde parameters'!$F$17:$Z$17,,0)</f>
        <v>1.8982985583354259</v>
      </c>
      <c r="L64" s="116">
        <f>_xlfn.XLOOKUP(L$51,'Vastgestelde parameters'!$F$4:$Z$4,'Vastgestelde parameters'!$F$17:$Z$17,,0)</f>
        <v>2.0121964718355514</v>
      </c>
      <c r="M64" s="116">
        <f>_xlfn.XLOOKUP(M$51,'Vastgestelde parameters'!$F$4:$Z$4,'Vastgestelde parameters'!$F$17:$Z$17,,0)</f>
        <v>2.1329282601456847</v>
      </c>
      <c r="N64" s="116">
        <f>_xlfn.XLOOKUP(N$51,'Vastgestelde parameters'!$F$4:$Z$4,'Vastgestelde parameters'!$F$17:$Z$17,,0)</f>
        <v>2.2609039557544257</v>
      </c>
      <c r="O64" s="112"/>
    </row>
    <row r="65" spans="2:15" x14ac:dyDescent="0.25">
      <c r="B65" s="37" t="s">
        <v>69</v>
      </c>
      <c r="C65" s="37" t="s">
        <v>219</v>
      </c>
      <c r="D65" s="38" t="s">
        <v>123</v>
      </c>
      <c r="E65" s="113">
        <f>_xlfn.XLOOKUP(E$51,'Vastgestelde parameters'!$F$4:$Z$4,'Vastgestelde parameters'!$F$18:$Z$18,,0)</f>
        <v>10.631911532385466</v>
      </c>
      <c r="F65" s="113">
        <f>_xlfn.XLOOKUP(F$51,'Vastgestelde parameters'!$F$4:$Z$4,'Vastgestelde parameters'!$F$18:$Z$18,,0)</f>
        <v>10.631911532385466</v>
      </c>
      <c r="G65" s="113">
        <f>_xlfn.XLOOKUP(G$51,'Vastgestelde parameters'!$F$4:$Z$4,'Vastgestelde parameters'!$F$18:$Z$18,,0)</f>
        <v>10.667017728629103</v>
      </c>
      <c r="H65" s="113">
        <f>_xlfn.XLOOKUP(H$51,'Vastgestelde parameters'!$F$4:$Z$4,'Vastgestelde parameters'!$F$18:$Z$18,,0)</f>
        <v>10.667017728629103</v>
      </c>
      <c r="I65" s="113">
        <f>_xlfn.XLOOKUP(I$51,'Vastgestelde parameters'!$F$4:$Z$4,'Vastgestelde parameters'!$F$18:$Z$18,,0)</f>
        <v>10.702123924872742</v>
      </c>
      <c r="J65" s="113">
        <f>_xlfn.XLOOKUP(J$51,'Vastgestelde parameters'!$F$4:$Z$4,'Vastgestelde parameters'!$F$18:$Z$18,,0)</f>
        <v>10.702123924872742</v>
      </c>
      <c r="K65" s="113">
        <f>_xlfn.XLOOKUP(K$51,'Vastgestelde parameters'!$F$4:$Z$4,'Vastgestelde parameters'!$F$18:$Z$18,,0)</f>
        <v>10.702123924872742</v>
      </c>
      <c r="L65" s="113">
        <f>_xlfn.XLOOKUP(L$51,'Vastgestelde parameters'!$F$4:$Z$4,'Vastgestelde parameters'!$F$18:$Z$18,,0)</f>
        <v>10.737230121116376</v>
      </c>
      <c r="M65" s="113">
        <f>_xlfn.XLOOKUP(M$51,'Vastgestelde parameters'!$F$4:$Z$4,'Vastgestelde parameters'!$F$18:$Z$18,,0)</f>
        <v>10.737230121116376</v>
      </c>
      <c r="N65" s="113">
        <f>_xlfn.XLOOKUP(N$51,'Vastgestelde parameters'!$F$4:$Z$4,'Vastgestelde parameters'!$F$18:$Z$18,,0)</f>
        <v>10.737230121116376</v>
      </c>
      <c r="O65" s="113"/>
    </row>
    <row r="66" spans="2:15" x14ac:dyDescent="0.25">
      <c r="B66" s="35" t="s">
        <v>95</v>
      </c>
      <c r="C66" s="35" t="s">
        <v>96</v>
      </c>
      <c r="D66" s="36" t="s">
        <v>97</v>
      </c>
      <c r="E66" s="77">
        <f>_xlfn.XLOOKUP(E$51,'Vastgestelde parameters'!$F$4:$Z$4,'Vastgestelde parameters'!$F$19:$Z$19,,0)</f>
        <v>72.569999999999993</v>
      </c>
      <c r="F66" s="77">
        <f>_xlfn.XLOOKUP(F$51,'Vastgestelde parameters'!$F$4:$Z$4,'Vastgestelde parameters'!$F$19:$Z$19,,0)</f>
        <v>72.680000000000007</v>
      </c>
      <c r="G66" s="77">
        <f>_xlfn.XLOOKUP(G$51,'Vastgestelde parameters'!$F$4:$Z$4,'Vastgestelde parameters'!$F$19:$Z$19,,0)</f>
        <v>72.790000000000006</v>
      </c>
      <c r="H66" s="77">
        <f>_xlfn.XLOOKUP(H$51,'Vastgestelde parameters'!$F$4:$Z$4,'Vastgestelde parameters'!$F$19:$Z$19,,0)</f>
        <v>72.89</v>
      </c>
      <c r="I66" s="77">
        <f>_xlfn.XLOOKUP(I$51,'Vastgestelde parameters'!$F$4:$Z$4,'Vastgestelde parameters'!$F$19:$Z$19,,0)</f>
        <v>73</v>
      </c>
      <c r="J66" s="77">
        <f>_xlfn.XLOOKUP(J$51,'Vastgestelde parameters'!$F$4:$Z$4,'Vastgestelde parameters'!$F$19:$Z$19,,0)</f>
        <v>73.11</v>
      </c>
      <c r="K66" s="77">
        <f>_xlfn.XLOOKUP(K$51,'Vastgestelde parameters'!$F$4:$Z$4,'Vastgestelde parameters'!$F$19:$Z$19,,0)</f>
        <v>73.22</v>
      </c>
      <c r="L66" s="77">
        <f>_xlfn.XLOOKUP(L$51,'Vastgestelde parameters'!$F$4:$Z$4,'Vastgestelde parameters'!$F$19:$Z$19,,0)</f>
        <v>73.33</v>
      </c>
      <c r="M66" s="77">
        <f>_xlfn.XLOOKUP(M$51,'Vastgestelde parameters'!$F$4:$Z$4,'Vastgestelde parameters'!$F$19:$Z$19,,0)</f>
        <v>73.44</v>
      </c>
      <c r="N66" s="77">
        <f>_xlfn.XLOOKUP(N$51,'Vastgestelde parameters'!$F$4:$Z$4,'Vastgestelde parameters'!$F$19:$Z$19,,0)</f>
        <v>73.540000000000006</v>
      </c>
      <c r="O66" s="77"/>
    </row>
    <row r="67" spans="2:15" ht="15.75" thickBot="1" x14ac:dyDescent="0.3">
      <c r="B67" s="39" t="s">
        <v>98</v>
      </c>
      <c r="C67" s="39" t="s">
        <v>99</v>
      </c>
      <c r="D67" s="40" t="s">
        <v>100</v>
      </c>
      <c r="E67" s="75">
        <f>_xlfn.XLOOKUP(E$51,'Vastgestelde parameters'!$F$4:$Z$4,'Vastgestelde parameters'!$F$20:$Z$20,,0)</f>
        <v>79.73</v>
      </c>
      <c r="F67" s="75">
        <f>_xlfn.XLOOKUP(F$51,'Vastgestelde parameters'!$F$4:$Z$4,'Vastgestelde parameters'!$F$20:$Z$20,,0)</f>
        <v>79.52</v>
      </c>
      <c r="G67" s="75">
        <f>_xlfn.XLOOKUP(G$51,'Vastgestelde parameters'!$F$4:$Z$4,'Vastgestelde parameters'!$F$20:$Z$20,,0)</f>
        <v>79.319999999999993</v>
      </c>
      <c r="H67" s="75">
        <f>_xlfn.XLOOKUP(H$51,'Vastgestelde parameters'!$F$4:$Z$4,'Vastgestelde parameters'!$F$20:$Z$20,,0)</f>
        <v>79.12</v>
      </c>
      <c r="I67" s="75">
        <f>_xlfn.XLOOKUP(I$51,'Vastgestelde parameters'!$F$4:$Z$4,'Vastgestelde parameters'!$F$20:$Z$20,,0)</f>
        <v>78.92</v>
      </c>
      <c r="J67" s="75">
        <f>_xlfn.XLOOKUP(J$51,'Vastgestelde parameters'!$F$4:$Z$4,'Vastgestelde parameters'!$F$20:$Z$20,,0)</f>
        <v>78.72</v>
      </c>
      <c r="K67" s="75">
        <f>_xlfn.XLOOKUP(K$51,'Vastgestelde parameters'!$F$4:$Z$4,'Vastgestelde parameters'!$F$20:$Z$20,,0)</f>
        <v>78.510000000000005</v>
      </c>
      <c r="L67" s="75">
        <f>_xlfn.XLOOKUP(L$51,'Vastgestelde parameters'!$F$4:$Z$4,'Vastgestelde parameters'!$F$20:$Z$20,,0)</f>
        <v>78.31</v>
      </c>
      <c r="M67" s="75">
        <f>_xlfn.XLOOKUP(M$51,'Vastgestelde parameters'!$F$4:$Z$4,'Vastgestelde parameters'!$F$20:$Z$20,,0)</f>
        <v>78.11</v>
      </c>
      <c r="N67" s="75">
        <f>_xlfn.XLOOKUP(N$51,'Vastgestelde parameters'!$F$4:$Z$4,'Vastgestelde parameters'!$F$20:$Z$20,,0)</f>
        <v>77.91</v>
      </c>
      <c r="O67" s="75"/>
    </row>
    <row r="68" spans="2:15" ht="18.75" thickBot="1" x14ac:dyDescent="0.4">
      <c r="B68" s="41" t="s">
        <v>323</v>
      </c>
      <c r="C68" s="41" t="s">
        <v>102</v>
      </c>
      <c r="D68" s="42" t="s">
        <v>97</v>
      </c>
      <c r="E68" s="78">
        <f>_xlfn.XLOOKUP(E$51,'Vastgestelde parameters'!$F$4:$Z$4,'Vastgestelde parameters'!$F$21:$Z$21,,0)</f>
        <v>90.26</v>
      </c>
      <c r="F68" s="78">
        <f>_xlfn.XLOOKUP(F$51,'Vastgestelde parameters'!$F$4:$Z$4,'Vastgestelde parameters'!$F$21:$Z$21,,0)</f>
        <v>90.26</v>
      </c>
      <c r="G68" s="78">
        <f>_xlfn.XLOOKUP(G$51,'Vastgestelde parameters'!$F$4:$Z$4,'Vastgestelde parameters'!$F$21:$Z$21,,0)</f>
        <v>90.26</v>
      </c>
      <c r="H68" s="78">
        <f>_xlfn.XLOOKUP(H$51,'Vastgestelde parameters'!$F$4:$Z$4,'Vastgestelde parameters'!$F$21:$Z$21,,0)</f>
        <v>90.26</v>
      </c>
      <c r="I68" s="78">
        <f>_xlfn.XLOOKUP(I$51,'Vastgestelde parameters'!$F$4:$Z$4,'Vastgestelde parameters'!$F$21:$Z$21,,0)</f>
        <v>90.26</v>
      </c>
      <c r="J68" s="78">
        <f>_xlfn.XLOOKUP(J$51,'Vastgestelde parameters'!$F$4:$Z$4,'Vastgestelde parameters'!$F$21:$Z$21,,0)</f>
        <v>90.26</v>
      </c>
      <c r="K68" s="78">
        <f>_xlfn.XLOOKUP(K$51,'Vastgestelde parameters'!$F$4:$Z$4,'Vastgestelde parameters'!$F$21:$Z$21,,0)</f>
        <v>90.26</v>
      </c>
      <c r="L68" s="78">
        <f>_xlfn.XLOOKUP(L$51,'Vastgestelde parameters'!$F$4:$Z$4,'Vastgestelde parameters'!$F$21:$Z$21,,0)</f>
        <v>90.26</v>
      </c>
      <c r="M68" s="78">
        <f>_xlfn.XLOOKUP(M$51,'Vastgestelde parameters'!$F$4:$Z$4,'Vastgestelde parameters'!$F$21:$Z$21,,0)</f>
        <v>90.26</v>
      </c>
      <c r="N68" s="78">
        <f>_xlfn.XLOOKUP(N$51,'Vastgestelde parameters'!$F$4:$Z$4,'Vastgestelde parameters'!$F$21:$Z$21,,0)</f>
        <v>90.26</v>
      </c>
      <c r="O68" s="78"/>
    </row>
    <row r="69" spans="2:15" x14ac:dyDescent="0.25">
      <c r="B69" s="37" t="s">
        <v>223</v>
      </c>
      <c r="C69" s="37" t="str">
        <f>IF(C45&lt;&gt;"",C45,"")</f>
        <v/>
      </c>
      <c r="D69" s="94" t="s">
        <v>222</v>
      </c>
      <c r="E69" s="168"/>
      <c r="F69" s="168"/>
      <c r="G69" s="168"/>
      <c r="H69" s="168"/>
      <c r="I69" s="168"/>
      <c r="J69" s="168"/>
      <c r="K69" s="168"/>
      <c r="L69" s="168"/>
      <c r="M69" s="168"/>
      <c r="N69" s="168"/>
      <c r="O69" s="89"/>
    </row>
    <row r="70" spans="2:15" x14ac:dyDescent="0.25">
      <c r="B70" s="37" t="s">
        <v>224</v>
      </c>
      <c r="C70" s="37" t="str">
        <f t="shared" ref="C70:C72" si="13">IF(C46&lt;&gt;"",C46,"")</f>
        <v/>
      </c>
      <c r="D70" s="94" t="s">
        <v>222</v>
      </c>
      <c r="E70" s="169"/>
      <c r="F70" s="169"/>
      <c r="G70" s="169"/>
      <c r="H70" s="169"/>
      <c r="I70" s="169"/>
      <c r="J70" s="169"/>
      <c r="K70" s="169"/>
      <c r="L70" s="169"/>
      <c r="M70" s="169"/>
      <c r="N70" s="169"/>
      <c r="O70" s="89"/>
    </row>
    <row r="71" spans="2:15" x14ac:dyDescent="0.25">
      <c r="B71" s="37" t="s">
        <v>225</v>
      </c>
      <c r="C71" s="37" t="str">
        <f t="shared" si="13"/>
        <v/>
      </c>
      <c r="D71" s="94" t="s">
        <v>222</v>
      </c>
      <c r="E71" s="169"/>
      <c r="F71" s="169"/>
      <c r="G71" s="169"/>
      <c r="H71" s="169"/>
      <c r="I71" s="169"/>
      <c r="J71" s="169"/>
      <c r="K71" s="169"/>
      <c r="L71" s="169"/>
      <c r="M71" s="169"/>
      <c r="N71" s="169"/>
      <c r="O71" s="89"/>
    </row>
    <row r="72" spans="2:15" x14ac:dyDescent="0.25">
      <c r="B72" s="37" t="s">
        <v>226</v>
      </c>
      <c r="C72" s="37" t="str">
        <f t="shared" si="13"/>
        <v/>
      </c>
      <c r="D72" s="94" t="s">
        <v>222</v>
      </c>
      <c r="E72" s="169"/>
      <c r="F72" s="169"/>
      <c r="G72" s="169"/>
      <c r="H72" s="169"/>
      <c r="I72" s="169"/>
      <c r="J72" s="169"/>
      <c r="K72" s="169"/>
      <c r="L72" s="169"/>
      <c r="M72" s="169"/>
      <c r="N72" s="169"/>
      <c r="O72" s="89"/>
    </row>
    <row r="73" spans="2:15" ht="28.5" customHeight="1" x14ac:dyDescent="0.25"/>
    <row r="74" spans="2:15" ht="25.5" x14ac:dyDescent="0.25">
      <c r="B74" s="11" t="s">
        <v>128</v>
      </c>
      <c r="E74" s="118" t="s">
        <v>170</v>
      </c>
      <c r="F74" s="118" t="s">
        <v>171</v>
      </c>
      <c r="G74" s="118" t="s">
        <v>172</v>
      </c>
      <c r="H74" s="118" t="s">
        <v>173</v>
      </c>
      <c r="I74" s="118" t="s">
        <v>174</v>
      </c>
      <c r="J74" s="118" t="s">
        <v>175</v>
      </c>
      <c r="K74" s="118" t="s">
        <v>176</v>
      </c>
      <c r="L74" s="118" t="s">
        <v>177</v>
      </c>
      <c r="M74" s="118" t="s">
        <v>178</v>
      </c>
      <c r="N74" s="118" t="s">
        <v>179</v>
      </c>
    </row>
    <row r="75" spans="2:15" ht="15.75" x14ac:dyDescent="0.25">
      <c r="B75" s="34" t="s">
        <v>11</v>
      </c>
      <c r="C75" s="34" t="s">
        <v>76</v>
      </c>
      <c r="D75" s="34" t="s">
        <v>23</v>
      </c>
      <c r="E75" s="34">
        <f>start_operatie</f>
        <v>2031</v>
      </c>
      <c r="F75" s="34">
        <f>E75+1</f>
        <v>2032</v>
      </c>
      <c r="G75" s="34">
        <f t="shared" ref="G75:N75" si="14">F75+1</f>
        <v>2033</v>
      </c>
      <c r="H75" s="34">
        <f t="shared" si="14"/>
        <v>2034</v>
      </c>
      <c r="I75" s="34">
        <f t="shared" si="14"/>
        <v>2035</v>
      </c>
      <c r="J75" s="34">
        <f t="shared" si="14"/>
        <v>2036</v>
      </c>
      <c r="K75" s="34">
        <f t="shared" si="14"/>
        <v>2037</v>
      </c>
      <c r="L75" s="34">
        <f t="shared" si="14"/>
        <v>2038</v>
      </c>
      <c r="M75" s="34">
        <f t="shared" si="14"/>
        <v>2039</v>
      </c>
      <c r="N75" s="34">
        <f t="shared" si="14"/>
        <v>2040</v>
      </c>
    </row>
    <row r="76" spans="2:15" ht="15.75" thickBot="1" x14ac:dyDescent="0.3">
      <c r="B76" s="39" t="s">
        <v>68</v>
      </c>
      <c r="C76" s="39" t="s">
        <v>113</v>
      </c>
      <c r="D76" s="40" t="s">
        <v>114</v>
      </c>
      <c r="E76" s="45">
        <f>E13*E52</f>
        <v>0</v>
      </c>
      <c r="F76" s="45">
        <f t="shared" ref="F76:N76" si="15">F13*F52</f>
        <v>0</v>
      </c>
      <c r="G76" s="45">
        <f t="shared" si="15"/>
        <v>0</v>
      </c>
      <c r="H76" s="45">
        <f t="shared" si="15"/>
        <v>0</v>
      </c>
      <c r="I76" s="45">
        <f t="shared" si="15"/>
        <v>0</v>
      </c>
      <c r="J76" s="45">
        <f t="shared" si="15"/>
        <v>0</v>
      </c>
      <c r="K76" s="45">
        <f t="shared" si="15"/>
        <v>0</v>
      </c>
      <c r="L76" s="45">
        <f t="shared" si="15"/>
        <v>0</v>
      </c>
      <c r="M76" s="45">
        <f t="shared" si="15"/>
        <v>0</v>
      </c>
      <c r="N76" s="45">
        <f t="shared" si="15"/>
        <v>0</v>
      </c>
    </row>
    <row r="77" spans="2:15" x14ac:dyDescent="0.25">
      <c r="B77" s="37" t="s">
        <v>92</v>
      </c>
      <c r="C77" s="37" t="s">
        <v>115</v>
      </c>
      <c r="D77" s="38" t="s">
        <v>114</v>
      </c>
      <c r="E77" s="44">
        <f>E21*E53</f>
        <v>0</v>
      </c>
      <c r="F77" s="44">
        <f t="shared" ref="F77:N77" si="16">F21*F53</f>
        <v>0</v>
      </c>
      <c r="G77" s="44">
        <f t="shared" si="16"/>
        <v>0</v>
      </c>
      <c r="H77" s="44">
        <f t="shared" si="16"/>
        <v>0</v>
      </c>
      <c r="I77" s="44">
        <f t="shared" si="16"/>
        <v>0</v>
      </c>
      <c r="J77" s="44">
        <f t="shared" si="16"/>
        <v>0</v>
      </c>
      <c r="K77" s="44">
        <f t="shared" si="16"/>
        <v>0</v>
      </c>
      <c r="L77" s="44">
        <f t="shared" si="16"/>
        <v>0</v>
      </c>
      <c r="M77" s="44">
        <f t="shared" si="16"/>
        <v>0</v>
      </c>
      <c r="N77" s="44">
        <f t="shared" si="16"/>
        <v>0</v>
      </c>
    </row>
    <row r="78" spans="2:15" x14ac:dyDescent="0.25">
      <c r="B78" s="35" t="s">
        <v>92</v>
      </c>
      <c r="C78" s="35" t="s">
        <v>116</v>
      </c>
      <c r="D78" s="36" t="s">
        <v>114</v>
      </c>
      <c r="E78" s="43">
        <f t="shared" ref="E78:N78" si="17">E22*E54</f>
        <v>0</v>
      </c>
      <c r="F78" s="43">
        <f t="shared" si="17"/>
        <v>0</v>
      </c>
      <c r="G78" s="43">
        <f t="shared" si="17"/>
        <v>0</v>
      </c>
      <c r="H78" s="43">
        <f t="shared" si="17"/>
        <v>0</v>
      </c>
      <c r="I78" s="43">
        <f t="shared" si="17"/>
        <v>0</v>
      </c>
      <c r="J78" s="43">
        <f t="shared" si="17"/>
        <v>0</v>
      </c>
      <c r="K78" s="43">
        <f t="shared" si="17"/>
        <v>0</v>
      </c>
      <c r="L78" s="43">
        <f t="shared" si="17"/>
        <v>0</v>
      </c>
      <c r="M78" s="43">
        <f t="shared" si="17"/>
        <v>0</v>
      </c>
      <c r="N78" s="43">
        <f t="shared" si="17"/>
        <v>0</v>
      </c>
    </row>
    <row r="79" spans="2:15" x14ac:dyDescent="0.25">
      <c r="B79" s="35" t="s">
        <v>92</v>
      </c>
      <c r="C79" s="35" t="s">
        <v>117</v>
      </c>
      <c r="D79" s="36" t="s">
        <v>114</v>
      </c>
      <c r="E79" s="43">
        <f t="shared" ref="E79:N79" si="18">E23*E55</f>
        <v>0</v>
      </c>
      <c r="F79" s="43">
        <f t="shared" si="18"/>
        <v>0</v>
      </c>
      <c r="G79" s="43">
        <f t="shared" si="18"/>
        <v>0</v>
      </c>
      <c r="H79" s="43">
        <f t="shared" si="18"/>
        <v>0</v>
      </c>
      <c r="I79" s="43">
        <f t="shared" si="18"/>
        <v>0</v>
      </c>
      <c r="J79" s="43">
        <f t="shared" si="18"/>
        <v>0</v>
      </c>
      <c r="K79" s="43">
        <f t="shared" si="18"/>
        <v>0</v>
      </c>
      <c r="L79" s="43">
        <f t="shared" si="18"/>
        <v>0</v>
      </c>
      <c r="M79" s="43">
        <f t="shared" si="18"/>
        <v>0</v>
      </c>
      <c r="N79" s="43">
        <f t="shared" si="18"/>
        <v>0</v>
      </c>
    </row>
    <row r="80" spans="2:15" x14ac:dyDescent="0.25">
      <c r="B80" s="35" t="s">
        <v>92</v>
      </c>
      <c r="C80" s="35" t="s">
        <v>118</v>
      </c>
      <c r="D80" s="36" t="s">
        <v>114</v>
      </c>
      <c r="E80" s="43">
        <f t="shared" ref="E80:N80" si="19">E24*E56</f>
        <v>0</v>
      </c>
      <c r="F80" s="43">
        <f t="shared" si="19"/>
        <v>0</v>
      </c>
      <c r="G80" s="43">
        <f t="shared" si="19"/>
        <v>0</v>
      </c>
      <c r="H80" s="43">
        <f t="shared" si="19"/>
        <v>0</v>
      </c>
      <c r="I80" s="43">
        <f t="shared" si="19"/>
        <v>0</v>
      </c>
      <c r="J80" s="43">
        <f t="shared" si="19"/>
        <v>0</v>
      </c>
      <c r="K80" s="43">
        <f t="shared" si="19"/>
        <v>0</v>
      </c>
      <c r="L80" s="43">
        <f t="shared" si="19"/>
        <v>0</v>
      </c>
      <c r="M80" s="43">
        <f t="shared" si="19"/>
        <v>0</v>
      </c>
      <c r="N80" s="43">
        <f t="shared" si="19"/>
        <v>0</v>
      </c>
    </row>
    <row r="81" spans="2:14" ht="15.75" thickBot="1" x14ac:dyDescent="0.3">
      <c r="B81" s="39" t="s">
        <v>92</v>
      </c>
      <c r="C81" s="39" t="s">
        <v>119</v>
      </c>
      <c r="D81" s="40" t="s">
        <v>114</v>
      </c>
      <c r="E81" s="45">
        <f t="shared" ref="E81:N81" si="20">E25*E57</f>
        <v>0</v>
      </c>
      <c r="F81" s="45">
        <f t="shared" si="20"/>
        <v>0</v>
      </c>
      <c r="G81" s="45">
        <f t="shared" si="20"/>
        <v>0</v>
      </c>
      <c r="H81" s="45">
        <f t="shared" si="20"/>
        <v>0</v>
      </c>
      <c r="I81" s="45">
        <f t="shared" si="20"/>
        <v>0</v>
      </c>
      <c r="J81" s="45">
        <f t="shared" si="20"/>
        <v>0</v>
      </c>
      <c r="K81" s="45">
        <f t="shared" si="20"/>
        <v>0</v>
      </c>
      <c r="L81" s="45">
        <f t="shared" si="20"/>
        <v>0</v>
      </c>
      <c r="M81" s="45">
        <f t="shared" si="20"/>
        <v>0</v>
      </c>
      <c r="N81" s="45">
        <f t="shared" si="20"/>
        <v>0</v>
      </c>
    </row>
    <row r="82" spans="2:14" ht="15.75" thickBot="1" x14ac:dyDescent="0.3">
      <c r="B82" s="41" t="s">
        <v>67</v>
      </c>
      <c r="C82" s="41" t="s">
        <v>120</v>
      </c>
      <c r="D82" s="42" t="s">
        <v>114</v>
      </c>
      <c r="E82" s="46">
        <f>E14*E58</f>
        <v>0</v>
      </c>
      <c r="F82" s="46">
        <f t="shared" ref="F82:N82" si="21">F14*F58</f>
        <v>0</v>
      </c>
      <c r="G82" s="46">
        <f t="shared" si="21"/>
        <v>0</v>
      </c>
      <c r="H82" s="46">
        <f t="shared" si="21"/>
        <v>0</v>
      </c>
      <c r="I82" s="46">
        <f t="shared" si="21"/>
        <v>0</v>
      </c>
      <c r="J82" s="46">
        <f t="shared" si="21"/>
        <v>0</v>
      </c>
      <c r="K82" s="46">
        <f t="shared" si="21"/>
        <v>0</v>
      </c>
      <c r="L82" s="46">
        <f t="shared" si="21"/>
        <v>0</v>
      </c>
      <c r="M82" s="46">
        <f t="shared" si="21"/>
        <v>0</v>
      </c>
      <c r="N82" s="46">
        <f t="shared" si="21"/>
        <v>0</v>
      </c>
    </row>
    <row r="83" spans="2:14" x14ac:dyDescent="0.25">
      <c r="B83" s="37" t="s">
        <v>93</v>
      </c>
      <c r="C83" s="37" t="s">
        <v>84</v>
      </c>
      <c r="D83" s="38" t="s">
        <v>114</v>
      </c>
      <c r="E83" s="44">
        <f>E26*E59</f>
        <v>0</v>
      </c>
      <c r="F83" s="44">
        <f t="shared" ref="F83:N83" si="22">F26*F59</f>
        <v>0</v>
      </c>
      <c r="G83" s="44">
        <f t="shared" si="22"/>
        <v>0</v>
      </c>
      <c r="H83" s="44">
        <f t="shared" si="22"/>
        <v>0</v>
      </c>
      <c r="I83" s="44">
        <f t="shared" si="22"/>
        <v>0</v>
      </c>
      <c r="J83" s="44">
        <f t="shared" si="22"/>
        <v>0</v>
      </c>
      <c r="K83" s="44">
        <f t="shared" si="22"/>
        <v>0</v>
      </c>
      <c r="L83" s="44">
        <f t="shared" si="22"/>
        <v>0</v>
      </c>
      <c r="M83" s="44">
        <f t="shared" si="22"/>
        <v>0</v>
      </c>
      <c r="N83" s="44">
        <f t="shared" si="22"/>
        <v>0</v>
      </c>
    </row>
    <row r="84" spans="2:14" x14ac:dyDescent="0.25">
      <c r="B84" s="35" t="s">
        <v>93</v>
      </c>
      <c r="C84" s="35" t="s">
        <v>85</v>
      </c>
      <c r="D84" s="36" t="s">
        <v>114</v>
      </c>
      <c r="E84" s="43">
        <f t="shared" ref="E84:N84" si="23">E27*E60</f>
        <v>0</v>
      </c>
      <c r="F84" s="43">
        <f t="shared" si="23"/>
        <v>0</v>
      </c>
      <c r="G84" s="43">
        <f t="shared" si="23"/>
        <v>0</v>
      </c>
      <c r="H84" s="43">
        <f t="shared" si="23"/>
        <v>0</v>
      </c>
      <c r="I84" s="43">
        <f t="shared" si="23"/>
        <v>0</v>
      </c>
      <c r="J84" s="43">
        <f t="shared" si="23"/>
        <v>0</v>
      </c>
      <c r="K84" s="43">
        <f t="shared" si="23"/>
        <v>0</v>
      </c>
      <c r="L84" s="43">
        <f t="shared" si="23"/>
        <v>0</v>
      </c>
      <c r="M84" s="43">
        <f t="shared" si="23"/>
        <v>0</v>
      </c>
      <c r="N84" s="43">
        <f t="shared" si="23"/>
        <v>0</v>
      </c>
    </row>
    <row r="85" spans="2:14" x14ac:dyDescent="0.25">
      <c r="B85" s="35" t="s">
        <v>93</v>
      </c>
      <c r="C85" s="35" t="s">
        <v>86</v>
      </c>
      <c r="D85" s="36" t="s">
        <v>114</v>
      </c>
      <c r="E85" s="43">
        <f t="shared" ref="E85:N85" si="24">E28*E61</f>
        <v>0</v>
      </c>
      <c r="F85" s="43">
        <f t="shared" si="24"/>
        <v>0</v>
      </c>
      <c r="G85" s="43">
        <f t="shared" si="24"/>
        <v>0</v>
      </c>
      <c r="H85" s="43">
        <f t="shared" si="24"/>
        <v>0</v>
      </c>
      <c r="I85" s="43">
        <f t="shared" si="24"/>
        <v>0</v>
      </c>
      <c r="J85" s="43">
        <f t="shared" si="24"/>
        <v>0</v>
      </c>
      <c r="K85" s="43">
        <f t="shared" si="24"/>
        <v>0</v>
      </c>
      <c r="L85" s="43">
        <f t="shared" si="24"/>
        <v>0</v>
      </c>
      <c r="M85" s="43">
        <f t="shared" si="24"/>
        <v>0</v>
      </c>
      <c r="N85" s="43">
        <f t="shared" si="24"/>
        <v>0</v>
      </c>
    </row>
    <row r="86" spans="2:14" x14ac:dyDescent="0.25">
      <c r="B86" s="35" t="s">
        <v>93</v>
      </c>
      <c r="C86" s="35" t="s">
        <v>87</v>
      </c>
      <c r="D86" s="36" t="s">
        <v>114</v>
      </c>
      <c r="E86" s="43">
        <f t="shared" ref="E86:N86" si="25">E29*E62</f>
        <v>0</v>
      </c>
      <c r="F86" s="43">
        <f t="shared" si="25"/>
        <v>0</v>
      </c>
      <c r="G86" s="43">
        <f t="shared" si="25"/>
        <v>0</v>
      </c>
      <c r="H86" s="43">
        <f t="shared" si="25"/>
        <v>0</v>
      </c>
      <c r="I86" s="43">
        <f t="shared" si="25"/>
        <v>0</v>
      </c>
      <c r="J86" s="43">
        <f t="shared" si="25"/>
        <v>0</v>
      </c>
      <c r="K86" s="43">
        <f t="shared" si="25"/>
        <v>0</v>
      </c>
      <c r="L86" s="43">
        <f t="shared" si="25"/>
        <v>0</v>
      </c>
      <c r="M86" s="43">
        <f t="shared" si="25"/>
        <v>0</v>
      </c>
      <c r="N86" s="43">
        <f t="shared" si="25"/>
        <v>0</v>
      </c>
    </row>
    <row r="87" spans="2:14" ht="15.75" thickBot="1" x14ac:dyDescent="0.3">
      <c r="B87" s="39" t="s">
        <v>93</v>
      </c>
      <c r="C87" s="39" t="s">
        <v>88</v>
      </c>
      <c r="D87" s="40" t="s">
        <v>114</v>
      </c>
      <c r="E87" s="45">
        <f>E30*E63</f>
        <v>0</v>
      </c>
      <c r="F87" s="45">
        <f t="shared" ref="F87:N87" si="26">F30*F63</f>
        <v>0</v>
      </c>
      <c r="G87" s="45">
        <f t="shared" si="26"/>
        <v>0</v>
      </c>
      <c r="H87" s="45">
        <f t="shared" si="26"/>
        <v>0</v>
      </c>
      <c r="I87" s="45">
        <f t="shared" si="26"/>
        <v>0</v>
      </c>
      <c r="J87" s="45">
        <f t="shared" si="26"/>
        <v>0</v>
      </c>
      <c r="K87" s="45">
        <f t="shared" si="26"/>
        <v>0</v>
      </c>
      <c r="L87" s="45">
        <f t="shared" si="26"/>
        <v>0</v>
      </c>
      <c r="M87" s="45">
        <f t="shared" si="26"/>
        <v>0</v>
      </c>
      <c r="N87" s="45">
        <f t="shared" si="26"/>
        <v>0</v>
      </c>
    </row>
    <row r="88" spans="2:14" ht="15.75" thickBot="1" x14ac:dyDescent="0.3">
      <c r="B88" s="41" t="s">
        <v>221</v>
      </c>
      <c r="C88" s="41" t="s">
        <v>89</v>
      </c>
      <c r="D88" s="42" t="s">
        <v>114</v>
      </c>
      <c r="E88" s="46">
        <f>E$35*E$64</f>
        <v>0</v>
      </c>
      <c r="F88" s="46">
        <f t="shared" ref="F88:N88" si="27">F$35*F$64</f>
        <v>0</v>
      </c>
      <c r="G88" s="46">
        <f t="shared" si="27"/>
        <v>0</v>
      </c>
      <c r="H88" s="46">
        <f t="shared" si="27"/>
        <v>0</v>
      </c>
      <c r="I88" s="46">
        <f t="shared" si="27"/>
        <v>0</v>
      </c>
      <c r="J88" s="46">
        <f t="shared" si="27"/>
        <v>0</v>
      </c>
      <c r="K88" s="46">
        <f t="shared" si="27"/>
        <v>0</v>
      </c>
      <c r="L88" s="46">
        <f t="shared" si="27"/>
        <v>0</v>
      </c>
      <c r="M88" s="46">
        <f t="shared" si="27"/>
        <v>0</v>
      </c>
      <c r="N88" s="46">
        <f t="shared" si="27"/>
        <v>0</v>
      </c>
    </row>
    <row r="89" spans="2:14" x14ac:dyDescent="0.25">
      <c r="B89" s="37" t="s">
        <v>69</v>
      </c>
      <c r="C89" s="37" t="s">
        <v>108</v>
      </c>
      <c r="D89" s="38" t="s">
        <v>114</v>
      </c>
      <c r="E89" s="44">
        <f>E65*E15</f>
        <v>0</v>
      </c>
      <c r="F89" s="44">
        <f t="shared" ref="F89:N89" si="28">F65*F15</f>
        <v>0</v>
      </c>
      <c r="G89" s="44">
        <f t="shared" si="28"/>
        <v>0</v>
      </c>
      <c r="H89" s="44">
        <f t="shared" si="28"/>
        <v>0</v>
      </c>
      <c r="I89" s="44">
        <f t="shared" si="28"/>
        <v>0</v>
      </c>
      <c r="J89" s="44">
        <f t="shared" si="28"/>
        <v>0</v>
      </c>
      <c r="K89" s="44">
        <f t="shared" si="28"/>
        <v>0</v>
      </c>
      <c r="L89" s="44">
        <f t="shared" si="28"/>
        <v>0</v>
      </c>
      <c r="M89" s="44">
        <f t="shared" si="28"/>
        <v>0</v>
      </c>
      <c r="N89" s="44">
        <f t="shared" si="28"/>
        <v>0</v>
      </c>
    </row>
    <row r="90" spans="2:14" x14ac:dyDescent="0.25">
      <c r="B90" s="35" t="s">
        <v>95</v>
      </c>
      <c r="C90" s="35" t="s">
        <v>110</v>
      </c>
      <c r="D90" s="36" t="s">
        <v>114</v>
      </c>
      <c r="E90" s="43">
        <f>E66*E16</f>
        <v>0</v>
      </c>
      <c r="F90" s="43">
        <f t="shared" ref="F90:N90" si="29">F66*F16</f>
        <v>0</v>
      </c>
      <c r="G90" s="43">
        <f t="shared" si="29"/>
        <v>0</v>
      </c>
      <c r="H90" s="43">
        <f t="shared" si="29"/>
        <v>0</v>
      </c>
      <c r="I90" s="43">
        <f t="shared" si="29"/>
        <v>0</v>
      </c>
      <c r="J90" s="43">
        <f t="shared" si="29"/>
        <v>0</v>
      </c>
      <c r="K90" s="43">
        <f t="shared" si="29"/>
        <v>0</v>
      </c>
      <c r="L90" s="43">
        <f t="shared" si="29"/>
        <v>0</v>
      </c>
      <c r="M90" s="43">
        <f t="shared" si="29"/>
        <v>0</v>
      </c>
      <c r="N90" s="43">
        <f t="shared" si="29"/>
        <v>0</v>
      </c>
    </row>
    <row r="91" spans="2:14" ht="15.75" thickBot="1" x14ac:dyDescent="0.3">
      <c r="B91" s="39" t="s">
        <v>98</v>
      </c>
      <c r="C91" s="39" t="s">
        <v>112</v>
      </c>
      <c r="D91" s="40" t="s">
        <v>114</v>
      </c>
      <c r="E91" s="45">
        <f>E67*E17</f>
        <v>0</v>
      </c>
      <c r="F91" s="45">
        <f t="shared" ref="F91:N91" si="30">F67*F17</f>
        <v>0</v>
      </c>
      <c r="G91" s="45">
        <f t="shared" si="30"/>
        <v>0</v>
      </c>
      <c r="H91" s="45">
        <f t="shared" si="30"/>
        <v>0</v>
      </c>
      <c r="I91" s="45">
        <f t="shared" si="30"/>
        <v>0</v>
      </c>
      <c r="J91" s="45">
        <f t="shared" si="30"/>
        <v>0</v>
      </c>
      <c r="K91" s="45">
        <f t="shared" si="30"/>
        <v>0</v>
      </c>
      <c r="L91" s="45">
        <f t="shared" si="30"/>
        <v>0</v>
      </c>
      <c r="M91" s="45">
        <f t="shared" si="30"/>
        <v>0</v>
      </c>
      <c r="N91" s="45">
        <f t="shared" si="30"/>
        <v>0</v>
      </c>
    </row>
    <row r="92" spans="2:14" ht="18" x14ac:dyDescent="0.35">
      <c r="B92" s="37" t="s">
        <v>309</v>
      </c>
      <c r="C92" s="35" t="s">
        <v>307</v>
      </c>
      <c r="D92" s="38" t="s">
        <v>114</v>
      </c>
      <c r="E92" s="44">
        <f>E39*E$68</f>
        <v>0</v>
      </c>
      <c r="F92" s="44">
        <f t="shared" ref="F92:N92" si="31">F39*F$68</f>
        <v>0</v>
      </c>
      <c r="G92" s="44">
        <f t="shared" si="31"/>
        <v>0</v>
      </c>
      <c r="H92" s="44">
        <f t="shared" si="31"/>
        <v>0</v>
      </c>
      <c r="I92" s="44">
        <f t="shared" si="31"/>
        <v>0</v>
      </c>
      <c r="J92" s="44">
        <f t="shared" si="31"/>
        <v>0</v>
      </c>
      <c r="K92" s="44">
        <f t="shared" si="31"/>
        <v>0</v>
      </c>
      <c r="L92" s="44">
        <f t="shared" si="31"/>
        <v>0</v>
      </c>
      <c r="M92" s="44">
        <f t="shared" si="31"/>
        <v>0</v>
      </c>
      <c r="N92" s="44">
        <f t="shared" si="31"/>
        <v>0</v>
      </c>
    </row>
    <row r="93" spans="2:14" ht="18" x14ac:dyDescent="0.35">
      <c r="B93" s="35" t="s">
        <v>310</v>
      </c>
      <c r="C93" s="35" t="s">
        <v>307</v>
      </c>
      <c r="D93" s="36" t="s">
        <v>114</v>
      </c>
      <c r="E93" s="43">
        <f t="shared" ref="E93:N93" si="32">E40*E$68</f>
        <v>0</v>
      </c>
      <c r="F93" s="43">
        <f t="shared" si="32"/>
        <v>0</v>
      </c>
      <c r="G93" s="43">
        <f t="shared" si="32"/>
        <v>0</v>
      </c>
      <c r="H93" s="43">
        <f t="shared" si="32"/>
        <v>0</v>
      </c>
      <c r="I93" s="43">
        <f t="shared" si="32"/>
        <v>0</v>
      </c>
      <c r="J93" s="43">
        <f t="shared" si="32"/>
        <v>0</v>
      </c>
      <c r="K93" s="43">
        <f t="shared" si="32"/>
        <v>0</v>
      </c>
      <c r="L93" s="43">
        <f t="shared" si="32"/>
        <v>0</v>
      </c>
      <c r="M93" s="43">
        <f t="shared" si="32"/>
        <v>0</v>
      </c>
      <c r="N93" s="43">
        <f t="shared" si="32"/>
        <v>0</v>
      </c>
    </row>
    <row r="94" spans="2:14" ht="18.75" thickBot="1" x14ac:dyDescent="0.4">
      <c r="B94" s="39" t="s">
        <v>311</v>
      </c>
      <c r="C94" s="35" t="s">
        <v>307</v>
      </c>
      <c r="D94" s="40" t="s">
        <v>114</v>
      </c>
      <c r="E94" s="45">
        <f t="shared" ref="E94:N94" si="33">E41*E$68</f>
        <v>0</v>
      </c>
      <c r="F94" s="45">
        <f t="shared" si="33"/>
        <v>0</v>
      </c>
      <c r="G94" s="45">
        <f t="shared" si="33"/>
        <v>0</v>
      </c>
      <c r="H94" s="45">
        <f t="shared" si="33"/>
        <v>0</v>
      </c>
      <c r="I94" s="45">
        <f t="shared" si="33"/>
        <v>0</v>
      </c>
      <c r="J94" s="45">
        <f t="shared" si="33"/>
        <v>0</v>
      </c>
      <c r="K94" s="45">
        <f t="shared" si="33"/>
        <v>0</v>
      </c>
      <c r="L94" s="45">
        <f t="shared" si="33"/>
        <v>0</v>
      </c>
      <c r="M94" s="45">
        <f t="shared" si="33"/>
        <v>0</v>
      </c>
      <c r="N94" s="45">
        <f t="shared" si="33"/>
        <v>0</v>
      </c>
    </row>
    <row r="95" spans="2:14" x14ac:dyDescent="0.25">
      <c r="B95" s="37" t="s">
        <v>121</v>
      </c>
      <c r="C95" s="37" t="str">
        <f>IF(C45&lt;&gt;"",C45,"")</f>
        <v/>
      </c>
      <c r="D95" s="38" t="s">
        <v>114</v>
      </c>
      <c r="E95" s="44">
        <f>E45*E69</f>
        <v>0</v>
      </c>
      <c r="F95" s="44">
        <f t="shared" ref="F95:N95" si="34">F45*F69</f>
        <v>0</v>
      </c>
      <c r="G95" s="44">
        <f t="shared" si="34"/>
        <v>0</v>
      </c>
      <c r="H95" s="44">
        <f t="shared" si="34"/>
        <v>0</v>
      </c>
      <c r="I95" s="44">
        <f t="shared" si="34"/>
        <v>0</v>
      </c>
      <c r="J95" s="44">
        <f t="shared" si="34"/>
        <v>0</v>
      </c>
      <c r="K95" s="44">
        <f t="shared" si="34"/>
        <v>0</v>
      </c>
      <c r="L95" s="44">
        <f t="shared" si="34"/>
        <v>0</v>
      </c>
      <c r="M95" s="44">
        <f t="shared" si="34"/>
        <v>0</v>
      </c>
      <c r="N95" s="44">
        <f t="shared" si="34"/>
        <v>0</v>
      </c>
    </row>
    <row r="96" spans="2:14" x14ac:dyDescent="0.25">
      <c r="B96" s="35" t="s">
        <v>121</v>
      </c>
      <c r="C96" s="35" t="str">
        <f t="shared" ref="C96" si="35">IF(C46&lt;&gt;"",C46,"")</f>
        <v/>
      </c>
      <c r="D96" s="36" t="s">
        <v>114</v>
      </c>
      <c r="E96" s="43">
        <f>E46*E70</f>
        <v>0</v>
      </c>
      <c r="F96" s="43">
        <f t="shared" ref="F96:N96" si="36">F46*F70</f>
        <v>0</v>
      </c>
      <c r="G96" s="43">
        <f t="shared" si="36"/>
        <v>0</v>
      </c>
      <c r="H96" s="43">
        <f t="shared" si="36"/>
        <v>0</v>
      </c>
      <c r="I96" s="43">
        <f>I46*I70</f>
        <v>0</v>
      </c>
      <c r="J96" s="43">
        <f t="shared" si="36"/>
        <v>0</v>
      </c>
      <c r="K96" s="43">
        <f t="shared" si="36"/>
        <v>0</v>
      </c>
      <c r="L96" s="43">
        <f t="shared" si="36"/>
        <v>0</v>
      </c>
      <c r="M96" s="43">
        <f t="shared" si="36"/>
        <v>0</v>
      </c>
      <c r="N96" s="43">
        <f t="shared" si="36"/>
        <v>0</v>
      </c>
    </row>
    <row r="97" spans="2:25" x14ac:dyDescent="0.25">
      <c r="B97" s="35" t="s">
        <v>121</v>
      </c>
      <c r="C97" s="35" t="str">
        <f t="shared" ref="C97" si="37">IF(C47&lt;&gt;"",C47,"")</f>
        <v/>
      </c>
      <c r="D97" s="36" t="s">
        <v>114</v>
      </c>
      <c r="E97" s="43">
        <f t="shared" ref="E97:N97" si="38">E47*E71</f>
        <v>0</v>
      </c>
      <c r="F97" s="43">
        <f t="shared" si="38"/>
        <v>0</v>
      </c>
      <c r="G97" s="43">
        <f t="shared" si="38"/>
        <v>0</v>
      </c>
      <c r="H97" s="43">
        <f t="shared" si="38"/>
        <v>0</v>
      </c>
      <c r="I97" s="43">
        <f t="shared" si="38"/>
        <v>0</v>
      </c>
      <c r="J97" s="43">
        <f t="shared" si="38"/>
        <v>0</v>
      </c>
      <c r="K97" s="43">
        <f t="shared" si="38"/>
        <v>0</v>
      </c>
      <c r="L97" s="43">
        <f t="shared" si="38"/>
        <v>0</v>
      </c>
      <c r="M97" s="43">
        <f t="shared" si="38"/>
        <v>0</v>
      </c>
      <c r="N97" s="43">
        <f t="shared" si="38"/>
        <v>0</v>
      </c>
    </row>
    <row r="98" spans="2:25" ht="15.75" thickBot="1" x14ac:dyDescent="0.3">
      <c r="B98" s="35" t="s">
        <v>121</v>
      </c>
      <c r="C98" s="35" t="str">
        <f t="shared" ref="C98" si="39">IF(C48&lt;&gt;"",C48,"")</f>
        <v/>
      </c>
      <c r="D98" s="36" t="s">
        <v>114</v>
      </c>
      <c r="E98" s="50">
        <f t="shared" ref="E98:N98" si="40">E48*E72</f>
        <v>0</v>
      </c>
      <c r="F98" s="50">
        <f t="shared" si="40"/>
        <v>0</v>
      </c>
      <c r="G98" s="50">
        <f t="shared" si="40"/>
        <v>0</v>
      </c>
      <c r="H98" s="50">
        <f t="shared" si="40"/>
        <v>0</v>
      </c>
      <c r="I98" s="50">
        <f t="shared" si="40"/>
        <v>0</v>
      </c>
      <c r="J98" s="50">
        <f t="shared" si="40"/>
        <v>0</v>
      </c>
      <c r="K98" s="50">
        <f t="shared" si="40"/>
        <v>0</v>
      </c>
      <c r="L98" s="50">
        <f t="shared" si="40"/>
        <v>0</v>
      </c>
      <c r="M98" s="50">
        <f t="shared" si="40"/>
        <v>0</v>
      </c>
      <c r="N98" s="50">
        <f t="shared" si="40"/>
        <v>0</v>
      </c>
    </row>
    <row r="99" spans="2:25" ht="15.75" thickTop="1" x14ac:dyDescent="0.25">
      <c r="B99" s="48" t="s">
        <v>50</v>
      </c>
      <c r="C99" s="48"/>
      <c r="D99" s="159" t="s">
        <v>114</v>
      </c>
      <c r="E99" s="49">
        <f>SUM(E76:E98)</f>
        <v>0</v>
      </c>
      <c r="F99" s="49">
        <f t="shared" ref="F99:N99" si="41">SUM(F76:F98)</f>
        <v>0</v>
      </c>
      <c r="G99" s="49">
        <f t="shared" si="41"/>
        <v>0</v>
      </c>
      <c r="H99" s="49">
        <f t="shared" si="41"/>
        <v>0</v>
      </c>
      <c r="I99" s="49">
        <f t="shared" si="41"/>
        <v>0</v>
      </c>
      <c r="J99" s="49">
        <f t="shared" si="41"/>
        <v>0</v>
      </c>
      <c r="K99" s="49">
        <f t="shared" si="41"/>
        <v>0</v>
      </c>
      <c r="L99" s="49">
        <f t="shared" si="41"/>
        <v>0</v>
      </c>
      <c r="M99" s="49">
        <f t="shared" si="41"/>
        <v>0</v>
      </c>
      <c r="N99" s="147">
        <f t="shared" si="41"/>
        <v>0</v>
      </c>
    </row>
    <row r="100" spans="2:25" x14ac:dyDescent="0.25"/>
    <row r="101" spans="2:25" ht="18.75" customHeight="1" x14ac:dyDescent="0.25">
      <c r="B101" s="148" t="s">
        <v>203</v>
      </c>
      <c r="C101" s="149"/>
      <c r="D101" s="149"/>
      <c r="E101" s="149"/>
      <c r="F101" s="149"/>
      <c r="G101" s="149"/>
      <c r="H101" s="149"/>
      <c r="I101" s="149"/>
      <c r="J101" s="149"/>
      <c r="K101" s="149"/>
      <c r="L101" s="149"/>
      <c r="M101" s="149"/>
      <c r="N101" s="150"/>
      <c r="O101" s="142"/>
      <c r="P101" s="142"/>
      <c r="Q101" s="142"/>
      <c r="R101" s="142"/>
      <c r="S101" s="142"/>
      <c r="T101" s="142"/>
      <c r="U101" s="142"/>
      <c r="V101" s="142"/>
      <c r="W101" s="142"/>
      <c r="X101" s="142"/>
      <c r="Y101" s="142"/>
    </row>
    <row r="102" spans="2:25" ht="15" customHeight="1" x14ac:dyDescent="0.25">
      <c r="B102" s="232"/>
      <c r="C102" s="233"/>
      <c r="D102" s="233"/>
      <c r="E102" s="233"/>
      <c r="F102" s="233"/>
      <c r="G102" s="233"/>
      <c r="H102" s="233"/>
      <c r="I102" s="233"/>
      <c r="J102" s="233"/>
      <c r="K102" s="233"/>
      <c r="L102" s="233"/>
      <c r="M102" s="233"/>
      <c r="N102" s="234"/>
      <c r="O102" s="142"/>
      <c r="P102" s="142"/>
      <c r="Q102" s="142"/>
      <c r="R102" s="142"/>
      <c r="S102" s="142"/>
      <c r="T102" s="142"/>
      <c r="U102" s="142"/>
      <c r="V102" s="142"/>
      <c r="W102" s="142"/>
      <c r="X102" s="142"/>
      <c r="Y102" s="142"/>
    </row>
    <row r="103" spans="2:25" ht="15" customHeight="1" x14ac:dyDescent="0.25">
      <c r="B103" s="232"/>
      <c r="C103" s="233"/>
      <c r="D103" s="233"/>
      <c r="E103" s="233"/>
      <c r="F103" s="233"/>
      <c r="G103" s="233"/>
      <c r="H103" s="233"/>
      <c r="I103" s="233"/>
      <c r="J103" s="233"/>
      <c r="K103" s="233"/>
      <c r="L103" s="233"/>
      <c r="M103" s="233"/>
      <c r="N103" s="234"/>
      <c r="O103" s="142"/>
      <c r="P103" s="142"/>
      <c r="Q103" s="142"/>
      <c r="R103" s="142"/>
      <c r="S103" s="142"/>
      <c r="T103" s="142"/>
      <c r="U103" s="142"/>
      <c r="V103" s="142"/>
      <c r="W103" s="142"/>
      <c r="X103" s="142"/>
      <c r="Y103" s="142"/>
    </row>
    <row r="104" spans="2:25" ht="15" customHeight="1" x14ac:dyDescent="0.25">
      <c r="B104" s="232"/>
      <c r="C104" s="233"/>
      <c r="D104" s="233"/>
      <c r="E104" s="233"/>
      <c r="F104" s="233"/>
      <c r="G104" s="233"/>
      <c r="H104" s="233"/>
      <c r="I104" s="233"/>
      <c r="J104" s="233"/>
      <c r="K104" s="233"/>
      <c r="L104" s="233"/>
      <c r="M104" s="233"/>
      <c r="N104" s="234"/>
      <c r="O104" s="142"/>
      <c r="P104" s="142"/>
      <c r="Q104" s="142"/>
      <c r="R104" s="142"/>
      <c r="S104" s="142"/>
      <c r="T104" s="142"/>
      <c r="U104" s="142"/>
      <c r="V104" s="142"/>
      <c r="W104" s="142"/>
      <c r="X104" s="142"/>
      <c r="Y104" s="142"/>
    </row>
    <row r="105" spans="2:25" ht="15" customHeight="1" x14ac:dyDescent="0.25">
      <c r="B105" s="232"/>
      <c r="C105" s="233"/>
      <c r="D105" s="233"/>
      <c r="E105" s="233"/>
      <c r="F105" s="233"/>
      <c r="G105" s="233"/>
      <c r="H105" s="233"/>
      <c r="I105" s="233"/>
      <c r="J105" s="233"/>
      <c r="K105" s="233"/>
      <c r="L105" s="233"/>
      <c r="M105" s="233"/>
      <c r="N105" s="234"/>
      <c r="O105" s="142"/>
      <c r="P105" s="142"/>
      <c r="Q105" s="142"/>
      <c r="R105" s="142"/>
      <c r="S105" s="142"/>
      <c r="T105" s="142"/>
      <c r="U105" s="142"/>
      <c r="V105" s="142"/>
      <c r="W105" s="142"/>
      <c r="X105" s="142"/>
      <c r="Y105" s="142"/>
    </row>
    <row r="106" spans="2:25" ht="15" customHeight="1" x14ac:dyDescent="0.25">
      <c r="B106" s="232"/>
      <c r="C106" s="233"/>
      <c r="D106" s="233"/>
      <c r="E106" s="233"/>
      <c r="F106" s="233"/>
      <c r="G106" s="233"/>
      <c r="H106" s="233"/>
      <c r="I106" s="233"/>
      <c r="J106" s="233"/>
      <c r="K106" s="233"/>
      <c r="L106" s="233"/>
      <c r="M106" s="233"/>
      <c r="N106" s="234"/>
      <c r="O106" s="142"/>
      <c r="P106" s="142"/>
      <c r="Q106" s="142"/>
      <c r="R106" s="142"/>
      <c r="S106" s="142"/>
      <c r="T106" s="142"/>
      <c r="U106" s="142"/>
      <c r="V106" s="142"/>
      <c r="W106" s="142"/>
      <c r="X106" s="142"/>
      <c r="Y106" s="142"/>
    </row>
    <row r="107" spans="2:25" ht="15" customHeight="1" x14ac:dyDescent="0.25">
      <c r="B107" s="232"/>
      <c r="C107" s="233"/>
      <c r="D107" s="233"/>
      <c r="E107" s="233"/>
      <c r="F107" s="233"/>
      <c r="G107" s="233"/>
      <c r="H107" s="233"/>
      <c r="I107" s="233"/>
      <c r="J107" s="233"/>
      <c r="K107" s="233"/>
      <c r="L107" s="233"/>
      <c r="M107" s="233"/>
      <c r="N107" s="234"/>
      <c r="O107" s="142"/>
      <c r="P107" s="142"/>
      <c r="Q107" s="142"/>
      <c r="R107" s="142"/>
      <c r="S107" s="142"/>
      <c r="T107" s="142"/>
      <c r="U107" s="142"/>
      <c r="V107" s="142"/>
      <c r="W107" s="142"/>
      <c r="X107" s="142"/>
      <c r="Y107" s="142"/>
    </row>
    <row r="108" spans="2:25" ht="15" customHeight="1" x14ac:dyDescent="0.25">
      <c r="B108" s="232"/>
      <c r="C108" s="233"/>
      <c r="D108" s="233"/>
      <c r="E108" s="233"/>
      <c r="F108" s="233"/>
      <c r="G108" s="233"/>
      <c r="H108" s="233"/>
      <c r="I108" s="233"/>
      <c r="J108" s="233"/>
      <c r="K108" s="233"/>
      <c r="L108" s="233"/>
      <c r="M108" s="233"/>
      <c r="N108" s="234"/>
      <c r="O108" s="142"/>
      <c r="P108" s="142"/>
      <c r="Q108" s="142"/>
      <c r="R108" s="142"/>
      <c r="S108" s="142"/>
      <c r="T108" s="142"/>
      <c r="U108" s="142"/>
      <c r="V108" s="142"/>
      <c r="W108" s="142"/>
      <c r="X108" s="142"/>
      <c r="Y108" s="142"/>
    </row>
    <row r="109" spans="2:25" ht="15" customHeight="1" x14ac:dyDescent="0.25">
      <c r="B109" s="232"/>
      <c r="C109" s="233"/>
      <c r="D109" s="233"/>
      <c r="E109" s="233"/>
      <c r="F109" s="233"/>
      <c r="G109" s="233"/>
      <c r="H109" s="233"/>
      <c r="I109" s="233"/>
      <c r="J109" s="233"/>
      <c r="K109" s="233"/>
      <c r="L109" s="233"/>
      <c r="M109" s="233"/>
      <c r="N109" s="234"/>
      <c r="O109" s="142"/>
      <c r="P109" s="142"/>
      <c r="Q109" s="142"/>
      <c r="R109" s="142"/>
      <c r="S109" s="142"/>
      <c r="T109" s="142"/>
      <c r="U109" s="142"/>
      <c r="V109" s="142"/>
      <c r="W109" s="142"/>
      <c r="X109" s="142"/>
      <c r="Y109" s="142"/>
    </row>
    <row r="110" spans="2:25" ht="15" customHeight="1" x14ac:dyDescent="0.25">
      <c r="B110" s="232"/>
      <c r="C110" s="233"/>
      <c r="D110" s="233"/>
      <c r="E110" s="233"/>
      <c r="F110" s="233"/>
      <c r="G110" s="233"/>
      <c r="H110" s="233"/>
      <c r="I110" s="233"/>
      <c r="J110" s="233"/>
      <c r="K110" s="233"/>
      <c r="L110" s="233"/>
      <c r="M110" s="233"/>
      <c r="N110" s="234"/>
      <c r="O110" s="142"/>
      <c r="P110" s="142"/>
      <c r="Q110" s="142"/>
      <c r="R110" s="142"/>
      <c r="S110" s="142"/>
      <c r="T110" s="142"/>
      <c r="U110" s="142"/>
      <c r="V110" s="142"/>
      <c r="W110" s="142"/>
      <c r="X110" s="142"/>
      <c r="Y110" s="142"/>
    </row>
    <row r="111" spans="2:25" ht="15" customHeight="1" x14ac:dyDescent="0.25">
      <c r="B111" s="232"/>
      <c r="C111" s="233"/>
      <c r="D111" s="233"/>
      <c r="E111" s="233"/>
      <c r="F111" s="233"/>
      <c r="G111" s="233"/>
      <c r="H111" s="233"/>
      <c r="I111" s="233"/>
      <c r="J111" s="233"/>
      <c r="K111" s="233"/>
      <c r="L111" s="233"/>
      <c r="M111" s="233"/>
      <c r="N111" s="234"/>
      <c r="O111" s="142"/>
      <c r="P111" s="142"/>
      <c r="Q111" s="142"/>
      <c r="R111" s="142"/>
      <c r="S111" s="142"/>
      <c r="T111" s="142"/>
      <c r="U111" s="142"/>
      <c r="V111" s="142"/>
      <c r="W111" s="142"/>
      <c r="X111" s="142"/>
      <c r="Y111" s="142"/>
    </row>
    <row r="112" spans="2:25" ht="15" customHeight="1" x14ac:dyDescent="0.25">
      <c r="B112" s="232"/>
      <c r="C112" s="233"/>
      <c r="D112" s="233"/>
      <c r="E112" s="233"/>
      <c r="F112" s="233"/>
      <c r="G112" s="233"/>
      <c r="H112" s="233"/>
      <c r="I112" s="233"/>
      <c r="J112" s="233"/>
      <c r="K112" s="233"/>
      <c r="L112" s="233"/>
      <c r="M112" s="233"/>
      <c r="N112" s="234"/>
      <c r="O112" s="142"/>
      <c r="P112" s="142"/>
      <c r="Q112" s="142"/>
      <c r="R112" s="142"/>
      <c r="S112" s="142"/>
      <c r="T112" s="142"/>
      <c r="U112" s="142"/>
      <c r="V112" s="142"/>
      <c r="W112" s="142"/>
      <c r="X112" s="142"/>
      <c r="Y112" s="142"/>
    </row>
    <row r="113" spans="2:25" ht="15" customHeight="1" x14ac:dyDescent="0.25">
      <c r="B113" s="232"/>
      <c r="C113" s="233"/>
      <c r="D113" s="233"/>
      <c r="E113" s="233"/>
      <c r="F113" s="233"/>
      <c r="G113" s="233"/>
      <c r="H113" s="233"/>
      <c r="I113" s="233"/>
      <c r="J113" s="233"/>
      <c r="K113" s="233"/>
      <c r="L113" s="233"/>
      <c r="M113" s="233"/>
      <c r="N113" s="234"/>
      <c r="O113" s="142"/>
      <c r="P113" s="142"/>
      <c r="Q113" s="142"/>
      <c r="R113" s="142"/>
      <c r="S113" s="142"/>
      <c r="T113" s="142"/>
      <c r="U113" s="142"/>
      <c r="V113" s="142"/>
      <c r="W113" s="142"/>
      <c r="X113" s="142"/>
      <c r="Y113" s="142"/>
    </row>
    <row r="114" spans="2:25" ht="15" customHeight="1" x14ac:dyDescent="0.25">
      <c r="B114" s="232"/>
      <c r="C114" s="233"/>
      <c r="D114" s="233"/>
      <c r="E114" s="233"/>
      <c r="F114" s="233"/>
      <c r="G114" s="233"/>
      <c r="H114" s="233"/>
      <c r="I114" s="233"/>
      <c r="J114" s="233"/>
      <c r="K114" s="233"/>
      <c r="L114" s="233"/>
      <c r="M114" s="233"/>
      <c r="N114" s="234"/>
      <c r="O114" s="142"/>
      <c r="P114" s="142"/>
      <c r="Q114" s="142"/>
      <c r="R114" s="142"/>
      <c r="S114" s="142"/>
      <c r="T114" s="142"/>
      <c r="U114" s="142"/>
      <c r="V114" s="142"/>
      <c r="W114" s="142"/>
      <c r="X114" s="142"/>
      <c r="Y114" s="142"/>
    </row>
    <row r="115" spans="2:25" ht="15" customHeight="1" x14ac:dyDescent="0.25">
      <c r="B115" s="232"/>
      <c r="C115" s="233"/>
      <c r="D115" s="233"/>
      <c r="E115" s="233"/>
      <c r="F115" s="233"/>
      <c r="G115" s="233"/>
      <c r="H115" s="233"/>
      <c r="I115" s="233"/>
      <c r="J115" s="233"/>
      <c r="K115" s="233"/>
      <c r="L115" s="233"/>
      <c r="M115" s="233"/>
      <c r="N115" s="234"/>
      <c r="O115" s="142"/>
      <c r="P115" s="142"/>
      <c r="Q115" s="142"/>
      <c r="R115" s="142"/>
      <c r="S115" s="142"/>
      <c r="T115" s="142"/>
      <c r="U115" s="142"/>
      <c r="V115" s="142"/>
      <c r="W115" s="142"/>
      <c r="X115" s="142"/>
      <c r="Y115" s="142"/>
    </row>
    <row r="116" spans="2:25" ht="15" customHeight="1" x14ac:dyDescent="0.25">
      <c r="B116" s="232"/>
      <c r="C116" s="233"/>
      <c r="D116" s="233"/>
      <c r="E116" s="233"/>
      <c r="F116" s="233"/>
      <c r="G116" s="233"/>
      <c r="H116" s="233"/>
      <c r="I116" s="233"/>
      <c r="J116" s="233"/>
      <c r="K116" s="233"/>
      <c r="L116" s="233"/>
      <c r="M116" s="233"/>
      <c r="N116" s="234"/>
      <c r="O116" s="142"/>
      <c r="P116" s="142"/>
      <c r="Q116" s="142"/>
      <c r="R116" s="142"/>
      <c r="S116" s="142"/>
      <c r="T116" s="142"/>
      <c r="U116" s="142"/>
      <c r="V116" s="142"/>
      <c r="W116" s="142"/>
      <c r="X116" s="142"/>
      <c r="Y116" s="142"/>
    </row>
    <row r="117" spans="2:25" ht="15" customHeight="1" x14ac:dyDescent="0.25">
      <c r="B117" s="232"/>
      <c r="C117" s="233"/>
      <c r="D117" s="233"/>
      <c r="E117" s="233"/>
      <c r="F117" s="233"/>
      <c r="G117" s="233"/>
      <c r="H117" s="233"/>
      <c r="I117" s="233"/>
      <c r="J117" s="233"/>
      <c r="K117" s="233"/>
      <c r="L117" s="233"/>
      <c r="M117" s="233"/>
      <c r="N117" s="234"/>
      <c r="O117" s="142"/>
      <c r="P117" s="142"/>
      <c r="Q117" s="142"/>
      <c r="R117" s="142"/>
      <c r="S117" s="142"/>
      <c r="T117" s="142"/>
      <c r="U117" s="142"/>
      <c r="V117" s="142"/>
      <c r="W117" s="142"/>
      <c r="X117" s="142"/>
      <c r="Y117" s="142"/>
    </row>
    <row r="118" spans="2:25" ht="15" customHeight="1" x14ac:dyDescent="0.25">
      <c r="B118" s="232"/>
      <c r="C118" s="233"/>
      <c r="D118" s="233"/>
      <c r="E118" s="233"/>
      <c r="F118" s="233"/>
      <c r="G118" s="233"/>
      <c r="H118" s="233"/>
      <c r="I118" s="233"/>
      <c r="J118" s="233"/>
      <c r="K118" s="233"/>
      <c r="L118" s="233"/>
      <c r="M118" s="233"/>
      <c r="N118" s="234"/>
      <c r="O118" s="142"/>
      <c r="P118" s="142"/>
      <c r="Q118" s="142"/>
      <c r="R118" s="142"/>
      <c r="S118" s="142"/>
      <c r="T118" s="142"/>
      <c r="U118" s="142"/>
      <c r="V118" s="142"/>
      <c r="W118" s="142"/>
      <c r="X118" s="142"/>
      <c r="Y118" s="142"/>
    </row>
    <row r="119" spans="2:25" ht="15" customHeight="1" x14ac:dyDescent="0.25">
      <c r="B119" s="232"/>
      <c r="C119" s="233"/>
      <c r="D119" s="233"/>
      <c r="E119" s="233"/>
      <c r="F119" s="233"/>
      <c r="G119" s="233"/>
      <c r="H119" s="233"/>
      <c r="I119" s="233"/>
      <c r="J119" s="233"/>
      <c r="K119" s="233"/>
      <c r="L119" s="233"/>
      <c r="M119" s="233"/>
      <c r="N119" s="234"/>
      <c r="O119" s="142"/>
      <c r="P119" s="142"/>
      <c r="Q119" s="142"/>
      <c r="R119" s="142"/>
      <c r="S119" s="142"/>
      <c r="T119" s="142"/>
      <c r="U119" s="142"/>
      <c r="V119" s="142"/>
      <c r="W119" s="142"/>
      <c r="X119" s="142"/>
      <c r="Y119" s="142"/>
    </row>
    <row r="120" spans="2:25" ht="15" customHeight="1" x14ac:dyDescent="0.25">
      <c r="B120" s="232"/>
      <c r="C120" s="233"/>
      <c r="D120" s="233"/>
      <c r="E120" s="233"/>
      <c r="F120" s="233"/>
      <c r="G120" s="233"/>
      <c r="H120" s="233"/>
      <c r="I120" s="233"/>
      <c r="J120" s="233"/>
      <c r="K120" s="233"/>
      <c r="L120" s="233"/>
      <c r="M120" s="233"/>
      <c r="N120" s="234"/>
      <c r="O120" s="142"/>
      <c r="P120" s="142"/>
      <c r="Q120" s="142"/>
      <c r="R120" s="142"/>
      <c r="S120" s="142"/>
      <c r="T120" s="142"/>
      <c r="U120" s="142"/>
      <c r="V120" s="142"/>
      <c r="W120" s="142"/>
      <c r="X120" s="142"/>
      <c r="Y120" s="142"/>
    </row>
    <row r="121" spans="2:25" ht="15" customHeight="1" x14ac:dyDescent="0.25">
      <c r="B121" s="232"/>
      <c r="C121" s="233"/>
      <c r="D121" s="233"/>
      <c r="E121" s="233"/>
      <c r="F121" s="233"/>
      <c r="G121" s="233"/>
      <c r="H121" s="233"/>
      <c r="I121" s="233"/>
      <c r="J121" s="233"/>
      <c r="K121" s="233"/>
      <c r="L121" s="233"/>
      <c r="M121" s="233"/>
      <c r="N121" s="234"/>
      <c r="O121" s="142"/>
      <c r="P121" s="142"/>
      <c r="Q121" s="142"/>
      <c r="R121" s="142"/>
      <c r="S121" s="142"/>
      <c r="T121" s="142"/>
      <c r="U121" s="142"/>
      <c r="V121" s="142"/>
      <c r="W121" s="142"/>
      <c r="X121" s="142"/>
      <c r="Y121" s="142"/>
    </row>
    <row r="122" spans="2:25" ht="15" customHeight="1" x14ac:dyDescent="0.25">
      <c r="B122" s="232"/>
      <c r="C122" s="233"/>
      <c r="D122" s="233"/>
      <c r="E122" s="233"/>
      <c r="F122" s="233"/>
      <c r="G122" s="233"/>
      <c r="H122" s="233"/>
      <c r="I122" s="233"/>
      <c r="J122" s="233"/>
      <c r="K122" s="233"/>
      <c r="L122" s="233"/>
      <c r="M122" s="233"/>
      <c r="N122" s="234"/>
      <c r="O122" s="142"/>
      <c r="P122" s="142"/>
      <c r="Q122" s="142"/>
      <c r="R122" s="142"/>
      <c r="S122" s="142"/>
      <c r="T122" s="142"/>
      <c r="U122" s="142"/>
      <c r="V122" s="142"/>
      <c r="W122" s="142"/>
      <c r="X122" s="142"/>
      <c r="Y122" s="142"/>
    </row>
    <row r="123" spans="2:25" ht="15" customHeight="1" x14ac:dyDescent="0.25">
      <c r="B123" s="232"/>
      <c r="C123" s="233"/>
      <c r="D123" s="233"/>
      <c r="E123" s="233"/>
      <c r="F123" s="233"/>
      <c r="G123" s="233"/>
      <c r="H123" s="233"/>
      <c r="I123" s="233"/>
      <c r="J123" s="233"/>
      <c r="K123" s="233"/>
      <c r="L123" s="233"/>
      <c r="M123" s="233"/>
      <c r="N123" s="234"/>
      <c r="O123" s="142"/>
      <c r="P123" s="142"/>
      <c r="Q123" s="142"/>
      <c r="R123" s="142"/>
      <c r="S123" s="142"/>
      <c r="T123" s="142"/>
      <c r="U123" s="142"/>
      <c r="V123" s="142"/>
      <c r="W123" s="142"/>
      <c r="X123" s="142"/>
      <c r="Y123" s="142"/>
    </row>
    <row r="124" spans="2:25" ht="15" customHeight="1" x14ac:dyDescent="0.25">
      <c r="B124" s="232"/>
      <c r="C124" s="233"/>
      <c r="D124" s="233"/>
      <c r="E124" s="233"/>
      <c r="F124" s="233"/>
      <c r="G124" s="233"/>
      <c r="H124" s="233"/>
      <c r="I124" s="233"/>
      <c r="J124" s="233"/>
      <c r="K124" s="233"/>
      <c r="L124" s="233"/>
      <c r="M124" s="233"/>
      <c r="N124" s="234"/>
      <c r="O124" s="142"/>
      <c r="P124" s="142"/>
      <c r="Q124" s="142"/>
      <c r="R124" s="142"/>
      <c r="S124" s="142"/>
      <c r="T124" s="142"/>
      <c r="U124" s="142"/>
      <c r="V124" s="142"/>
      <c r="W124" s="142"/>
      <c r="X124" s="142"/>
      <c r="Y124" s="142"/>
    </row>
    <row r="125" spans="2:25" ht="15" customHeight="1" x14ac:dyDescent="0.25">
      <c r="B125" s="232"/>
      <c r="C125" s="233"/>
      <c r="D125" s="233"/>
      <c r="E125" s="233"/>
      <c r="F125" s="233"/>
      <c r="G125" s="233"/>
      <c r="H125" s="233"/>
      <c r="I125" s="233"/>
      <c r="J125" s="233"/>
      <c r="K125" s="233"/>
      <c r="L125" s="233"/>
      <c r="M125" s="233"/>
      <c r="N125" s="234"/>
      <c r="O125" s="142"/>
      <c r="P125" s="142"/>
      <c r="Q125" s="142"/>
      <c r="R125" s="142"/>
      <c r="S125" s="142"/>
      <c r="T125" s="142"/>
      <c r="U125" s="142"/>
      <c r="V125" s="142"/>
      <c r="W125" s="142"/>
      <c r="X125" s="142"/>
      <c r="Y125" s="142"/>
    </row>
    <row r="126" spans="2:25" ht="15" customHeight="1" x14ac:dyDescent="0.25">
      <c r="B126" s="232"/>
      <c r="C126" s="233"/>
      <c r="D126" s="233"/>
      <c r="E126" s="233"/>
      <c r="F126" s="233"/>
      <c r="G126" s="233"/>
      <c r="H126" s="233"/>
      <c r="I126" s="233"/>
      <c r="J126" s="233"/>
      <c r="K126" s="233"/>
      <c r="L126" s="233"/>
      <c r="M126" s="233"/>
      <c r="N126" s="234"/>
      <c r="O126" s="142"/>
      <c r="P126" s="142"/>
      <c r="Q126" s="142"/>
      <c r="R126" s="142"/>
      <c r="S126" s="142"/>
      <c r="T126" s="142"/>
      <c r="U126" s="142"/>
      <c r="V126" s="142"/>
      <c r="W126" s="142"/>
      <c r="X126" s="142"/>
      <c r="Y126" s="142"/>
    </row>
    <row r="127" spans="2:25" ht="15" customHeight="1" x14ac:dyDescent="0.25">
      <c r="B127" s="232"/>
      <c r="C127" s="233"/>
      <c r="D127" s="233"/>
      <c r="E127" s="233"/>
      <c r="F127" s="233"/>
      <c r="G127" s="233"/>
      <c r="H127" s="233"/>
      <c r="I127" s="233"/>
      <c r="J127" s="233"/>
      <c r="K127" s="233"/>
      <c r="L127" s="233"/>
      <c r="M127" s="233"/>
      <c r="N127" s="234"/>
      <c r="O127" s="142"/>
      <c r="P127" s="142"/>
      <c r="Q127" s="142"/>
      <c r="R127" s="142"/>
      <c r="S127" s="142"/>
      <c r="T127" s="142"/>
      <c r="U127" s="142"/>
      <c r="V127" s="142"/>
      <c r="W127" s="142"/>
      <c r="X127" s="142"/>
      <c r="Y127" s="142"/>
    </row>
    <row r="128" spans="2:25" ht="15" customHeight="1" x14ac:dyDescent="0.25">
      <c r="B128" s="232"/>
      <c r="C128" s="233"/>
      <c r="D128" s="233"/>
      <c r="E128" s="233"/>
      <c r="F128" s="233"/>
      <c r="G128" s="233"/>
      <c r="H128" s="233"/>
      <c r="I128" s="233"/>
      <c r="J128" s="233"/>
      <c r="K128" s="233"/>
      <c r="L128" s="233"/>
      <c r="M128" s="233"/>
      <c r="N128" s="234"/>
      <c r="O128" s="142"/>
      <c r="P128" s="142"/>
      <c r="Q128" s="142"/>
      <c r="R128" s="142"/>
      <c r="S128" s="142"/>
      <c r="T128" s="142"/>
      <c r="U128" s="142"/>
      <c r="V128" s="142"/>
      <c r="W128" s="142"/>
      <c r="X128" s="142"/>
      <c r="Y128" s="142"/>
    </row>
    <row r="129" spans="2:25" ht="15" customHeight="1" x14ac:dyDescent="0.25">
      <c r="B129" s="235"/>
      <c r="C129" s="236"/>
      <c r="D129" s="236"/>
      <c r="E129" s="236"/>
      <c r="F129" s="236"/>
      <c r="G129" s="236"/>
      <c r="H129" s="236"/>
      <c r="I129" s="236"/>
      <c r="J129" s="236"/>
      <c r="K129" s="236"/>
      <c r="L129" s="236"/>
      <c r="M129" s="236"/>
      <c r="N129" s="237"/>
      <c r="O129" s="142"/>
      <c r="P129" s="142"/>
      <c r="Q129" s="142"/>
      <c r="R129" s="142"/>
      <c r="S129" s="142"/>
      <c r="T129" s="142"/>
      <c r="U129" s="142"/>
      <c r="V129" s="142"/>
      <c r="W129" s="142"/>
      <c r="X129" s="142"/>
      <c r="Y129" s="142"/>
    </row>
    <row r="130" spans="2:25" x14ac:dyDescent="0.25"/>
  </sheetData>
  <sheetProtection algorithmName="SHA-512" hashValue="d5tg6ERTOKMEW13aCArQ8tgi6QSArKnjXveSZYv075KPLu+ZyOPfAd5Tux5QG/LokIejVa48qxqi0V7yJIBjsA==" saltValue="3IiGPbaIcZgLVZYxT8Hvag==" spinCount="100000" sheet="1" objects="1" scenarios="1"/>
  <mergeCells count="32">
    <mergeCell ref="B128:N128"/>
    <mergeCell ref="B129:N129"/>
    <mergeCell ref="B123:N123"/>
    <mergeCell ref="B124:N124"/>
    <mergeCell ref="B125:N125"/>
    <mergeCell ref="B126:N126"/>
    <mergeCell ref="B127:N127"/>
    <mergeCell ref="B118:N118"/>
    <mergeCell ref="B119:N119"/>
    <mergeCell ref="B120:N120"/>
    <mergeCell ref="B121:N121"/>
    <mergeCell ref="B122:N122"/>
    <mergeCell ref="B113:N113"/>
    <mergeCell ref="B114:N114"/>
    <mergeCell ref="B115:N115"/>
    <mergeCell ref="B116:N116"/>
    <mergeCell ref="B117:N117"/>
    <mergeCell ref="B108:N108"/>
    <mergeCell ref="B109:N109"/>
    <mergeCell ref="B110:N110"/>
    <mergeCell ref="B111:N111"/>
    <mergeCell ref="B112:N112"/>
    <mergeCell ref="B103:N103"/>
    <mergeCell ref="B104:N104"/>
    <mergeCell ref="B105:N105"/>
    <mergeCell ref="B106:N106"/>
    <mergeCell ref="B107:N107"/>
    <mergeCell ref="B31:D31"/>
    <mergeCell ref="B6:N6"/>
    <mergeCell ref="B7:N7"/>
    <mergeCell ref="B8:N8"/>
    <mergeCell ref="B102:N102"/>
  </mergeCells>
  <phoneticPr fontId="3" type="noConversion"/>
  <conditionalFormatting sqref="E21:N25">
    <cfRule type="expression" dxfId="13" priority="48">
      <formula>SUM(E$21:E$25)&lt;&gt;E$13</formula>
    </cfRule>
  </conditionalFormatting>
  <conditionalFormatting sqref="E26:N30">
    <cfRule type="expression" dxfId="12" priority="5">
      <formula>SUM(E$26:E$30)&lt;&gt;E$14</formula>
    </cfRule>
  </conditionalFormatting>
  <conditionalFormatting sqref="E35:N35">
    <cfRule type="expression" dxfId="11" priority="1">
      <formula>#REF!="Nee"</formula>
    </cfRule>
  </conditionalFormatting>
  <conditionalFormatting sqref="E39:O41">
    <cfRule type="expression" dxfId="10" priority="9">
      <formula>#REF!="Nee"</formula>
    </cfRule>
  </conditionalFormatting>
  <conditionalFormatting sqref="E45:O48">
    <cfRule type="expression" dxfId="9" priority="10">
      <formula>#REF!="Nee"</formula>
    </cfRule>
  </conditionalFormatting>
  <conditionalFormatting sqref="E52:O72 E76:N98">
    <cfRule type="expression" dxfId="8" priority="18">
      <formula>#REF!="Nee"</formula>
    </cfRule>
  </conditionalFormatting>
  <conditionalFormatting sqref="O13:O17">
    <cfRule type="expression" dxfId="7" priority="8">
      <formula>#REF!="Nee"</formula>
    </cfRule>
  </conditionalFormatting>
  <conditionalFormatting sqref="O35">
    <cfRule type="expression" dxfId="6" priority="50">
      <formula>SUM(F$26:F$30)&lt;&gt;F$14</formula>
    </cfRule>
  </conditionalFormatting>
  <pageMargins left="0.7" right="0.7" top="0.75" bottom="0.75" header="0.3" footer="0.3"/>
  <pageSetup paperSize="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0132F-B5DF-49D9-A707-93E710FBF3E1}">
  <sheetPr>
    <tabColor rgb="FFFFFF00"/>
    <pageSetUpPr autoPageBreaks="0"/>
  </sheetPr>
  <dimension ref="A1:O53"/>
  <sheetViews>
    <sheetView workbookViewId="0"/>
  </sheetViews>
  <sheetFormatPr defaultColWidth="0" defaultRowHeight="15" zeroHeight="1" x14ac:dyDescent="0.25"/>
  <cols>
    <col min="1" max="1" width="4.28515625" style="3" customWidth="1"/>
    <col min="2" max="2" width="54.7109375" style="3" customWidth="1"/>
    <col min="3" max="3" width="9.28515625" style="3" customWidth="1"/>
    <col min="4" max="13" width="13.28515625" style="3" customWidth="1"/>
    <col min="14" max="14" width="36" style="3" customWidth="1"/>
    <col min="15" max="15" width="2.85546875" style="3" customWidth="1"/>
    <col min="16" max="16384" width="9.28515625" style="3" hidden="1"/>
  </cols>
  <sheetData>
    <row r="1" spans="2:14" ht="28.5" x14ac:dyDescent="0.45">
      <c r="B1" s="59" t="s">
        <v>208</v>
      </c>
    </row>
    <row r="2" spans="2:14" x14ac:dyDescent="0.25"/>
    <row r="3" spans="2:14" ht="15.75" customHeight="1" x14ac:dyDescent="0.25">
      <c r="B3" s="156" t="s">
        <v>317</v>
      </c>
      <c r="C3" s="2"/>
      <c r="D3" s="2"/>
      <c r="E3" s="2"/>
      <c r="F3" s="2"/>
      <c r="G3" s="2"/>
      <c r="H3" s="2"/>
      <c r="I3" s="2"/>
      <c r="J3" s="2"/>
      <c r="K3" s="2"/>
      <c r="L3" s="2"/>
      <c r="M3" s="2"/>
      <c r="N3" s="2"/>
    </row>
    <row r="4" spans="2:14" ht="15.75" customHeight="1" x14ac:dyDescent="0.25">
      <c r="B4" s="156" t="s">
        <v>318</v>
      </c>
      <c r="C4" s="2"/>
      <c r="D4" s="2"/>
      <c r="E4" s="2"/>
      <c r="F4" s="2"/>
      <c r="G4" s="2"/>
      <c r="H4" s="2"/>
      <c r="I4" s="2"/>
      <c r="J4" s="2"/>
      <c r="K4" s="2"/>
      <c r="L4" s="2"/>
      <c r="M4" s="2"/>
      <c r="N4" s="2"/>
    </row>
    <row r="5" spans="2:14" ht="15.75" customHeight="1" x14ac:dyDescent="0.25">
      <c r="B5" s="155" t="s">
        <v>319</v>
      </c>
      <c r="C5" s="144"/>
      <c r="D5" s="144"/>
      <c r="E5" s="144"/>
      <c r="F5" s="144"/>
      <c r="G5" s="144"/>
      <c r="H5" s="144"/>
      <c r="I5" s="144"/>
      <c r="J5" s="144"/>
      <c r="K5" s="144"/>
      <c r="L5" s="144"/>
      <c r="M5" s="144"/>
      <c r="N5" s="144"/>
    </row>
    <row r="6" spans="2:14" ht="15.75" customHeight="1" x14ac:dyDescent="0.25">
      <c r="B6" s="155" t="s">
        <v>228</v>
      </c>
      <c r="C6" s="144"/>
      <c r="D6" s="144"/>
      <c r="E6" s="144"/>
      <c r="F6" s="144"/>
      <c r="G6" s="144"/>
      <c r="H6" s="144"/>
      <c r="I6" s="144"/>
      <c r="J6" s="144"/>
      <c r="K6" s="144"/>
      <c r="L6" s="144"/>
      <c r="M6" s="144"/>
      <c r="N6" s="144"/>
    </row>
    <row r="7" spans="2:14" ht="15.75" customHeight="1" x14ac:dyDescent="0.25">
      <c r="B7" s="155" t="s">
        <v>320</v>
      </c>
      <c r="C7" s="144"/>
      <c r="D7" s="144"/>
      <c r="E7" s="144"/>
      <c r="F7" s="144"/>
      <c r="G7" s="144"/>
      <c r="H7" s="144"/>
      <c r="I7" s="144"/>
      <c r="J7" s="144"/>
      <c r="K7" s="144"/>
      <c r="L7" s="144"/>
      <c r="M7" s="144"/>
      <c r="N7" s="144"/>
    </row>
    <row r="8" spans="2:14" ht="15.75" customHeight="1" x14ac:dyDescent="0.25">
      <c r="B8" s="155" t="s">
        <v>321</v>
      </c>
      <c r="C8" s="144"/>
      <c r="D8" s="144"/>
      <c r="E8" s="144"/>
      <c r="F8" s="144"/>
      <c r="G8" s="144"/>
      <c r="H8" s="144"/>
      <c r="I8" s="144"/>
      <c r="J8" s="144"/>
      <c r="K8" s="144"/>
      <c r="L8" s="144"/>
      <c r="M8" s="144"/>
      <c r="N8" s="144"/>
    </row>
    <row r="9" spans="2:14" ht="15.75" customHeight="1" x14ac:dyDescent="0.25">
      <c r="B9" s="155" t="s">
        <v>322</v>
      </c>
      <c r="C9" s="144"/>
      <c r="D9" s="144"/>
      <c r="E9" s="144"/>
      <c r="F9" s="144"/>
      <c r="G9" s="144"/>
      <c r="H9" s="144"/>
      <c r="I9" s="144"/>
      <c r="J9" s="144"/>
      <c r="K9" s="144"/>
      <c r="L9" s="144"/>
      <c r="M9" s="144"/>
      <c r="N9" s="144"/>
    </row>
    <row r="10" spans="2:14" ht="15.75" customHeight="1" x14ac:dyDescent="0.25">
      <c r="B10" s="155" t="s">
        <v>229</v>
      </c>
      <c r="C10" s="144"/>
      <c r="D10" s="144"/>
      <c r="E10" s="144"/>
      <c r="F10" s="144"/>
      <c r="G10" s="144"/>
      <c r="H10" s="144"/>
      <c r="I10" s="144"/>
      <c r="J10" s="144"/>
      <c r="K10" s="144"/>
      <c r="L10" s="144"/>
      <c r="M10" s="144"/>
      <c r="N10" s="144"/>
    </row>
    <row r="11" spans="2:14" ht="15.75" customHeight="1" x14ac:dyDescent="0.25">
      <c r="B11" s="155" t="s">
        <v>230</v>
      </c>
      <c r="C11" s="144"/>
      <c r="D11" s="144"/>
      <c r="E11" s="144"/>
      <c r="F11" s="144"/>
      <c r="G11" s="144"/>
      <c r="H11" s="144"/>
      <c r="I11" s="144"/>
      <c r="J11" s="144"/>
      <c r="K11" s="144"/>
      <c r="L11" s="144"/>
      <c r="M11" s="144"/>
      <c r="N11" s="144"/>
    </row>
    <row r="12" spans="2:14" x14ac:dyDescent="0.25"/>
    <row r="13" spans="2:14" x14ac:dyDescent="0.25">
      <c r="B13" s="4" t="s">
        <v>327</v>
      </c>
      <c r="C13" s="170" t="s">
        <v>41</v>
      </c>
    </row>
    <row r="14" spans="2:14" x14ac:dyDescent="0.25"/>
    <row r="15" spans="2:14" ht="26.25" x14ac:dyDescent="0.25">
      <c r="D15" s="124" t="s">
        <v>170</v>
      </c>
      <c r="E15" s="124" t="s">
        <v>171</v>
      </c>
      <c r="F15" s="124" t="s">
        <v>172</v>
      </c>
      <c r="G15" s="124" t="s">
        <v>173</v>
      </c>
      <c r="H15" s="124" t="s">
        <v>174</v>
      </c>
      <c r="I15" s="124" t="s">
        <v>175</v>
      </c>
      <c r="J15" s="124" t="s">
        <v>176</v>
      </c>
      <c r="K15" s="124" t="s">
        <v>177</v>
      </c>
      <c r="L15" s="124" t="s">
        <v>178</v>
      </c>
      <c r="M15" s="124" t="s">
        <v>179</v>
      </c>
    </row>
    <row r="16" spans="2:14" ht="15.75" x14ac:dyDescent="0.25">
      <c r="B16" s="114" t="s">
        <v>12</v>
      </c>
      <c r="C16" s="115" t="s">
        <v>23</v>
      </c>
      <c r="D16" s="115">
        <f>start_operatie</f>
        <v>2031</v>
      </c>
      <c r="E16" s="115">
        <f>D16+1</f>
        <v>2032</v>
      </c>
      <c r="F16" s="115">
        <f t="shared" ref="F16:M16" si="0">E16+1</f>
        <v>2033</v>
      </c>
      <c r="G16" s="115">
        <f t="shared" si="0"/>
        <v>2034</v>
      </c>
      <c r="H16" s="115">
        <f t="shared" si="0"/>
        <v>2035</v>
      </c>
      <c r="I16" s="115">
        <f t="shared" si="0"/>
        <v>2036</v>
      </c>
      <c r="J16" s="115">
        <f t="shared" si="0"/>
        <v>2037</v>
      </c>
      <c r="K16" s="115">
        <f t="shared" si="0"/>
        <v>2038</v>
      </c>
      <c r="L16" s="115">
        <f t="shared" si="0"/>
        <v>2039</v>
      </c>
      <c r="M16" s="115">
        <f t="shared" si="0"/>
        <v>2040</v>
      </c>
      <c r="N16" s="34" t="s">
        <v>157</v>
      </c>
    </row>
    <row r="17" spans="2:14" ht="18" x14ac:dyDescent="0.35">
      <c r="B17" s="197" t="s">
        <v>328</v>
      </c>
      <c r="C17" s="199" t="s">
        <v>42</v>
      </c>
      <c r="D17" s="90"/>
      <c r="E17" s="90"/>
      <c r="F17" s="90"/>
      <c r="G17" s="90"/>
      <c r="H17" s="90"/>
      <c r="I17" s="90"/>
      <c r="J17" s="90"/>
      <c r="K17" s="90"/>
      <c r="L17" s="90"/>
      <c r="M17" s="90"/>
      <c r="N17" s="90"/>
    </row>
    <row r="18" spans="2:14" ht="18" x14ac:dyDescent="0.35">
      <c r="B18" s="197" t="s">
        <v>329</v>
      </c>
      <c r="C18" s="199" t="s">
        <v>42</v>
      </c>
      <c r="D18" s="90"/>
      <c r="E18" s="90"/>
      <c r="F18" s="90"/>
      <c r="G18" s="90"/>
      <c r="H18" s="90"/>
      <c r="I18" s="90"/>
      <c r="J18" s="90"/>
      <c r="K18" s="90"/>
      <c r="L18" s="90"/>
      <c r="M18" s="90"/>
      <c r="N18" s="90"/>
    </row>
    <row r="19" spans="2:14" x14ac:dyDescent="0.25">
      <c r="B19" s="198" t="s">
        <v>330</v>
      </c>
      <c r="C19" s="200" t="s">
        <v>43</v>
      </c>
      <c r="D19" s="145">
        <f>_xlfn.XLOOKUP(D$16,'Vastgestelde parameters'!$F$24:$Z$24,'Vastgestelde parameters'!$F$26:$Z$26,,0)</f>
        <v>0.6</v>
      </c>
      <c r="E19" s="145">
        <f>_xlfn.XLOOKUP(E$16,'Vastgestelde parameters'!$F$24:$Z$24,'Vastgestelde parameters'!$F$26:$Z$26,,0)</f>
        <v>0.53333333333333333</v>
      </c>
      <c r="F19" s="145">
        <f>_xlfn.XLOOKUP(F$16,'Vastgestelde parameters'!$F$24:$Z$24,'Vastgestelde parameters'!$F$26:$Z$26,,0)</f>
        <v>0.46666666666666667</v>
      </c>
      <c r="G19" s="145">
        <f>_xlfn.XLOOKUP(G$16,'Vastgestelde parameters'!$F$24:$Z$24,'Vastgestelde parameters'!$F$26:$Z$26,,0)</f>
        <v>0.4</v>
      </c>
      <c r="H19" s="145">
        <f>_xlfn.XLOOKUP(H$16,'Vastgestelde parameters'!$F$24:$Z$24,'Vastgestelde parameters'!$F$26:$Z$26,,0)</f>
        <v>0.33333333333333337</v>
      </c>
      <c r="I19" s="145">
        <f>_xlfn.XLOOKUP(I$16,'Vastgestelde parameters'!$F$24:$Z$24,'Vastgestelde parameters'!$F$26:$Z$26,,0)</f>
        <v>0.26666666666666672</v>
      </c>
      <c r="J19" s="145">
        <f>_xlfn.XLOOKUP(J$16,'Vastgestelde parameters'!$F$24:$Z$24,'Vastgestelde parameters'!$F$26:$Z$26,,0)</f>
        <v>0.19999999999999996</v>
      </c>
      <c r="K19" s="145">
        <f>_xlfn.XLOOKUP(K$16,'Vastgestelde parameters'!$F$24:$Z$24,'Vastgestelde parameters'!$F$26:$Z$26,,0)</f>
        <v>0.1333333333333333</v>
      </c>
      <c r="L19" s="145">
        <f>_xlfn.XLOOKUP(L$16,'Vastgestelde parameters'!$F$24:$Z$24,'Vastgestelde parameters'!$F$26:$Z$26,,0)</f>
        <v>6.6666666666666652E-2</v>
      </c>
      <c r="M19" s="145">
        <f>_xlfn.XLOOKUP(M$16,'Vastgestelde parameters'!$F$24:$Z$24,'Vastgestelde parameters'!$F$26:$Z$26,,0)</f>
        <v>0</v>
      </c>
      <c r="N19" s="145"/>
    </row>
    <row r="20" spans="2:14" ht="18" x14ac:dyDescent="0.35">
      <c r="B20" s="197" t="s">
        <v>44</v>
      </c>
      <c r="C20" s="199" t="s">
        <v>42</v>
      </c>
      <c r="D20" s="119">
        <f t="shared" ref="D20:M20" si="1">MAX(D18-D17,0)</f>
        <v>0</v>
      </c>
      <c r="E20" s="119">
        <f t="shared" si="1"/>
        <v>0</v>
      </c>
      <c r="F20" s="119">
        <f t="shared" si="1"/>
        <v>0</v>
      </c>
      <c r="G20" s="119">
        <f t="shared" si="1"/>
        <v>0</v>
      </c>
      <c r="H20" s="119">
        <f t="shared" si="1"/>
        <v>0</v>
      </c>
      <c r="I20" s="119">
        <f t="shared" si="1"/>
        <v>0</v>
      </c>
      <c r="J20" s="119">
        <f t="shared" si="1"/>
        <v>0</v>
      </c>
      <c r="K20" s="119">
        <f t="shared" si="1"/>
        <v>0</v>
      </c>
      <c r="L20" s="119">
        <f t="shared" si="1"/>
        <v>0</v>
      </c>
      <c r="M20" s="119">
        <f t="shared" si="1"/>
        <v>0</v>
      </c>
      <c r="N20" s="119"/>
    </row>
    <row r="21" spans="2:14" x14ac:dyDescent="0.25">
      <c r="B21" s="197" t="s">
        <v>331</v>
      </c>
      <c r="C21" s="199" t="s">
        <v>45</v>
      </c>
      <c r="D21" s="160">
        <f>_xlfn.XLOOKUP(D$16,'Vastgestelde parameters'!$F$24:$Z$24,'Vastgestelde parameters'!$F$25:$Z$25,,0)</f>
        <v>124.61</v>
      </c>
      <c r="E21" s="160">
        <f>_xlfn.XLOOKUP(E$16,'Vastgestelde parameters'!$F$24:$Z$24,'Vastgestelde parameters'!$F$25:$Z$25,,0)</f>
        <v>131.38999999999999</v>
      </c>
      <c r="F21" s="160">
        <f>_xlfn.XLOOKUP(F$16,'Vastgestelde parameters'!$F$24:$Z$24,'Vastgestelde parameters'!$F$25:$Z$25,,0)</f>
        <v>138.61000000000001</v>
      </c>
      <c r="G21" s="160">
        <f>_xlfn.XLOOKUP(G$16,'Vastgestelde parameters'!$F$24:$Z$24,'Vastgestelde parameters'!$F$25:$Z$25,,0)</f>
        <v>146.27000000000001</v>
      </c>
      <c r="H21" s="160">
        <f>_xlfn.XLOOKUP(H$16,'Vastgestelde parameters'!$F$24:$Z$24,'Vastgestelde parameters'!$F$25:$Z$25,,0)</f>
        <v>154.26</v>
      </c>
      <c r="I21" s="160">
        <f>_xlfn.XLOOKUP(I$16,'Vastgestelde parameters'!$F$24:$Z$24,'Vastgestelde parameters'!$F$25:$Z$25,,0)</f>
        <v>162.79</v>
      </c>
      <c r="J21" s="160">
        <f>_xlfn.XLOOKUP(J$16,'Vastgestelde parameters'!$F$24:$Z$24,'Vastgestelde parameters'!$F$25:$Z$25,,0)</f>
        <v>171.76</v>
      </c>
      <c r="K21" s="160">
        <f>_xlfn.XLOOKUP(K$16,'Vastgestelde parameters'!$F$24:$Z$24,'Vastgestelde parameters'!$F$25:$Z$25,,0)</f>
        <v>181.17</v>
      </c>
      <c r="L21" s="160">
        <f>_xlfn.XLOOKUP(L$16,'Vastgestelde parameters'!$F$24:$Z$24,'Vastgestelde parameters'!$F$25:$Z$25,,0)</f>
        <v>191.13</v>
      </c>
      <c r="M21" s="160">
        <f>_xlfn.XLOOKUP(M$16,'Vastgestelde parameters'!$F$24:$Z$24,'Vastgestelde parameters'!$F$25:$Z$25,,0)</f>
        <v>201.63</v>
      </c>
      <c r="N21" s="161"/>
    </row>
    <row r="22" spans="2:14" x14ac:dyDescent="0.25">
      <c r="B22" s="197" t="s">
        <v>332</v>
      </c>
      <c r="C22" s="199" t="s">
        <v>114</v>
      </c>
      <c r="D22" s="119">
        <f>IF($C$13="Nee",0,D20*D21)</f>
        <v>0</v>
      </c>
      <c r="E22" s="119">
        <f t="shared" ref="E22:M22" si="2">IF($C$13="Nee",0,E20*E21)</f>
        <v>0</v>
      </c>
      <c r="F22" s="119">
        <f t="shared" si="2"/>
        <v>0</v>
      </c>
      <c r="G22" s="119">
        <f t="shared" si="2"/>
        <v>0</v>
      </c>
      <c r="H22" s="119">
        <f t="shared" si="2"/>
        <v>0</v>
      </c>
      <c r="I22" s="119">
        <f t="shared" si="2"/>
        <v>0</v>
      </c>
      <c r="J22" s="119">
        <f t="shared" si="2"/>
        <v>0</v>
      </c>
      <c r="K22" s="119">
        <f t="shared" si="2"/>
        <v>0</v>
      </c>
      <c r="L22" s="119">
        <f t="shared" si="2"/>
        <v>0</v>
      </c>
      <c r="M22" s="119">
        <f t="shared" si="2"/>
        <v>0</v>
      </c>
      <c r="N22" s="119"/>
    </row>
    <row r="23" spans="2:14" x14ac:dyDescent="0.25"/>
    <row r="24" spans="2:14" ht="18.75" customHeight="1" x14ac:dyDescent="0.25">
      <c r="B24" s="148" t="s">
        <v>203</v>
      </c>
      <c r="C24" s="149"/>
      <c r="D24" s="149"/>
      <c r="E24" s="149"/>
      <c r="F24" s="149"/>
      <c r="G24" s="149"/>
      <c r="H24" s="149"/>
      <c r="I24" s="149"/>
      <c r="J24" s="149"/>
      <c r="K24" s="149"/>
      <c r="L24" s="149"/>
      <c r="M24" s="149"/>
      <c r="N24" s="150"/>
    </row>
    <row r="25" spans="2:14" ht="15" customHeight="1" x14ac:dyDescent="0.25">
      <c r="B25" s="232"/>
      <c r="C25" s="233"/>
      <c r="D25" s="233"/>
      <c r="E25" s="233"/>
      <c r="F25" s="233"/>
      <c r="G25" s="233"/>
      <c r="H25" s="233"/>
      <c r="I25" s="233"/>
      <c r="J25" s="233"/>
      <c r="K25" s="233"/>
      <c r="L25" s="233"/>
      <c r="M25" s="233"/>
      <c r="N25" s="234"/>
    </row>
    <row r="26" spans="2:14" ht="15" customHeight="1" x14ac:dyDescent="0.25">
      <c r="B26" s="232"/>
      <c r="C26" s="233"/>
      <c r="D26" s="233"/>
      <c r="E26" s="233"/>
      <c r="F26" s="233"/>
      <c r="G26" s="233"/>
      <c r="H26" s="233"/>
      <c r="I26" s="233"/>
      <c r="J26" s="233"/>
      <c r="K26" s="233"/>
      <c r="L26" s="233"/>
      <c r="M26" s="233"/>
      <c r="N26" s="234"/>
    </row>
    <row r="27" spans="2:14" ht="15" customHeight="1" x14ac:dyDescent="0.25">
      <c r="B27" s="232"/>
      <c r="C27" s="233"/>
      <c r="D27" s="233"/>
      <c r="E27" s="233"/>
      <c r="F27" s="233"/>
      <c r="G27" s="233"/>
      <c r="H27" s="233"/>
      <c r="I27" s="233"/>
      <c r="J27" s="233"/>
      <c r="K27" s="233"/>
      <c r="L27" s="233"/>
      <c r="M27" s="233"/>
      <c r="N27" s="234"/>
    </row>
    <row r="28" spans="2:14" ht="15" customHeight="1" x14ac:dyDescent="0.25">
      <c r="B28" s="232"/>
      <c r="C28" s="233"/>
      <c r="D28" s="233"/>
      <c r="E28" s="233"/>
      <c r="F28" s="233"/>
      <c r="G28" s="233"/>
      <c r="H28" s="233"/>
      <c r="I28" s="233"/>
      <c r="J28" s="233"/>
      <c r="K28" s="233"/>
      <c r="L28" s="233"/>
      <c r="M28" s="233"/>
      <c r="N28" s="234"/>
    </row>
    <row r="29" spans="2:14" ht="15" customHeight="1" x14ac:dyDescent="0.25">
      <c r="B29" s="232"/>
      <c r="C29" s="233"/>
      <c r="D29" s="233"/>
      <c r="E29" s="233"/>
      <c r="F29" s="233"/>
      <c r="G29" s="233"/>
      <c r="H29" s="233"/>
      <c r="I29" s="233"/>
      <c r="J29" s="233"/>
      <c r="K29" s="233"/>
      <c r="L29" s="233"/>
      <c r="M29" s="233"/>
      <c r="N29" s="234"/>
    </row>
    <row r="30" spans="2:14" ht="15" customHeight="1" x14ac:dyDescent="0.25">
      <c r="B30" s="232"/>
      <c r="C30" s="233"/>
      <c r="D30" s="233"/>
      <c r="E30" s="233"/>
      <c r="F30" s="233"/>
      <c r="G30" s="233"/>
      <c r="H30" s="233"/>
      <c r="I30" s="233"/>
      <c r="J30" s="233"/>
      <c r="K30" s="233"/>
      <c r="L30" s="233"/>
      <c r="M30" s="233"/>
      <c r="N30" s="234"/>
    </row>
    <row r="31" spans="2:14" ht="15" customHeight="1" x14ac:dyDescent="0.25">
      <c r="B31" s="232"/>
      <c r="C31" s="233"/>
      <c r="D31" s="233"/>
      <c r="E31" s="233"/>
      <c r="F31" s="233"/>
      <c r="G31" s="233"/>
      <c r="H31" s="233"/>
      <c r="I31" s="233"/>
      <c r="J31" s="233"/>
      <c r="K31" s="233"/>
      <c r="L31" s="233"/>
      <c r="M31" s="233"/>
      <c r="N31" s="234"/>
    </row>
    <row r="32" spans="2:14" ht="15" customHeight="1" x14ac:dyDescent="0.25">
      <c r="B32" s="232"/>
      <c r="C32" s="233"/>
      <c r="D32" s="233"/>
      <c r="E32" s="233"/>
      <c r="F32" s="233"/>
      <c r="G32" s="233"/>
      <c r="H32" s="233"/>
      <c r="I32" s="233"/>
      <c r="J32" s="233"/>
      <c r="K32" s="233"/>
      <c r="L32" s="233"/>
      <c r="M32" s="233"/>
      <c r="N32" s="234"/>
    </row>
    <row r="33" spans="2:14" ht="15" customHeight="1" x14ac:dyDescent="0.25">
      <c r="B33" s="232"/>
      <c r="C33" s="233"/>
      <c r="D33" s="233"/>
      <c r="E33" s="233"/>
      <c r="F33" s="233"/>
      <c r="G33" s="233"/>
      <c r="H33" s="233"/>
      <c r="I33" s="233"/>
      <c r="J33" s="233"/>
      <c r="K33" s="233"/>
      <c r="L33" s="233"/>
      <c r="M33" s="233"/>
      <c r="N33" s="234"/>
    </row>
    <row r="34" spans="2:14" ht="15" customHeight="1" x14ac:dyDescent="0.25">
      <c r="B34" s="232"/>
      <c r="C34" s="233"/>
      <c r="D34" s="233"/>
      <c r="E34" s="233"/>
      <c r="F34" s="233"/>
      <c r="G34" s="233"/>
      <c r="H34" s="233"/>
      <c r="I34" s="233"/>
      <c r="J34" s="233"/>
      <c r="K34" s="233"/>
      <c r="L34" s="233"/>
      <c r="M34" s="233"/>
      <c r="N34" s="234"/>
    </row>
    <row r="35" spans="2:14" ht="15" customHeight="1" x14ac:dyDescent="0.25">
      <c r="B35" s="232"/>
      <c r="C35" s="233"/>
      <c r="D35" s="233"/>
      <c r="E35" s="233"/>
      <c r="F35" s="233"/>
      <c r="G35" s="233"/>
      <c r="H35" s="233"/>
      <c r="I35" s="233"/>
      <c r="J35" s="233"/>
      <c r="K35" s="233"/>
      <c r="L35" s="233"/>
      <c r="M35" s="233"/>
      <c r="N35" s="234"/>
    </row>
    <row r="36" spans="2:14" ht="15" customHeight="1" x14ac:dyDescent="0.25">
      <c r="B36" s="232"/>
      <c r="C36" s="233"/>
      <c r="D36" s="233"/>
      <c r="E36" s="233"/>
      <c r="F36" s="233"/>
      <c r="G36" s="233"/>
      <c r="H36" s="233"/>
      <c r="I36" s="233"/>
      <c r="J36" s="233"/>
      <c r="K36" s="233"/>
      <c r="L36" s="233"/>
      <c r="M36" s="233"/>
      <c r="N36" s="234"/>
    </row>
    <row r="37" spans="2:14" ht="15" customHeight="1" x14ac:dyDescent="0.25">
      <c r="B37" s="232"/>
      <c r="C37" s="233"/>
      <c r="D37" s="233"/>
      <c r="E37" s="233"/>
      <c r="F37" s="233"/>
      <c r="G37" s="233"/>
      <c r="H37" s="233"/>
      <c r="I37" s="233"/>
      <c r="J37" s="233"/>
      <c r="K37" s="233"/>
      <c r="L37" s="233"/>
      <c r="M37" s="233"/>
      <c r="N37" s="234"/>
    </row>
    <row r="38" spans="2:14" ht="15" customHeight="1" x14ac:dyDescent="0.25">
      <c r="B38" s="232"/>
      <c r="C38" s="233"/>
      <c r="D38" s="233"/>
      <c r="E38" s="233"/>
      <c r="F38" s="233"/>
      <c r="G38" s="233"/>
      <c r="H38" s="233"/>
      <c r="I38" s="233"/>
      <c r="J38" s="233"/>
      <c r="K38" s="233"/>
      <c r="L38" s="233"/>
      <c r="M38" s="233"/>
      <c r="N38" s="234"/>
    </row>
    <row r="39" spans="2:14" ht="15" customHeight="1" x14ac:dyDescent="0.25">
      <c r="B39" s="232"/>
      <c r="C39" s="233"/>
      <c r="D39" s="233"/>
      <c r="E39" s="233"/>
      <c r="F39" s="233"/>
      <c r="G39" s="233"/>
      <c r="H39" s="233"/>
      <c r="I39" s="233"/>
      <c r="J39" s="233"/>
      <c r="K39" s="233"/>
      <c r="L39" s="233"/>
      <c r="M39" s="233"/>
      <c r="N39" s="234"/>
    </row>
    <row r="40" spans="2:14" ht="15" customHeight="1" x14ac:dyDescent="0.25">
      <c r="B40" s="232"/>
      <c r="C40" s="233"/>
      <c r="D40" s="233"/>
      <c r="E40" s="233"/>
      <c r="F40" s="233"/>
      <c r="G40" s="233"/>
      <c r="H40" s="233"/>
      <c r="I40" s="233"/>
      <c r="J40" s="233"/>
      <c r="K40" s="233"/>
      <c r="L40" s="233"/>
      <c r="M40" s="233"/>
      <c r="N40" s="234"/>
    </row>
    <row r="41" spans="2:14" ht="15" customHeight="1" x14ac:dyDescent="0.25">
      <c r="B41" s="232"/>
      <c r="C41" s="233"/>
      <c r="D41" s="233"/>
      <c r="E41" s="233"/>
      <c r="F41" s="233"/>
      <c r="G41" s="233"/>
      <c r="H41" s="233"/>
      <c r="I41" s="233"/>
      <c r="J41" s="233"/>
      <c r="K41" s="233"/>
      <c r="L41" s="233"/>
      <c r="M41" s="233"/>
      <c r="N41" s="234"/>
    </row>
    <row r="42" spans="2:14" ht="15" customHeight="1" x14ac:dyDescent="0.25">
      <c r="B42" s="232"/>
      <c r="C42" s="233"/>
      <c r="D42" s="233"/>
      <c r="E42" s="233"/>
      <c r="F42" s="233"/>
      <c r="G42" s="233"/>
      <c r="H42" s="233"/>
      <c r="I42" s="233"/>
      <c r="J42" s="233"/>
      <c r="K42" s="233"/>
      <c r="L42" s="233"/>
      <c r="M42" s="233"/>
      <c r="N42" s="234"/>
    </row>
    <row r="43" spans="2:14" ht="15" customHeight="1" x14ac:dyDescent="0.25">
      <c r="B43" s="232"/>
      <c r="C43" s="233"/>
      <c r="D43" s="233"/>
      <c r="E43" s="233"/>
      <c r="F43" s="233"/>
      <c r="G43" s="233"/>
      <c r="H43" s="233"/>
      <c r="I43" s="233"/>
      <c r="J43" s="233"/>
      <c r="K43" s="233"/>
      <c r="L43" s="233"/>
      <c r="M43" s="233"/>
      <c r="N43" s="234"/>
    </row>
    <row r="44" spans="2:14" ht="15" customHeight="1" x14ac:dyDescent="0.25">
      <c r="B44" s="232"/>
      <c r="C44" s="233"/>
      <c r="D44" s="233"/>
      <c r="E44" s="233"/>
      <c r="F44" s="233"/>
      <c r="G44" s="233"/>
      <c r="H44" s="233"/>
      <c r="I44" s="233"/>
      <c r="J44" s="233"/>
      <c r="K44" s="233"/>
      <c r="L44" s="233"/>
      <c r="M44" s="233"/>
      <c r="N44" s="234"/>
    </row>
    <row r="45" spans="2:14" ht="15" customHeight="1" x14ac:dyDescent="0.25">
      <c r="B45" s="232"/>
      <c r="C45" s="233"/>
      <c r="D45" s="233"/>
      <c r="E45" s="233"/>
      <c r="F45" s="233"/>
      <c r="G45" s="233"/>
      <c r="H45" s="233"/>
      <c r="I45" s="233"/>
      <c r="J45" s="233"/>
      <c r="K45" s="233"/>
      <c r="L45" s="233"/>
      <c r="M45" s="233"/>
      <c r="N45" s="234"/>
    </row>
    <row r="46" spans="2:14" ht="15" customHeight="1" x14ac:dyDescent="0.25">
      <c r="B46" s="232"/>
      <c r="C46" s="233"/>
      <c r="D46" s="233"/>
      <c r="E46" s="233"/>
      <c r="F46" s="233"/>
      <c r="G46" s="233"/>
      <c r="H46" s="233"/>
      <c r="I46" s="233"/>
      <c r="J46" s="233"/>
      <c r="K46" s="233"/>
      <c r="L46" s="233"/>
      <c r="M46" s="233"/>
      <c r="N46" s="234"/>
    </row>
    <row r="47" spans="2:14" ht="15" customHeight="1" x14ac:dyDescent="0.25">
      <c r="B47" s="232"/>
      <c r="C47" s="233"/>
      <c r="D47" s="233"/>
      <c r="E47" s="233"/>
      <c r="F47" s="233"/>
      <c r="G47" s="233"/>
      <c r="H47" s="233"/>
      <c r="I47" s="233"/>
      <c r="J47" s="233"/>
      <c r="K47" s="233"/>
      <c r="L47" s="233"/>
      <c r="M47" s="233"/>
      <c r="N47" s="234"/>
    </row>
    <row r="48" spans="2:14" ht="15" customHeight="1" x14ac:dyDescent="0.25">
      <c r="B48" s="232"/>
      <c r="C48" s="233"/>
      <c r="D48" s="233"/>
      <c r="E48" s="233"/>
      <c r="F48" s="233"/>
      <c r="G48" s="233"/>
      <c r="H48" s="233"/>
      <c r="I48" s="233"/>
      <c r="J48" s="233"/>
      <c r="K48" s="233"/>
      <c r="L48" s="233"/>
      <c r="M48" s="233"/>
      <c r="N48" s="234"/>
    </row>
    <row r="49" spans="2:14" ht="15" customHeight="1" x14ac:dyDescent="0.25">
      <c r="B49" s="232"/>
      <c r="C49" s="233"/>
      <c r="D49" s="233"/>
      <c r="E49" s="233"/>
      <c r="F49" s="233"/>
      <c r="G49" s="233"/>
      <c r="H49" s="233"/>
      <c r="I49" s="233"/>
      <c r="J49" s="233"/>
      <c r="K49" s="233"/>
      <c r="L49" s="233"/>
      <c r="M49" s="233"/>
      <c r="N49" s="234"/>
    </row>
    <row r="50" spans="2:14" ht="15" customHeight="1" x14ac:dyDescent="0.25">
      <c r="B50" s="232"/>
      <c r="C50" s="233"/>
      <c r="D50" s="233"/>
      <c r="E50" s="233"/>
      <c r="F50" s="233"/>
      <c r="G50" s="233"/>
      <c r="H50" s="233"/>
      <c r="I50" s="233"/>
      <c r="J50" s="233"/>
      <c r="K50" s="233"/>
      <c r="L50" s="233"/>
      <c r="M50" s="233"/>
      <c r="N50" s="234"/>
    </row>
    <row r="51" spans="2:14" ht="15" customHeight="1" x14ac:dyDescent="0.25">
      <c r="B51" s="232"/>
      <c r="C51" s="233"/>
      <c r="D51" s="233"/>
      <c r="E51" s="233"/>
      <c r="F51" s="233"/>
      <c r="G51" s="233"/>
      <c r="H51" s="233"/>
      <c r="I51" s="233"/>
      <c r="J51" s="233"/>
      <c r="K51" s="233"/>
      <c r="L51" s="233"/>
      <c r="M51" s="233"/>
      <c r="N51" s="234"/>
    </row>
    <row r="52" spans="2:14" ht="15" customHeight="1" x14ac:dyDescent="0.25">
      <c r="B52" s="235"/>
      <c r="C52" s="236"/>
      <c r="D52" s="236"/>
      <c r="E52" s="236"/>
      <c r="F52" s="236"/>
      <c r="G52" s="236"/>
      <c r="H52" s="236"/>
      <c r="I52" s="236"/>
      <c r="J52" s="236"/>
      <c r="K52" s="236"/>
      <c r="L52" s="236"/>
      <c r="M52" s="236"/>
      <c r="N52" s="237"/>
    </row>
    <row r="53" spans="2:14" x14ac:dyDescent="0.25"/>
  </sheetData>
  <sheetProtection algorithmName="SHA-512" hashValue="THthcE140qfscoELSt7ojwtgd0BGJJ1xb5GxqWwetJ3ASvgjMEFhuTQ2UyRn2sPtz5NTR/xyWu3AFHaGnqaYzQ==" saltValue="6YDEDd8YmzJfoPYiZQ5FvQ==" spinCount="100000" sheet="1" objects="1" scenarios="1"/>
  <mergeCells count="28">
    <mergeCell ref="B49:N49"/>
    <mergeCell ref="B50:N50"/>
    <mergeCell ref="B51:N51"/>
    <mergeCell ref="B52:N52"/>
    <mergeCell ref="B43:N43"/>
    <mergeCell ref="B44:N44"/>
    <mergeCell ref="B45:N45"/>
    <mergeCell ref="B46:N46"/>
    <mergeCell ref="B47:N47"/>
    <mergeCell ref="B48:N48"/>
    <mergeCell ref="B42:N42"/>
    <mergeCell ref="B31:N31"/>
    <mergeCell ref="B32:N32"/>
    <mergeCell ref="B33:N33"/>
    <mergeCell ref="B34:N34"/>
    <mergeCell ref="B35:N35"/>
    <mergeCell ref="B36:N36"/>
    <mergeCell ref="B37:N37"/>
    <mergeCell ref="B38:N38"/>
    <mergeCell ref="B39:N39"/>
    <mergeCell ref="B40:N40"/>
    <mergeCell ref="B41:N41"/>
    <mergeCell ref="B30:N30"/>
    <mergeCell ref="B25:N25"/>
    <mergeCell ref="B26:N26"/>
    <mergeCell ref="B27:N27"/>
    <mergeCell ref="B28:N28"/>
    <mergeCell ref="B29:N29"/>
  </mergeCells>
  <phoneticPr fontId="3" type="noConversion"/>
  <conditionalFormatting sqref="D17:M19">
    <cfRule type="expression" dxfId="5" priority="3">
      <formula>$C$13="Nee"</formula>
    </cfRule>
  </conditionalFormatting>
  <dataValidations count="1">
    <dataValidation type="list" allowBlank="1" showInputMessage="1" showErrorMessage="1" sqref="C13:C14" xr:uid="{04989619-827C-4E1F-B95F-7CCF0BC09F03}">
      <formula1>"-,Ja,Nee"</formula1>
    </dataValidation>
  </dataValidations>
  <pageMargins left="0.7" right="0.7" top="0.75" bottom="0.75" header="0.3" footer="0.3"/>
  <pageSetup paperSize="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B7937-315C-4466-A0A0-3FB30500D291}">
  <sheetPr>
    <tabColor rgb="FFFFFF00"/>
    <pageSetUpPr autoPageBreaks="0"/>
  </sheetPr>
  <dimension ref="A1:F58"/>
  <sheetViews>
    <sheetView workbookViewId="0"/>
  </sheetViews>
  <sheetFormatPr defaultColWidth="0" defaultRowHeight="15" zeroHeight="1" x14ac:dyDescent="0.25"/>
  <cols>
    <col min="1" max="1" width="2.85546875" style="3" customWidth="1"/>
    <col min="2" max="2" width="24.5703125" style="3" customWidth="1"/>
    <col min="3" max="3" width="10.5703125" style="3" bestFit="1" customWidth="1"/>
    <col min="4" max="4" width="62.28515625" style="3" customWidth="1"/>
    <col min="5" max="5" width="123.5703125" style="3" customWidth="1"/>
    <col min="6" max="6" width="2.85546875" style="3" customWidth="1"/>
    <col min="7" max="16384" width="8.7109375" style="3" hidden="1"/>
  </cols>
  <sheetData>
    <row r="1" spans="2:5" ht="28.5" x14ac:dyDescent="0.45">
      <c r="B1" s="59" t="s">
        <v>205</v>
      </c>
    </row>
    <row r="2" spans="2:5" x14ac:dyDescent="0.25">
      <c r="B2" s="151"/>
      <c r="C2" s="146"/>
      <c r="D2" s="146"/>
      <c r="E2" s="146"/>
    </row>
    <row r="3" spans="2:5" ht="18.75" customHeight="1" x14ac:dyDescent="0.25">
      <c r="B3" s="158" t="s">
        <v>249</v>
      </c>
      <c r="C3" s="80"/>
      <c r="D3" s="2"/>
      <c r="E3" s="2"/>
    </row>
    <row r="4" spans="2:5" ht="18.75" customHeight="1" x14ac:dyDescent="0.25">
      <c r="B4" s="158" t="s">
        <v>333</v>
      </c>
      <c r="C4" s="80"/>
      <c r="D4" s="2"/>
      <c r="E4" s="2"/>
    </row>
    <row r="5" spans="2:5" ht="18.75" customHeight="1" x14ac:dyDescent="0.25">
      <c r="B5" s="158" t="s">
        <v>250</v>
      </c>
      <c r="C5" s="80"/>
      <c r="D5" s="2"/>
      <c r="E5" s="2"/>
    </row>
    <row r="6" spans="2:5" ht="18.75" customHeight="1" x14ac:dyDescent="0.25">
      <c r="B6" s="158" t="s">
        <v>251</v>
      </c>
      <c r="C6" s="80"/>
      <c r="D6" s="66"/>
      <c r="E6" s="2"/>
    </row>
    <row r="7" spans="2:5" ht="18.75" customHeight="1" x14ac:dyDescent="0.25">
      <c r="B7" s="2" t="s">
        <v>334</v>
      </c>
      <c r="C7" s="80"/>
      <c r="D7" s="2"/>
      <c r="E7" s="2"/>
    </row>
    <row r="8" spans="2:5" ht="18.75" customHeight="1" x14ac:dyDescent="0.25">
      <c r="B8" s="2"/>
      <c r="C8" s="80"/>
      <c r="D8" s="2"/>
      <c r="E8" s="2"/>
    </row>
    <row r="9" spans="2:5" ht="18.75" customHeight="1" x14ac:dyDescent="0.25">
      <c r="B9" s="158"/>
      <c r="C9" s="80"/>
      <c r="D9" s="2"/>
      <c r="E9" s="2"/>
    </row>
    <row r="10" spans="2:5" ht="18.75" customHeight="1" x14ac:dyDescent="0.25">
      <c r="B10" s="158" t="s">
        <v>217</v>
      </c>
      <c r="C10" s="80"/>
      <c r="D10" s="2"/>
      <c r="E10" s="2"/>
    </row>
    <row r="11" spans="2:5" x14ac:dyDescent="0.25"/>
    <row r="12" spans="2:5" ht="15.75" x14ac:dyDescent="0.25">
      <c r="B12" s="5" t="s">
        <v>26</v>
      </c>
      <c r="C12" s="5" t="s">
        <v>2</v>
      </c>
      <c r="D12" s="9" t="s">
        <v>157</v>
      </c>
    </row>
    <row r="13" spans="2:5" x14ac:dyDescent="0.25">
      <c r="B13" s="174" t="s">
        <v>27</v>
      </c>
      <c r="C13" s="95"/>
      <c r="D13" s="95"/>
    </row>
    <row r="14" spans="2:5" x14ac:dyDescent="0.25">
      <c r="B14" s="174" t="s">
        <v>28</v>
      </c>
      <c r="C14" s="95"/>
      <c r="D14" s="95"/>
    </row>
    <row r="15" spans="2:5" x14ac:dyDescent="0.25">
      <c r="B15" s="174" t="s">
        <v>30</v>
      </c>
      <c r="C15" s="95"/>
      <c r="D15" s="95"/>
    </row>
    <row r="16" spans="2:5" x14ac:dyDescent="0.25">
      <c r="B16" s="174" t="s">
        <v>32</v>
      </c>
      <c r="C16" s="97"/>
      <c r="D16" s="95"/>
    </row>
    <row r="17" spans="2:5" x14ac:dyDescent="0.25">
      <c r="B17" s="174" t="s">
        <v>29</v>
      </c>
      <c r="C17" s="63">
        <f>RiskFreeRate</f>
        <v>3.1E-2</v>
      </c>
      <c r="D17" s="62" t="s">
        <v>74</v>
      </c>
    </row>
    <row r="18" spans="2:5" x14ac:dyDescent="0.25">
      <c r="B18" s="174" t="s">
        <v>31</v>
      </c>
      <c r="C18" s="63">
        <f>ERP</f>
        <v>5.5E-2</v>
      </c>
      <c r="D18" s="62" t="s">
        <v>74</v>
      </c>
      <c r="E18" s="157"/>
    </row>
    <row r="19" spans="2:5" x14ac:dyDescent="0.25">
      <c r="B19" s="174" t="s">
        <v>33</v>
      </c>
      <c r="C19" s="63">
        <f>tax_rate</f>
        <v>0.25800000000000001</v>
      </c>
      <c r="D19" s="62" t="s">
        <v>74</v>
      </c>
    </row>
    <row r="20" spans="2:5" x14ac:dyDescent="0.25"/>
    <row r="21" spans="2:5" ht="15.75" x14ac:dyDescent="0.25">
      <c r="B21" s="5" t="s">
        <v>34</v>
      </c>
      <c r="C21" s="5" t="s">
        <v>204</v>
      </c>
      <c r="D21" s="5" t="s">
        <v>35</v>
      </c>
    </row>
    <row r="22" spans="2:5" ht="33" customHeight="1" x14ac:dyDescent="0.25">
      <c r="B22" s="175" t="s">
        <v>36</v>
      </c>
      <c r="C22" s="137" t="str">
        <f>IF(C15&lt;&gt;"", C15*(1+C14/C13*(1-C19)), "")</f>
        <v/>
      </c>
      <c r="D22" s="64"/>
    </row>
    <row r="23" spans="2:5" ht="33" customHeight="1" x14ac:dyDescent="0.25">
      <c r="B23" s="175" t="s">
        <v>38</v>
      </c>
      <c r="C23" s="65" t="str">
        <f>IF(C13&lt;&gt;"", C13/(C13+C14),"")</f>
        <v/>
      </c>
      <c r="D23" s="64"/>
    </row>
    <row r="24" spans="2:5" ht="33" customHeight="1" x14ac:dyDescent="0.25">
      <c r="B24" s="175" t="s">
        <v>37</v>
      </c>
      <c r="C24" s="65">
        <f>IF(C22&lt;&gt;"", C17+C22*C18,)</f>
        <v>0</v>
      </c>
      <c r="D24" s="64"/>
    </row>
    <row r="25" spans="2:5" ht="33" customHeight="1" x14ac:dyDescent="0.25">
      <c r="B25" s="175" t="s">
        <v>40</v>
      </c>
      <c r="C25" s="65" t="str">
        <f>IF(C14&lt;&gt;"", C14/(C13+C14),"")</f>
        <v/>
      </c>
      <c r="D25" s="64"/>
    </row>
    <row r="26" spans="2:5" ht="33" customHeight="1" x14ac:dyDescent="0.25">
      <c r="B26" s="175" t="s">
        <v>39</v>
      </c>
      <c r="C26" s="65">
        <f>(C17+C16)*(1-C19)</f>
        <v>2.3001999999999998E-2</v>
      </c>
      <c r="D26" s="64"/>
    </row>
    <row r="27" spans="2:5" ht="33.75" customHeight="1" x14ac:dyDescent="0.25">
      <c r="B27" s="176" t="s">
        <v>0</v>
      </c>
      <c r="C27" s="207" t="e">
        <f>C24*C23+C26*C25</f>
        <v>#VALUE!</v>
      </c>
      <c r="D27" s="64"/>
    </row>
    <row r="28" spans="2:5" x14ac:dyDescent="0.25"/>
    <row r="29" spans="2:5" ht="18.75" customHeight="1" x14ac:dyDescent="0.25">
      <c r="B29" s="148" t="s">
        <v>203</v>
      </c>
      <c r="C29" s="149"/>
      <c r="D29" s="149"/>
      <c r="E29" s="150"/>
    </row>
    <row r="30" spans="2:5" x14ac:dyDescent="0.25">
      <c r="B30" s="232"/>
      <c r="C30" s="233"/>
      <c r="D30" s="233"/>
      <c r="E30" s="234"/>
    </row>
    <row r="31" spans="2:5" x14ac:dyDescent="0.25">
      <c r="B31" s="232"/>
      <c r="C31" s="233"/>
      <c r="D31" s="233"/>
      <c r="E31" s="234"/>
    </row>
    <row r="32" spans="2:5" x14ac:dyDescent="0.25">
      <c r="B32" s="232"/>
      <c r="C32" s="233"/>
      <c r="D32" s="233"/>
      <c r="E32" s="234"/>
    </row>
    <row r="33" spans="2:5" x14ac:dyDescent="0.25">
      <c r="B33" s="232"/>
      <c r="C33" s="233"/>
      <c r="D33" s="233"/>
      <c r="E33" s="234"/>
    </row>
    <row r="34" spans="2:5" x14ac:dyDescent="0.25">
      <c r="B34" s="232"/>
      <c r="C34" s="233"/>
      <c r="D34" s="233"/>
      <c r="E34" s="234"/>
    </row>
    <row r="35" spans="2:5" x14ac:dyDescent="0.25">
      <c r="B35" s="232"/>
      <c r="C35" s="233"/>
      <c r="D35" s="233"/>
      <c r="E35" s="234"/>
    </row>
    <row r="36" spans="2:5" x14ac:dyDescent="0.25">
      <c r="B36" s="232"/>
      <c r="C36" s="233"/>
      <c r="D36" s="233"/>
      <c r="E36" s="234"/>
    </row>
    <row r="37" spans="2:5" x14ac:dyDescent="0.25">
      <c r="B37" s="232"/>
      <c r="C37" s="233"/>
      <c r="D37" s="233"/>
      <c r="E37" s="234"/>
    </row>
    <row r="38" spans="2:5" x14ac:dyDescent="0.25">
      <c r="B38" s="232"/>
      <c r="C38" s="233"/>
      <c r="D38" s="233"/>
      <c r="E38" s="234"/>
    </row>
    <row r="39" spans="2:5" x14ac:dyDescent="0.25">
      <c r="B39" s="232"/>
      <c r="C39" s="233"/>
      <c r="D39" s="233"/>
      <c r="E39" s="234"/>
    </row>
    <row r="40" spans="2:5" x14ac:dyDescent="0.25">
      <c r="B40" s="232"/>
      <c r="C40" s="233"/>
      <c r="D40" s="233"/>
      <c r="E40" s="234"/>
    </row>
    <row r="41" spans="2:5" x14ac:dyDescent="0.25">
      <c r="B41" s="232"/>
      <c r="C41" s="233"/>
      <c r="D41" s="233"/>
      <c r="E41" s="234"/>
    </row>
    <row r="42" spans="2:5" x14ac:dyDescent="0.25">
      <c r="B42" s="232"/>
      <c r="C42" s="233"/>
      <c r="D42" s="233"/>
      <c r="E42" s="234"/>
    </row>
    <row r="43" spans="2:5" x14ac:dyDescent="0.25">
      <c r="B43" s="232"/>
      <c r="C43" s="233"/>
      <c r="D43" s="233"/>
      <c r="E43" s="234"/>
    </row>
    <row r="44" spans="2:5" x14ac:dyDescent="0.25">
      <c r="B44" s="232"/>
      <c r="C44" s="233"/>
      <c r="D44" s="233"/>
      <c r="E44" s="234"/>
    </row>
    <row r="45" spans="2:5" x14ac:dyDescent="0.25">
      <c r="B45" s="232"/>
      <c r="C45" s="233"/>
      <c r="D45" s="233"/>
      <c r="E45" s="234"/>
    </row>
    <row r="46" spans="2:5" x14ac:dyDescent="0.25">
      <c r="B46" s="232"/>
      <c r="C46" s="233"/>
      <c r="D46" s="233"/>
      <c r="E46" s="234"/>
    </row>
    <row r="47" spans="2:5" x14ac:dyDescent="0.25">
      <c r="B47" s="232"/>
      <c r="C47" s="233"/>
      <c r="D47" s="233"/>
      <c r="E47" s="234"/>
    </row>
    <row r="48" spans="2:5" x14ac:dyDescent="0.25">
      <c r="B48" s="232"/>
      <c r="C48" s="233"/>
      <c r="D48" s="233"/>
      <c r="E48" s="234"/>
    </row>
    <row r="49" spans="2:5" x14ac:dyDescent="0.25">
      <c r="B49" s="232"/>
      <c r="C49" s="233"/>
      <c r="D49" s="233"/>
      <c r="E49" s="234"/>
    </row>
    <row r="50" spans="2:5" x14ac:dyDescent="0.25">
      <c r="B50" s="232"/>
      <c r="C50" s="233"/>
      <c r="D50" s="233"/>
      <c r="E50" s="234"/>
    </row>
    <row r="51" spans="2:5" x14ac:dyDescent="0.25">
      <c r="B51" s="232"/>
      <c r="C51" s="233"/>
      <c r="D51" s="233"/>
      <c r="E51" s="234"/>
    </row>
    <row r="52" spans="2:5" x14ac:dyDescent="0.25">
      <c r="B52" s="232"/>
      <c r="C52" s="233"/>
      <c r="D52" s="233"/>
      <c r="E52" s="234"/>
    </row>
    <row r="53" spans="2:5" x14ac:dyDescent="0.25">
      <c r="B53" s="232"/>
      <c r="C53" s="233"/>
      <c r="D53" s="233"/>
      <c r="E53" s="234"/>
    </row>
    <row r="54" spans="2:5" x14ac:dyDescent="0.25">
      <c r="B54" s="232"/>
      <c r="C54" s="233"/>
      <c r="D54" s="233"/>
      <c r="E54" s="234"/>
    </row>
    <row r="55" spans="2:5" x14ac:dyDescent="0.25">
      <c r="B55" s="232"/>
      <c r="C55" s="233"/>
      <c r="D55" s="233"/>
      <c r="E55" s="234"/>
    </row>
    <row r="56" spans="2:5" x14ac:dyDescent="0.25">
      <c r="B56" s="232"/>
      <c r="C56" s="233"/>
      <c r="D56" s="233"/>
      <c r="E56" s="234"/>
    </row>
    <row r="57" spans="2:5" x14ac:dyDescent="0.25">
      <c r="B57" s="235"/>
      <c r="C57" s="236"/>
      <c r="D57" s="236"/>
      <c r="E57" s="237"/>
    </row>
    <row r="58" spans="2:5" x14ac:dyDescent="0.25"/>
  </sheetData>
  <sheetProtection algorithmName="SHA-512" hashValue="N/2u0XtPt/+SfxvzLSedtLHsdnHk8rm4ElEOiIsA+lnMFwIHEnRbQEhzjU7K6CkqvBeq3f0FMZxXidb/B0nEoA==" saltValue="SXjYP+doh+GfuzKZu4CeDA==" spinCount="100000" sheet="1" objects="1" scenarios="1"/>
  <mergeCells count="28">
    <mergeCell ref="B57:E57"/>
    <mergeCell ref="B40:E40"/>
    <mergeCell ref="B41:E41"/>
    <mergeCell ref="B42:E42"/>
    <mergeCell ref="B43:E43"/>
    <mergeCell ref="B44:E44"/>
    <mergeCell ref="B45:E45"/>
    <mergeCell ref="B52:E52"/>
    <mergeCell ref="B53:E53"/>
    <mergeCell ref="B54:E54"/>
    <mergeCell ref="B55:E55"/>
    <mergeCell ref="B56:E56"/>
    <mergeCell ref="B30:E30"/>
    <mergeCell ref="B31:E31"/>
    <mergeCell ref="B32:E32"/>
    <mergeCell ref="B33:E33"/>
    <mergeCell ref="B34:E34"/>
    <mergeCell ref="B35:E35"/>
    <mergeCell ref="B48:E48"/>
    <mergeCell ref="B49:E49"/>
    <mergeCell ref="B50:E50"/>
    <mergeCell ref="B51:E51"/>
    <mergeCell ref="B46:E46"/>
    <mergeCell ref="B47:E47"/>
    <mergeCell ref="B36:E36"/>
    <mergeCell ref="B37:E37"/>
    <mergeCell ref="B38:E38"/>
    <mergeCell ref="B39:E39"/>
  </mergeCells>
  <pageMargins left="0.7" right="0.7" top="0.75" bottom="0.75" header="0.3" footer="0.3"/>
  <pageSetup paperSize="0" orientation="portrait" horizontalDpi="0" verticalDpi="0" copie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74D28-FF04-4B52-BBDC-169FE3D4325E}">
  <sheetPr>
    <tabColor rgb="FFFFFF00"/>
    <pageSetUpPr autoPageBreaks="0"/>
  </sheetPr>
  <dimension ref="A1:H69"/>
  <sheetViews>
    <sheetView zoomScaleNormal="100" workbookViewId="0"/>
  </sheetViews>
  <sheetFormatPr defaultColWidth="0" defaultRowHeight="15" zeroHeight="1" x14ac:dyDescent="0.25"/>
  <cols>
    <col min="1" max="1" width="2.85546875" style="3" customWidth="1"/>
    <col min="2" max="2" width="67.42578125" style="3" customWidth="1"/>
    <col min="3" max="3" width="34.28515625" style="3" bestFit="1" customWidth="1"/>
    <col min="4" max="4" width="14.5703125" style="82" customWidth="1"/>
    <col min="5" max="5" width="56.5703125" style="3" customWidth="1"/>
    <col min="6" max="7" width="9.28515625" style="3" customWidth="1"/>
    <col min="8" max="8" width="2.85546875" style="3" customWidth="1"/>
    <col min="9" max="16384" width="9.28515625" style="3" hidden="1"/>
  </cols>
  <sheetData>
    <row r="1" spans="2:7" ht="28.5" x14ac:dyDescent="0.45">
      <c r="B1" s="59" t="s">
        <v>271</v>
      </c>
    </row>
    <row r="2" spans="2:7" x14ac:dyDescent="0.25"/>
    <row r="3" spans="2:7" ht="34.9" customHeight="1" x14ac:dyDescent="0.25">
      <c r="B3" s="240" t="s">
        <v>335</v>
      </c>
      <c r="C3" s="240"/>
      <c r="D3" s="240"/>
      <c r="E3" s="240"/>
      <c r="F3" s="240"/>
      <c r="G3" s="240"/>
    </row>
    <row r="4" spans="2:7" ht="44.45" customHeight="1" x14ac:dyDescent="0.25">
      <c r="B4" s="215" t="s">
        <v>336</v>
      </c>
      <c r="C4" s="215"/>
      <c r="D4" s="215"/>
      <c r="E4" s="215"/>
      <c r="F4" s="215"/>
      <c r="G4" s="215"/>
    </row>
    <row r="5" spans="2:7" ht="31.15" customHeight="1" x14ac:dyDescent="0.25">
      <c r="B5" s="215" t="s">
        <v>337</v>
      </c>
      <c r="C5" s="215"/>
      <c r="D5" s="215"/>
      <c r="E5" s="215"/>
      <c r="F5" s="215"/>
      <c r="G5" s="215"/>
    </row>
    <row r="6" spans="2:7" x14ac:dyDescent="0.25"/>
    <row r="7" spans="2:7" ht="15.75" x14ac:dyDescent="0.25">
      <c r="B7" s="5" t="s">
        <v>338</v>
      </c>
      <c r="C7" s="5" t="s">
        <v>75</v>
      </c>
      <c r="D7" s="5" t="s">
        <v>53</v>
      </c>
      <c r="E7" s="9" t="s">
        <v>157</v>
      </c>
    </row>
    <row r="8" spans="2:7" x14ac:dyDescent="0.25">
      <c r="B8" s="95"/>
      <c r="C8" s="95"/>
      <c r="D8" s="103"/>
      <c r="E8" s="95"/>
    </row>
    <row r="9" spans="2:7" x14ac:dyDescent="0.25">
      <c r="B9" s="95"/>
      <c r="C9" s="95"/>
      <c r="D9" s="103"/>
      <c r="E9" s="95"/>
    </row>
    <row r="10" spans="2:7" x14ac:dyDescent="0.25">
      <c r="B10" s="95"/>
      <c r="C10" s="95"/>
      <c r="D10" s="103"/>
      <c r="E10" s="95"/>
    </row>
    <row r="11" spans="2:7" x14ac:dyDescent="0.25">
      <c r="B11" s="95"/>
      <c r="C11" s="95"/>
      <c r="D11" s="103"/>
      <c r="E11" s="95"/>
    </row>
    <row r="12" spans="2:7" x14ac:dyDescent="0.25">
      <c r="B12" s="95"/>
      <c r="C12" s="95"/>
      <c r="D12" s="103"/>
      <c r="E12" s="95"/>
    </row>
    <row r="13" spans="2:7" x14ac:dyDescent="0.25">
      <c r="B13" s="95"/>
      <c r="C13" s="95"/>
      <c r="D13" s="103"/>
      <c r="E13" s="95"/>
    </row>
    <row r="14" spans="2:7" x14ac:dyDescent="0.25">
      <c r="B14" s="95"/>
      <c r="C14" s="95"/>
      <c r="D14" s="103"/>
      <c r="E14" s="95"/>
    </row>
    <row r="15" spans="2:7" x14ac:dyDescent="0.25">
      <c r="B15" s="95"/>
      <c r="C15" s="95"/>
      <c r="D15" s="103"/>
      <c r="E15" s="95"/>
    </row>
    <row r="16" spans="2:7" x14ac:dyDescent="0.25">
      <c r="B16" s="95"/>
      <c r="C16" s="95"/>
      <c r="D16" s="103"/>
      <c r="E16" s="95"/>
    </row>
    <row r="17" spans="2:5" x14ac:dyDescent="0.25">
      <c r="B17" s="95"/>
      <c r="C17" s="95"/>
      <c r="D17" s="103"/>
      <c r="E17" s="95"/>
    </row>
    <row r="18" spans="2:5" x14ac:dyDescent="0.25">
      <c r="B18" s="95"/>
      <c r="C18" s="95"/>
      <c r="D18" s="103"/>
      <c r="E18" s="95"/>
    </row>
    <row r="19" spans="2:5" x14ac:dyDescent="0.25">
      <c r="B19" s="95"/>
      <c r="C19" s="95"/>
      <c r="D19" s="103"/>
      <c r="E19" s="95"/>
    </row>
    <row r="20" spans="2:5" s="11" customFormat="1" x14ac:dyDescent="0.25">
      <c r="B20" s="47" t="s">
        <v>131</v>
      </c>
      <c r="C20" s="47"/>
      <c r="D20" s="29">
        <f>SUMIF($C$8:$C$19,"Toegekend",$D$8:$D$19)</f>
        <v>0</v>
      </c>
      <c r="E20" s="47"/>
    </row>
    <row r="21" spans="2:5" x14ac:dyDescent="0.25">
      <c r="B21" s="61" t="s">
        <v>132</v>
      </c>
      <c r="C21" s="61"/>
      <c r="D21" s="27">
        <f>SUMIF($C$8:$C$19,"Nog niet toegekend",$D$8:$D$19)</f>
        <v>0</v>
      </c>
      <c r="E21" s="61"/>
    </row>
    <row r="22" spans="2:5" x14ac:dyDescent="0.25"/>
    <row r="23" spans="2:5" ht="15.75" x14ac:dyDescent="0.25">
      <c r="B23" s="5" t="s">
        <v>273</v>
      </c>
      <c r="C23" s="5" t="s">
        <v>272</v>
      </c>
      <c r="D23" s="5" t="s">
        <v>53</v>
      </c>
      <c r="E23" s="9" t="s">
        <v>157</v>
      </c>
    </row>
    <row r="24" spans="2:5" x14ac:dyDescent="0.25">
      <c r="B24" s="95"/>
      <c r="C24" s="95"/>
      <c r="D24" s="103"/>
      <c r="E24" s="95"/>
    </row>
    <row r="25" spans="2:5" x14ac:dyDescent="0.25">
      <c r="B25" s="95"/>
      <c r="C25" s="95"/>
      <c r="D25" s="103"/>
      <c r="E25" s="95"/>
    </row>
    <row r="26" spans="2:5" x14ac:dyDescent="0.25">
      <c r="B26" s="95"/>
      <c r="C26" s="95"/>
      <c r="D26" s="103"/>
      <c r="E26" s="95"/>
    </row>
    <row r="27" spans="2:5" x14ac:dyDescent="0.25">
      <c r="B27" s="95"/>
      <c r="C27" s="95"/>
      <c r="D27" s="103"/>
      <c r="E27" s="95"/>
    </row>
    <row r="28" spans="2:5" x14ac:dyDescent="0.25">
      <c r="B28" s="95"/>
      <c r="C28" s="95"/>
      <c r="D28" s="103"/>
      <c r="E28" s="95"/>
    </row>
    <row r="29" spans="2:5" x14ac:dyDescent="0.25">
      <c r="B29" s="95"/>
      <c r="C29" s="95"/>
      <c r="D29" s="103"/>
      <c r="E29" s="95"/>
    </row>
    <row r="30" spans="2:5" x14ac:dyDescent="0.25">
      <c r="B30" s="95"/>
      <c r="C30" s="95"/>
      <c r="D30" s="103"/>
      <c r="E30" s="95"/>
    </row>
    <row r="31" spans="2:5" x14ac:dyDescent="0.25">
      <c r="B31" s="95"/>
      <c r="C31" s="95"/>
      <c r="D31" s="103"/>
      <c r="E31" s="95"/>
    </row>
    <row r="32" spans="2:5" x14ac:dyDescent="0.25">
      <c r="B32" s="95"/>
      <c r="C32" s="95"/>
      <c r="D32" s="103"/>
      <c r="E32" s="95"/>
    </row>
    <row r="33" spans="2:7" x14ac:dyDescent="0.25">
      <c r="B33" s="95"/>
      <c r="C33" s="95"/>
      <c r="D33" s="103"/>
      <c r="E33" s="95"/>
    </row>
    <row r="34" spans="2:7" x14ac:dyDescent="0.25">
      <c r="B34" s="95"/>
      <c r="C34" s="95"/>
      <c r="D34" s="103"/>
      <c r="E34" s="95"/>
    </row>
    <row r="35" spans="2:7" x14ac:dyDescent="0.25">
      <c r="B35" s="95"/>
      <c r="C35" s="95"/>
      <c r="D35" s="103"/>
      <c r="E35" s="95"/>
    </row>
    <row r="36" spans="2:7" x14ac:dyDescent="0.25">
      <c r="B36" s="61" t="s">
        <v>274</v>
      </c>
      <c r="C36" s="61"/>
      <c r="D36" s="27">
        <f>SUMIF($C$24:$C$35,"Vastgesteld",$D$24:$D$35)</f>
        <v>0</v>
      </c>
      <c r="E36" s="61"/>
    </row>
    <row r="37" spans="2:7" x14ac:dyDescent="0.25">
      <c r="B37" s="61" t="s">
        <v>275</v>
      </c>
      <c r="C37" s="61"/>
      <c r="D37" s="27">
        <f>SUMIF($C$24:$C$35,"Nog niet vastgesteld",$D$24:$D$35)</f>
        <v>0</v>
      </c>
      <c r="E37" s="61"/>
    </row>
    <row r="38" spans="2:7" s="11" customFormat="1" x14ac:dyDescent="0.25">
      <c r="B38" s="47" t="s">
        <v>277</v>
      </c>
      <c r="C38" s="47"/>
      <c r="D38" s="29">
        <f>SUM(D36:D37)</f>
        <v>0</v>
      </c>
      <c r="E38" s="47"/>
    </row>
    <row r="39" spans="2:7" x14ac:dyDescent="0.25"/>
    <row r="40" spans="2:7" ht="18.75" customHeight="1" x14ac:dyDescent="0.25">
      <c r="B40" s="148" t="s">
        <v>203</v>
      </c>
      <c r="C40" s="149"/>
      <c r="D40" s="149"/>
      <c r="E40" s="149"/>
      <c r="F40" s="149"/>
      <c r="G40" s="150"/>
    </row>
    <row r="41" spans="2:7" ht="15" customHeight="1" x14ac:dyDescent="0.25">
      <c r="B41" s="232"/>
      <c r="C41" s="233"/>
      <c r="D41" s="233"/>
      <c r="E41" s="233"/>
      <c r="F41" s="233"/>
      <c r="G41" s="234"/>
    </row>
    <row r="42" spans="2:7" ht="15" customHeight="1" x14ac:dyDescent="0.25">
      <c r="B42" s="232"/>
      <c r="C42" s="233"/>
      <c r="D42" s="233"/>
      <c r="E42" s="233"/>
      <c r="F42" s="233"/>
      <c r="G42" s="234"/>
    </row>
    <row r="43" spans="2:7" ht="15" customHeight="1" x14ac:dyDescent="0.25">
      <c r="B43" s="232"/>
      <c r="C43" s="233"/>
      <c r="D43" s="233"/>
      <c r="E43" s="233"/>
      <c r="F43" s="233"/>
      <c r="G43" s="234"/>
    </row>
    <row r="44" spans="2:7" ht="15" customHeight="1" x14ac:dyDescent="0.25">
      <c r="B44" s="232"/>
      <c r="C44" s="233"/>
      <c r="D44" s="233"/>
      <c r="E44" s="233"/>
      <c r="F44" s="233"/>
      <c r="G44" s="234"/>
    </row>
    <row r="45" spans="2:7" ht="15" customHeight="1" x14ac:dyDescent="0.25">
      <c r="B45" s="232"/>
      <c r="C45" s="233"/>
      <c r="D45" s="233"/>
      <c r="E45" s="233"/>
      <c r="F45" s="233"/>
      <c r="G45" s="234"/>
    </row>
    <row r="46" spans="2:7" ht="15" customHeight="1" x14ac:dyDescent="0.25">
      <c r="B46" s="232"/>
      <c r="C46" s="233"/>
      <c r="D46" s="233"/>
      <c r="E46" s="233"/>
      <c r="F46" s="233"/>
      <c r="G46" s="234"/>
    </row>
    <row r="47" spans="2:7" ht="15" customHeight="1" x14ac:dyDescent="0.25">
      <c r="B47" s="232"/>
      <c r="C47" s="233"/>
      <c r="D47" s="233"/>
      <c r="E47" s="233"/>
      <c r="F47" s="233"/>
      <c r="G47" s="234"/>
    </row>
    <row r="48" spans="2:7" ht="15" customHeight="1" x14ac:dyDescent="0.25">
      <c r="B48" s="232"/>
      <c r="C48" s="233"/>
      <c r="D48" s="233"/>
      <c r="E48" s="233"/>
      <c r="F48" s="233"/>
      <c r="G48" s="234"/>
    </row>
    <row r="49" spans="2:7" ht="15" customHeight="1" x14ac:dyDescent="0.25">
      <c r="B49" s="232"/>
      <c r="C49" s="233"/>
      <c r="D49" s="233"/>
      <c r="E49" s="233"/>
      <c r="F49" s="233"/>
      <c r="G49" s="234"/>
    </row>
    <row r="50" spans="2:7" ht="15" customHeight="1" x14ac:dyDescent="0.25">
      <c r="B50" s="232"/>
      <c r="C50" s="233"/>
      <c r="D50" s="233"/>
      <c r="E50" s="233"/>
      <c r="F50" s="233"/>
      <c r="G50" s="234"/>
    </row>
    <row r="51" spans="2:7" ht="15" customHeight="1" x14ac:dyDescent="0.25">
      <c r="B51" s="232"/>
      <c r="C51" s="233"/>
      <c r="D51" s="233"/>
      <c r="E51" s="233"/>
      <c r="F51" s="233"/>
      <c r="G51" s="234"/>
    </row>
    <row r="52" spans="2:7" ht="15" customHeight="1" x14ac:dyDescent="0.25">
      <c r="B52" s="232"/>
      <c r="C52" s="233"/>
      <c r="D52" s="233"/>
      <c r="E52" s="233"/>
      <c r="F52" s="233"/>
      <c r="G52" s="234"/>
    </row>
    <row r="53" spans="2:7" ht="15" customHeight="1" x14ac:dyDescent="0.25">
      <c r="B53" s="232"/>
      <c r="C53" s="233"/>
      <c r="D53" s="233"/>
      <c r="E53" s="233"/>
      <c r="F53" s="233"/>
      <c r="G53" s="234"/>
    </row>
    <row r="54" spans="2:7" ht="15" customHeight="1" x14ac:dyDescent="0.25">
      <c r="B54" s="232"/>
      <c r="C54" s="233"/>
      <c r="D54" s="233"/>
      <c r="E54" s="233"/>
      <c r="F54" s="233"/>
      <c r="G54" s="234"/>
    </row>
    <row r="55" spans="2:7" ht="15" customHeight="1" x14ac:dyDescent="0.25">
      <c r="B55" s="232"/>
      <c r="C55" s="233"/>
      <c r="D55" s="233"/>
      <c r="E55" s="233"/>
      <c r="F55" s="233"/>
      <c r="G55" s="234"/>
    </row>
    <row r="56" spans="2:7" ht="15" customHeight="1" x14ac:dyDescent="0.25">
      <c r="B56" s="232"/>
      <c r="C56" s="233"/>
      <c r="D56" s="233"/>
      <c r="E56" s="233"/>
      <c r="F56" s="233"/>
      <c r="G56" s="234"/>
    </row>
    <row r="57" spans="2:7" ht="15" customHeight="1" x14ac:dyDescent="0.25">
      <c r="B57" s="232"/>
      <c r="C57" s="233"/>
      <c r="D57" s="233"/>
      <c r="E57" s="233"/>
      <c r="F57" s="233"/>
      <c r="G57" s="234"/>
    </row>
    <row r="58" spans="2:7" ht="15" customHeight="1" x14ac:dyDescent="0.25">
      <c r="B58" s="232"/>
      <c r="C58" s="233"/>
      <c r="D58" s="233"/>
      <c r="E58" s="233"/>
      <c r="F58" s="233"/>
      <c r="G58" s="234"/>
    </row>
    <row r="59" spans="2:7" ht="15" customHeight="1" x14ac:dyDescent="0.25">
      <c r="B59" s="232"/>
      <c r="C59" s="233"/>
      <c r="D59" s="233"/>
      <c r="E59" s="233"/>
      <c r="F59" s="233"/>
      <c r="G59" s="234"/>
    </row>
    <row r="60" spans="2:7" ht="15" customHeight="1" x14ac:dyDescent="0.25">
      <c r="B60" s="232"/>
      <c r="C60" s="233"/>
      <c r="D60" s="233"/>
      <c r="E60" s="233"/>
      <c r="F60" s="233"/>
      <c r="G60" s="234"/>
    </row>
    <row r="61" spans="2:7" ht="15" customHeight="1" x14ac:dyDescent="0.25">
      <c r="B61" s="232"/>
      <c r="C61" s="233"/>
      <c r="D61" s="233"/>
      <c r="E61" s="233"/>
      <c r="F61" s="233"/>
      <c r="G61" s="234"/>
    </row>
    <row r="62" spans="2:7" ht="15" customHeight="1" x14ac:dyDescent="0.25">
      <c r="B62" s="232"/>
      <c r="C62" s="233"/>
      <c r="D62" s="233"/>
      <c r="E62" s="233"/>
      <c r="F62" s="233"/>
      <c r="G62" s="234"/>
    </row>
    <row r="63" spans="2:7" ht="15" customHeight="1" x14ac:dyDescent="0.25">
      <c r="B63" s="232"/>
      <c r="C63" s="233"/>
      <c r="D63" s="233"/>
      <c r="E63" s="233"/>
      <c r="F63" s="233"/>
      <c r="G63" s="234"/>
    </row>
    <row r="64" spans="2:7" ht="15" customHeight="1" x14ac:dyDescent="0.25">
      <c r="B64" s="232"/>
      <c r="C64" s="233"/>
      <c r="D64" s="233"/>
      <c r="E64" s="233"/>
      <c r="F64" s="233"/>
      <c r="G64" s="234"/>
    </row>
    <row r="65" spans="2:7" ht="15" customHeight="1" x14ac:dyDescent="0.25">
      <c r="B65" s="232"/>
      <c r="C65" s="233"/>
      <c r="D65" s="233"/>
      <c r="E65" s="233"/>
      <c r="F65" s="233"/>
      <c r="G65" s="234"/>
    </row>
    <row r="66" spans="2:7" ht="15" customHeight="1" x14ac:dyDescent="0.25">
      <c r="B66" s="232"/>
      <c r="C66" s="233"/>
      <c r="D66" s="233"/>
      <c r="E66" s="233"/>
      <c r="F66" s="233"/>
      <c r="G66" s="234"/>
    </row>
    <row r="67" spans="2:7" ht="15" customHeight="1" x14ac:dyDescent="0.25">
      <c r="B67" s="232"/>
      <c r="C67" s="233"/>
      <c r="D67" s="233"/>
      <c r="E67" s="233"/>
      <c r="F67" s="233"/>
      <c r="G67" s="234"/>
    </row>
    <row r="68" spans="2:7" ht="15" customHeight="1" x14ac:dyDescent="0.25">
      <c r="B68" s="235"/>
      <c r="C68" s="236"/>
      <c r="D68" s="236"/>
      <c r="E68" s="236"/>
      <c r="F68" s="236"/>
      <c r="G68" s="237"/>
    </row>
    <row r="69" spans="2:7" x14ac:dyDescent="0.25"/>
  </sheetData>
  <sheetProtection algorithmName="SHA-512" hashValue="IUtRtKLimgHclpjCyfSegrvdRHB0fsoWSNlRynmj/Blo2XS2Jy0Iu5c2QOtdnCaq+KE/5MNGQdpbCMHUy7c/mg==" saltValue="3Tk8YYWrXvHXxs3VDcrpKg==" spinCount="100000" sheet="1" objects="1" scenarios="1"/>
  <mergeCells count="31">
    <mergeCell ref="B68:G68"/>
    <mergeCell ref="B60:G60"/>
    <mergeCell ref="B61:G61"/>
    <mergeCell ref="B62:G62"/>
    <mergeCell ref="B63:G63"/>
    <mergeCell ref="B64:G64"/>
    <mergeCell ref="B58:G58"/>
    <mergeCell ref="B59:G59"/>
    <mergeCell ref="B65:G65"/>
    <mergeCell ref="B66:G66"/>
    <mergeCell ref="B67:G67"/>
    <mergeCell ref="B53:G53"/>
    <mergeCell ref="B54:G54"/>
    <mergeCell ref="B55:G55"/>
    <mergeCell ref="B56:G56"/>
    <mergeCell ref="B57:G57"/>
    <mergeCell ref="B48:G48"/>
    <mergeCell ref="B49:G49"/>
    <mergeCell ref="B50:G50"/>
    <mergeCell ref="B51:G51"/>
    <mergeCell ref="B52:G52"/>
    <mergeCell ref="B43:G43"/>
    <mergeCell ref="B44:G44"/>
    <mergeCell ref="B45:G45"/>
    <mergeCell ref="B46:G46"/>
    <mergeCell ref="B47:G47"/>
    <mergeCell ref="B3:G3"/>
    <mergeCell ref="B5:G5"/>
    <mergeCell ref="B4:G4"/>
    <mergeCell ref="B41:G41"/>
    <mergeCell ref="B42:G42"/>
  </mergeCells>
  <dataValidations count="2">
    <dataValidation type="list" allowBlank="1" showInputMessage="1" showErrorMessage="1" sqref="C8:C19" xr:uid="{7E3112F9-D7B3-4FDA-9A0F-94D6AD01B1A0}">
      <formula1>"Toegekend, Nog niet toegekend"</formula1>
    </dataValidation>
    <dataValidation type="list" allowBlank="1" showInputMessage="1" showErrorMessage="1" sqref="C24 C25:C35" xr:uid="{11E855C6-4B4D-41B7-A756-54D313FDB309}">
      <formula1>"Vastgesteld, Nog niet vastgesteld"</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D71DE-7B73-4A66-95CE-360F36ED3660}">
  <sheetPr>
    <tabColor theme="8"/>
    <pageSetUpPr autoPageBreaks="0"/>
  </sheetPr>
  <dimension ref="A1:AH23"/>
  <sheetViews>
    <sheetView zoomScaleNormal="100" workbookViewId="0"/>
  </sheetViews>
  <sheetFormatPr defaultColWidth="0" defaultRowHeight="15" zeroHeight="1" x14ac:dyDescent="0.25"/>
  <cols>
    <col min="1" max="1" width="2.85546875" style="3" customWidth="1"/>
    <col min="2" max="2" width="37.5703125" style="3" customWidth="1"/>
    <col min="3" max="3" width="17" style="3" customWidth="1"/>
    <col min="4" max="12" width="15.7109375" style="3" bestFit="1" customWidth="1"/>
    <col min="13" max="33" width="16.7109375" style="3" bestFit="1" customWidth="1"/>
    <col min="34" max="34" width="2.85546875" style="3" customWidth="1"/>
    <col min="35" max="16384" width="9.28515625" style="3" hidden="1"/>
  </cols>
  <sheetData>
    <row r="1" spans="2:33" ht="28.5" x14ac:dyDescent="0.45">
      <c r="B1" s="59" t="s">
        <v>56</v>
      </c>
      <c r="C1" s="59"/>
    </row>
    <row r="2" spans="2:33" x14ac:dyDescent="0.25">
      <c r="B2"/>
      <c r="D2" s="124" t="s">
        <v>170</v>
      </c>
      <c r="E2" s="124" t="s">
        <v>171</v>
      </c>
      <c r="F2" s="124" t="s">
        <v>172</v>
      </c>
      <c r="G2" s="124" t="s">
        <v>173</v>
      </c>
      <c r="H2" s="124" t="s">
        <v>174</v>
      </c>
      <c r="I2" s="124" t="s">
        <v>175</v>
      </c>
      <c r="J2" s="124" t="s">
        <v>176</v>
      </c>
      <c r="K2" s="124" t="s">
        <v>177</v>
      </c>
      <c r="L2" s="124" t="s">
        <v>178</v>
      </c>
      <c r="M2" s="124" t="s">
        <v>179</v>
      </c>
      <c r="N2" s="124" t="s">
        <v>181</v>
      </c>
      <c r="O2" s="124" t="s">
        <v>182</v>
      </c>
      <c r="P2" s="124" t="s">
        <v>183</v>
      </c>
      <c r="Q2" s="124" t="s">
        <v>184</v>
      </c>
      <c r="R2" s="124" t="s">
        <v>185</v>
      </c>
      <c r="S2" s="124" t="s">
        <v>186</v>
      </c>
      <c r="T2" s="124" t="s">
        <v>187</v>
      </c>
      <c r="U2" s="124" t="s">
        <v>188</v>
      </c>
      <c r="V2" s="124" t="s">
        <v>189</v>
      </c>
      <c r="W2" s="124" t="s">
        <v>190</v>
      </c>
      <c r="X2" s="124" t="s">
        <v>191</v>
      </c>
      <c r="Y2" s="124" t="s">
        <v>192</v>
      </c>
      <c r="Z2" s="124" t="s">
        <v>193</v>
      </c>
      <c r="AA2" s="124" t="s">
        <v>194</v>
      </c>
      <c r="AB2" s="124" t="s">
        <v>195</v>
      </c>
      <c r="AC2" s="124" t="s">
        <v>196</v>
      </c>
      <c r="AD2" s="124" t="s">
        <v>197</v>
      </c>
      <c r="AE2" s="124" t="s">
        <v>198</v>
      </c>
      <c r="AF2" s="124" t="s">
        <v>199</v>
      </c>
      <c r="AG2" s="124" t="s">
        <v>200</v>
      </c>
    </row>
    <row r="3" spans="2:33" s="56" customFormat="1" ht="18.75" x14ac:dyDescent="0.25">
      <c r="B3" s="241" t="s">
        <v>72</v>
      </c>
      <c r="C3" s="242"/>
      <c r="D3" s="69">
        <f>start_operatie</f>
        <v>2031</v>
      </c>
      <c r="E3" s="69">
        <f>D3+1</f>
        <v>2032</v>
      </c>
      <c r="F3" s="69">
        <f t="shared" ref="F3:AG3" si="0">E3+1</f>
        <v>2033</v>
      </c>
      <c r="G3" s="69">
        <f t="shared" si="0"/>
        <v>2034</v>
      </c>
      <c r="H3" s="69">
        <f t="shared" si="0"/>
        <v>2035</v>
      </c>
      <c r="I3" s="69">
        <f t="shared" si="0"/>
        <v>2036</v>
      </c>
      <c r="J3" s="69">
        <f t="shared" si="0"/>
        <v>2037</v>
      </c>
      <c r="K3" s="69">
        <f t="shared" si="0"/>
        <v>2038</v>
      </c>
      <c r="L3" s="69">
        <f t="shared" si="0"/>
        <v>2039</v>
      </c>
      <c r="M3" s="69">
        <f t="shared" si="0"/>
        <v>2040</v>
      </c>
      <c r="N3" s="69">
        <f t="shared" si="0"/>
        <v>2041</v>
      </c>
      <c r="O3" s="68">
        <f t="shared" si="0"/>
        <v>2042</v>
      </c>
      <c r="P3" s="68">
        <f t="shared" si="0"/>
        <v>2043</v>
      </c>
      <c r="Q3" s="68">
        <f t="shared" si="0"/>
        <v>2044</v>
      </c>
      <c r="R3" s="68">
        <f t="shared" si="0"/>
        <v>2045</v>
      </c>
      <c r="S3" s="68">
        <f t="shared" si="0"/>
        <v>2046</v>
      </c>
      <c r="T3" s="68">
        <f t="shared" si="0"/>
        <v>2047</v>
      </c>
      <c r="U3" s="68">
        <f t="shared" si="0"/>
        <v>2048</v>
      </c>
      <c r="V3" s="68">
        <f t="shared" si="0"/>
        <v>2049</v>
      </c>
      <c r="W3" s="68">
        <f t="shared" si="0"/>
        <v>2050</v>
      </c>
      <c r="X3" s="68">
        <f t="shared" ref="X3" si="1">W3+1</f>
        <v>2051</v>
      </c>
      <c r="Y3" s="68">
        <f t="shared" ref="Y3" si="2">X3+1</f>
        <v>2052</v>
      </c>
      <c r="Z3" s="68">
        <f t="shared" ref="Z3" si="3">Y3+1</f>
        <v>2053</v>
      </c>
      <c r="AA3" s="68">
        <f t="shared" ref="AA3" si="4">Z3+1</f>
        <v>2054</v>
      </c>
      <c r="AB3" s="68">
        <f t="shared" si="0"/>
        <v>2055</v>
      </c>
      <c r="AC3" s="68">
        <f t="shared" si="0"/>
        <v>2056</v>
      </c>
      <c r="AD3" s="68">
        <f t="shared" si="0"/>
        <v>2057</v>
      </c>
      <c r="AE3" s="69">
        <f t="shared" si="0"/>
        <v>2058</v>
      </c>
      <c r="AF3" s="69">
        <f t="shared" si="0"/>
        <v>2059</v>
      </c>
      <c r="AG3" s="69">
        <f t="shared" si="0"/>
        <v>2060</v>
      </c>
    </row>
    <row r="4" spans="2:33" x14ac:dyDescent="0.25">
      <c r="B4" s="98" t="s">
        <v>47</v>
      </c>
      <c r="C4" s="98"/>
      <c r="D4" s="101">
        <f>+'3 Omzet'!E103</f>
        <v>0</v>
      </c>
      <c r="E4" s="102">
        <f>+'3 Omzet'!F103</f>
        <v>0</v>
      </c>
      <c r="F4" s="102">
        <f>+'3 Omzet'!G103</f>
        <v>0</v>
      </c>
      <c r="G4" s="102">
        <f>+'3 Omzet'!H103</f>
        <v>0</v>
      </c>
      <c r="H4" s="102">
        <f>+'3 Omzet'!I103</f>
        <v>0</v>
      </c>
      <c r="I4" s="102">
        <f>+'3 Omzet'!J103</f>
        <v>0</v>
      </c>
      <c r="J4" s="102">
        <f>+'3 Omzet'!K103</f>
        <v>0</v>
      </c>
      <c r="K4" s="102">
        <f>+'3 Omzet'!L103</f>
        <v>0</v>
      </c>
      <c r="L4" s="102">
        <f>+'3 Omzet'!M103</f>
        <v>0</v>
      </c>
      <c r="M4" s="102">
        <f>+'3 Omzet'!N103</f>
        <v>0</v>
      </c>
      <c r="N4" s="13"/>
      <c r="O4" s="13"/>
      <c r="P4" s="13"/>
      <c r="Q4" s="13"/>
      <c r="R4" s="13"/>
      <c r="S4" s="13"/>
      <c r="T4" s="13"/>
      <c r="U4" s="13"/>
      <c r="V4" s="13"/>
      <c r="W4" s="13"/>
      <c r="X4" s="13"/>
      <c r="Y4" s="13"/>
      <c r="Z4" s="13"/>
      <c r="AA4" s="13"/>
      <c r="AB4" s="13"/>
      <c r="AC4" s="13"/>
      <c r="AD4" s="13"/>
      <c r="AE4" s="125"/>
      <c r="AF4" s="125"/>
      <c r="AG4" s="125"/>
    </row>
    <row r="5" spans="2:33" x14ac:dyDescent="0.25">
      <c r="B5" s="99" t="s">
        <v>48</v>
      </c>
      <c r="C5" s="99"/>
      <c r="D5" s="102">
        <f>-'4a Exploitatiekosten'!D12</f>
        <v>0</v>
      </c>
      <c r="E5" s="102">
        <f>-'4a Exploitatiekosten'!E12</f>
        <v>0</v>
      </c>
      <c r="F5" s="102">
        <f>-'4a Exploitatiekosten'!F12</f>
        <v>0</v>
      </c>
      <c r="G5" s="102">
        <f>-'4a Exploitatiekosten'!G12</f>
        <v>0</v>
      </c>
      <c r="H5" s="102">
        <f>-'4a Exploitatiekosten'!H12</f>
        <v>0</v>
      </c>
      <c r="I5" s="102">
        <f>-'4a Exploitatiekosten'!I12</f>
        <v>0</v>
      </c>
      <c r="J5" s="102">
        <f>-'4a Exploitatiekosten'!J12</f>
        <v>0</v>
      </c>
      <c r="K5" s="102">
        <f>-'4a Exploitatiekosten'!K12</f>
        <v>0</v>
      </c>
      <c r="L5" s="102">
        <f>-'4a Exploitatiekosten'!L12</f>
        <v>0</v>
      </c>
      <c r="M5" s="102">
        <f>-'4a Exploitatiekosten'!M12</f>
        <v>0</v>
      </c>
      <c r="N5" s="13"/>
      <c r="O5" s="13"/>
      <c r="P5" s="13"/>
      <c r="Q5" s="13"/>
      <c r="R5" s="13"/>
      <c r="S5" s="13"/>
      <c r="T5" s="13"/>
      <c r="U5" s="13"/>
      <c r="V5" s="13"/>
      <c r="W5" s="13"/>
      <c r="X5" s="13"/>
      <c r="Y5" s="13"/>
      <c r="Z5" s="13"/>
      <c r="AA5" s="13"/>
      <c r="AB5" s="13"/>
      <c r="AC5" s="13"/>
      <c r="AD5" s="13"/>
      <c r="AE5" s="125"/>
      <c r="AF5" s="125"/>
      <c r="AG5" s="125"/>
    </row>
    <row r="6" spans="2:33" x14ac:dyDescent="0.25">
      <c r="B6" s="98" t="s">
        <v>103</v>
      </c>
      <c r="C6" s="98"/>
      <c r="D6" s="102">
        <f>-'4b Energiekosten'!E99</f>
        <v>0</v>
      </c>
      <c r="E6" s="102">
        <f>-'4b Energiekosten'!F99</f>
        <v>0</v>
      </c>
      <c r="F6" s="102">
        <f>-'4b Energiekosten'!G99</f>
        <v>0</v>
      </c>
      <c r="G6" s="102">
        <f>-'4b Energiekosten'!H99</f>
        <v>0</v>
      </c>
      <c r="H6" s="102">
        <f>-'4b Energiekosten'!I99</f>
        <v>0</v>
      </c>
      <c r="I6" s="102">
        <f>-'4b Energiekosten'!J99</f>
        <v>0</v>
      </c>
      <c r="J6" s="102">
        <f>-'4b Energiekosten'!K99</f>
        <v>0</v>
      </c>
      <c r="K6" s="102">
        <f>-'4b Energiekosten'!L99</f>
        <v>0</v>
      </c>
      <c r="L6" s="102">
        <f>-'4b Energiekosten'!M99</f>
        <v>0</v>
      </c>
      <c r="M6" s="102">
        <f>-'4b Energiekosten'!N99</f>
        <v>0</v>
      </c>
      <c r="N6" s="13"/>
      <c r="O6" s="13"/>
      <c r="P6" s="13"/>
      <c r="Q6" s="13"/>
      <c r="R6" s="13"/>
      <c r="S6" s="13"/>
      <c r="T6" s="13"/>
      <c r="U6" s="13"/>
      <c r="V6" s="13"/>
      <c r="W6" s="13"/>
      <c r="X6" s="13"/>
      <c r="Y6" s="13"/>
      <c r="Z6" s="13"/>
      <c r="AA6" s="13"/>
      <c r="AB6" s="13"/>
      <c r="AC6" s="13"/>
      <c r="AD6" s="13"/>
      <c r="AE6" s="125"/>
      <c r="AF6" s="125"/>
      <c r="AG6" s="125"/>
    </row>
    <row r="7" spans="2:33" ht="15.75" thickBot="1" x14ac:dyDescent="0.3">
      <c r="B7" s="98" t="s">
        <v>49</v>
      </c>
      <c r="C7" s="98"/>
      <c r="D7" s="121">
        <f>+'5 Operationele voordelen'!D22</f>
        <v>0</v>
      </c>
      <c r="E7" s="121">
        <f>+'5 Operationele voordelen'!E22</f>
        <v>0</v>
      </c>
      <c r="F7" s="121">
        <f>+'5 Operationele voordelen'!F22</f>
        <v>0</v>
      </c>
      <c r="G7" s="121">
        <f>+'5 Operationele voordelen'!G22</f>
        <v>0</v>
      </c>
      <c r="H7" s="121">
        <f>+'5 Operationele voordelen'!H22</f>
        <v>0</v>
      </c>
      <c r="I7" s="121">
        <f>+'5 Operationele voordelen'!I22</f>
        <v>0</v>
      </c>
      <c r="J7" s="121">
        <f>+'5 Operationele voordelen'!J22</f>
        <v>0</v>
      </c>
      <c r="K7" s="121">
        <f>+'5 Operationele voordelen'!K22</f>
        <v>0</v>
      </c>
      <c r="L7" s="121">
        <f>+'5 Operationele voordelen'!L22</f>
        <v>0</v>
      </c>
      <c r="M7" s="121">
        <f>+'5 Operationele voordelen'!M22</f>
        <v>0</v>
      </c>
      <c r="N7" s="13"/>
      <c r="O7" s="13"/>
      <c r="P7" s="13"/>
      <c r="Q7" s="13"/>
      <c r="R7" s="13"/>
      <c r="S7" s="13"/>
      <c r="T7" s="13"/>
      <c r="U7" s="13"/>
      <c r="V7" s="13"/>
      <c r="W7" s="13"/>
      <c r="X7" s="13"/>
      <c r="Y7" s="13"/>
      <c r="Z7" s="13"/>
      <c r="AA7" s="13"/>
      <c r="AB7" s="13"/>
      <c r="AC7" s="13"/>
      <c r="AD7" s="13"/>
      <c r="AE7" s="125"/>
      <c r="AF7" s="125"/>
      <c r="AG7" s="125"/>
    </row>
    <row r="8" spans="2:33" ht="15.75" thickTop="1" x14ac:dyDescent="0.25">
      <c r="B8" s="98" t="s">
        <v>55</v>
      </c>
      <c r="C8" s="98"/>
      <c r="D8" s="120">
        <f>SUM(D4:D7)</f>
        <v>0</v>
      </c>
      <c r="E8" s="120">
        <f t="shared" ref="E8:L8" si="5">SUM(E4:E7)</f>
        <v>0</v>
      </c>
      <c r="F8" s="120">
        <f t="shared" si="5"/>
        <v>0</v>
      </c>
      <c r="G8" s="120">
        <f t="shared" si="5"/>
        <v>0</v>
      </c>
      <c r="H8" s="120">
        <f t="shared" si="5"/>
        <v>0</v>
      </c>
      <c r="I8" s="120">
        <f t="shared" si="5"/>
        <v>0</v>
      </c>
      <c r="J8" s="120">
        <f t="shared" si="5"/>
        <v>0</v>
      </c>
      <c r="K8" s="120">
        <f t="shared" si="5"/>
        <v>0</v>
      </c>
      <c r="L8" s="120">
        <f t="shared" si="5"/>
        <v>0</v>
      </c>
      <c r="M8" s="120">
        <f>SUM(M4:M7)</f>
        <v>0</v>
      </c>
      <c r="N8" s="8"/>
      <c r="O8" s="13"/>
      <c r="P8" s="13"/>
      <c r="Q8" s="13"/>
      <c r="R8" s="13"/>
      <c r="S8" s="13"/>
      <c r="T8" s="13"/>
      <c r="U8" s="13"/>
      <c r="V8" s="13"/>
      <c r="W8" s="13"/>
      <c r="X8" s="13"/>
      <c r="Y8" s="13"/>
      <c r="Z8" s="13"/>
      <c r="AA8" s="13"/>
      <c r="AB8" s="13"/>
      <c r="AC8" s="13"/>
      <c r="AD8" s="13"/>
      <c r="AE8" s="125"/>
      <c r="AF8" s="125"/>
      <c r="AG8" s="125"/>
    </row>
    <row r="9" spans="2:33" s="126" customFormat="1" x14ac:dyDescent="0.25">
      <c r="B9" s="100" t="s">
        <v>156</v>
      </c>
      <c r="C9" s="100"/>
      <c r="D9" s="12"/>
      <c r="E9" s="12"/>
      <c r="F9" s="12"/>
      <c r="G9" s="12"/>
      <c r="H9" s="12"/>
      <c r="I9" s="12"/>
      <c r="J9" s="12"/>
      <c r="K9" s="12"/>
      <c r="L9" s="12"/>
      <c r="M9" s="12"/>
      <c r="N9" s="27">
        <f>_xlfn.FORECAST.LINEAR(N3, $I8:$M8, $I3:$M3)</f>
        <v>0</v>
      </c>
      <c r="O9" s="27">
        <f t="shared" ref="O9:W9" si="6">_xlfn.FORECAST.LINEAR(O3, $I8:$M8, $I3:$M3)</f>
        <v>0</v>
      </c>
      <c r="P9" s="27">
        <f t="shared" si="6"/>
        <v>0</v>
      </c>
      <c r="Q9" s="27">
        <f t="shared" si="6"/>
        <v>0</v>
      </c>
      <c r="R9" s="27">
        <f t="shared" si="6"/>
        <v>0</v>
      </c>
      <c r="S9" s="27">
        <f t="shared" si="6"/>
        <v>0</v>
      </c>
      <c r="T9" s="27">
        <f t="shared" si="6"/>
        <v>0</v>
      </c>
      <c r="U9" s="27">
        <f t="shared" si="6"/>
        <v>0</v>
      </c>
      <c r="V9" s="27">
        <f t="shared" si="6"/>
        <v>0</v>
      </c>
      <c r="W9" s="27">
        <f t="shared" si="6"/>
        <v>0</v>
      </c>
      <c r="X9" s="27">
        <f>_xlfn.FORECAST.LINEAR(X3, $I8:$M8, $I3:$M3)</f>
        <v>0</v>
      </c>
      <c r="Y9" s="27" t="str">
        <f t="shared" ref="Y9:AG9" si="7">IF(Y3&lt;=Laatste_exploitatiejaar,_xlfn.FORECAST.LINEAR(Y3, $I8:$M8, $I3:$M3),"")</f>
        <v/>
      </c>
      <c r="Z9" s="27" t="str">
        <f t="shared" si="7"/>
        <v/>
      </c>
      <c r="AA9" s="27" t="str">
        <f t="shared" si="7"/>
        <v/>
      </c>
      <c r="AB9" s="27" t="str">
        <f t="shared" si="7"/>
        <v/>
      </c>
      <c r="AC9" s="27" t="str">
        <f t="shared" si="7"/>
        <v/>
      </c>
      <c r="AD9" s="27" t="str">
        <f t="shared" si="7"/>
        <v/>
      </c>
      <c r="AE9" s="27" t="str">
        <f t="shared" si="7"/>
        <v/>
      </c>
      <c r="AF9" s="27" t="str">
        <f t="shared" si="7"/>
        <v/>
      </c>
      <c r="AG9" s="27" t="str">
        <f t="shared" si="7"/>
        <v/>
      </c>
    </row>
    <row r="10" spans="2:33" x14ac:dyDescent="0.25"/>
    <row r="11" spans="2:33" x14ac:dyDescent="0.25"/>
    <row r="12" spans="2:33" ht="15.75" x14ac:dyDescent="0.25">
      <c r="B12" s="241" t="s">
        <v>130</v>
      </c>
      <c r="C12" s="242"/>
      <c r="D12" s="69">
        <f>start_operatie</f>
        <v>2031</v>
      </c>
      <c r="E12" s="69">
        <f>D12+1</f>
        <v>2032</v>
      </c>
      <c r="F12" s="69">
        <f t="shared" ref="F12" si="8">E12+1</f>
        <v>2033</v>
      </c>
      <c r="G12" s="69">
        <f t="shared" ref="G12" si="9">F12+1</f>
        <v>2034</v>
      </c>
      <c r="H12" s="69">
        <f t="shared" ref="H12" si="10">G12+1</f>
        <v>2035</v>
      </c>
      <c r="I12" s="69">
        <f t="shared" ref="I12" si="11">H12+1</f>
        <v>2036</v>
      </c>
      <c r="J12" s="69">
        <f t="shared" ref="J12" si="12">I12+1</f>
        <v>2037</v>
      </c>
      <c r="K12" s="69">
        <f t="shared" ref="K12" si="13">J12+1</f>
        <v>2038</v>
      </c>
      <c r="L12" s="69">
        <f t="shared" ref="L12" si="14">K12+1</f>
        <v>2039</v>
      </c>
      <c r="M12" s="69">
        <f t="shared" ref="M12" si="15">L12+1</f>
        <v>2040</v>
      </c>
      <c r="N12" s="69">
        <f t="shared" ref="N12" si="16">M12+1</f>
        <v>2041</v>
      </c>
      <c r="O12" s="69">
        <f t="shared" ref="O12" si="17">N12+1</f>
        <v>2042</v>
      </c>
      <c r="P12" s="69">
        <f t="shared" ref="P12" si="18">O12+1</f>
        <v>2043</v>
      </c>
      <c r="Q12" s="69">
        <f t="shared" ref="Q12" si="19">P12+1</f>
        <v>2044</v>
      </c>
      <c r="R12" s="69">
        <f t="shared" ref="R12" si="20">Q12+1</f>
        <v>2045</v>
      </c>
      <c r="S12" s="69">
        <f t="shared" ref="S12" si="21">R12+1</f>
        <v>2046</v>
      </c>
      <c r="T12" s="69">
        <f t="shared" ref="T12" si="22">S12+1</f>
        <v>2047</v>
      </c>
      <c r="U12" s="69">
        <f t="shared" ref="U12" si="23">T12+1</f>
        <v>2048</v>
      </c>
      <c r="V12" s="69">
        <f t="shared" ref="V12" si="24">U12+1</f>
        <v>2049</v>
      </c>
      <c r="W12" s="69">
        <f t="shared" ref="W12" si="25">V12+1</f>
        <v>2050</v>
      </c>
      <c r="X12" s="69">
        <f t="shared" ref="X12" si="26">W12+1</f>
        <v>2051</v>
      </c>
      <c r="Y12" s="69">
        <f t="shared" ref="Y12" si="27">X12+1</f>
        <v>2052</v>
      </c>
      <c r="Z12" s="69">
        <f t="shared" ref="Z12" si="28">Y12+1</f>
        <v>2053</v>
      </c>
      <c r="AA12" s="69">
        <f t="shared" ref="AA12" si="29">Z12+1</f>
        <v>2054</v>
      </c>
      <c r="AB12" s="69">
        <f t="shared" ref="AB12" si="30">AA12+1</f>
        <v>2055</v>
      </c>
      <c r="AC12" s="69">
        <f t="shared" ref="AC12" si="31">AB12+1</f>
        <v>2056</v>
      </c>
      <c r="AD12" s="69">
        <f t="shared" ref="AD12" si="32">AC12+1</f>
        <v>2057</v>
      </c>
      <c r="AE12" s="69">
        <f t="shared" ref="AE12" si="33">AD12+1</f>
        <v>2058</v>
      </c>
      <c r="AF12" s="69">
        <f t="shared" ref="AF12" si="34">AE12+1</f>
        <v>2059</v>
      </c>
      <c r="AG12" s="69">
        <f t="shared" ref="AG12" si="35">AF12+1</f>
        <v>2060</v>
      </c>
    </row>
    <row r="13" spans="2:33" ht="15.75" thickBot="1" x14ac:dyDescent="0.3">
      <c r="B13" s="100" t="s">
        <v>129</v>
      </c>
      <c r="C13" s="100"/>
      <c r="D13" s="27">
        <f t="shared" ref="D13:M13" si="36">+D8</f>
        <v>0</v>
      </c>
      <c r="E13" s="27">
        <f t="shared" si="36"/>
        <v>0</v>
      </c>
      <c r="F13" s="27">
        <f t="shared" si="36"/>
        <v>0</v>
      </c>
      <c r="G13" s="27">
        <f t="shared" si="36"/>
        <v>0</v>
      </c>
      <c r="H13" s="27">
        <f t="shared" si="36"/>
        <v>0</v>
      </c>
      <c r="I13" s="27">
        <f t="shared" si="36"/>
        <v>0</v>
      </c>
      <c r="J13" s="27">
        <f t="shared" si="36"/>
        <v>0</v>
      </c>
      <c r="K13" s="27">
        <f t="shared" si="36"/>
        <v>0</v>
      </c>
      <c r="L13" s="27">
        <f t="shared" si="36"/>
        <v>0</v>
      </c>
      <c r="M13" s="27">
        <f t="shared" si="36"/>
        <v>0</v>
      </c>
      <c r="N13" s="27">
        <f>+N9</f>
        <v>0</v>
      </c>
      <c r="O13" s="27">
        <f t="shared" ref="O13:AG13" si="37">+O9</f>
        <v>0</v>
      </c>
      <c r="P13" s="27">
        <f t="shared" si="37"/>
        <v>0</v>
      </c>
      <c r="Q13" s="27">
        <f t="shared" si="37"/>
        <v>0</v>
      </c>
      <c r="R13" s="27">
        <f t="shared" si="37"/>
        <v>0</v>
      </c>
      <c r="S13" s="27">
        <f t="shared" si="37"/>
        <v>0</v>
      </c>
      <c r="T13" s="27">
        <f t="shared" si="37"/>
        <v>0</v>
      </c>
      <c r="U13" s="27">
        <f t="shared" si="37"/>
        <v>0</v>
      </c>
      <c r="V13" s="27">
        <f t="shared" si="37"/>
        <v>0</v>
      </c>
      <c r="W13" s="27">
        <f t="shared" si="37"/>
        <v>0</v>
      </c>
      <c r="X13" s="27">
        <f t="shared" si="37"/>
        <v>0</v>
      </c>
      <c r="Y13" s="27" t="str">
        <f t="shared" si="37"/>
        <v/>
      </c>
      <c r="Z13" s="27" t="str">
        <f t="shared" si="37"/>
        <v/>
      </c>
      <c r="AA13" s="27" t="str">
        <f t="shared" si="37"/>
        <v/>
      </c>
      <c r="AB13" s="27" t="str">
        <f t="shared" si="37"/>
        <v/>
      </c>
      <c r="AC13" s="27" t="str">
        <f t="shared" si="37"/>
        <v/>
      </c>
      <c r="AD13" s="27" t="str">
        <f t="shared" si="37"/>
        <v/>
      </c>
      <c r="AE13" s="27" t="str">
        <f t="shared" si="37"/>
        <v/>
      </c>
      <c r="AF13" s="27" t="str">
        <f t="shared" si="37"/>
        <v/>
      </c>
      <c r="AG13" s="27" t="str">
        <f t="shared" si="37"/>
        <v/>
      </c>
    </row>
    <row r="14" spans="2:33" ht="15.75" thickBot="1" x14ac:dyDescent="0.3">
      <c r="B14" s="100" t="s">
        <v>52</v>
      </c>
      <c r="C14" s="72" t="e">
        <f>WACC</f>
        <v>#VALUE!</v>
      </c>
      <c r="D14" s="71" t="e">
        <f>(1+C14)^(start_operatie-subsidiejaar)</f>
        <v>#VALUE!</v>
      </c>
      <c r="E14" s="70" t="e">
        <f>(1+$C$14)*D14</f>
        <v>#VALUE!</v>
      </c>
      <c r="F14" s="70" t="e">
        <f>(1+$C$14)*E14</f>
        <v>#VALUE!</v>
      </c>
      <c r="G14" s="70" t="e">
        <f t="shared" ref="G14:L14" si="38">(1+$C$14)*F14</f>
        <v>#VALUE!</v>
      </c>
      <c r="H14" s="70" t="e">
        <f t="shared" si="38"/>
        <v>#VALUE!</v>
      </c>
      <c r="I14" s="70" t="e">
        <f t="shared" si="38"/>
        <v>#VALUE!</v>
      </c>
      <c r="J14" s="70" t="e">
        <f t="shared" si="38"/>
        <v>#VALUE!</v>
      </c>
      <c r="K14" s="70" t="e">
        <f t="shared" si="38"/>
        <v>#VALUE!</v>
      </c>
      <c r="L14" s="70" t="e">
        <f t="shared" si="38"/>
        <v>#VALUE!</v>
      </c>
      <c r="M14" s="70" t="e">
        <f>(1+$C$14)*L14</f>
        <v>#VALUE!</v>
      </c>
      <c r="N14" s="70" t="e">
        <f t="shared" ref="N14:AG14" si="39">IF(N12&lt;=Laatste_exploitatiejaar,(1+$C$14)*M14,"")</f>
        <v>#VALUE!</v>
      </c>
      <c r="O14" s="70" t="e">
        <f t="shared" si="39"/>
        <v>#VALUE!</v>
      </c>
      <c r="P14" s="70" t="e">
        <f t="shared" si="39"/>
        <v>#VALUE!</v>
      </c>
      <c r="Q14" s="70" t="e">
        <f t="shared" si="39"/>
        <v>#VALUE!</v>
      </c>
      <c r="R14" s="70" t="e">
        <f t="shared" si="39"/>
        <v>#VALUE!</v>
      </c>
      <c r="S14" s="70" t="e">
        <f t="shared" si="39"/>
        <v>#VALUE!</v>
      </c>
      <c r="T14" s="70" t="e">
        <f t="shared" si="39"/>
        <v>#VALUE!</v>
      </c>
      <c r="U14" s="70" t="e">
        <f t="shared" si="39"/>
        <v>#VALUE!</v>
      </c>
      <c r="V14" s="70" t="e">
        <f t="shared" si="39"/>
        <v>#VALUE!</v>
      </c>
      <c r="W14" s="70" t="e">
        <f t="shared" si="39"/>
        <v>#VALUE!</v>
      </c>
      <c r="X14" s="70" t="str">
        <f t="shared" si="39"/>
        <v/>
      </c>
      <c r="Y14" s="70" t="str">
        <f t="shared" si="39"/>
        <v/>
      </c>
      <c r="Z14" s="70" t="str">
        <f t="shared" si="39"/>
        <v/>
      </c>
      <c r="AA14" s="70" t="str">
        <f t="shared" si="39"/>
        <v/>
      </c>
      <c r="AB14" s="70" t="str">
        <f t="shared" si="39"/>
        <v/>
      </c>
      <c r="AC14" s="70" t="str">
        <f t="shared" si="39"/>
        <v/>
      </c>
      <c r="AD14" s="70" t="str">
        <f t="shared" si="39"/>
        <v/>
      </c>
      <c r="AE14" s="70" t="str">
        <f t="shared" si="39"/>
        <v/>
      </c>
      <c r="AF14" s="70" t="str">
        <f t="shared" si="39"/>
        <v/>
      </c>
      <c r="AG14" s="70" t="str">
        <f t="shared" si="39"/>
        <v/>
      </c>
    </row>
    <row r="15" spans="2:33" ht="15.75" thickBot="1" x14ac:dyDescent="0.3">
      <c r="B15" s="100" t="s">
        <v>51</v>
      </c>
      <c r="C15" s="74" t="e">
        <f>SUM($D$15:$AG$15)</f>
        <v>#VALUE!</v>
      </c>
      <c r="D15" s="73" t="e">
        <f>+D13/D14</f>
        <v>#VALUE!</v>
      </c>
      <c r="E15" s="27" t="e">
        <f t="shared" ref="E15:M15" si="40">+E13/E14</f>
        <v>#VALUE!</v>
      </c>
      <c r="F15" s="27" t="e">
        <f t="shared" si="40"/>
        <v>#VALUE!</v>
      </c>
      <c r="G15" s="27" t="e">
        <f t="shared" si="40"/>
        <v>#VALUE!</v>
      </c>
      <c r="H15" s="27" t="e">
        <f t="shared" si="40"/>
        <v>#VALUE!</v>
      </c>
      <c r="I15" s="27" t="e">
        <f t="shared" si="40"/>
        <v>#VALUE!</v>
      </c>
      <c r="J15" s="27" t="e">
        <f t="shared" si="40"/>
        <v>#VALUE!</v>
      </c>
      <c r="K15" s="27" t="e">
        <f t="shared" si="40"/>
        <v>#VALUE!</v>
      </c>
      <c r="L15" s="27" t="e">
        <f t="shared" si="40"/>
        <v>#VALUE!</v>
      </c>
      <c r="M15" s="27" t="e">
        <f t="shared" si="40"/>
        <v>#VALUE!</v>
      </c>
      <c r="N15" s="27" t="e">
        <f t="shared" ref="N15:AG15" si="41">IF(N12&lt;=Laatste_exploitatiejaar,+N13/N14,"")</f>
        <v>#VALUE!</v>
      </c>
      <c r="O15" s="27" t="e">
        <f t="shared" si="41"/>
        <v>#VALUE!</v>
      </c>
      <c r="P15" s="27" t="e">
        <f t="shared" si="41"/>
        <v>#VALUE!</v>
      </c>
      <c r="Q15" s="27" t="e">
        <f t="shared" si="41"/>
        <v>#VALUE!</v>
      </c>
      <c r="R15" s="27" t="e">
        <f t="shared" si="41"/>
        <v>#VALUE!</v>
      </c>
      <c r="S15" s="27" t="e">
        <f t="shared" si="41"/>
        <v>#VALUE!</v>
      </c>
      <c r="T15" s="27" t="e">
        <f t="shared" si="41"/>
        <v>#VALUE!</v>
      </c>
      <c r="U15" s="27" t="e">
        <f t="shared" si="41"/>
        <v>#VALUE!</v>
      </c>
      <c r="V15" s="27" t="e">
        <f t="shared" si="41"/>
        <v>#VALUE!</v>
      </c>
      <c r="W15" s="27" t="e">
        <f t="shared" si="41"/>
        <v>#VALUE!</v>
      </c>
      <c r="X15" s="27" t="str">
        <f t="shared" si="41"/>
        <v/>
      </c>
      <c r="Y15" s="27" t="str">
        <f t="shared" si="41"/>
        <v/>
      </c>
      <c r="Z15" s="27" t="str">
        <f t="shared" si="41"/>
        <v/>
      </c>
      <c r="AA15" s="27" t="str">
        <f t="shared" si="41"/>
        <v/>
      </c>
      <c r="AB15" s="27" t="str">
        <f t="shared" si="41"/>
        <v/>
      </c>
      <c r="AC15" s="27" t="str">
        <f t="shared" si="41"/>
        <v/>
      </c>
      <c r="AD15" s="27" t="str">
        <f t="shared" si="41"/>
        <v/>
      </c>
      <c r="AE15" s="27" t="str">
        <f t="shared" si="41"/>
        <v/>
      </c>
      <c r="AF15" s="27" t="str">
        <f t="shared" si="41"/>
        <v/>
      </c>
      <c r="AG15" s="27" t="str">
        <f t="shared" si="41"/>
        <v/>
      </c>
    </row>
    <row r="16" spans="2:33" x14ac:dyDescent="0.25"/>
    <row r="23" spans="6:6" hidden="1" x14ac:dyDescent="0.25">
      <c r="F23" s="104"/>
    </row>
  </sheetData>
  <sheetProtection algorithmName="SHA-512" hashValue="I5YzMGlVBfhTBpo8oIhZiOKwBmYqsb6oJtq5hscDMrHuBtMtjYUi2BE1BdBjr3MQvd0YFLkUPCWk/Tbu5NpcIA==" saltValue="extIvPvz0m/Gn0RbQ3d3Aw==" spinCount="100000" sheet="1" objects="1" scenarios="1"/>
  <mergeCells count="2">
    <mergeCell ref="B3:C3"/>
    <mergeCell ref="B12:C12"/>
  </mergeCells>
  <phoneticPr fontId="3" type="noConversion"/>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expression" priority="44" id="{56F757F3-7A1A-41A1-8EC9-82AD71BE2C11}">
            <xm:f>#REF!&gt;=('1 Econ. levensduur'!$C$11+MAX('1 Econ. levensduur'!$C$12:$C$12))</xm:f>
            <x14:dxf>
              <font>
                <b/>
                <i val="0"/>
                <color rgb="FFFF0000"/>
              </font>
              <fill>
                <patternFill>
                  <bgColor theme="6"/>
                </patternFill>
              </fill>
            </x14:dxf>
          </x14:cfRule>
          <xm:sqref>B4:C4 B5:B8</xm:sqref>
        </x14:conditionalFormatting>
        <x14:conditionalFormatting xmlns:xm="http://schemas.microsoft.com/office/excel/2006/main">
          <x14:cfRule type="expression" priority="1" id="{43B21654-E92C-40C2-9C53-3AA031B1F042}">
            <xm:f>Y$3&gt;=('1 Econ. levensduur'!$C$11+MAX('1 Econ. levensduur'!$C$12:$C$12))</xm:f>
            <x14:dxf>
              <font>
                <b/>
                <i val="0"/>
                <color rgb="FFFF0000"/>
              </font>
              <fill>
                <patternFill>
                  <bgColor theme="6"/>
                </patternFill>
              </fill>
            </x14:dxf>
          </x14:cfRule>
          <xm:sqref>Y4:AG8</xm:sqref>
        </x14:conditionalFormatting>
        <x14:conditionalFormatting xmlns:xm="http://schemas.microsoft.com/office/excel/2006/main">
          <x14:cfRule type="expression" priority="7" id="{F0133CCD-063B-4A79-BD58-5A7BD9202195}">
            <xm:f>Y$3&gt;=('1 Econ. levensduur'!$C$11+MAX('1 Econ. levensduur'!$C$12:$C$12))</xm:f>
            <x14:dxf>
              <font>
                <b/>
                <i val="0"/>
                <color rgb="FFFF0000"/>
              </font>
              <fill>
                <patternFill>
                  <bgColor theme="6"/>
                </patternFill>
              </fill>
            </x14:dxf>
          </x14:cfRule>
          <xm:sqref>Y13:AG15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D16C4-0115-4D13-A0FC-658B3BEEE8E7}">
  <sheetPr>
    <tabColor theme="7" tint="0.79998168889431442"/>
    <pageSetUpPr autoPageBreaks="0"/>
  </sheetPr>
  <dimension ref="A1:AA34"/>
  <sheetViews>
    <sheetView workbookViewId="0"/>
  </sheetViews>
  <sheetFormatPr defaultColWidth="0" defaultRowHeight="15" zeroHeight="1" x14ac:dyDescent="0.25"/>
  <cols>
    <col min="1" max="1" width="2.85546875" style="3" customWidth="1"/>
    <col min="2" max="2" width="44" style="3" customWidth="1"/>
    <col min="3" max="3" width="38.7109375" style="3" bestFit="1" customWidth="1"/>
    <col min="4" max="4" width="15.5703125" style="3" customWidth="1"/>
    <col min="5" max="5" width="9.28515625" style="3" customWidth="1"/>
    <col min="6" max="7" width="7.85546875" style="3" bestFit="1" customWidth="1"/>
    <col min="8" max="26" width="8.85546875" style="3" bestFit="1" customWidth="1"/>
    <col min="27" max="27" width="2.85546875" style="3" customWidth="1"/>
    <col min="28" max="16384" width="9.28515625" style="3" hidden="1"/>
  </cols>
  <sheetData>
    <row r="1" spans="2:26" ht="28.5" x14ac:dyDescent="0.45">
      <c r="B1" s="59" t="s">
        <v>166</v>
      </c>
    </row>
    <row r="2" spans="2:26" x14ac:dyDescent="0.25"/>
    <row r="3" spans="2:26" x14ac:dyDescent="0.25">
      <c r="B3" s="11" t="s">
        <v>151</v>
      </c>
    </row>
    <row r="4" spans="2:26" ht="15.75" x14ac:dyDescent="0.25">
      <c r="B4" s="9" t="s">
        <v>11</v>
      </c>
      <c r="C4" s="6" t="s">
        <v>76</v>
      </c>
      <c r="D4" s="9" t="s">
        <v>9</v>
      </c>
      <c r="E4" s="6" t="s">
        <v>23</v>
      </c>
      <c r="F4" s="6">
        <v>2025</v>
      </c>
      <c r="G4" s="6">
        <v>2026</v>
      </c>
      <c r="H4" s="6">
        <v>2027</v>
      </c>
      <c r="I4" s="6">
        <v>2028</v>
      </c>
      <c r="J4" s="6">
        <v>2029</v>
      </c>
      <c r="K4" s="6">
        <v>2030</v>
      </c>
      <c r="L4" s="6">
        <v>2031</v>
      </c>
      <c r="M4" s="6">
        <v>2032</v>
      </c>
      <c r="N4" s="6">
        <v>2033</v>
      </c>
      <c r="O4" s="6">
        <v>2034</v>
      </c>
      <c r="P4" s="6">
        <v>2035</v>
      </c>
      <c r="Q4" s="6">
        <v>2036</v>
      </c>
      <c r="R4" s="6">
        <v>2037</v>
      </c>
      <c r="S4" s="6">
        <v>2038</v>
      </c>
      <c r="T4" s="6">
        <v>2039</v>
      </c>
      <c r="U4" s="6">
        <v>2040</v>
      </c>
      <c r="V4" s="6">
        <v>2041</v>
      </c>
      <c r="W4" s="6">
        <v>2042</v>
      </c>
      <c r="X4" s="6">
        <v>2043</v>
      </c>
      <c r="Y4" s="6">
        <v>2044</v>
      </c>
      <c r="Z4" s="10">
        <v>2045</v>
      </c>
    </row>
    <row r="5" spans="2:26" ht="15.75" thickBot="1" x14ac:dyDescent="0.3">
      <c r="B5" s="39" t="s">
        <v>68</v>
      </c>
      <c r="C5" s="39" t="s">
        <v>77</v>
      </c>
      <c r="D5" s="39" t="s">
        <v>342</v>
      </c>
      <c r="E5" s="40" t="s">
        <v>90</v>
      </c>
      <c r="F5" s="75">
        <v>0.28170000000000001</v>
      </c>
      <c r="G5" s="75">
        <v>0.28100000000000003</v>
      </c>
      <c r="H5" s="75">
        <v>0.27300000000000002</v>
      </c>
      <c r="I5" s="75">
        <v>0.26500000000000001</v>
      </c>
      <c r="J5" s="75">
        <v>0.25700000000000001</v>
      </c>
      <c r="K5" s="75">
        <v>0.249</v>
      </c>
      <c r="L5" s="75">
        <v>0.249</v>
      </c>
      <c r="M5" s="75">
        <v>0.249</v>
      </c>
      <c r="N5" s="75">
        <v>0.25</v>
      </c>
      <c r="O5" s="75">
        <v>0.25</v>
      </c>
      <c r="P5" s="75">
        <v>0.251</v>
      </c>
      <c r="Q5" s="75">
        <v>0.251</v>
      </c>
      <c r="R5" s="75">
        <v>0.251</v>
      </c>
      <c r="S5" s="75">
        <v>0.252</v>
      </c>
      <c r="T5" s="75">
        <v>0.252</v>
      </c>
      <c r="U5" s="75">
        <v>0.252</v>
      </c>
      <c r="V5" s="75">
        <v>0.252</v>
      </c>
      <c r="W5" s="75">
        <v>0.252</v>
      </c>
      <c r="X5" s="75">
        <v>0.252</v>
      </c>
      <c r="Y5" s="75">
        <v>0.252</v>
      </c>
      <c r="Z5" s="75">
        <v>0.252</v>
      </c>
    </row>
    <row r="6" spans="2:26" x14ac:dyDescent="0.25">
      <c r="B6" s="37" t="s">
        <v>92</v>
      </c>
      <c r="C6" s="37" t="s">
        <v>78</v>
      </c>
      <c r="D6" s="37" t="s">
        <v>324</v>
      </c>
      <c r="E6" s="38" t="s">
        <v>90</v>
      </c>
      <c r="F6" s="76">
        <v>0.57816000000000001</v>
      </c>
      <c r="G6" s="76">
        <f>0.60066</f>
        <v>0.60065999999999997</v>
      </c>
      <c r="H6" s="76">
        <f t="shared" ref="H6:Q10" si="0">$F6</f>
        <v>0.57816000000000001</v>
      </c>
      <c r="I6" s="76">
        <f t="shared" si="0"/>
        <v>0.57816000000000001</v>
      </c>
      <c r="J6" s="76">
        <f t="shared" si="0"/>
        <v>0.57816000000000001</v>
      </c>
      <c r="K6" s="76">
        <f t="shared" si="0"/>
        <v>0.57816000000000001</v>
      </c>
      <c r="L6" s="76">
        <f t="shared" si="0"/>
        <v>0.57816000000000001</v>
      </c>
      <c r="M6" s="76">
        <f t="shared" si="0"/>
        <v>0.57816000000000001</v>
      </c>
      <c r="N6" s="76">
        <f t="shared" si="0"/>
        <v>0.57816000000000001</v>
      </c>
      <c r="O6" s="76">
        <f t="shared" si="0"/>
        <v>0.57816000000000001</v>
      </c>
      <c r="P6" s="76">
        <f t="shared" si="0"/>
        <v>0.57816000000000001</v>
      </c>
      <c r="Q6" s="76">
        <f t="shared" si="0"/>
        <v>0.57816000000000001</v>
      </c>
      <c r="R6" s="76">
        <f t="shared" ref="R6:Z10" si="1">$F6</f>
        <v>0.57816000000000001</v>
      </c>
      <c r="S6" s="76">
        <f t="shared" si="1"/>
        <v>0.57816000000000001</v>
      </c>
      <c r="T6" s="76">
        <f t="shared" si="1"/>
        <v>0.57816000000000001</v>
      </c>
      <c r="U6" s="76">
        <f t="shared" si="1"/>
        <v>0.57816000000000001</v>
      </c>
      <c r="V6" s="76">
        <f t="shared" si="1"/>
        <v>0.57816000000000001</v>
      </c>
      <c r="W6" s="76">
        <f t="shared" si="1"/>
        <v>0.57816000000000001</v>
      </c>
      <c r="X6" s="76">
        <f t="shared" si="1"/>
        <v>0.57816000000000001</v>
      </c>
      <c r="Y6" s="76">
        <f t="shared" si="1"/>
        <v>0.57816000000000001</v>
      </c>
      <c r="Z6" s="76">
        <f t="shared" si="1"/>
        <v>0.57816000000000001</v>
      </c>
    </row>
    <row r="7" spans="2:26" x14ac:dyDescent="0.25">
      <c r="B7" s="35" t="s">
        <v>92</v>
      </c>
      <c r="C7" s="35" t="s">
        <v>79</v>
      </c>
      <c r="D7" s="35" t="s">
        <v>324</v>
      </c>
      <c r="E7" s="36" t="s">
        <v>90</v>
      </c>
      <c r="F7" s="77">
        <v>0.57816000000000001</v>
      </c>
      <c r="G7" s="77">
        <f>0.60066</f>
        <v>0.60065999999999997</v>
      </c>
      <c r="H7" s="77">
        <f t="shared" si="0"/>
        <v>0.57816000000000001</v>
      </c>
      <c r="I7" s="77">
        <f t="shared" si="0"/>
        <v>0.57816000000000001</v>
      </c>
      <c r="J7" s="77">
        <f t="shared" si="0"/>
        <v>0.57816000000000001</v>
      </c>
      <c r="K7" s="77">
        <f t="shared" si="0"/>
        <v>0.57816000000000001</v>
      </c>
      <c r="L7" s="77">
        <f t="shared" si="0"/>
        <v>0.57816000000000001</v>
      </c>
      <c r="M7" s="77">
        <f t="shared" si="0"/>
        <v>0.57816000000000001</v>
      </c>
      <c r="N7" s="77">
        <f t="shared" si="0"/>
        <v>0.57816000000000001</v>
      </c>
      <c r="O7" s="77">
        <f t="shared" si="0"/>
        <v>0.57816000000000001</v>
      </c>
      <c r="P7" s="77">
        <f t="shared" si="0"/>
        <v>0.57816000000000001</v>
      </c>
      <c r="Q7" s="77">
        <f t="shared" si="0"/>
        <v>0.57816000000000001</v>
      </c>
      <c r="R7" s="77">
        <f t="shared" si="1"/>
        <v>0.57816000000000001</v>
      </c>
      <c r="S7" s="77">
        <f t="shared" si="1"/>
        <v>0.57816000000000001</v>
      </c>
      <c r="T7" s="77">
        <f t="shared" si="1"/>
        <v>0.57816000000000001</v>
      </c>
      <c r="U7" s="77">
        <f t="shared" si="1"/>
        <v>0.57816000000000001</v>
      </c>
      <c r="V7" s="77">
        <f t="shared" si="1"/>
        <v>0.57816000000000001</v>
      </c>
      <c r="W7" s="77">
        <f t="shared" si="1"/>
        <v>0.57816000000000001</v>
      </c>
      <c r="X7" s="77">
        <f t="shared" si="1"/>
        <v>0.57816000000000001</v>
      </c>
      <c r="Y7" s="77">
        <f t="shared" si="1"/>
        <v>0.57816000000000001</v>
      </c>
      <c r="Z7" s="77">
        <f t="shared" si="1"/>
        <v>0.57816000000000001</v>
      </c>
    </row>
    <row r="8" spans="2:26" x14ac:dyDescent="0.25">
      <c r="B8" s="35" t="s">
        <v>92</v>
      </c>
      <c r="C8" s="35" t="s">
        <v>80</v>
      </c>
      <c r="D8" s="35" t="s">
        <v>324</v>
      </c>
      <c r="E8" s="36" t="s">
        <v>90</v>
      </c>
      <c r="F8" s="77">
        <v>0.31573000000000001</v>
      </c>
      <c r="G8" s="77">
        <f>0.33085</f>
        <v>0.33084999999999998</v>
      </c>
      <c r="H8" s="77">
        <f t="shared" si="0"/>
        <v>0.31573000000000001</v>
      </c>
      <c r="I8" s="77">
        <f t="shared" si="0"/>
        <v>0.31573000000000001</v>
      </c>
      <c r="J8" s="77">
        <f t="shared" si="0"/>
        <v>0.31573000000000001</v>
      </c>
      <c r="K8" s="77">
        <f t="shared" si="0"/>
        <v>0.31573000000000001</v>
      </c>
      <c r="L8" s="77">
        <f t="shared" si="0"/>
        <v>0.31573000000000001</v>
      </c>
      <c r="M8" s="77">
        <f t="shared" si="0"/>
        <v>0.31573000000000001</v>
      </c>
      <c r="N8" s="77">
        <f t="shared" si="0"/>
        <v>0.31573000000000001</v>
      </c>
      <c r="O8" s="77">
        <f t="shared" si="0"/>
        <v>0.31573000000000001</v>
      </c>
      <c r="P8" s="77">
        <f t="shared" si="0"/>
        <v>0.31573000000000001</v>
      </c>
      <c r="Q8" s="77">
        <f t="shared" si="0"/>
        <v>0.31573000000000001</v>
      </c>
      <c r="R8" s="77">
        <f t="shared" si="1"/>
        <v>0.31573000000000001</v>
      </c>
      <c r="S8" s="77">
        <f t="shared" si="1"/>
        <v>0.31573000000000001</v>
      </c>
      <c r="T8" s="77">
        <f t="shared" si="1"/>
        <v>0.31573000000000001</v>
      </c>
      <c r="U8" s="77">
        <f t="shared" si="1"/>
        <v>0.31573000000000001</v>
      </c>
      <c r="V8" s="77">
        <f t="shared" si="1"/>
        <v>0.31573000000000001</v>
      </c>
      <c r="W8" s="77">
        <f t="shared" si="1"/>
        <v>0.31573000000000001</v>
      </c>
      <c r="X8" s="77">
        <f t="shared" si="1"/>
        <v>0.31573000000000001</v>
      </c>
      <c r="Y8" s="77">
        <f t="shared" si="1"/>
        <v>0.31573000000000001</v>
      </c>
      <c r="Z8" s="77">
        <f t="shared" si="1"/>
        <v>0.31573000000000001</v>
      </c>
    </row>
    <row r="9" spans="2:26" x14ac:dyDescent="0.25">
      <c r="B9" s="35" t="s">
        <v>92</v>
      </c>
      <c r="C9" s="35" t="s">
        <v>81</v>
      </c>
      <c r="D9" s="35" t="s">
        <v>324</v>
      </c>
      <c r="E9" s="36" t="s">
        <v>90</v>
      </c>
      <c r="F9" s="77">
        <v>0.20347000000000001</v>
      </c>
      <c r="G9" s="77">
        <f>0.21396</f>
        <v>0.21396000000000001</v>
      </c>
      <c r="H9" s="77">
        <f t="shared" si="0"/>
        <v>0.20347000000000001</v>
      </c>
      <c r="I9" s="77">
        <f t="shared" si="0"/>
        <v>0.20347000000000001</v>
      </c>
      <c r="J9" s="77">
        <f t="shared" si="0"/>
        <v>0.20347000000000001</v>
      </c>
      <c r="K9" s="77">
        <f t="shared" si="0"/>
        <v>0.20347000000000001</v>
      </c>
      <c r="L9" s="77">
        <f t="shared" si="0"/>
        <v>0.20347000000000001</v>
      </c>
      <c r="M9" s="77">
        <f t="shared" si="0"/>
        <v>0.20347000000000001</v>
      </c>
      <c r="N9" s="77">
        <f t="shared" si="0"/>
        <v>0.20347000000000001</v>
      </c>
      <c r="O9" s="77">
        <f t="shared" si="0"/>
        <v>0.20347000000000001</v>
      </c>
      <c r="P9" s="77">
        <f t="shared" si="0"/>
        <v>0.20347000000000001</v>
      </c>
      <c r="Q9" s="77">
        <f t="shared" si="0"/>
        <v>0.20347000000000001</v>
      </c>
      <c r="R9" s="77">
        <f t="shared" si="1"/>
        <v>0.20347000000000001</v>
      </c>
      <c r="S9" s="77">
        <f t="shared" si="1"/>
        <v>0.20347000000000001</v>
      </c>
      <c r="T9" s="77">
        <f t="shared" si="1"/>
        <v>0.20347000000000001</v>
      </c>
      <c r="U9" s="77">
        <f t="shared" si="1"/>
        <v>0.20347000000000001</v>
      </c>
      <c r="V9" s="77">
        <f t="shared" si="1"/>
        <v>0.20347000000000001</v>
      </c>
      <c r="W9" s="77">
        <f t="shared" si="1"/>
        <v>0.20347000000000001</v>
      </c>
      <c r="X9" s="77">
        <f t="shared" si="1"/>
        <v>0.20347000000000001</v>
      </c>
      <c r="Y9" s="77">
        <f t="shared" si="1"/>
        <v>0.20347000000000001</v>
      </c>
      <c r="Z9" s="77">
        <f t="shared" si="1"/>
        <v>0.20347000000000001</v>
      </c>
    </row>
    <row r="10" spans="2:26" ht="15.75" thickBot="1" x14ac:dyDescent="0.3">
      <c r="B10" s="39" t="s">
        <v>92</v>
      </c>
      <c r="C10" s="39" t="s">
        <v>82</v>
      </c>
      <c r="D10" s="39" t="s">
        <v>324</v>
      </c>
      <c r="E10" s="40" t="s">
        <v>90</v>
      </c>
      <c r="F10" s="75">
        <v>5.3850000000000002E-2</v>
      </c>
      <c r="G10" s="75">
        <f>0.05313</f>
        <v>5.3129999999999997E-2</v>
      </c>
      <c r="H10" s="75">
        <f t="shared" si="0"/>
        <v>5.3850000000000002E-2</v>
      </c>
      <c r="I10" s="75">
        <f t="shared" si="0"/>
        <v>5.3850000000000002E-2</v>
      </c>
      <c r="J10" s="75">
        <f t="shared" si="0"/>
        <v>5.3850000000000002E-2</v>
      </c>
      <c r="K10" s="75">
        <f t="shared" si="0"/>
        <v>5.3850000000000002E-2</v>
      </c>
      <c r="L10" s="75">
        <f t="shared" si="0"/>
        <v>5.3850000000000002E-2</v>
      </c>
      <c r="M10" s="75">
        <f t="shared" si="0"/>
        <v>5.3850000000000002E-2</v>
      </c>
      <c r="N10" s="75">
        <f t="shared" si="0"/>
        <v>5.3850000000000002E-2</v>
      </c>
      <c r="O10" s="75">
        <f t="shared" si="0"/>
        <v>5.3850000000000002E-2</v>
      </c>
      <c r="P10" s="75">
        <f t="shared" si="0"/>
        <v>5.3850000000000002E-2</v>
      </c>
      <c r="Q10" s="75">
        <f t="shared" si="0"/>
        <v>5.3850000000000002E-2</v>
      </c>
      <c r="R10" s="75">
        <f t="shared" si="1"/>
        <v>5.3850000000000002E-2</v>
      </c>
      <c r="S10" s="75">
        <f t="shared" si="1"/>
        <v>5.3850000000000002E-2</v>
      </c>
      <c r="T10" s="75">
        <f t="shared" si="1"/>
        <v>5.3850000000000002E-2</v>
      </c>
      <c r="U10" s="75">
        <f t="shared" si="1"/>
        <v>5.3850000000000002E-2</v>
      </c>
      <c r="V10" s="75">
        <f t="shared" si="1"/>
        <v>5.3850000000000002E-2</v>
      </c>
      <c r="W10" s="75">
        <f t="shared" si="1"/>
        <v>5.3850000000000002E-2</v>
      </c>
      <c r="X10" s="75">
        <f t="shared" si="1"/>
        <v>5.3850000000000002E-2</v>
      </c>
      <c r="Y10" s="75">
        <f t="shared" si="1"/>
        <v>5.3850000000000002E-2</v>
      </c>
      <c r="Z10" s="75">
        <f t="shared" si="1"/>
        <v>5.3850000000000002E-2</v>
      </c>
    </row>
    <row r="11" spans="2:26" ht="15.75" thickBot="1" x14ac:dyDescent="0.3">
      <c r="B11" s="41" t="s">
        <v>67</v>
      </c>
      <c r="C11" s="41" t="s">
        <v>83</v>
      </c>
      <c r="D11" s="41" t="s">
        <v>342</v>
      </c>
      <c r="E11" s="42" t="s">
        <v>91</v>
      </c>
      <c r="F11" s="78">
        <v>8.1939999999999999E-2</v>
      </c>
      <c r="G11" s="78">
        <v>8.4000000000000005E-2</v>
      </c>
      <c r="H11" s="78">
        <v>8.1000000000000003E-2</v>
      </c>
      <c r="I11" s="78">
        <v>7.9000000000000001E-2</v>
      </c>
      <c r="J11" s="78">
        <v>7.2999999999999995E-2</v>
      </c>
      <c r="K11" s="78">
        <v>7.3999999999999996E-2</v>
      </c>
      <c r="L11" s="78">
        <v>7.0999999999999994E-2</v>
      </c>
      <c r="M11" s="78">
        <v>6.8000000000000005E-2</v>
      </c>
      <c r="N11" s="78">
        <v>6.8000000000000005E-2</v>
      </c>
      <c r="O11" s="78">
        <v>6.9000000000000006E-2</v>
      </c>
      <c r="P11" s="78">
        <v>6.9000000000000006E-2</v>
      </c>
      <c r="Q11" s="78">
        <v>6.9000000000000006E-2</v>
      </c>
      <c r="R11" s="78">
        <v>7.0000000000000007E-2</v>
      </c>
      <c r="S11" s="78">
        <v>7.0000000000000007E-2</v>
      </c>
      <c r="T11" s="78">
        <v>6.9000000000000006E-2</v>
      </c>
      <c r="U11" s="78">
        <v>6.9000000000000006E-2</v>
      </c>
      <c r="V11" s="78">
        <v>6.9000000000000006E-2</v>
      </c>
      <c r="W11" s="78">
        <v>6.9000000000000006E-2</v>
      </c>
      <c r="X11" s="78">
        <v>6.9000000000000006E-2</v>
      </c>
      <c r="Y11" s="78">
        <v>6.9000000000000006E-2</v>
      </c>
      <c r="Z11" s="78">
        <v>6.9000000000000006E-2</v>
      </c>
    </row>
    <row r="12" spans="2:26" x14ac:dyDescent="0.25">
      <c r="B12" s="37" t="s">
        <v>93</v>
      </c>
      <c r="C12" s="37" t="s">
        <v>84</v>
      </c>
      <c r="D12" s="37" t="s">
        <v>324</v>
      </c>
      <c r="E12" s="38" t="s">
        <v>91</v>
      </c>
      <c r="F12" s="76">
        <v>0.10154000000000001</v>
      </c>
      <c r="G12" s="76">
        <f>0.09161</f>
        <v>9.1609999999999997E-2</v>
      </c>
      <c r="H12" s="76">
        <f t="shared" ref="H12:Z16" si="2">$G12</f>
        <v>9.1609999999999997E-2</v>
      </c>
      <c r="I12" s="76">
        <f t="shared" si="2"/>
        <v>9.1609999999999997E-2</v>
      </c>
      <c r="J12" s="76">
        <f t="shared" si="2"/>
        <v>9.1609999999999997E-2</v>
      </c>
      <c r="K12" s="76">
        <f t="shared" si="2"/>
        <v>9.1609999999999997E-2</v>
      </c>
      <c r="L12" s="76">
        <f t="shared" si="2"/>
        <v>9.1609999999999997E-2</v>
      </c>
      <c r="M12" s="76">
        <f t="shared" si="2"/>
        <v>9.1609999999999997E-2</v>
      </c>
      <c r="N12" s="76">
        <f t="shared" si="2"/>
        <v>9.1609999999999997E-2</v>
      </c>
      <c r="O12" s="76">
        <f t="shared" si="2"/>
        <v>9.1609999999999997E-2</v>
      </c>
      <c r="P12" s="76">
        <f t="shared" si="2"/>
        <v>9.1609999999999997E-2</v>
      </c>
      <c r="Q12" s="76">
        <f t="shared" si="2"/>
        <v>9.1609999999999997E-2</v>
      </c>
      <c r="R12" s="76">
        <f t="shared" si="2"/>
        <v>9.1609999999999997E-2</v>
      </c>
      <c r="S12" s="76">
        <f t="shared" si="2"/>
        <v>9.1609999999999997E-2</v>
      </c>
      <c r="T12" s="76">
        <f t="shared" si="2"/>
        <v>9.1609999999999997E-2</v>
      </c>
      <c r="U12" s="76">
        <f t="shared" si="2"/>
        <v>9.1609999999999997E-2</v>
      </c>
      <c r="V12" s="76">
        <f t="shared" si="2"/>
        <v>9.1609999999999997E-2</v>
      </c>
      <c r="W12" s="76">
        <f t="shared" si="2"/>
        <v>9.1609999999999997E-2</v>
      </c>
      <c r="X12" s="76">
        <f t="shared" si="2"/>
        <v>9.1609999999999997E-2</v>
      </c>
      <c r="Y12" s="76">
        <f t="shared" si="2"/>
        <v>9.1609999999999997E-2</v>
      </c>
      <c r="Z12" s="76">
        <f t="shared" si="2"/>
        <v>9.1609999999999997E-2</v>
      </c>
    </row>
    <row r="13" spans="2:26" x14ac:dyDescent="0.25">
      <c r="B13" s="35" t="s">
        <v>93</v>
      </c>
      <c r="C13" s="35" t="s">
        <v>85</v>
      </c>
      <c r="D13" s="35" t="s">
        <v>324</v>
      </c>
      <c r="E13" s="36" t="s">
        <v>91</v>
      </c>
      <c r="F13" s="77">
        <v>0.10154000000000001</v>
      </c>
      <c r="G13" s="77">
        <f>0.09161</f>
        <v>9.1609999999999997E-2</v>
      </c>
      <c r="H13" s="77">
        <f t="shared" ref="H13:V13" si="3">$G13</f>
        <v>9.1609999999999997E-2</v>
      </c>
      <c r="I13" s="77">
        <f t="shared" si="3"/>
        <v>9.1609999999999997E-2</v>
      </c>
      <c r="J13" s="77">
        <f t="shared" si="3"/>
        <v>9.1609999999999997E-2</v>
      </c>
      <c r="K13" s="77">
        <f t="shared" si="3"/>
        <v>9.1609999999999997E-2</v>
      </c>
      <c r="L13" s="77">
        <f t="shared" si="3"/>
        <v>9.1609999999999997E-2</v>
      </c>
      <c r="M13" s="77">
        <f t="shared" si="3"/>
        <v>9.1609999999999997E-2</v>
      </c>
      <c r="N13" s="77">
        <f t="shared" si="3"/>
        <v>9.1609999999999997E-2</v>
      </c>
      <c r="O13" s="77">
        <f t="shared" si="3"/>
        <v>9.1609999999999997E-2</v>
      </c>
      <c r="P13" s="77">
        <f t="shared" si="3"/>
        <v>9.1609999999999997E-2</v>
      </c>
      <c r="Q13" s="77">
        <f t="shared" si="3"/>
        <v>9.1609999999999997E-2</v>
      </c>
      <c r="R13" s="77">
        <f t="shared" si="3"/>
        <v>9.1609999999999997E-2</v>
      </c>
      <c r="S13" s="77">
        <f t="shared" si="3"/>
        <v>9.1609999999999997E-2</v>
      </c>
      <c r="T13" s="77">
        <f t="shared" si="3"/>
        <v>9.1609999999999997E-2</v>
      </c>
      <c r="U13" s="77">
        <f t="shared" si="3"/>
        <v>9.1609999999999997E-2</v>
      </c>
      <c r="V13" s="77">
        <f t="shared" si="3"/>
        <v>9.1609999999999997E-2</v>
      </c>
      <c r="W13" s="77">
        <f t="shared" si="2"/>
        <v>9.1609999999999997E-2</v>
      </c>
      <c r="X13" s="77">
        <f t="shared" si="2"/>
        <v>9.1609999999999997E-2</v>
      </c>
      <c r="Y13" s="77">
        <f t="shared" si="2"/>
        <v>9.1609999999999997E-2</v>
      </c>
      <c r="Z13" s="77">
        <f t="shared" si="2"/>
        <v>9.1609999999999997E-2</v>
      </c>
    </row>
    <row r="14" spans="2:26" x14ac:dyDescent="0.25">
      <c r="B14" s="35" t="s">
        <v>93</v>
      </c>
      <c r="C14" s="35" t="s">
        <v>86</v>
      </c>
      <c r="D14" s="35" t="s">
        <v>324</v>
      </c>
      <c r="E14" s="36" t="s">
        <v>91</v>
      </c>
      <c r="F14" s="77">
        <v>6.9370000000000001E-2</v>
      </c>
      <c r="G14" s="77">
        <f>0.06671</f>
        <v>6.6710000000000005E-2</v>
      </c>
      <c r="H14" s="77">
        <f t="shared" si="2"/>
        <v>6.6710000000000005E-2</v>
      </c>
      <c r="I14" s="77">
        <f t="shared" si="2"/>
        <v>6.6710000000000005E-2</v>
      </c>
      <c r="J14" s="77">
        <f t="shared" si="2"/>
        <v>6.6710000000000005E-2</v>
      </c>
      <c r="K14" s="77">
        <f t="shared" si="2"/>
        <v>6.6710000000000005E-2</v>
      </c>
      <c r="L14" s="77">
        <f t="shared" si="2"/>
        <v>6.6710000000000005E-2</v>
      </c>
      <c r="M14" s="77">
        <f t="shared" si="2"/>
        <v>6.6710000000000005E-2</v>
      </c>
      <c r="N14" s="77">
        <f t="shared" si="2"/>
        <v>6.6710000000000005E-2</v>
      </c>
      <c r="O14" s="77">
        <f t="shared" si="2"/>
        <v>6.6710000000000005E-2</v>
      </c>
      <c r="P14" s="77">
        <f t="shared" si="2"/>
        <v>6.6710000000000005E-2</v>
      </c>
      <c r="Q14" s="77">
        <f t="shared" si="2"/>
        <v>6.6710000000000005E-2</v>
      </c>
      <c r="R14" s="77">
        <f t="shared" si="2"/>
        <v>6.6710000000000005E-2</v>
      </c>
      <c r="S14" s="77">
        <f t="shared" si="2"/>
        <v>6.6710000000000005E-2</v>
      </c>
      <c r="T14" s="77">
        <f t="shared" si="2"/>
        <v>6.6710000000000005E-2</v>
      </c>
      <c r="U14" s="77">
        <f t="shared" si="2"/>
        <v>6.6710000000000005E-2</v>
      </c>
      <c r="V14" s="77">
        <f t="shared" si="2"/>
        <v>6.6710000000000005E-2</v>
      </c>
      <c r="W14" s="77">
        <f t="shared" si="2"/>
        <v>6.6710000000000005E-2</v>
      </c>
      <c r="X14" s="77">
        <f t="shared" si="2"/>
        <v>6.6710000000000005E-2</v>
      </c>
      <c r="Y14" s="77">
        <f t="shared" si="2"/>
        <v>6.6710000000000005E-2</v>
      </c>
      <c r="Z14" s="77">
        <f t="shared" si="2"/>
        <v>6.6710000000000005E-2</v>
      </c>
    </row>
    <row r="15" spans="2:26" x14ac:dyDescent="0.25">
      <c r="B15" s="35" t="s">
        <v>93</v>
      </c>
      <c r="C15" s="35" t="s">
        <v>87</v>
      </c>
      <c r="D15" s="35" t="s">
        <v>324</v>
      </c>
      <c r="E15" s="36" t="s">
        <v>91</v>
      </c>
      <c r="F15" s="77">
        <v>3.8679999999999999E-2</v>
      </c>
      <c r="G15" s="77">
        <f>0.03735</f>
        <v>3.7350000000000001E-2</v>
      </c>
      <c r="H15" s="77">
        <f t="shared" si="2"/>
        <v>3.7350000000000001E-2</v>
      </c>
      <c r="I15" s="77">
        <f t="shared" si="2"/>
        <v>3.7350000000000001E-2</v>
      </c>
      <c r="J15" s="77">
        <f t="shared" si="2"/>
        <v>3.7350000000000001E-2</v>
      </c>
      <c r="K15" s="77">
        <f t="shared" si="2"/>
        <v>3.7350000000000001E-2</v>
      </c>
      <c r="L15" s="77">
        <f t="shared" si="2"/>
        <v>3.7350000000000001E-2</v>
      </c>
      <c r="M15" s="77">
        <f t="shared" si="2"/>
        <v>3.7350000000000001E-2</v>
      </c>
      <c r="N15" s="77">
        <f t="shared" si="2"/>
        <v>3.7350000000000001E-2</v>
      </c>
      <c r="O15" s="77">
        <f t="shared" si="2"/>
        <v>3.7350000000000001E-2</v>
      </c>
      <c r="P15" s="77">
        <f t="shared" si="2"/>
        <v>3.7350000000000001E-2</v>
      </c>
      <c r="Q15" s="77">
        <f t="shared" si="2"/>
        <v>3.7350000000000001E-2</v>
      </c>
      <c r="R15" s="77">
        <f t="shared" si="2"/>
        <v>3.7350000000000001E-2</v>
      </c>
      <c r="S15" s="77">
        <f t="shared" si="2"/>
        <v>3.7350000000000001E-2</v>
      </c>
      <c r="T15" s="77">
        <f t="shared" si="2"/>
        <v>3.7350000000000001E-2</v>
      </c>
      <c r="U15" s="77">
        <f t="shared" si="2"/>
        <v>3.7350000000000001E-2</v>
      </c>
      <c r="V15" s="77">
        <f t="shared" si="2"/>
        <v>3.7350000000000001E-2</v>
      </c>
      <c r="W15" s="77">
        <f t="shared" si="2"/>
        <v>3.7350000000000001E-2</v>
      </c>
      <c r="X15" s="77">
        <f t="shared" si="2"/>
        <v>3.7350000000000001E-2</v>
      </c>
      <c r="Y15" s="77">
        <f t="shared" si="2"/>
        <v>3.7350000000000001E-2</v>
      </c>
      <c r="Z15" s="77">
        <f t="shared" si="2"/>
        <v>3.7350000000000001E-2</v>
      </c>
    </row>
    <row r="16" spans="2:26" ht="15.75" thickBot="1" x14ac:dyDescent="0.3">
      <c r="B16" s="39" t="s">
        <v>93</v>
      </c>
      <c r="C16" s="39" t="s">
        <v>88</v>
      </c>
      <c r="D16" s="39" t="s">
        <v>324</v>
      </c>
      <c r="E16" s="40" t="s">
        <v>91</v>
      </c>
      <c r="F16" s="75">
        <v>3.2100000000000002E-3</v>
      </c>
      <c r="G16" s="75">
        <f>0.0031</f>
        <v>3.0999999999999999E-3</v>
      </c>
      <c r="H16" s="75">
        <f t="shared" si="2"/>
        <v>3.0999999999999999E-3</v>
      </c>
      <c r="I16" s="75">
        <f t="shared" si="2"/>
        <v>3.0999999999999999E-3</v>
      </c>
      <c r="J16" s="75">
        <f t="shared" si="2"/>
        <v>3.0999999999999999E-3</v>
      </c>
      <c r="K16" s="75">
        <f t="shared" si="2"/>
        <v>3.0999999999999999E-3</v>
      </c>
      <c r="L16" s="75">
        <f t="shared" si="2"/>
        <v>3.0999999999999999E-3</v>
      </c>
      <c r="M16" s="75">
        <f t="shared" si="2"/>
        <v>3.0999999999999999E-3</v>
      </c>
      <c r="N16" s="75">
        <f t="shared" si="2"/>
        <v>3.0999999999999999E-3</v>
      </c>
      <c r="O16" s="75">
        <f t="shared" si="2"/>
        <v>3.0999999999999999E-3</v>
      </c>
      <c r="P16" s="75">
        <f t="shared" si="2"/>
        <v>3.0999999999999999E-3</v>
      </c>
      <c r="Q16" s="75">
        <f t="shared" si="2"/>
        <v>3.0999999999999999E-3</v>
      </c>
      <c r="R16" s="75">
        <f t="shared" si="2"/>
        <v>3.0999999999999999E-3</v>
      </c>
      <c r="S16" s="75">
        <f t="shared" si="2"/>
        <v>3.0999999999999999E-3</v>
      </c>
      <c r="T16" s="75">
        <f t="shared" si="2"/>
        <v>3.0999999999999999E-3</v>
      </c>
      <c r="U16" s="75">
        <f t="shared" si="2"/>
        <v>3.0999999999999999E-3</v>
      </c>
      <c r="V16" s="75">
        <f t="shared" si="2"/>
        <v>3.0999999999999999E-3</v>
      </c>
      <c r="W16" s="75">
        <f t="shared" si="2"/>
        <v>3.0999999999999999E-3</v>
      </c>
      <c r="X16" s="75">
        <f t="shared" si="2"/>
        <v>3.0999999999999999E-3</v>
      </c>
      <c r="Y16" s="75">
        <f t="shared" si="2"/>
        <v>3.0999999999999999E-3</v>
      </c>
      <c r="Z16" s="75">
        <f t="shared" si="2"/>
        <v>3.0999999999999999E-3</v>
      </c>
    </row>
    <row r="17" spans="2:26" ht="15.75" thickBot="1" x14ac:dyDescent="0.3">
      <c r="B17" s="41" t="s">
        <v>94</v>
      </c>
      <c r="C17" s="41" t="s">
        <v>355</v>
      </c>
      <c r="D17" s="41" t="s">
        <v>342</v>
      </c>
      <c r="E17" s="201" t="s">
        <v>41</v>
      </c>
      <c r="F17" s="202">
        <v>1</v>
      </c>
      <c r="G17" s="202">
        <f>1</f>
        <v>1</v>
      </c>
      <c r="H17" s="202">
        <f t="shared" ref="H17:Z17" si="4">G17*1.06</f>
        <v>1.06</v>
      </c>
      <c r="I17" s="202">
        <f t="shared" si="4"/>
        <v>1.1236000000000002</v>
      </c>
      <c r="J17" s="202">
        <f t="shared" si="4"/>
        <v>1.1910160000000003</v>
      </c>
      <c r="K17" s="202">
        <f t="shared" si="4"/>
        <v>1.2624769600000003</v>
      </c>
      <c r="L17" s="202">
        <f t="shared" si="4"/>
        <v>1.3382255776000005</v>
      </c>
      <c r="M17" s="202">
        <f t="shared" si="4"/>
        <v>1.4185191122560006</v>
      </c>
      <c r="N17" s="202">
        <f t="shared" si="4"/>
        <v>1.5036302589913606</v>
      </c>
      <c r="O17" s="202">
        <f t="shared" si="4"/>
        <v>1.5938480745308423</v>
      </c>
      <c r="P17" s="202">
        <f t="shared" si="4"/>
        <v>1.6894789590026928</v>
      </c>
      <c r="Q17" s="202">
        <f t="shared" si="4"/>
        <v>1.7908476965428546</v>
      </c>
      <c r="R17" s="202">
        <f t="shared" si="4"/>
        <v>1.8982985583354259</v>
      </c>
      <c r="S17" s="202">
        <f t="shared" si="4"/>
        <v>2.0121964718355514</v>
      </c>
      <c r="T17" s="202">
        <f t="shared" si="4"/>
        <v>2.1329282601456847</v>
      </c>
      <c r="U17" s="202">
        <f t="shared" si="4"/>
        <v>2.2609039557544257</v>
      </c>
      <c r="V17" s="202">
        <f t="shared" si="4"/>
        <v>2.3965581930996915</v>
      </c>
      <c r="W17" s="202">
        <f t="shared" si="4"/>
        <v>2.5403516846856733</v>
      </c>
      <c r="X17" s="202">
        <f t="shared" si="4"/>
        <v>2.692772785766814</v>
      </c>
      <c r="Y17" s="202">
        <f t="shared" si="4"/>
        <v>2.8543391529128228</v>
      </c>
      <c r="Z17" s="202">
        <f t="shared" si="4"/>
        <v>3.0255995020875925</v>
      </c>
    </row>
    <row r="18" spans="2:26" x14ac:dyDescent="0.25">
      <c r="B18" s="35" t="s">
        <v>69</v>
      </c>
      <c r="C18" s="35" t="s">
        <v>219</v>
      </c>
      <c r="D18" s="35" t="s">
        <v>218</v>
      </c>
      <c r="E18" s="36" t="s">
        <v>123</v>
      </c>
      <c r="F18" s="77">
        <v>11.779884149552398</v>
      </c>
      <c r="G18" s="77">
        <f t="shared" ref="G18:Z18" si="5">(G$5+G$10)/31.65/90%*1000</f>
        <v>11.730033350886433</v>
      </c>
      <c r="H18" s="77">
        <f t="shared" si="5"/>
        <v>11.474460242232755</v>
      </c>
      <c r="I18" s="77">
        <f t="shared" si="5"/>
        <v>11.193610672283659</v>
      </c>
      <c r="J18" s="77">
        <f t="shared" si="5"/>
        <v>10.912761102334562</v>
      </c>
      <c r="K18" s="77">
        <f t="shared" si="5"/>
        <v>10.631911532385466</v>
      </c>
      <c r="L18" s="77">
        <f t="shared" si="5"/>
        <v>10.631911532385466</v>
      </c>
      <c r="M18" s="77">
        <f t="shared" si="5"/>
        <v>10.631911532385466</v>
      </c>
      <c r="N18" s="77">
        <f t="shared" si="5"/>
        <v>10.667017728629103</v>
      </c>
      <c r="O18" s="77">
        <f t="shared" si="5"/>
        <v>10.667017728629103</v>
      </c>
      <c r="P18" s="77">
        <f t="shared" si="5"/>
        <v>10.702123924872742</v>
      </c>
      <c r="Q18" s="77">
        <f t="shared" si="5"/>
        <v>10.702123924872742</v>
      </c>
      <c r="R18" s="77">
        <f t="shared" si="5"/>
        <v>10.702123924872742</v>
      </c>
      <c r="S18" s="77">
        <f t="shared" si="5"/>
        <v>10.737230121116376</v>
      </c>
      <c r="T18" s="77">
        <f t="shared" si="5"/>
        <v>10.737230121116376</v>
      </c>
      <c r="U18" s="77">
        <f t="shared" si="5"/>
        <v>10.737230121116376</v>
      </c>
      <c r="V18" s="77">
        <f t="shared" si="5"/>
        <v>10.737230121116376</v>
      </c>
      <c r="W18" s="77">
        <f t="shared" si="5"/>
        <v>10.737230121116376</v>
      </c>
      <c r="X18" s="77">
        <f t="shared" si="5"/>
        <v>10.737230121116376</v>
      </c>
      <c r="Y18" s="77">
        <f t="shared" si="5"/>
        <v>10.737230121116376</v>
      </c>
      <c r="Z18" s="77">
        <f t="shared" si="5"/>
        <v>10.737230121116376</v>
      </c>
    </row>
    <row r="19" spans="2:26" x14ac:dyDescent="0.25">
      <c r="B19" s="37" t="s">
        <v>95</v>
      </c>
      <c r="C19" s="37" t="s">
        <v>96</v>
      </c>
      <c r="D19" s="37" t="s">
        <v>342</v>
      </c>
      <c r="E19" s="38" t="s">
        <v>97</v>
      </c>
      <c r="F19" s="76">
        <v>73.58</v>
      </c>
      <c r="G19" s="76">
        <v>97.83</v>
      </c>
      <c r="H19" s="76">
        <v>91.49</v>
      </c>
      <c r="I19" s="76">
        <v>85.15</v>
      </c>
      <c r="J19" s="76">
        <v>78.8</v>
      </c>
      <c r="K19" s="76">
        <v>72.459999999999994</v>
      </c>
      <c r="L19" s="76">
        <v>72.569999999999993</v>
      </c>
      <c r="M19" s="76">
        <v>72.680000000000007</v>
      </c>
      <c r="N19" s="76">
        <v>72.790000000000006</v>
      </c>
      <c r="O19" s="76">
        <v>72.89</v>
      </c>
      <c r="P19" s="76">
        <v>73</v>
      </c>
      <c r="Q19" s="76">
        <v>73.11</v>
      </c>
      <c r="R19" s="76">
        <v>73.22</v>
      </c>
      <c r="S19" s="76">
        <v>73.33</v>
      </c>
      <c r="T19" s="76">
        <v>73.44</v>
      </c>
      <c r="U19" s="76">
        <v>73.540000000000006</v>
      </c>
      <c r="V19" s="76">
        <v>73.540000000000006</v>
      </c>
      <c r="W19" s="76">
        <v>73.540000000000006</v>
      </c>
      <c r="X19" s="76">
        <v>73.540000000000006</v>
      </c>
      <c r="Y19" s="76">
        <v>73.540000000000006</v>
      </c>
      <c r="Z19" s="76">
        <v>73.540000000000006</v>
      </c>
    </row>
    <row r="20" spans="2:26" x14ac:dyDescent="0.25">
      <c r="B20" s="35" t="s">
        <v>98</v>
      </c>
      <c r="C20" s="35" t="s">
        <v>99</v>
      </c>
      <c r="D20" s="35" t="s">
        <v>342</v>
      </c>
      <c r="E20" s="36" t="s">
        <v>100</v>
      </c>
      <c r="F20" s="77">
        <v>66.510000000000005</v>
      </c>
      <c r="G20" s="77">
        <v>63.81</v>
      </c>
      <c r="H20" s="77">
        <v>59.86</v>
      </c>
      <c r="I20" s="77">
        <v>66.55</v>
      </c>
      <c r="J20" s="77">
        <v>73.239999999999995</v>
      </c>
      <c r="K20" s="77">
        <v>79.930000000000007</v>
      </c>
      <c r="L20" s="77">
        <v>79.73</v>
      </c>
      <c r="M20" s="77">
        <v>79.52</v>
      </c>
      <c r="N20" s="77">
        <v>79.319999999999993</v>
      </c>
      <c r="O20" s="77">
        <v>79.12</v>
      </c>
      <c r="P20" s="77">
        <v>78.92</v>
      </c>
      <c r="Q20" s="77">
        <v>78.72</v>
      </c>
      <c r="R20" s="77">
        <v>78.510000000000005</v>
      </c>
      <c r="S20" s="77">
        <v>78.31</v>
      </c>
      <c r="T20" s="77">
        <v>78.11</v>
      </c>
      <c r="U20" s="77">
        <v>77.91</v>
      </c>
      <c r="V20" s="77">
        <v>77.91</v>
      </c>
      <c r="W20" s="77">
        <v>77.91</v>
      </c>
      <c r="X20" s="77">
        <v>77.91</v>
      </c>
      <c r="Y20" s="77">
        <v>77.91</v>
      </c>
      <c r="Z20" s="77">
        <v>77.91</v>
      </c>
    </row>
    <row r="21" spans="2:26" x14ac:dyDescent="0.25">
      <c r="B21" s="35" t="s">
        <v>101</v>
      </c>
      <c r="C21" s="35" t="s">
        <v>102</v>
      </c>
      <c r="D21" s="35" t="s">
        <v>342</v>
      </c>
      <c r="E21" s="36" t="s">
        <v>97</v>
      </c>
      <c r="F21" s="77">
        <v>0</v>
      </c>
      <c r="G21" s="77">
        <f>0</f>
        <v>0</v>
      </c>
      <c r="H21" s="77">
        <v>49.23</v>
      </c>
      <c r="I21" s="77">
        <v>82.05</v>
      </c>
      <c r="J21" s="77">
        <v>90.26</v>
      </c>
      <c r="K21" s="77">
        <v>90.26</v>
      </c>
      <c r="L21" s="77">
        <v>90.26</v>
      </c>
      <c r="M21" s="77">
        <v>90.26</v>
      </c>
      <c r="N21" s="77">
        <v>90.26</v>
      </c>
      <c r="O21" s="77">
        <v>90.26</v>
      </c>
      <c r="P21" s="77">
        <v>90.26</v>
      </c>
      <c r="Q21" s="77">
        <v>90.26</v>
      </c>
      <c r="R21" s="77">
        <v>90.26</v>
      </c>
      <c r="S21" s="77">
        <v>90.26</v>
      </c>
      <c r="T21" s="77">
        <v>90.26</v>
      </c>
      <c r="U21" s="77">
        <v>90.26</v>
      </c>
      <c r="V21" s="77">
        <v>90.26</v>
      </c>
      <c r="W21" s="77">
        <v>90.26</v>
      </c>
      <c r="X21" s="77">
        <v>90.26</v>
      </c>
      <c r="Y21" s="77">
        <v>90.26</v>
      </c>
      <c r="Z21" s="77">
        <v>90.26</v>
      </c>
    </row>
    <row r="22" spans="2:26" x14ac:dyDescent="0.25">
      <c r="D22" s="3" t="s">
        <v>354</v>
      </c>
      <c r="G22" s="208"/>
      <c r="H22" s="208"/>
      <c r="I22" s="208"/>
      <c r="J22" s="208"/>
      <c r="K22" s="208"/>
      <c r="L22" s="208"/>
      <c r="M22" s="208"/>
      <c r="N22" s="208"/>
      <c r="O22" s="208"/>
      <c r="P22" s="208"/>
      <c r="Q22" s="208"/>
      <c r="R22" s="208"/>
      <c r="S22" s="208"/>
      <c r="T22" s="208"/>
      <c r="U22" s="208"/>
      <c r="V22" s="208"/>
      <c r="W22" s="208"/>
      <c r="X22" s="208"/>
      <c r="Y22" s="208"/>
      <c r="Z22" s="208"/>
    </row>
    <row r="23" spans="2:26" x14ac:dyDescent="0.25">
      <c r="B23" s="11" t="s">
        <v>326</v>
      </c>
    </row>
    <row r="24" spans="2:26" ht="15.75" x14ac:dyDescent="0.25">
      <c r="B24" s="6"/>
      <c r="C24" s="6"/>
      <c r="D24" s="6"/>
      <c r="E24" s="6"/>
      <c r="F24" s="6">
        <v>2025</v>
      </c>
      <c r="G24" s="6">
        <v>2026</v>
      </c>
      <c r="H24" s="6">
        <v>2027</v>
      </c>
      <c r="I24" s="6">
        <v>2028</v>
      </c>
      <c r="J24" s="6">
        <v>2029</v>
      </c>
      <c r="K24" s="6">
        <v>2030</v>
      </c>
      <c r="L24" s="6">
        <v>2031</v>
      </c>
      <c r="M24" s="6">
        <v>2032</v>
      </c>
      <c r="N24" s="6">
        <v>2033</v>
      </c>
      <c r="O24" s="6">
        <v>2034</v>
      </c>
      <c r="P24" s="6">
        <v>2035</v>
      </c>
      <c r="Q24" s="6">
        <v>2036</v>
      </c>
      <c r="R24" s="6">
        <v>2037</v>
      </c>
      <c r="S24" s="6">
        <v>2038</v>
      </c>
      <c r="T24" s="6">
        <v>2039</v>
      </c>
      <c r="U24" s="6">
        <v>2040</v>
      </c>
      <c r="V24" s="6">
        <v>2041</v>
      </c>
      <c r="W24" s="6">
        <v>2042</v>
      </c>
      <c r="X24" s="6">
        <v>2043</v>
      </c>
      <c r="Y24" s="10">
        <v>2044</v>
      </c>
      <c r="Z24" s="10">
        <v>2045</v>
      </c>
    </row>
    <row r="25" spans="2:26" x14ac:dyDescent="0.25">
      <c r="B25" s="77" t="s">
        <v>325</v>
      </c>
      <c r="C25" s="77"/>
      <c r="D25" s="77"/>
      <c r="E25" s="77"/>
      <c r="F25" s="77">
        <v>82.6</v>
      </c>
      <c r="G25" s="77">
        <v>95.29</v>
      </c>
      <c r="H25" s="77">
        <v>100.54</v>
      </c>
      <c r="I25" s="77">
        <v>106.12</v>
      </c>
      <c r="J25" s="77">
        <v>111.92</v>
      </c>
      <c r="K25" s="77">
        <v>118.05</v>
      </c>
      <c r="L25" s="77">
        <v>124.61</v>
      </c>
      <c r="M25" s="77">
        <v>131.38999999999999</v>
      </c>
      <c r="N25" s="77">
        <v>138.61000000000001</v>
      </c>
      <c r="O25" s="77">
        <v>146.27000000000001</v>
      </c>
      <c r="P25" s="77">
        <v>154.26</v>
      </c>
      <c r="Q25" s="77">
        <v>162.79</v>
      </c>
      <c r="R25" s="77">
        <v>171.76</v>
      </c>
      <c r="S25" s="77">
        <v>181.17</v>
      </c>
      <c r="T25" s="77">
        <v>191.13</v>
      </c>
      <c r="U25" s="77">
        <v>201.63</v>
      </c>
      <c r="V25" s="77">
        <v>201.63</v>
      </c>
      <c r="W25" s="77">
        <v>201.63</v>
      </c>
      <c r="X25" s="77">
        <v>201.63</v>
      </c>
      <c r="Y25" s="77">
        <v>201.63</v>
      </c>
      <c r="Z25" s="77">
        <v>201.63</v>
      </c>
    </row>
    <row r="26" spans="2:26" x14ac:dyDescent="0.25">
      <c r="B26" s="77" t="s">
        <v>70</v>
      </c>
      <c r="C26" s="77"/>
      <c r="D26" s="77"/>
      <c r="E26" s="77"/>
      <c r="F26" s="79">
        <v>1</v>
      </c>
      <c r="G26" s="79">
        <v>0.93333333333333335</v>
      </c>
      <c r="H26" s="79">
        <v>0.8666666666666667</v>
      </c>
      <c r="I26" s="79">
        <v>0.8</v>
      </c>
      <c r="J26" s="79">
        <v>0.73333333333333339</v>
      </c>
      <c r="K26" s="79">
        <v>0.66666666666666674</v>
      </c>
      <c r="L26" s="79">
        <v>0.6</v>
      </c>
      <c r="M26" s="79">
        <v>0.53333333333333333</v>
      </c>
      <c r="N26" s="79">
        <v>0.46666666666666667</v>
      </c>
      <c r="O26" s="79">
        <v>0.4</v>
      </c>
      <c r="P26" s="79">
        <v>0.33333333333333337</v>
      </c>
      <c r="Q26" s="79">
        <v>0.26666666666666672</v>
      </c>
      <c r="R26" s="79">
        <v>0.19999999999999996</v>
      </c>
      <c r="S26" s="79">
        <v>0.1333333333333333</v>
      </c>
      <c r="T26" s="79">
        <v>6.6666666666666652E-2</v>
      </c>
      <c r="U26" s="79">
        <v>0</v>
      </c>
      <c r="V26" s="79">
        <v>0</v>
      </c>
      <c r="W26" s="79">
        <v>0</v>
      </c>
      <c r="X26" s="79">
        <v>0</v>
      </c>
      <c r="Y26" s="79">
        <v>0</v>
      </c>
      <c r="Z26" s="79">
        <v>0</v>
      </c>
    </row>
    <row r="27" spans="2:26" x14ac:dyDescent="0.25"/>
    <row r="28" spans="2:26" x14ac:dyDescent="0.25">
      <c r="B28" s="11" t="s">
        <v>152</v>
      </c>
    </row>
    <row r="29" spans="2:26" ht="15.75" x14ac:dyDescent="0.25">
      <c r="B29" s="6" t="s">
        <v>73</v>
      </c>
      <c r="C29" s="134" t="s">
        <v>2</v>
      </c>
    </row>
    <row r="30" spans="2:26" x14ac:dyDescent="0.25">
      <c r="B30" s="62" t="s">
        <v>71</v>
      </c>
      <c r="C30" s="135">
        <v>2026</v>
      </c>
    </row>
    <row r="31" spans="2:26" x14ac:dyDescent="0.25">
      <c r="B31" s="62" t="s">
        <v>31</v>
      </c>
      <c r="C31" s="63">
        <f>5.5%</f>
        <v>5.5E-2</v>
      </c>
    </row>
    <row r="32" spans="2:26" x14ac:dyDescent="0.25">
      <c r="B32" s="62" t="s">
        <v>33</v>
      </c>
      <c r="C32" s="63">
        <v>0.25800000000000001</v>
      </c>
    </row>
    <row r="33" spans="2:3" x14ac:dyDescent="0.25">
      <c r="B33" s="62" t="s">
        <v>29</v>
      </c>
      <c r="C33" s="63">
        <f>3.1%</f>
        <v>3.1E-2</v>
      </c>
    </row>
    <row r="34" spans="2:3" x14ac:dyDescent="0.25"/>
  </sheetData>
  <sheetProtection algorithmName="SHA-512" hashValue="bsExKj+B2VaTlqIsRwXIk2u4ACczRR9tjBZ8L1iKBXo84z8sNGBz4RT2k22GKj+weIXY33iOfGFCW+9dmXuBpA==" saltValue="GwGOcElU7YkoYCM6i3PBGw==" spinCount="100000" sheet="1" objects="1" scenarios="1"/>
  <conditionalFormatting sqref="B25:Z26">
    <cfRule type="expression" dxfId="1" priority="1">
      <formula>#REF!="Nee"</formula>
    </cfRule>
  </conditionalFormatting>
  <conditionalFormatting sqref="F5:Z21">
    <cfRule type="expression" dxfId="0" priority="2">
      <formula>#REF!="Nee"</formula>
    </cfRule>
  </conditionalFormatting>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863E-F399-4B4A-8979-A0301074F7CB}">
  <sheetPr>
    <tabColor theme="6"/>
    <pageSetUpPr autoPageBreaks="0"/>
  </sheetPr>
  <dimension ref="A1:C28"/>
  <sheetViews>
    <sheetView workbookViewId="0"/>
  </sheetViews>
  <sheetFormatPr defaultColWidth="0" defaultRowHeight="15" zeroHeight="1" x14ac:dyDescent="0.25"/>
  <cols>
    <col min="1" max="1" width="2.85546875" style="3" customWidth="1"/>
    <col min="2" max="2" width="59.28515625" style="3" bestFit="1" customWidth="1"/>
    <col min="3" max="3" width="2.85546875" style="3" customWidth="1"/>
    <col min="4" max="16384" width="9.28515625" style="3" hidden="1"/>
  </cols>
  <sheetData>
    <row r="1" spans="2:2" ht="28.5" x14ac:dyDescent="0.45">
      <c r="B1" s="59" t="s">
        <v>167</v>
      </c>
    </row>
    <row r="2" spans="2:2" x14ac:dyDescent="0.25"/>
    <row r="3" spans="2:2" ht="15.75" x14ac:dyDescent="0.25">
      <c r="B3" s="69" t="s">
        <v>315</v>
      </c>
    </row>
    <row r="4" spans="2:2" x14ac:dyDescent="0.25">
      <c r="B4" s="107" t="s">
        <v>60</v>
      </c>
    </row>
    <row r="5" spans="2:2" x14ac:dyDescent="0.25">
      <c r="B5" s="107" t="s">
        <v>210</v>
      </c>
    </row>
    <row r="6" spans="2:2" x14ac:dyDescent="0.25">
      <c r="B6" s="107" t="s">
        <v>211</v>
      </c>
    </row>
    <row r="7" spans="2:2" x14ac:dyDescent="0.25">
      <c r="B7" s="107" t="s">
        <v>212</v>
      </c>
    </row>
    <row r="8" spans="2:2" x14ac:dyDescent="0.25">
      <c r="B8" s="107" t="s">
        <v>61</v>
      </c>
    </row>
    <row r="9" spans="2:2" x14ac:dyDescent="0.25">
      <c r="B9" s="107" t="s">
        <v>213</v>
      </c>
    </row>
    <row r="10" spans="2:2" x14ac:dyDescent="0.25">
      <c r="B10" s="107" t="s">
        <v>62</v>
      </c>
    </row>
    <row r="11" spans="2:2" x14ac:dyDescent="0.25">
      <c r="B11" s="107" t="s">
        <v>214</v>
      </c>
    </row>
    <row r="12" spans="2:2" x14ac:dyDescent="0.25">
      <c r="B12" s="107" t="s">
        <v>6</v>
      </c>
    </row>
    <row r="13" spans="2:2" x14ac:dyDescent="0.25"/>
    <row r="14" spans="2:2" ht="15.75" x14ac:dyDescent="0.25">
      <c r="B14" s="69" t="s">
        <v>316</v>
      </c>
    </row>
    <row r="15" spans="2:2" x14ac:dyDescent="0.25">
      <c r="B15" s="107" t="s">
        <v>292</v>
      </c>
    </row>
    <row r="16" spans="2:2" x14ac:dyDescent="0.25">
      <c r="B16" s="107" t="s">
        <v>66</v>
      </c>
    </row>
    <row r="17" spans="2:2" x14ac:dyDescent="0.25">
      <c r="B17" s="107" t="s">
        <v>65</v>
      </c>
    </row>
    <row r="18" spans="2:2" x14ac:dyDescent="0.25">
      <c r="B18" s="107" t="s">
        <v>64</v>
      </c>
    </row>
    <row r="19" spans="2:2" x14ac:dyDescent="0.25">
      <c r="B19" s="107" t="s">
        <v>339</v>
      </c>
    </row>
    <row r="20" spans="2:2" x14ac:dyDescent="0.25">
      <c r="B20" s="107" t="s">
        <v>6</v>
      </c>
    </row>
    <row r="21" spans="2:2" x14ac:dyDescent="0.25">
      <c r="B21" s="7"/>
    </row>
    <row r="27" spans="2:2" hidden="1" x14ac:dyDescent="0.25">
      <c r="B27" s="105"/>
    </row>
    <row r="28" spans="2:2" hidden="1" x14ac:dyDescent="0.25">
      <c r="B28" s="106"/>
    </row>
  </sheetData>
  <pageMargins left="0.7" right="0.7" top="0.75" bottom="0.75" header="0.3" footer="0.3"/>
  <pageSetup paperSize="9" orientation="portrait" r:id="rId1"/>
  <headerFooter>
    <oddFooter>&amp;L_x000D_&amp;1#&amp;"Calibri"&amp;10&amp;K000000 Intern gebruik</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5C8FD-8E2A-45EF-A00C-983E5E7F744D}">
  <sheetPr>
    <tabColor theme="6"/>
    <pageSetUpPr autoPageBreaks="0"/>
  </sheetPr>
  <dimension ref="A1:F10"/>
  <sheetViews>
    <sheetView workbookViewId="0"/>
  </sheetViews>
  <sheetFormatPr defaultColWidth="0" defaultRowHeight="15" zeroHeight="1" x14ac:dyDescent="0.25"/>
  <cols>
    <col min="1" max="1" width="4.5703125" style="2" customWidth="1"/>
    <col min="2" max="2" width="9.28515625" customWidth="1"/>
    <col min="3" max="3" width="9.42578125" bestFit="1" customWidth="1"/>
    <col min="4" max="4" width="20.42578125" bestFit="1" customWidth="1"/>
    <col min="5" max="5" width="72.85546875" customWidth="1"/>
    <col min="6" max="6" width="4.5703125" style="2" customWidth="1"/>
    <col min="7" max="16384" width="9.28515625" hidden="1"/>
  </cols>
  <sheetData>
    <row r="1" spans="2:5" s="2" customFormat="1" x14ac:dyDescent="0.25"/>
    <row r="2" spans="2:5" ht="28.5" x14ac:dyDescent="0.45">
      <c r="B2" s="243" t="s">
        <v>262</v>
      </c>
      <c r="C2" s="244"/>
      <c r="D2" s="244"/>
      <c r="E2" s="245"/>
    </row>
    <row r="3" spans="2:5" s="2" customFormat="1" x14ac:dyDescent="0.25"/>
    <row r="4" spans="2:5" x14ac:dyDescent="0.25">
      <c r="B4" s="184" t="s">
        <v>254</v>
      </c>
      <c r="C4" s="185" t="s">
        <v>255</v>
      </c>
      <c r="D4" s="185" t="s">
        <v>256</v>
      </c>
      <c r="E4" s="186" t="s">
        <v>257</v>
      </c>
    </row>
    <row r="5" spans="2:5" ht="120" x14ac:dyDescent="0.25">
      <c r="B5" s="187" t="s">
        <v>278</v>
      </c>
      <c r="C5" s="188">
        <v>46248</v>
      </c>
      <c r="D5" s="189" t="s">
        <v>263</v>
      </c>
      <c r="E5" s="183" t="s">
        <v>360</v>
      </c>
    </row>
    <row r="6" spans="2:5" ht="45" x14ac:dyDescent="0.25">
      <c r="B6" s="187" t="s">
        <v>268</v>
      </c>
      <c r="C6" s="188">
        <v>46219</v>
      </c>
      <c r="D6" s="189" t="s">
        <v>269</v>
      </c>
      <c r="E6" s="183" t="s">
        <v>270</v>
      </c>
    </row>
    <row r="7" spans="2:5" ht="30" x14ac:dyDescent="0.25">
      <c r="B7" s="187" t="s">
        <v>264</v>
      </c>
      <c r="C7" s="188">
        <v>46168</v>
      </c>
      <c r="D7" s="189" t="s">
        <v>263</v>
      </c>
      <c r="E7" s="183" t="s">
        <v>266</v>
      </c>
    </row>
    <row r="8" spans="2:5" x14ac:dyDescent="0.25">
      <c r="B8" s="187" t="s">
        <v>259</v>
      </c>
      <c r="C8" s="188">
        <v>45902</v>
      </c>
      <c r="D8" s="189" t="s">
        <v>263</v>
      </c>
      <c r="E8" s="181" t="s">
        <v>265</v>
      </c>
    </row>
    <row r="9" spans="2:5" x14ac:dyDescent="0.25">
      <c r="B9" s="190" t="s">
        <v>258</v>
      </c>
      <c r="C9" s="191">
        <v>45819</v>
      </c>
      <c r="D9" s="192" t="s">
        <v>260</v>
      </c>
      <c r="E9" s="182" t="s">
        <v>261</v>
      </c>
    </row>
    <row r="10" spans="2:5" s="2" customFormat="1" x14ac:dyDescent="0.25"/>
  </sheetData>
  <mergeCells count="1">
    <mergeCell ref="B2:E2"/>
  </mergeCells>
  <pageMargins left="0.7" right="0.7" top="0.75" bottom="0.75" header="0.3" footer="0.3"/>
  <pageSetup paperSize="0" orientation="portrait"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7CA35-2F2E-4BFF-AB82-C6A067602008}">
  <sheetPr>
    <tabColor theme="6"/>
    <pageSetUpPr autoPageBreaks="0"/>
  </sheetPr>
  <dimension ref="B2:E19"/>
  <sheetViews>
    <sheetView workbookViewId="0"/>
  </sheetViews>
  <sheetFormatPr defaultRowHeight="15" x14ac:dyDescent="0.25"/>
  <cols>
    <col min="1" max="1" width="3.85546875" customWidth="1"/>
    <col min="10" max="10" width="11.140625" customWidth="1"/>
  </cols>
  <sheetData>
    <row r="2" spans="2:5" ht="28.5" x14ac:dyDescent="0.45">
      <c r="B2" s="206" t="s">
        <v>353</v>
      </c>
      <c r="C2" s="206"/>
      <c r="D2" s="206"/>
      <c r="E2" s="206"/>
    </row>
    <row r="4" spans="2:5" x14ac:dyDescent="0.25">
      <c r="B4" s="203" t="s">
        <v>343</v>
      </c>
    </row>
    <row r="5" spans="2:5" x14ac:dyDescent="0.25">
      <c r="B5" s="204" t="s">
        <v>349</v>
      </c>
    </row>
    <row r="6" spans="2:5" x14ac:dyDescent="0.25">
      <c r="B6" s="204" t="s">
        <v>350</v>
      </c>
    </row>
    <row r="7" spans="2:5" x14ac:dyDescent="0.25">
      <c r="B7" s="204" t="s">
        <v>356</v>
      </c>
    </row>
    <row r="8" spans="2:5" x14ac:dyDescent="0.25">
      <c r="B8" s="204" t="s">
        <v>357</v>
      </c>
    </row>
    <row r="9" spans="2:5" x14ac:dyDescent="0.25">
      <c r="B9" s="204" t="s">
        <v>358</v>
      </c>
    </row>
    <row r="10" spans="2:5" x14ac:dyDescent="0.25">
      <c r="B10" s="204" t="s">
        <v>359</v>
      </c>
    </row>
    <row r="12" spans="2:5" x14ac:dyDescent="0.25">
      <c r="B12" s="203" t="s">
        <v>344</v>
      </c>
    </row>
    <row r="13" spans="2:5" x14ac:dyDescent="0.25">
      <c r="B13" s="204" t="s">
        <v>345</v>
      </c>
    </row>
    <row r="14" spans="2:5" x14ac:dyDescent="0.25">
      <c r="B14" s="204" t="s">
        <v>346</v>
      </c>
    </row>
    <row r="15" spans="2:5" x14ac:dyDescent="0.25">
      <c r="C15" t="s">
        <v>347</v>
      </c>
    </row>
    <row r="16" spans="2:5" x14ac:dyDescent="0.25">
      <c r="C16" s="205" t="s">
        <v>348</v>
      </c>
    </row>
    <row r="18" spans="2:2" x14ac:dyDescent="0.25">
      <c r="B18" s="203" t="s">
        <v>351</v>
      </c>
    </row>
    <row r="19" spans="2:2" x14ac:dyDescent="0.25">
      <c r="B19" s="204" t="s">
        <v>352</v>
      </c>
    </row>
  </sheetData>
  <hyperlinks>
    <hyperlink ref="C16" r:id="rId1" display="https://indialogue.io/clients/reports/public/5d9da61986db2894649a7ef2/5d9da63386db2894649a7ef5" xr:uid="{1B3400AF-AA1E-4E5B-91A5-F5A7B12115BA}"/>
  </hyperlinks>
  <pageMargins left="0.7" right="0.7" top="0.75" bottom="0.75" header="0.3" footer="0.3"/>
  <pageSetup paperSize="0" orientation="portrait" horizontalDpi="0" verticalDpi="0" copies="0"/>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15</vt:i4>
      </vt:variant>
      <vt:variant>
        <vt:lpstr>Benoemde bereiken</vt:lpstr>
      </vt:variant>
      <vt:variant>
        <vt:i4>18</vt:i4>
      </vt:variant>
    </vt:vector>
  </HeadingPairs>
  <TitlesOfParts>
    <vt:vector size="33" baseType="lpstr">
      <vt:lpstr>Voorblad</vt:lpstr>
      <vt:lpstr>Benodigde subsidie</vt:lpstr>
      <vt:lpstr>1 Econ. levensduur</vt:lpstr>
      <vt:lpstr>2 Investeringskosten</vt:lpstr>
      <vt:lpstr>3 Omzet</vt:lpstr>
      <vt:lpstr>4a Exploitatiekosten</vt:lpstr>
      <vt:lpstr>4b Energiekosten</vt:lpstr>
      <vt:lpstr>5 Operationele voordelen</vt:lpstr>
      <vt:lpstr>6 WACC</vt:lpstr>
      <vt:lpstr>7 Overige subsidies </vt:lpstr>
      <vt:lpstr>CW operationele kasstromen</vt:lpstr>
      <vt:lpstr>Vastgestelde parameters</vt:lpstr>
      <vt:lpstr>Opzoekblad</vt:lpstr>
      <vt:lpstr>Versiebeheer</vt:lpstr>
      <vt:lpstr>Actualisatie</vt:lpstr>
      <vt:lpstr>_Econ_levensduur</vt:lpstr>
      <vt:lpstr>'2 Investeringskosten'!_Hlk198320077</vt:lpstr>
      <vt:lpstr>CW_kasstroom</vt:lpstr>
      <vt:lpstr>Debt</vt:lpstr>
      <vt:lpstr>DEF_KOLOMNR</vt:lpstr>
      <vt:lpstr>Equity</vt:lpstr>
      <vt:lpstr>ERP</vt:lpstr>
      <vt:lpstr>Europese_Subsidie</vt:lpstr>
      <vt:lpstr>Geschatte_totale_EIA</vt:lpstr>
      <vt:lpstr>Investeringskosten</vt:lpstr>
      <vt:lpstr>Laatste_exploitatiejaar</vt:lpstr>
      <vt:lpstr>realisatiekosten</vt:lpstr>
      <vt:lpstr>RiskFreeRate</vt:lpstr>
      <vt:lpstr>start_operatie</vt:lpstr>
      <vt:lpstr>start_realisatie</vt:lpstr>
      <vt:lpstr>subsidiejaar</vt:lpstr>
      <vt:lpstr>tax_rate</vt:lpstr>
      <vt:lpstr>WACC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2026-09-24T12:28:10Z</dcterms:created>
  <dcterms:modified xsi:type="dcterms:W3CDTF">2026-09-24T12:30:30Z</dcterms:modified>
</cp:coreProperties>
</file>